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ntllec-my.sharepoint.com/personal/sibongile_nkane_centlec_co_za/Documents/Trial Balance 2022-23/May/Budget Submission to MMM 29 May 2023/Annexures/"/>
    </mc:Choice>
  </mc:AlternateContent>
  <xr:revisionPtr revIDLastSave="32" documentId="8_{AE167957-2CB2-4415-B8C1-4D73E470B79F}" xr6:coauthVersionLast="47" xr6:coauthVersionMax="47" xr10:uidLastSave="{13952DD2-33BA-4D59-B481-8268E044519C}"/>
  <bookViews>
    <workbookView xWindow="-108" yWindow="-108" windowWidth="23256" windowHeight="12576" tabRatio="783" activeTab="3" xr2:uid="{43261D0E-CE59-4885-8C64-B3EB07D7DD32}"/>
  </bookViews>
  <sheets>
    <sheet name="MTREF BUDGET 2023-24  Summary" sheetId="1" r:id="rId1"/>
    <sheet name="DETAILED" sheetId="3" r:id="rId2"/>
    <sheet name="Total Emp Cost" sheetId="11" r:id="rId3"/>
    <sheet name="MS &amp; Vacancies combined" sheetId="19" r:id="rId4"/>
    <sheet name="SM &amp; Vacancies" sheetId="15" r:id="rId5"/>
    <sheet name="Vacancies ED" sheetId="14" state="hidden" r:id="rId6"/>
    <sheet name="MS (2)" sheetId="9" state="hidden" r:id="rId7"/>
    <sheet name="SM (2)" sheetId="8" state="hidden" r:id="rId8"/>
    <sheet name="Vacancies (2)" sheetId="10" state="hidden" r:id="rId9"/>
    <sheet name="SM" sheetId="6" state="hidden" r:id="rId10"/>
    <sheet name="MS" sheetId="5" state="hidden" r:id="rId11"/>
    <sheet name="Vacancies" sheetId="7" state="hidden" r:id="rId12"/>
    <sheet name="Sheet1" sheetId="4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MER1" localSheetId="1">#REF!</definedName>
    <definedName name="__MER1" localSheetId="0">#REF!</definedName>
    <definedName name="__MER1">#REF!</definedName>
    <definedName name="_xlnm._FilterDatabase" localSheetId="1" hidden="1">DETAILED!$A$1:$AW$1088</definedName>
    <definedName name="_xlnm._FilterDatabase" localSheetId="10" hidden="1">MS!$A$1:$U$703</definedName>
    <definedName name="_xlnm._FilterDatabase" localSheetId="3" hidden="1">'MS &amp; Vacancies combined'!$A$2:$U$730</definedName>
    <definedName name="_xlnm._FilterDatabase" localSheetId="0" hidden="1">'MTREF BUDGET 2023-24  Summary'!$A$1:$AG$377</definedName>
    <definedName name="_xlnm._FilterDatabase" localSheetId="11" hidden="1">Vacancies!$A$2:$U$52</definedName>
    <definedName name="_MEB2">'[1]Template names'!$B$83</definedName>
    <definedName name="_MEB5">'[1]Template names'!$B$88</definedName>
    <definedName name="_MER1" localSheetId="0">'[2]Template names'!$B$80</definedName>
    <definedName name="_MER1">'[2]Template names'!$B$80</definedName>
    <definedName name="_MER2" localSheetId="1">#REF!</definedName>
    <definedName name="_MER2" localSheetId="0">#REF!</definedName>
    <definedName name="_MER2">#REF!</definedName>
    <definedName name="_MER4" localSheetId="1">#REF!</definedName>
    <definedName name="_MER4" localSheetId="0">#REF!</definedName>
    <definedName name="_MER4">#REF!</definedName>
    <definedName name="_MER9">'[3]Template names'!$B$86</definedName>
    <definedName name="Approve5">'[4]Template names'!$B$104</definedName>
    <definedName name="Asset_Class">'[5]Lookup and lists'!$Z$15:$Z$29</definedName>
    <definedName name="Asset_Management_Guide">'[6]Mapping List CAG'!$D$3:$D$339</definedName>
    <definedName name="Asset_sub_class">'[5]Lookup and lists'!$AA$15:$AA$59</definedName>
    <definedName name="BUDGET" localSheetId="0">[7]Item!#REF!</definedName>
    <definedName name="BUDGET">[7]Item!#REF!</definedName>
    <definedName name="Date" localSheetId="0">[2]Instructions!$X$11</definedName>
    <definedName name="Date">[2]Instructions!$X$11</definedName>
    <definedName name="desc" localSheetId="0">'[8]Template names'!$B$30</definedName>
    <definedName name="desc">'[4]Template names'!$B$30</definedName>
    <definedName name="Head1" localSheetId="0">'[8]Template names'!$B$2</definedName>
    <definedName name="Head1">'[4]Template names'!$B$2</definedName>
    <definedName name="Head10" localSheetId="0">'[8]Template names'!$B$16</definedName>
    <definedName name="Head10">'[4]Template names'!$B$16</definedName>
    <definedName name="Head11" localSheetId="0">'[8]Template names'!$B$17</definedName>
    <definedName name="Head11">'[4]Template names'!$B$17</definedName>
    <definedName name="Head12">'[9]Template names'!$B$18</definedName>
    <definedName name="Head13">'[9]Template names'!$B$19</definedName>
    <definedName name="Head14">'[9]Template names'!$B$20</definedName>
    <definedName name="head1A" localSheetId="0">'[8]Template names'!$B$3</definedName>
    <definedName name="head1A">'[4]Template names'!$B$3</definedName>
    <definedName name="head1b" localSheetId="0">'[8]Template names'!$B$4</definedName>
    <definedName name="head1b">'[4]Template names'!$B$4</definedName>
    <definedName name="Head2" localSheetId="0">'[8]Template names'!$B$5</definedName>
    <definedName name="Head2">'[4]Template names'!$B$5</definedName>
    <definedName name="head27" localSheetId="0">'[8]Template names'!$B$33</definedName>
    <definedName name="head27">'[4]Template names'!$B$33</definedName>
    <definedName name="head27a" localSheetId="0">'[8]Template names'!$B$34</definedName>
    <definedName name="head27a">'[4]Template names'!$B$34</definedName>
    <definedName name="Head3" localSheetId="0">'[8]Template names'!$B$7</definedName>
    <definedName name="Head3">'[4]Template names'!$B$7</definedName>
    <definedName name="Head38" localSheetId="0">'[2]Template names'!$B$46</definedName>
    <definedName name="Head38">'[2]Template names'!$B$46</definedName>
    <definedName name="Head39" localSheetId="0">'[2]Template names'!$B$47</definedName>
    <definedName name="Head39">'[2]Template names'!$B$47</definedName>
    <definedName name="Head3a">'[10]Template names'!$B$8</definedName>
    <definedName name="Head40" localSheetId="0">'[2]Template names'!$B$48</definedName>
    <definedName name="Head40">'[2]Template names'!$B$48</definedName>
    <definedName name="Head41" localSheetId="0">'[2]Template names'!$B$49</definedName>
    <definedName name="Head41">'[2]Template names'!$B$49</definedName>
    <definedName name="Head47">'[5]Template names'!$B$54</definedName>
    <definedName name="Head48">'[9]Template names'!$B$55</definedName>
    <definedName name="Head5" localSheetId="0">'[8]Template names'!$B$9</definedName>
    <definedName name="Head5">'[4]Template names'!$B$9</definedName>
    <definedName name="Head5A">'[11]Template names'!$B$11</definedName>
    <definedName name="Head5b">'[4]Template names'!$B$11</definedName>
    <definedName name="Head6" localSheetId="0">'[8]Template names'!$B$12</definedName>
    <definedName name="Head6">'[4]Template names'!$B$12</definedName>
    <definedName name="Head7" localSheetId="0">'[8]Template names'!$B$13</definedName>
    <definedName name="Head7">'[4]Template names'!$B$13</definedName>
    <definedName name="Head8" localSheetId="0">'[8]Template names'!$B$14</definedName>
    <definedName name="Head8">'[4]Template names'!$B$14</definedName>
    <definedName name="Head9" localSheetId="0">'[8]Template names'!$B$15</definedName>
    <definedName name="Head9">'[4]Template names'!$B$15</definedName>
    <definedName name="HLONI">'[12]Template names'!$B$80</definedName>
    <definedName name="iglrbsitem">[13]iglrbsitem!$A$4:$F$301</definedName>
    <definedName name="Legends" localSheetId="1">#REF!</definedName>
    <definedName name="Legends" localSheetId="0">#REF!</definedName>
    <definedName name="Legends">#REF!</definedName>
    <definedName name="MASTERDOC" localSheetId="1">#REF!</definedName>
    <definedName name="MASTERDOC" localSheetId="0">#REF!</definedName>
    <definedName name="MASTERDOC">#REF!</definedName>
    <definedName name="MASTERDOCBUDGET" localSheetId="1">#REF!</definedName>
    <definedName name="MASTERDOCBUDGET" localSheetId="0">#REF!</definedName>
    <definedName name="MASTERDOCBUDGET">#REF!</definedName>
    <definedName name="MEB5a">'[10]Template names'!$B$89</definedName>
    <definedName name="MER12a" localSheetId="1">#REF!</definedName>
    <definedName name="MER12a" localSheetId="0">#REF!</definedName>
    <definedName name="MER12a">#REF!</definedName>
    <definedName name="MER12b" localSheetId="1">#REF!</definedName>
    <definedName name="MER12b" localSheetId="0">#REF!</definedName>
    <definedName name="MER12b">#REF!</definedName>
    <definedName name="MER12c" localSheetId="1">#REF!</definedName>
    <definedName name="MER12c" localSheetId="0">#REF!</definedName>
    <definedName name="MER12c">#REF!</definedName>
    <definedName name="MER12d" localSheetId="1">#REF!</definedName>
    <definedName name="MER12d" localSheetId="0">#REF!</definedName>
    <definedName name="MER12d">#REF!</definedName>
    <definedName name="MER12e" localSheetId="1">#REF!</definedName>
    <definedName name="MER12e" localSheetId="0">#REF!</definedName>
    <definedName name="MER12e">#REF!</definedName>
    <definedName name="muni" localSheetId="0">'[8]Template names'!$B$93</definedName>
    <definedName name="muni">'[4]Template names'!$B$93</definedName>
    <definedName name="PREVIEWM520" localSheetId="10">MS!$A$1:$S$691</definedName>
    <definedName name="PREVIEWM520" localSheetId="3">'MS &amp; Vacancies combined'!$A$2:$S$692</definedName>
    <definedName name="PREVIEWM520" localSheetId="6">'MS (2)'!$A$1:$S$691</definedName>
    <definedName name="_xlnm.Print_Area" localSheetId="1">[14]Journals!#REF!</definedName>
    <definedName name="_xlnm.Print_Area" localSheetId="0">'MTREF BUDGET 2023-24  Summary'!$A$1:$M$328</definedName>
    <definedName name="_xlnm.Print_Area">[14]Journals!#REF!</definedName>
    <definedName name="PRINT_AREA_MI" localSheetId="1">[14]Journals!#REF!</definedName>
    <definedName name="PRINT_AREA_MI" localSheetId="0">[14]Journals!#REF!</definedName>
    <definedName name="PRINT_AREA_MI">[14]Journals!#REF!</definedName>
    <definedName name="Reference" localSheetId="1">#REF!</definedName>
    <definedName name="Reference" localSheetId="0">#REF!</definedName>
    <definedName name="Reference">#REF!</definedName>
    <definedName name="Results" localSheetId="1">[7]Item!#REF!</definedName>
    <definedName name="Results" localSheetId="0">[7]Item!#REF!</definedName>
    <definedName name="Results">[7]Item!#REF!</definedName>
    <definedName name="SA34a">'[15]Template names'!$B$93</definedName>
    <definedName name="TableA23" localSheetId="0">'[16]Template names'!$B$135</definedName>
    <definedName name="TableA23">'[17]Template names'!$B$135</definedName>
    <definedName name="TableA34a">'[15]Template names'!$B$145</definedName>
    <definedName name="TableA34b">'[15]Template names'!$B$146</definedName>
    <definedName name="TableA34c" localSheetId="0">'[8]Template names'!$B$146</definedName>
    <definedName name="TableA34c">'[8]Template names'!$B$146</definedName>
    <definedName name="TableA35">'[9]Template names'!$B$147</definedName>
    <definedName name="TableA36">'[4]Template names'!$B$148</definedName>
    <definedName name="TableA37">'[5]Template names'!$B$151</definedName>
    <definedName name="TableA4" localSheetId="0">'[18]Template names'!$B$114</definedName>
    <definedName name="TableA4">'[18]Template names'!$B$114</definedName>
    <definedName name="TableA5" localSheetId="0">'[18]Template names'!$B$115</definedName>
    <definedName name="TableA5">'[18]Template names'!$B$115</definedName>
    <definedName name="Vdesc">'[4]Template names'!$B$32</definedName>
    <definedName name="Vote">'[4]Org structure'!$A$2:$A$16</definedName>
    <definedName name="Vote1">'[4]Org structure'!$B$3:$B$12</definedName>
    <definedName name="Vote10">'[4]Org structure'!$B$102:$B$111</definedName>
    <definedName name="Vote11">'[4]Org structure'!$B$113:$B$122</definedName>
    <definedName name="Vote12">'[4]Org structure'!$B$124:$B$133</definedName>
    <definedName name="Vote13">'[4]Org structure'!$B$135:$B$144</definedName>
    <definedName name="Vote14">'[4]Org structure'!$B$146:$B$155</definedName>
    <definedName name="Vote15">'[4]Org structure'!$B$157:$B$166</definedName>
    <definedName name="Vote2">'[4]Org structure'!$B$14:$B$23</definedName>
    <definedName name="Vote3">'[4]Org structure'!$B$25:$B$34</definedName>
    <definedName name="Vote4">'[4]Org structure'!$B$36:$B$45</definedName>
    <definedName name="Vote5">'[4]Org structure'!$B$47:$B$56</definedName>
    <definedName name="Vote6">'[4]Org structure'!$B$58:$B$67</definedName>
    <definedName name="Vote7">'[4]Org structure'!$B$69:$B$78</definedName>
    <definedName name="Vote8">'[4]Org structure'!$B$80:$B$89</definedName>
    <definedName name="Vote9">'[4]Org structure'!$B$91:$B$100</definedName>
    <definedName name="XX">[12]Instructions!$X$11</definedName>
    <definedName name="YTD" localSheetId="1">#REF!</definedName>
    <definedName name="YTD" localSheetId="0">#REF!</definedName>
    <definedName name="YT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1043" i="3" l="1"/>
  <c r="AL1021" i="3"/>
  <c r="AL1010" i="3"/>
  <c r="AL978" i="3"/>
  <c r="AL957" i="3"/>
  <c r="AL939" i="3"/>
  <c r="AL873" i="3"/>
  <c r="AL837" i="3"/>
  <c r="AL785" i="3"/>
  <c r="AL784" i="3"/>
  <c r="AL728" i="3"/>
  <c r="AL702" i="3"/>
  <c r="AL640" i="3"/>
  <c r="AL490" i="3"/>
  <c r="AL464" i="3"/>
  <c r="AL426" i="3"/>
  <c r="AL397" i="3"/>
  <c r="AL358" i="3"/>
  <c r="AL305" i="3"/>
  <c r="AL160" i="3"/>
  <c r="AL88" i="3"/>
  <c r="AL60" i="3"/>
  <c r="J12" i="19"/>
  <c r="AL303" i="3"/>
  <c r="AL395" i="3"/>
  <c r="J733" i="19"/>
  <c r="L750" i="19"/>
  <c r="J730" i="19"/>
  <c r="AL6" i="3" l="1"/>
  <c r="AM6" i="3" s="1"/>
  <c r="AL1025" i="3" l="1"/>
  <c r="AL982" i="3"/>
  <c r="AL942" i="3"/>
  <c r="AL878" i="3"/>
  <c r="AL843" i="3"/>
  <c r="AL795" i="3"/>
  <c r="AL794" i="3"/>
  <c r="AL733" i="3"/>
  <c r="AL706" i="3"/>
  <c r="AL646" i="3"/>
  <c r="AL495" i="3"/>
  <c r="AL469" i="3"/>
  <c r="AL430" i="3"/>
  <c r="AL401" i="3"/>
  <c r="AL311" i="3"/>
  <c r="AL163" i="3"/>
  <c r="AL92" i="3"/>
  <c r="AL64" i="3"/>
  <c r="AL1022" i="3"/>
  <c r="AL979" i="3"/>
  <c r="AL874" i="3"/>
  <c r="AL838" i="3"/>
  <c r="AL787" i="3"/>
  <c r="AL786" i="3"/>
  <c r="AL641" i="3"/>
  <c r="AL491" i="3"/>
  <c r="AL465" i="3"/>
  <c r="AL306" i="3"/>
  <c r="AL1044" i="3"/>
  <c r="AL1023" i="3"/>
  <c r="AL980" i="3"/>
  <c r="AL940" i="3"/>
  <c r="AL875" i="3"/>
  <c r="AL839" i="3"/>
  <c r="AL789" i="3"/>
  <c r="AL788" i="3"/>
  <c r="AL729" i="3"/>
  <c r="AL703" i="3"/>
  <c r="AL679" i="3"/>
  <c r="AL642" i="3"/>
  <c r="AL492" i="3"/>
  <c r="AL466" i="3"/>
  <c r="AL427" i="3"/>
  <c r="AL398" i="3"/>
  <c r="AL307" i="3"/>
  <c r="AL161" i="3"/>
  <c r="AL89" i="3"/>
  <c r="AL61" i="3"/>
  <c r="AL933" i="3"/>
  <c r="AL932" i="3"/>
  <c r="AL931" i="3"/>
  <c r="AL697" i="3"/>
  <c r="AL696" i="3"/>
  <c r="AL459" i="3"/>
  <c r="AL458" i="3"/>
  <c r="AL457" i="3"/>
  <c r="AL352" i="3"/>
  <c r="AL351" i="3"/>
  <c r="AL195" i="3"/>
  <c r="AL50" i="3"/>
  <c r="AL17" i="3"/>
  <c r="M750" i="19"/>
  <c r="N750" i="19" s="1"/>
  <c r="S42" i="14"/>
  <c r="S43" i="14" s="1"/>
  <c r="R43" i="14"/>
  <c r="Q43" i="14"/>
  <c r="P43" i="14"/>
  <c r="O43" i="14"/>
  <c r="N43" i="14"/>
  <c r="R42" i="14"/>
  <c r="Q42" i="14"/>
  <c r="P42" i="14"/>
  <c r="O42" i="14"/>
  <c r="N42" i="14"/>
  <c r="M42" i="14"/>
  <c r="M43" i="14" s="1"/>
  <c r="L42" i="14"/>
  <c r="L43" i="14" s="1"/>
  <c r="J43" i="14"/>
  <c r="J42" i="14"/>
  <c r="L751" i="19"/>
  <c r="M751" i="19" s="1"/>
  <c r="N751" i="19" s="1"/>
  <c r="L749" i="19"/>
  <c r="M749" i="19" s="1"/>
  <c r="N749" i="19" s="1"/>
  <c r="L748" i="19"/>
  <c r="M748" i="19" s="1"/>
  <c r="N748" i="19" s="1"/>
  <c r="AM17" i="3" l="1"/>
  <c r="AN17" i="3" s="1"/>
  <c r="AM351" i="3"/>
  <c r="AN351" i="3" s="1"/>
  <c r="AM457" i="3"/>
  <c r="AN457" i="3" s="1"/>
  <c r="AM352" i="3"/>
  <c r="AN352" i="3" s="1"/>
  <c r="AM458" i="3"/>
  <c r="AN458" i="3" s="1"/>
  <c r="AM696" i="3"/>
  <c r="AN696" i="3" s="1"/>
  <c r="AM459" i="3"/>
  <c r="AN459" i="3" s="1"/>
  <c r="AM697" i="3"/>
  <c r="AN697" i="3" s="1"/>
  <c r="AM931" i="3"/>
  <c r="AN931" i="3" s="1"/>
  <c r="AM50" i="3"/>
  <c r="AN50" i="3" s="1"/>
  <c r="AM932" i="3"/>
  <c r="AN932" i="3" s="1"/>
  <c r="AM195" i="3"/>
  <c r="AN195" i="3" s="1"/>
  <c r="AM933" i="3"/>
  <c r="AN933" i="3" s="1"/>
  <c r="N737" i="9"/>
  <c r="N736" i="9"/>
  <c r="N735" i="9"/>
  <c r="N734" i="9"/>
  <c r="N733" i="9"/>
  <c r="N731" i="9"/>
  <c r="N729" i="9"/>
  <c r="N730" i="9"/>
  <c r="N728" i="9"/>
  <c r="N715" i="9"/>
  <c r="M15" i="15"/>
  <c r="N15" i="15" s="1"/>
  <c r="O15" i="15" s="1"/>
  <c r="AM60" i="3"/>
  <c r="L730" i="19"/>
  <c r="S730" i="19"/>
  <c r="J734" i="19"/>
  <c r="J735" i="19" s="1"/>
  <c r="J736" i="19" s="1"/>
  <c r="J10" i="15"/>
  <c r="J11" i="15" s="1"/>
  <c r="J12" i="15" s="1"/>
  <c r="J13" i="15" s="1"/>
  <c r="K7" i="15"/>
  <c r="O7" i="15"/>
  <c r="K3" i="10"/>
  <c r="S10" i="15"/>
  <c r="S11" i="15" s="1"/>
  <c r="S12" i="15" s="1"/>
  <c r="S13" i="15" s="1"/>
  <c r="R10" i="15"/>
  <c r="R11" i="15" s="1"/>
  <c r="R12" i="15" s="1"/>
  <c r="R13" i="15" s="1"/>
  <c r="Q10" i="15"/>
  <c r="Q11" i="15" s="1"/>
  <c r="Q12" i="15" s="1"/>
  <c r="Q13" i="15" s="1"/>
  <c r="M10" i="15"/>
  <c r="M11" i="15" s="1"/>
  <c r="M12" i="15" s="1"/>
  <c r="M13" i="15" s="1"/>
  <c r="L10" i="15"/>
  <c r="L11" i="15" s="1"/>
  <c r="L12" i="15" s="1"/>
  <c r="L13" i="15" s="1"/>
  <c r="T8" i="15"/>
  <c r="P8" i="15"/>
  <c r="O8" i="15"/>
  <c r="N8" i="15"/>
  <c r="K8" i="15"/>
  <c r="T6" i="15"/>
  <c r="T7" i="15" s="1"/>
  <c r="AL197" i="3" s="1"/>
  <c r="AM197" i="3" s="1"/>
  <c r="AN197" i="3" s="1"/>
  <c r="P6" i="15"/>
  <c r="O6" i="15"/>
  <c r="N6" i="15"/>
  <c r="K6" i="15"/>
  <c r="T5" i="15"/>
  <c r="P5" i="15"/>
  <c r="O5" i="15"/>
  <c r="N5" i="15"/>
  <c r="K5" i="15"/>
  <c r="T4" i="15"/>
  <c r="P4" i="15"/>
  <c r="P7" i="15" s="1"/>
  <c r="AL196" i="3" s="1"/>
  <c r="AM196" i="3" s="1"/>
  <c r="AN196" i="3" s="1"/>
  <c r="O4" i="15"/>
  <c r="N4" i="15"/>
  <c r="K4" i="15"/>
  <c r="T3" i="15"/>
  <c r="P3" i="15"/>
  <c r="O3" i="15"/>
  <c r="N3" i="15"/>
  <c r="K3" i="15"/>
  <c r="T2" i="15"/>
  <c r="P2" i="15"/>
  <c r="O2" i="15"/>
  <c r="N2" i="15"/>
  <c r="K2" i="15"/>
  <c r="J41" i="14"/>
  <c r="N45" i="14" s="1"/>
  <c r="S38" i="14"/>
  <c r="R38" i="14"/>
  <c r="Q38" i="14"/>
  <c r="P38" i="14"/>
  <c r="S37" i="14"/>
  <c r="R37" i="14"/>
  <c r="Q37" i="14"/>
  <c r="P37" i="14"/>
  <c r="O37" i="14"/>
  <c r="S30" i="14"/>
  <c r="R30" i="14"/>
  <c r="Q30" i="14"/>
  <c r="P30" i="14"/>
  <c r="L30" i="14"/>
  <c r="S29" i="14"/>
  <c r="R29" i="14"/>
  <c r="Q29" i="14"/>
  <c r="N29" i="14"/>
  <c r="L29" i="14"/>
  <c r="S28" i="14"/>
  <c r="R28" i="14"/>
  <c r="Q28" i="14"/>
  <c r="P28" i="14"/>
  <c r="O28" i="14"/>
  <c r="N28" i="14"/>
  <c r="M28" i="14"/>
  <c r="L28" i="14"/>
  <c r="S27" i="14"/>
  <c r="R27" i="14"/>
  <c r="Q27" i="14"/>
  <c r="P27" i="14"/>
  <c r="O27" i="14"/>
  <c r="O41" i="14" s="1"/>
  <c r="N27" i="14"/>
  <c r="M27" i="14"/>
  <c r="L27" i="14"/>
  <c r="S26" i="14"/>
  <c r="R26" i="14"/>
  <c r="Q26" i="14"/>
  <c r="P26" i="14"/>
  <c r="N26" i="14"/>
  <c r="L26" i="14"/>
  <c r="S25" i="14"/>
  <c r="R25" i="14"/>
  <c r="Q25" i="14"/>
  <c r="P25" i="14"/>
  <c r="N25" i="14"/>
  <c r="L25" i="14"/>
  <c r="S24" i="14"/>
  <c r="R24" i="14"/>
  <c r="Q24" i="14"/>
  <c r="P24" i="14"/>
  <c r="N24" i="14"/>
  <c r="L24" i="14"/>
  <c r="S23" i="14"/>
  <c r="R23" i="14"/>
  <c r="Q23" i="14"/>
  <c r="P23" i="14"/>
  <c r="N23" i="14"/>
  <c r="L23" i="14"/>
  <c r="S22" i="14"/>
  <c r="R22" i="14"/>
  <c r="Q22" i="14"/>
  <c r="P22" i="14"/>
  <c r="N22" i="14"/>
  <c r="L22" i="14"/>
  <c r="S21" i="14"/>
  <c r="R21" i="14"/>
  <c r="Q21" i="14"/>
  <c r="P21" i="14"/>
  <c r="N21" i="14"/>
  <c r="L21" i="14"/>
  <c r="S20" i="14"/>
  <c r="R20" i="14"/>
  <c r="Q20" i="14"/>
  <c r="P20" i="14"/>
  <c r="N20" i="14"/>
  <c r="L20" i="14"/>
  <c r="S19" i="14"/>
  <c r="R19" i="14"/>
  <c r="Q19" i="14"/>
  <c r="P19" i="14"/>
  <c r="N19" i="14"/>
  <c r="L19" i="14"/>
  <c r="S18" i="14"/>
  <c r="R18" i="14"/>
  <c r="Q18" i="14"/>
  <c r="P18" i="14"/>
  <c r="N18" i="14"/>
  <c r="L18" i="14"/>
  <c r="S17" i="14"/>
  <c r="R17" i="14"/>
  <c r="Q17" i="14"/>
  <c r="P17" i="14"/>
  <c r="N17" i="14"/>
  <c r="L17" i="14"/>
  <c r="S16" i="14"/>
  <c r="R16" i="14"/>
  <c r="Q16" i="14"/>
  <c r="P16" i="14"/>
  <c r="N16" i="14"/>
  <c r="L16" i="14"/>
  <c r="S15" i="14"/>
  <c r="R15" i="14"/>
  <c r="Q15" i="14"/>
  <c r="P15" i="14"/>
  <c r="N15" i="14"/>
  <c r="L15" i="14"/>
  <c r="S14" i="14"/>
  <c r="R14" i="14"/>
  <c r="Q14" i="14"/>
  <c r="P14" i="14"/>
  <c r="N14" i="14"/>
  <c r="L14" i="14"/>
  <c r="S13" i="14"/>
  <c r="R13" i="14"/>
  <c r="Q13" i="14"/>
  <c r="P13" i="14"/>
  <c r="N13" i="14"/>
  <c r="L13" i="14"/>
  <c r="S12" i="14"/>
  <c r="R12" i="14"/>
  <c r="Q12" i="14"/>
  <c r="P12" i="14"/>
  <c r="N12" i="14"/>
  <c r="L12" i="14"/>
  <c r="S11" i="14"/>
  <c r="R11" i="14"/>
  <c r="Q11" i="14"/>
  <c r="P11" i="14"/>
  <c r="N11" i="14"/>
  <c r="L11" i="14"/>
  <c r="S10" i="14"/>
  <c r="R10" i="14"/>
  <c r="Q10" i="14"/>
  <c r="P10" i="14"/>
  <c r="N10" i="14"/>
  <c r="M10" i="14"/>
  <c r="L10" i="14"/>
  <c r="S9" i="14"/>
  <c r="R9" i="14"/>
  <c r="Q9" i="14"/>
  <c r="P9" i="14"/>
  <c r="N9" i="14"/>
  <c r="M9" i="14"/>
  <c r="M41" i="14" s="1"/>
  <c r="L9" i="14"/>
  <c r="S8" i="14"/>
  <c r="R8" i="14"/>
  <c r="Q8" i="14"/>
  <c r="P8" i="14"/>
  <c r="N8" i="14"/>
  <c r="L8" i="14"/>
  <c r="S7" i="14"/>
  <c r="R7" i="14"/>
  <c r="Q7" i="14"/>
  <c r="P7" i="14"/>
  <c r="N7" i="14"/>
  <c r="L7" i="14"/>
  <c r="S6" i="14"/>
  <c r="R6" i="14"/>
  <c r="Q6" i="14"/>
  <c r="P6" i="14"/>
  <c r="N6" i="14"/>
  <c r="L6" i="14"/>
  <c r="S5" i="14"/>
  <c r="R5" i="14"/>
  <c r="Q5" i="14"/>
  <c r="P5" i="14"/>
  <c r="N5" i="14"/>
  <c r="L5" i="14"/>
  <c r="N4" i="14"/>
  <c r="B7" i="11"/>
  <c r="B8" i="11"/>
  <c r="L740" i="9"/>
  <c r="L731" i="9"/>
  <c r="L733" i="9"/>
  <c r="L737" i="9"/>
  <c r="L736" i="9"/>
  <c r="L735" i="9"/>
  <c r="L734" i="9"/>
  <c r="L729" i="9"/>
  <c r="L730" i="9"/>
  <c r="L732" i="9"/>
  <c r="L728" i="9"/>
  <c r="P722" i="9"/>
  <c r="O722" i="9"/>
  <c r="N722" i="9"/>
  <c r="P721" i="9"/>
  <c r="O721" i="9"/>
  <c r="N721" i="9"/>
  <c r="N720" i="9" s="1"/>
  <c r="P720" i="9"/>
  <c r="O720" i="9"/>
  <c r="M720" i="9"/>
  <c r="M722" i="9"/>
  <c r="M721" i="9"/>
  <c r="N716" i="9"/>
  <c r="O716" i="9" s="1"/>
  <c r="P716" i="9" s="1"/>
  <c r="O715" i="9"/>
  <c r="P715" i="9" s="1"/>
  <c r="O714" i="9"/>
  <c r="P714" i="9" s="1"/>
  <c r="N714" i="9"/>
  <c r="P713" i="9"/>
  <c r="O713" i="9"/>
  <c r="N713" i="9"/>
  <c r="M707" i="9"/>
  <c r="N707" i="9"/>
  <c r="O707" i="9"/>
  <c r="P707" i="9"/>
  <c r="T701" i="9"/>
  <c r="T700" i="9"/>
  <c r="T699" i="9"/>
  <c r="T698" i="9"/>
  <c r="P704" i="9"/>
  <c r="P706" i="9"/>
  <c r="O704" i="9"/>
  <c r="N704" i="9"/>
  <c r="P705" i="9"/>
  <c r="O705" i="9"/>
  <c r="N705" i="9"/>
  <c r="M705" i="9"/>
  <c r="M704" i="9"/>
  <c r="J695" i="9"/>
  <c r="K699" i="9"/>
  <c r="L699" i="9"/>
  <c r="L700" i="9" s="1"/>
  <c r="L701" i="9" s="1"/>
  <c r="M699" i="9"/>
  <c r="N699" i="9"/>
  <c r="O699" i="9"/>
  <c r="P699" i="9"/>
  <c r="P700" i="9" s="1"/>
  <c r="P701" i="9" s="1"/>
  <c r="Q699" i="9"/>
  <c r="R699" i="9"/>
  <c r="R700" i="9" s="1"/>
  <c r="R701" i="9" s="1"/>
  <c r="S699" i="9"/>
  <c r="K700" i="9"/>
  <c r="K701" i="9" s="1"/>
  <c r="M700" i="9"/>
  <c r="M701" i="9" s="1"/>
  <c r="N700" i="9"/>
  <c r="O700" i="9"/>
  <c r="O701" i="9" s="1"/>
  <c r="Q700" i="9"/>
  <c r="Q701" i="9" s="1"/>
  <c r="S700" i="9"/>
  <c r="S701" i="9" s="1"/>
  <c r="N701" i="9"/>
  <c r="J701" i="9"/>
  <c r="J700" i="9"/>
  <c r="J699" i="9"/>
  <c r="N40" i="10"/>
  <c r="N41" i="10" s="1"/>
  <c r="N42" i="10" s="1"/>
  <c r="J40" i="10"/>
  <c r="M44" i="10" s="1"/>
  <c r="R37" i="10"/>
  <c r="Q37" i="10"/>
  <c r="P37" i="10"/>
  <c r="O37" i="10"/>
  <c r="R36" i="10"/>
  <c r="Q36" i="10"/>
  <c r="P36" i="10"/>
  <c r="O36" i="10"/>
  <c r="N36" i="10"/>
  <c r="R29" i="10"/>
  <c r="Q29" i="10"/>
  <c r="P29" i="10"/>
  <c r="O29" i="10"/>
  <c r="K29" i="10"/>
  <c r="R28" i="10"/>
  <c r="Q28" i="10"/>
  <c r="P28" i="10"/>
  <c r="M28" i="10"/>
  <c r="K28" i="10"/>
  <c r="R27" i="10"/>
  <c r="Q27" i="10"/>
  <c r="P27" i="10"/>
  <c r="O27" i="10"/>
  <c r="N27" i="10"/>
  <c r="M27" i="10"/>
  <c r="L27" i="10"/>
  <c r="K27" i="10"/>
  <c r="R26" i="10"/>
  <c r="Q26" i="10"/>
  <c r="P26" i="10"/>
  <c r="O26" i="10"/>
  <c r="N26" i="10"/>
  <c r="M26" i="10"/>
  <c r="L26" i="10"/>
  <c r="K26" i="10"/>
  <c r="R25" i="10"/>
  <c r="Q25" i="10"/>
  <c r="P25" i="10"/>
  <c r="O25" i="10"/>
  <c r="M25" i="10"/>
  <c r="K25" i="10"/>
  <c r="R24" i="10"/>
  <c r="Q24" i="10"/>
  <c r="P24" i="10"/>
  <c r="O24" i="10"/>
  <c r="M24" i="10"/>
  <c r="K24" i="10"/>
  <c r="R23" i="10"/>
  <c r="Q23" i="10"/>
  <c r="P23" i="10"/>
  <c r="O23" i="10"/>
  <c r="M23" i="10"/>
  <c r="K23" i="10"/>
  <c r="R22" i="10"/>
  <c r="Q22" i="10"/>
  <c r="P22" i="10"/>
  <c r="O22" i="10"/>
  <c r="M22" i="10"/>
  <c r="K22" i="10"/>
  <c r="R21" i="10"/>
  <c r="Q21" i="10"/>
  <c r="P21" i="10"/>
  <c r="O21" i="10"/>
  <c r="M21" i="10"/>
  <c r="K21" i="10"/>
  <c r="R20" i="10"/>
  <c r="Q20" i="10"/>
  <c r="P20" i="10"/>
  <c r="O20" i="10"/>
  <c r="M20" i="10"/>
  <c r="K20" i="10"/>
  <c r="R19" i="10"/>
  <c r="Q19" i="10"/>
  <c r="P19" i="10"/>
  <c r="O19" i="10"/>
  <c r="M19" i="10"/>
  <c r="K19" i="10"/>
  <c r="R18" i="10"/>
  <c r="Q18" i="10"/>
  <c r="P18" i="10"/>
  <c r="O18" i="10"/>
  <c r="M18" i="10"/>
  <c r="K18" i="10"/>
  <c r="R17" i="10"/>
  <c r="Q17" i="10"/>
  <c r="P17" i="10"/>
  <c r="O17" i="10"/>
  <c r="M17" i="10"/>
  <c r="K17" i="10"/>
  <c r="R16" i="10"/>
  <c r="Q16" i="10"/>
  <c r="P16" i="10"/>
  <c r="O16" i="10"/>
  <c r="M16" i="10"/>
  <c r="K16" i="10"/>
  <c r="R15" i="10"/>
  <c r="Q15" i="10"/>
  <c r="P15" i="10"/>
  <c r="O15" i="10"/>
  <c r="M15" i="10"/>
  <c r="K15" i="10"/>
  <c r="R14" i="10"/>
  <c r="Q14" i="10"/>
  <c r="P14" i="10"/>
  <c r="O14" i="10"/>
  <c r="M14" i="10"/>
  <c r="K14" i="10"/>
  <c r="R13" i="10"/>
  <c r="Q13" i="10"/>
  <c r="P13" i="10"/>
  <c r="O13" i="10"/>
  <c r="M13" i="10"/>
  <c r="K13" i="10"/>
  <c r="R12" i="10"/>
  <c r="Q12" i="10"/>
  <c r="P12" i="10"/>
  <c r="O12" i="10"/>
  <c r="M12" i="10"/>
  <c r="K12" i="10"/>
  <c r="R11" i="10"/>
  <c r="Q11" i="10"/>
  <c r="P11" i="10"/>
  <c r="O11" i="10"/>
  <c r="M11" i="10"/>
  <c r="K11" i="10"/>
  <c r="R10" i="10"/>
  <c r="Q10" i="10"/>
  <c r="P10" i="10"/>
  <c r="O10" i="10"/>
  <c r="M10" i="10"/>
  <c r="K10" i="10"/>
  <c r="R9" i="10"/>
  <c r="Q9" i="10"/>
  <c r="P9" i="10"/>
  <c r="O9" i="10"/>
  <c r="M9" i="10"/>
  <c r="L9" i="10"/>
  <c r="K9" i="10"/>
  <c r="R8" i="10"/>
  <c r="Q8" i="10"/>
  <c r="P8" i="10"/>
  <c r="O8" i="10"/>
  <c r="M8" i="10"/>
  <c r="L8" i="10"/>
  <c r="L40" i="10" s="1"/>
  <c r="L41" i="10" s="1"/>
  <c r="L42" i="10" s="1"/>
  <c r="K8" i="10"/>
  <c r="R7" i="10"/>
  <c r="Q7" i="10"/>
  <c r="P7" i="10"/>
  <c r="O7" i="10"/>
  <c r="M7" i="10"/>
  <c r="K7" i="10"/>
  <c r="R6" i="10"/>
  <c r="Q6" i="10"/>
  <c r="P6" i="10"/>
  <c r="O6" i="10"/>
  <c r="O40" i="10" s="1"/>
  <c r="O41" i="10" s="1"/>
  <c r="O42" i="10" s="1"/>
  <c r="M6" i="10"/>
  <c r="K6" i="10"/>
  <c r="R5" i="10"/>
  <c r="Q5" i="10"/>
  <c r="P5" i="10"/>
  <c r="O5" i="10"/>
  <c r="M5" i="10"/>
  <c r="K5" i="10"/>
  <c r="R4" i="10"/>
  <c r="R40" i="10" s="1"/>
  <c r="R41" i="10" s="1"/>
  <c r="R42" i="10" s="1"/>
  <c r="Q4" i="10"/>
  <c r="Q40" i="10" s="1"/>
  <c r="Q41" i="10" s="1"/>
  <c r="Q42" i="10" s="1"/>
  <c r="P4" i="10"/>
  <c r="P40" i="10" s="1"/>
  <c r="P41" i="10" s="1"/>
  <c r="P42" i="10" s="1"/>
  <c r="O4" i="10"/>
  <c r="M4" i="10"/>
  <c r="M40" i="10" s="1"/>
  <c r="M41" i="10" s="1"/>
  <c r="M42" i="10" s="1"/>
  <c r="K4" i="10"/>
  <c r="K40" i="10" s="1"/>
  <c r="N3" i="10"/>
  <c r="M3" i="10"/>
  <c r="J698" i="9"/>
  <c r="S694" i="9"/>
  <c r="R694" i="9"/>
  <c r="Q694" i="9"/>
  <c r="P694" i="9"/>
  <c r="N694" i="9"/>
  <c r="L694" i="9"/>
  <c r="K694" i="9"/>
  <c r="S693" i="9"/>
  <c r="R693" i="9"/>
  <c r="Q693" i="9"/>
  <c r="P693" i="9"/>
  <c r="N693" i="9"/>
  <c r="L693" i="9"/>
  <c r="K693" i="9"/>
  <c r="S692" i="9"/>
  <c r="Q692" i="9"/>
  <c r="P692" i="9"/>
  <c r="N692" i="9"/>
  <c r="L692" i="9"/>
  <c r="K692" i="9"/>
  <c r="S691" i="9"/>
  <c r="R691" i="9"/>
  <c r="Q691" i="9"/>
  <c r="P691" i="9"/>
  <c r="N691" i="9"/>
  <c r="L691" i="9"/>
  <c r="K691" i="9"/>
  <c r="S690" i="9"/>
  <c r="R690" i="9"/>
  <c r="Q690" i="9"/>
  <c r="P690" i="9"/>
  <c r="N690" i="9"/>
  <c r="L690" i="9"/>
  <c r="K690" i="9"/>
  <c r="S689" i="9"/>
  <c r="R689" i="9"/>
  <c r="Q689" i="9"/>
  <c r="P689" i="9"/>
  <c r="N689" i="9"/>
  <c r="L689" i="9"/>
  <c r="K689" i="9"/>
  <c r="S688" i="9"/>
  <c r="R688" i="9"/>
  <c r="Q688" i="9"/>
  <c r="P688" i="9"/>
  <c r="N688" i="9"/>
  <c r="L688" i="9"/>
  <c r="K688" i="9"/>
  <c r="S687" i="9"/>
  <c r="R687" i="9"/>
  <c r="Q687" i="9"/>
  <c r="P687" i="9"/>
  <c r="N687" i="9"/>
  <c r="L687" i="9"/>
  <c r="K687" i="9"/>
  <c r="S686" i="9"/>
  <c r="R686" i="9"/>
  <c r="Q686" i="9"/>
  <c r="P686" i="9"/>
  <c r="N686" i="9"/>
  <c r="L686" i="9"/>
  <c r="K686" i="9"/>
  <c r="S685" i="9"/>
  <c r="R685" i="9"/>
  <c r="Q685" i="9"/>
  <c r="P685" i="9"/>
  <c r="N685" i="9"/>
  <c r="L685" i="9"/>
  <c r="K685" i="9"/>
  <c r="S684" i="9"/>
  <c r="R684" i="9"/>
  <c r="Q684" i="9"/>
  <c r="P684" i="9"/>
  <c r="N684" i="9"/>
  <c r="L684" i="9"/>
  <c r="K684" i="9"/>
  <c r="S683" i="9"/>
  <c r="R683" i="9"/>
  <c r="Q683" i="9"/>
  <c r="P683" i="9"/>
  <c r="N683" i="9"/>
  <c r="L683" i="9"/>
  <c r="K683" i="9"/>
  <c r="S682" i="9"/>
  <c r="R682" i="9"/>
  <c r="Q682" i="9"/>
  <c r="P682" i="9"/>
  <c r="N682" i="9"/>
  <c r="L682" i="9"/>
  <c r="K682" i="9"/>
  <c r="S681" i="9"/>
  <c r="R681" i="9"/>
  <c r="Q681" i="9"/>
  <c r="P681" i="9"/>
  <c r="N681" i="9"/>
  <c r="L681" i="9"/>
  <c r="K681" i="9"/>
  <c r="S680" i="9"/>
  <c r="R680" i="9"/>
  <c r="Q680" i="9"/>
  <c r="P680" i="9"/>
  <c r="N680" i="9"/>
  <c r="L680" i="9"/>
  <c r="K680" i="9"/>
  <c r="S679" i="9"/>
  <c r="R679" i="9"/>
  <c r="Q679" i="9"/>
  <c r="P679" i="9"/>
  <c r="N679" i="9"/>
  <c r="L679" i="9"/>
  <c r="K679" i="9"/>
  <c r="S678" i="9"/>
  <c r="R678" i="9"/>
  <c r="Q678" i="9"/>
  <c r="P678" i="9"/>
  <c r="N678" i="9"/>
  <c r="L678" i="9"/>
  <c r="K678" i="9"/>
  <c r="S677" i="9"/>
  <c r="R677" i="9"/>
  <c r="Q677" i="9"/>
  <c r="P677" i="9"/>
  <c r="N677" i="9"/>
  <c r="L677" i="9"/>
  <c r="K677" i="9"/>
  <c r="S676" i="9"/>
  <c r="R676" i="9"/>
  <c r="Q676" i="9"/>
  <c r="P676" i="9"/>
  <c r="N676" i="9"/>
  <c r="L676" i="9"/>
  <c r="K676" i="9"/>
  <c r="S675" i="9"/>
  <c r="R675" i="9"/>
  <c r="Q675" i="9"/>
  <c r="P675" i="9"/>
  <c r="N675" i="9"/>
  <c r="L675" i="9"/>
  <c r="K675" i="9"/>
  <c r="S674" i="9"/>
  <c r="R674" i="9"/>
  <c r="Q674" i="9"/>
  <c r="P674" i="9"/>
  <c r="N674" i="9"/>
  <c r="L674" i="9"/>
  <c r="K674" i="9"/>
  <c r="S673" i="9"/>
  <c r="R673" i="9"/>
  <c r="Q673" i="9"/>
  <c r="P673" i="9"/>
  <c r="N673" i="9"/>
  <c r="L673" i="9"/>
  <c r="K673" i="9"/>
  <c r="S672" i="9"/>
  <c r="R672" i="9"/>
  <c r="Q672" i="9"/>
  <c r="P672" i="9"/>
  <c r="N672" i="9"/>
  <c r="L672" i="9"/>
  <c r="K672" i="9"/>
  <c r="S671" i="9"/>
  <c r="R671" i="9"/>
  <c r="Q671" i="9"/>
  <c r="P671" i="9"/>
  <c r="N671" i="9"/>
  <c r="L671" i="9"/>
  <c r="K671" i="9"/>
  <c r="S670" i="9"/>
  <c r="R670" i="9"/>
  <c r="Q670" i="9"/>
  <c r="P670" i="9"/>
  <c r="N670" i="9"/>
  <c r="L670" i="9"/>
  <c r="K670" i="9"/>
  <c r="S669" i="9"/>
  <c r="R669" i="9"/>
  <c r="Q669" i="9"/>
  <c r="P669" i="9"/>
  <c r="N669" i="9"/>
  <c r="L669" i="9"/>
  <c r="K669" i="9"/>
  <c r="S668" i="9"/>
  <c r="R668" i="9"/>
  <c r="Q668" i="9"/>
  <c r="P668" i="9"/>
  <c r="N668" i="9"/>
  <c r="L668" i="9"/>
  <c r="K668" i="9"/>
  <c r="S667" i="9"/>
  <c r="R667" i="9"/>
  <c r="Q667" i="9"/>
  <c r="P667" i="9"/>
  <c r="N667" i="9"/>
  <c r="L667" i="9"/>
  <c r="K667" i="9"/>
  <c r="S666" i="9"/>
  <c r="R666" i="9"/>
  <c r="Q666" i="9"/>
  <c r="P666" i="9"/>
  <c r="N666" i="9"/>
  <c r="L666" i="9"/>
  <c r="K666" i="9"/>
  <c r="S665" i="9"/>
  <c r="R665" i="9"/>
  <c r="Q665" i="9"/>
  <c r="P665" i="9"/>
  <c r="N665" i="9"/>
  <c r="L665" i="9"/>
  <c r="K665" i="9"/>
  <c r="S664" i="9"/>
  <c r="R664" i="9"/>
  <c r="Q664" i="9"/>
  <c r="P664" i="9"/>
  <c r="N664" i="9"/>
  <c r="L664" i="9"/>
  <c r="K664" i="9"/>
  <c r="S663" i="9"/>
  <c r="R663" i="9"/>
  <c r="Q663" i="9"/>
  <c r="P663" i="9"/>
  <c r="N663" i="9"/>
  <c r="L663" i="9"/>
  <c r="K663" i="9"/>
  <c r="S662" i="9"/>
  <c r="R662" i="9"/>
  <c r="Q662" i="9"/>
  <c r="P662" i="9"/>
  <c r="N662" i="9"/>
  <c r="L662" i="9"/>
  <c r="K662" i="9"/>
  <c r="S661" i="9"/>
  <c r="R661" i="9"/>
  <c r="Q661" i="9"/>
  <c r="P661" i="9"/>
  <c r="N661" i="9"/>
  <c r="L661" i="9"/>
  <c r="K661" i="9"/>
  <c r="S660" i="9"/>
  <c r="R660" i="9"/>
  <c r="Q660" i="9"/>
  <c r="P660" i="9"/>
  <c r="N660" i="9"/>
  <c r="L660" i="9"/>
  <c r="K660" i="9"/>
  <c r="S659" i="9"/>
  <c r="R659" i="9"/>
  <c r="Q659" i="9"/>
  <c r="P659" i="9"/>
  <c r="N659" i="9"/>
  <c r="L659" i="9"/>
  <c r="K659" i="9"/>
  <c r="S658" i="9"/>
  <c r="R658" i="9"/>
  <c r="Q658" i="9"/>
  <c r="P658" i="9"/>
  <c r="N658" i="9"/>
  <c r="L658" i="9"/>
  <c r="K658" i="9"/>
  <c r="S657" i="9"/>
  <c r="R657" i="9"/>
  <c r="Q657" i="9"/>
  <c r="P657" i="9"/>
  <c r="N657" i="9"/>
  <c r="L657" i="9"/>
  <c r="K657" i="9"/>
  <c r="S656" i="9"/>
  <c r="R656" i="9"/>
  <c r="Q656" i="9"/>
  <c r="P656" i="9"/>
  <c r="N656" i="9"/>
  <c r="L656" i="9"/>
  <c r="K656" i="9"/>
  <c r="S655" i="9"/>
  <c r="R655" i="9"/>
  <c r="Q655" i="9"/>
  <c r="P655" i="9"/>
  <c r="N655" i="9"/>
  <c r="L655" i="9"/>
  <c r="K655" i="9"/>
  <c r="S654" i="9"/>
  <c r="R654" i="9"/>
  <c r="Q654" i="9"/>
  <c r="P654" i="9"/>
  <c r="N654" i="9"/>
  <c r="L654" i="9"/>
  <c r="K654" i="9"/>
  <c r="S653" i="9"/>
  <c r="R653" i="9"/>
  <c r="Q653" i="9"/>
  <c r="P653" i="9"/>
  <c r="N653" i="9"/>
  <c r="L653" i="9"/>
  <c r="K653" i="9"/>
  <c r="S652" i="9"/>
  <c r="R652" i="9"/>
  <c r="Q652" i="9"/>
  <c r="P652" i="9"/>
  <c r="N652" i="9"/>
  <c r="L652" i="9"/>
  <c r="K652" i="9"/>
  <c r="S651" i="9"/>
  <c r="R651" i="9"/>
  <c r="Q651" i="9"/>
  <c r="P651" i="9"/>
  <c r="N651" i="9"/>
  <c r="L651" i="9"/>
  <c r="K651" i="9"/>
  <c r="S650" i="9"/>
  <c r="R650" i="9"/>
  <c r="Q650" i="9"/>
  <c r="P650" i="9"/>
  <c r="N650" i="9"/>
  <c r="L650" i="9"/>
  <c r="K650" i="9"/>
  <c r="S649" i="9"/>
  <c r="R649" i="9"/>
  <c r="Q649" i="9"/>
  <c r="P649" i="9"/>
  <c r="N649" i="9"/>
  <c r="L649" i="9"/>
  <c r="K649" i="9"/>
  <c r="S648" i="9"/>
  <c r="R648" i="9"/>
  <c r="Q648" i="9"/>
  <c r="P648" i="9"/>
  <c r="N648" i="9"/>
  <c r="L648" i="9"/>
  <c r="K648" i="9"/>
  <c r="S647" i="9"/>
  <c r="R647" i="9"/>
  <c r="Q647" i="9"/>
  <c r="P647" i="9"/>
  <c r="N647" i="9"/>
  <c r="L647" i="9"/>
  <c r="K647" i="9"/>
  <c r="S646" i="9"/>
  <c r="R646" i="9"/>
  <c r="Q646" i="9"/>
  <c r="P646" i="9"/>
  <c r="N646" i="9"/>
  <c r="L646" i="9"/>
  <c r="K646" i="9"/>
  <c r="S645" i="9"/>
  <c r="R645" i="9"/>
  <c r="Q645" i="9"/>
  <c r="P645" i="9"/>
  <c r="N645" i="9"/>
  <c r="L645" i="9"/>
  <c r="K645" i="9"/>
  <c r="S644" i="9"/>
  <c r="R644" i="9"/>
  <c r="Q644" i="9"/>
  <c r="P644" i="9"/>
  <c r="N644" i="9"/>
  <c r="L644" i="9"/>
  <c r="K644" i="9"/>
  <c r="S643" i="9"/>
  <c r="R643" i="9"/>
  <c r="Q643" i="9"/>
  <c r="P643" i="9"/>
  <c r="N643" i="9"/>
  <c r="L643" i="9"/>
  <c r="K643" i="9"/>
  <c r="S642" i="9"/>
  <c r="R642" i="9"/>
  <c r="Q642" i="9"/>
  <c r="P642" i="9"/>
  <c r="N642" i="9"/>
  <c r="L642" i="9"/>
  <c r="K642" i="9"/>
  <c r="S641" i="9"/>
  <c r="R641" i="9"/>
  <c r="Q641" i="9"/>
  <c r="P641" i="9"/>
  <c r="N641" i="9"/>
  <c r="L641" i="9"/>
  <c r="K641" i="9"/>
  <c r="S640" i="9"/>
  <c r="R640" i="9"/>
  <c r="Q640" i="9"/>
  <c r="P640" i="9"/>
  <c r="N640" i="9"/>
  <c r="L640" i="9"/>
  <c r="K640" i="9"/>
  <c r="S639" i="9"/>
  <c r="R639" i="9"/>
  <c r="Q639" i="9"/>
  <c r="P639" i="9"/>
  <c r="N639" i="9"/>
  <c r="L639" i="9"/>
  <c r="K639" i="9"/>
  <c r="S638" i="9"/>
  <c r="R638" i="9"/>
  <c r="Q638" i="9"/>
  <c r="P638" i="9"/>
  <c r="N638" i="9"/>
  <c r="L638" i="9"/>
  <c r="K638" i="9"/>
  <c r="S637" i="9"/>
  <c r="R637" i="9"/>
  <c r="Q637" i="9"/>
  <c r="P637" i="9"/>
  <c r="N637" i="9"/>
  <c r="L637" i="9"/>
  <c r="K637" i="9"/>
  <c r="S636" i="9"/>
  <c r="R636" i="9"/>
  <c r="Q636" i="9"/>
  <c r="P636" i="9"/>
  <c r="N636" i="9"/>
  <c r="L636" i="9"/>
  <c r="K636" i="9"/>
  <c r="S635" i="9"/>
  <c r="R635" i="9"/>
  <c r="Q635" i="9"/>
  <c r="P635" i="9"/>
  <c r="N635" i="9"/>
  <c r="L635" i="9"/>
  <c r="K635" i="9"/>
  <c r="S634" i="9"/>
  <c r="R634" i="9"/>
  <c r="Q634" i="9"/>
  <c r="P634" i="9"/>
  <c r="N634" i="9"/>
  <c r="L634" i="9"/>
  <c r="K634" i="9"/>
  <c r="S633" i="9"/>
  <c r="R633" i="9"/>
  <c r="Q633" i="9"/>
  <c r="P633" i="9"/>
  <c r="N633" i="9"/>
  <c r="L633" i="9"/>
  <c r="K633" i="9"/>
  <c r="S632" i="9"/>
  <c r="R632" i="9"/>
  <c r="Q632" i="9"/>
  <c r="P632" i="9"/>
  <c r="N632" i="9"/>
  <c r="L632" i="9"/>
  <c r="K632" i="9"/>
  <c r="S631" i="9"/>
  <c r="R631" i="9"/>
  <c r="Q631" i="9"/>
  <c r="P631" i="9"/>
  <c r="N631" i="9"/>
  <c r="L631" i="9"/>
  <c r="K631" i="9"/>
  <c r="S630" i="9"/>
  <c r="R630" i="9"/>
  <c r="Q630" i="9"/>
  <c r="P630" i="9"/>
  <c r="N630" i="9"/>
  <c r="L630" i="9"/>
  <c r="K630" i="9"/>
  <c r="S629" i="9"/>
  <c r="R629" i="9"/>
  <c r="Q629" i="9"/>
  <c r="P629" i="9"/>
  <c r="N629" i="9"/>
  <c r="L629" i="9"/>
  <c r="K629" i="9"/>
  <c r="S628" i="9"/>
  <c r="R628" i="9"/>
  <c r="Q628" i="9"/>
  <c r="P628" i="9"/>
  <c r="N628" i="9"/>
  <c r="L628" i="9"/>
  <c r="K628" i="9"/>
  <c r="S627" i="9"/>
  <c r="R627" i="9"/>
  <c r="Q627" i="9"/>
  <c r="P627" i="9"/>
  <c r="N627" i="9"/>
  <c r="L627" i="9"/>
  <c r="K627" i="9"/>
  <c r="S626" i="9"/>
  <c r="R626" i="9"/>
  <c r="Q626" i="9"/>
  <c r="P626" i="9"/>
  <c r="N626" i="9"/>
  <c r="L626" i="9"/>
  <c r="K626" i="9"/>
  <c r="S625" i="9"/>
  <c r="R625" i="9"/>
  <c r="Q625" i="9"/>
  <c r="P625" i="9"/>
  <c r="N625" i="9"/>
  <c r="L625" i="9"/>
  <c r="K625" i="9"/>
  <c r="S624" i="9"/>
  <c r="R624" i="9"/>
  <c r="Q624" i="9"/>
  <c r="P624" i="9"/>
  <c r="N624" i="9"/>
  <c r="L624" i="9"/>
  <c r="K624" i="9"/>
  <c r="S623" i="9"/>
  <c r="R623" i="9"/>
  <c r="Q623" i="9"/>
  <c r="P623" i="9"/>
  <c r="N623" i="9"/>
  <c r="L623" i="9"/>
  <c r="K623" i="9"/>
  <c r="S622" i="9"/>
  <c r="R622" i="9"/>
  <c r="Q622" i="9"/>
  <c r="P622" i="9"/>
  <c r="N622" i="9"/>
  <c r="L622" i="9"/>
  <c r="K622" i="9"/>
  <c r="S621" i="9"/>
  <c r="R621" i="9"/>
  <c r="Q621" i="9"/>
  <c r="P621" i="9"/>
  <c r="N621" i="9"/>
  <c r="L621" i="9"/>
  <c r="K621" i="9"/>
  <c r="S620" i="9"/>
  <c r="R620" i="9"/>
  <c r="Q620" i="9"/>
  <c r="P620" i="9"/>
  <c r="N620" i="9"/>
  <c r="L620" i="9"/>
  <c r="K620" i="9"/>
  <c r="S619" i="9"/>
  <c r="R619" i="9"/>
  <c r="Q619" i="9"/>
  <c r="P619" i="9"/>
  <c r="N619" i="9"/>
  <c r="L619" i="9"/>
  <c r="K619" i="9"/>
  <c r="S618" i="9"/>
  <c r="R618" i="9"/>
  <c r="Q618" i="9"/>
  <c r="P618" i="9"/>
  <c r="N618" i="9"/>
  <c r="L618" i="9"/>
  <c r="K618" i="9"/>
  <c r="S617" i="9"/>
  <c r="R617" i="9"/>
  <c r="Q617" i="9"/>
  <c r="P617" i="9"/>
  <c r="N617" i="9"/>
  <c r="L617" i="9"/>
  <c r="K617" i="9"/>
  <c r="S616" i="9"/>
  <c r="R616" i="9"/>
  <c r="Q616" i="9"/>
  <c r="P616" i="9"/>
  <c r="N616" i="9"/>
  <c r="L616" i="9"/>
  <c r="K616" i="9"/>
  <c r="S615" i="9"/>
  <c r="R615" i="9"/>
  <c r="Q615" i="9"/>
  <c r="P615" i="9"/>
  <c r="N615" i="9"/>
  <c r="L615" i="9"/>
  <c r="K615" i="9"/>
  <c r="S614" i="9"/>
  <c r="R614" i="9"/>
  <c r="Q614" i="9"/>
  <c r="P614" i="9"/>
  <c r="N614" i="9"/>
  <c r="L614" i="9"/>
  <c r="K614" i="9"/>
  <c r="S613" i="9"/>
  <c r="R613" i="9"/>
  <c r="Q613" i="9"/>
  <c r="P613" i="9"/>
  <c r="N613" i="9"/>
  <c r="L613" i="9"/>
  <c r="K613" i="9"/>
  <c r="S612" i="9"/>
  <c r="R612" i="9"/>
  <c r="Q612" i="9"/>
  <c r="P612" i="9"/>
  <c r="N612" i="9"/>
  <c r="L612" i="9"/>
  <c r="K612" i="9"/>
  <c r="S611" i="9"/>
  <c r="R611" i="9"/>
  <c r="Q611" i="9"/>
  <c r="P611" i="9"/>
  <c r="N611" i="9"/>
  <c r="L611" i="9"/>
  <c r="K611" i="9"/>
  <c r="S610" i="9"/>
  <c r="R610" i="9"/>
  <c r="Q610" i="9"/>
  <c r="P610" i="9"/>
  <c r="N610" i="9"/>
  <c r="L610" i="9"/>
  <c r="K610" i="9"/>
  <c r="S609" i="9"/>
  <c r="R609" i="9"/>
  <c r="Q609" i="9"/>
  <c r="P609" i="9"/>
  <c r="N609" i="9"/>
  <c r="L609" i="9"/>
  <c r="K609" i="9"/>
  <c r="S608" i="9"/>
  <c r="R608" i="9"/>
  <c r="Q608" i="9"/>
  <c r="P608" i="9"/>
  <c r="N608" i="9"/>
  <c r="L608" i="9"/>
  <c r="K608" i="9"/>
  <c r="S607" i="9"/>
  <c r="R607" i="9"/>
  <c r="Q607" i="9"/>
  <c r="P607" i="9"/>
  <c r="N607" i="9"/>
  <c r="L607" i="9"/>
  <c r="K607" i="9"/>
  <c r="S606" i="9"/>
  <c r="R606" i="9"/>
  <c r="Q606" i="9"/>
  <c r="P606" i="9"/>
  <c r="N606" i="9"/>
  <c r="L606" i="9"/>
  <c r="K606" i="9"/>
  <c r="S605" i="9"/>
  <c r="R605" i="9"/>
  <c r="Q605" i="9"/>
  <c r="P605" i="9"/>
  <c r="N605" i="9"/>
  <c r="L605" i="9"/>
  <c r="K605" i="9"/>
  <c r="S604" i="9"/>
  <c r="R604" i="9"/>
  <c r="Q604" i="9"/>
  <c r="P604" i="9"/>
  <c r="N604" i="9"/>
  <c r="L604" i="9"/>
  <c r="K604" i="9"/>
  <c r="S603" i="9"/>
  <c r="R603" i="9"/>
  <c r="Q603" i="9"/>
  <c r="P603" i="9"/>
  <c r="N603" i="9"/>
  <c r="L603" i="9"/>
  <c r="K603" i="9"/>
  <c r="S602" i="9"/>
  <c r="R602" i="9"/>
  <c r="Q602" i="9"/>
  <c r="P602" i="9"/>
  <c r="N602" i="9"/>
  <c r="L602" i="9"/>
  <c r="K602" i="9"/>
  <c r="S601" i="9"/>
  <c r="R601" i="9"/>
  <c r="Q601" i="9"/>
  <c r="P601" i="9"/>
  <c r="N601" i="9"/>
  <c r="L601" i="9"/>
  <c r="K601" i="9"/>
  <c r="S600" i="9"/>
  <c r="R600" i="9"/>
  <c r="Q600" i="9"/>
  <c r="P600" i="9"/>
  <c r="N600" i="9"/>
  <c r="L600" i="9"/>
  <c r="K600" i="9"/>
  <c r="S599" i="9"/>
  <c r="R599" i="9"/>
  <c r="Q599" i="9"/>
  <c r="P599" i="9"/>
  <c r="N599" i="9"/>
  <c r="L599" i="9"/>
  <c r="K599" i="9"/>
  <c r="S598" i="9"/>
  <c r="R598" i="9"/>
  <c r="Q598" i="9"/>
  <c r="P598" i="9"/>
  <c r="N598" i="9"/>
  <c r="L598" i="9"/>
  <c r="K598" i="9"/>
  <c r="S597" i="9"/>
  <c r="R597" i="9"/>
  <c r="Q597" i="9"/>
  <c r="P597" i="9"/>
  <c r="N597" i="9"/>
  <c r="L597" i="9"/>
  <c r="K597" i="9"/>
  <c r="S596" i="9"/>
  <c r="R596" i="9"/>
  <c r="Q596" i="9"/>
  <c r="P596" i="9"/>
  <c r="N596" i="9"/>
  <c r="L596" i="9"/>
  <c r="K596" i="9"/>
  <c r="S595" i="9"/>
  <c r="R595" i="9"/>
  <c r="Q595" i="9"/>
  <c r="P595" i="9"/>
  <c r="N595" i="9"/>
  <c r="L595" i="9"/>
  <c r="K595" i="9"/>
  <c r="S594" i="9"/>
  <c r="R594" i="9"/>
  <c r="Q594" i="9"/>
  <c r="P594" i="9"/>
  <c r="N594" i="9"/>
  <c r="L594" i="9"/>
  <c r="K594" i="9"/>
  <c r="S593" i="9"/>
  <c r="R593" i="9"/>
  <c r="Q593" i="9"/>
  <c r="P593" i="9"/>
  <c r="N593" i="9"/>
  <c r="L593" i="9"/>
  <c r="K593" i="9"/>
  <c r="S592" i="9"/>
  <c r="R592" i="9"/>
  <c r="Q592" i="9"/>
  <c r="P592" i="9"/>
  <c r="N592" i="9"/>
  <c r="L592" i="9"/>
  <c r="K592" i="9"/>
  <c r="S591" i="9"/>
  <c r="R591" i="9"/>
  <c r="Q591" i="9"/>
  <c r="P591" i="9"/>
  <c r="N591" i="9"/>
  <c r="L591" i="9"/>
  <c r="K591" i="9"/>
  <c r="S590" i="9"/>
  <c r="R590" i="9"/>
  <c r="Q590" i="9"/>
  <c r="P590" i="9"/>
  <c r="N590" i="9"/>
  <c r="L590" i="9"/>
  <c r="K590" i="9"/>
  <c r="S589" i="9"/>
  <c r="R589" i="9"/>
  <c r="Q589" i="9"/>
  <c r="P589" i="9"/>
  <c r="N589" i="9"/>
  <c r="L589" i="9"/>
  <c r="K589" i="9"/>
  <c r="S588" i="9"/>
  <c r="R588" i="9"/>
  <c r="Q588" i="9"/>
  <c r="P588" i="9"/>
  <c r="N588" i="9"/>
  <c r="L588" i="9"/>
  <c r="K588" i="9"/>
  <c r="S587" i="9"/>
  <c r="R587" i="9"/>
  <c r="Q587" i="9"/>
  <c r="P587" i="9"/>
  <c r="N587" i="9"/>
  <c r="L587" i="9"/>
  <c r="K587" i="9"/>
  <c r="S586" i="9"/>
  <c r="R586" i="9"/>
  <c r="Q586" i="9"/>
  <c r="P586" i="9"/>
  <c r="N586" i="9"/>
  <c r="L586" i="9"/>
  <c r="K586" i="9"/>
  <c r="S585" i="9"/>
  <c r="R585" i="9"/>
  <c r="Q585" i="9"/>
  <c r="P585" i="9"/>
  <c r="N585" i="9"/>
  <c r="L585" i="9"/>
  <c r="K585" i="9"/>
  <c r="S584" i="9"/>
  <c r="R584" i="9"/>
  <c r="Q584" i="9"/>
  <c r="P584" i="9"/>
  <c r="N584" i="9"/>
  <c r="L584" i="9"/>
  <c r="K584" i="9"/>
  <c r="S583" i="9"/>
  <c r="R583" i="9"/>
  <c r="Q583" i="9"/>
  <c r="P583" i="9"/>
  <c r="N583" i="9"/>
  <c r="L583" i="9"/>
  <c r="K583" i="9"/>
  <c r="S582" i="9"/>
  <c r="R582" i="9"/>
  <c r="Q582" i="9"/>
  <c r="P582" i="9"/>
  <c r="N582" i="9"/>
  <c r="L582" i="9"/>
  <c r="K582" i="9"/>
  <c r="S581" i="9"/>
  <c r="R581" i="9"/>
  <c r="Q581" i="9"/>
  <c r="P581" i="9"/>
  <c r="N581" i="9"/>
  <c r="L581" i="9"/>
  <c r="K581" i="9"/>
  <c r="S580" i="9"/>
  <c r="R580" i="9"/>
  <c r="Q580" i="9"/>
  <c r="P580" i="9"/>
  <c r="N580" i="9"/>
  <c r="L580" i="9"/>
  <c r="K580" i="9"/>
  <c r="S579" i="9"/>
  <c r="R579" i="9"/>
  <c r="Q579" i="9"/>
  <c r="P579" i="9"/>
  <c r="N579" i="9"/>
  <c r="L579" i="9"/>
  <c r="K579" i="9"/>
  <c r="S578" i="9"/>
  <c r="R578" i="9"/>
  <c r="Q578" i="9"/>
  <c r="P578" i="9"/>
  <c r="N578" i="9"/>
  <c r="L578" i="9"/>
  <c r="K578" i="9"/>
  <c r="S577" i="9"/>
  <c r="R577" i="9"/>
  <c r="Q577" i="9"/>
  <c r="P577" i="9"/>
  <c r="N577" i="9"/>
  <c r="L577" i="9"/>
  <c r="K577" i="9"/>
  <c r="S576" i="9"/>
  <c r="R576" i="9"/>
  <c r="Q576" i="9"/>
  <c r="P576" i="9"/>
  <c r="N576" i="9"/>
  <c r="L576" i="9"/>
  <c r="K576" i="9"/>
  <c r="S575" i="9"/>
  <c r="R575" i="9"/>
  <c r="Q575" i="9"/>
  <c r="P575" i="9"/>
  <c r="N575" i="9"/>
  <c r="L575" i="9"/>
  <c r="K575" i="9"/>
  <c r="S574" i="9"/>
  <c r="R574" i="9"/>
  <c r="Q574" i="9"/>
  <c r="P574" i="9"/>
  <c r="N574" i="9"/>
  <c r="L574" i="9"/>
  <c r="K574" i="9"/>
  <c r="S573" i="9"/>
  <c r="R573" i="9"/>
  <c r="Q573" i="9"/>
  <c r="P573" i="9"/>
  <c r="N573" i="9"/>
  <c r="L573" i="9"/>
  <c r="K573" i="9"/>
  <c r="S572" i="9"/>
  <c r="R572" i="9"/>
  <c r="Q572" i="9"/>
  <c r="P572" i="9"/>
  <c r="N572" i="9"/>
  <c r="L572" i="9"/>
  <c r="K572" i="9"/>
  <c r="S571" i="9"/>
  <c r="R571" i="9"/>
  <c r="Q571" i="9"/>
  <c r="P571" i="9"/>
  <c r="N571" i="9"/>
  <c r="L571" i="9"/>
  <c r="K571" i="9"/>
  <c r="S570" i="9"/>
  <c r="R570" i="9"/>
  <c r="Q570" i="9"/>
  <c r="P570" i="9"/>
  <c r="N570" i="9"/>
  <c r="L570" i="9"/>
  <c r="K570" i="9"/>
  <c r="S569" i="9"/>
  <c r="R569" i="9"/>
  <c r="Q569" i="9"/>
  <c r="P569" i="9"/>
  <c r="N569" i="9"/>
  <c r="L569" i="9"/>
  <c r="K569" i="9"/>
  <c r="S568" i="9"/>
  <c r="R568" i="9"/>
  <c r="Q568" i="9"/>
  <c r="P568" i="9"/>
  <c r="N568" i="9"/>
  <c r="L568" i="9"/>
  <c r="K568" i="9"/>
  <c r="S567" i="9"/>
  <c r="R567" i="9"/>
  <c r="Q567" i="9"/>
  <c r="P567" i="9"/>
  <c r="N567" i="9"/>
  <c r="L567" i="9"/>
  <c r="K567" i="9"/>
  <c r="S566" i="9"/>
  <c r="R566" i="9"/>
  <c r="Q566" i="9"/>
  <c r="P566" i="9"/>
  <c r="N566" i="9"/>
  <c r="L566" i="9"/>
  <c r="K566" i="9"/>
  <c r="S565" i="9"/>
  <c r="R565" i="9"/>
  <c r="Q565" i="9"/>
  <c r="P565" i="9"/>
  <c r="N565" i="9"/>
  <c r="L565" i="9"/>
  <c r="K565" i="9"/>
  <c r="S564" i="9"/>
  <c r="R564" i="9"/>
  <c r="Q564" i="9"/>
  <c r="P564" i="9"/>
  <c r="N564" i="9"/>
  <c r="L564" i="9"/>
  <c r="K564" i="9"/>
  <c r="S563" i="9"/>
  <c r="R563" i="9"/>
  <c r="Q563" i="9"/>
  <c r="P563" i="9"/>
  <c r="N563" i="9"/>
  <c r="L563" i="9"/>
  <c r="K563" i="9"/>
  <c r="S562" i="9"/>
  <c r="R562" i="9"/>
  <c r="Q562" i="9"/>
  <c r="P562" i="9"/>
  <c r="N562" i="9"/>
  <c r="L562" i="9"/>
  <c r="K562" i="9"/>
  <c r="S561" i="9"/>
  <c r="R561" i="9"/>
  <c r="Q561" i="9"/>
  <c r="P561" i="9"/>
  <c r="N561" i="9"/>
  <c r="L561" i="9"/>
  <c r="K561" i="9"/>
  <c r="S560" i="9"/>
  <c r="R560" i="9"/>
  <c r="Q560" i="9"/>
  <c r="P560" i="9"/>
  <c r="N560" i="9"/>
  <c r="L560" i="9"/>
  <c r="K560" i="9"/>
  <c r="S559" i="9"/>
  <c r="R559" i="9"/>
  <c r="Q559" i="9"/>
  <c r="P559" i="9"/>
  <c r="N559" i="9"/>
  <c r="L559" i="9"/>
  <c r="K559" i="9"/>
  <c r="S558" i="9"/>
  <c r="R558" i="9"/>
  <c r="Q558" i="9"/>
  <c r="P558" i="9"/>
  <c r="N558" i="9"/>
  <c r="L558" i="9"/>
  <c r="K558" i="9"/>
  <c r="S557" i="9"/>
  <c r="R557" i="9"/>
  <c r="Q557" i="9"/>
  <c r="P557" i="9"/>
  <c r="N557" i="9"/>
  <c r="L557" i="9"/>
  <c r="K557" i="9"/>
  <c r="S556" i="9"/>
  <c r="R556" i="9"/>
  <c r="Q556" i="9"/>
  <c r="P556" i="9"/>
  <c r="N556" i="9"/>
  <c r="L556" i="9"/>
  <c r="K556" i="9"/>
  <c r="S555" i="9"/>
  <c r="R555" i="9"/>
  <c r="Q555" i="9"/>
  <c r="P555" i="9"/>
  <c r="N555" i="9"/>
  <c r="L555" i="9"/>
  <c r="K555" i="9"/>
  <c r="S554" i="9"/>
  <c r="R554" i="9"/>
  <c r="Q554" i="9"/>
  <c r="P554" i="9"/>
  <c r="N554" i="9"/>
  <c r="L554" i="9"/>
  <c r="K554" i="9"/>
  <c r="S553" i="9"/>
  <c r="R553" i="9"/>
  <c r="Q553" i="9"/>
  <c r="P553" i="9"/>
  <c r="N553" i="9"/>
  <c r="L553" i="9"/>
  <c r="K553" i="9"/>
  <c r="S552" i="9"/>
  <c r="R552" i="9"/>
  <c r="Q552" i="9"/>
  <c r="P552" i="9"/>
  <c r="N552" i="9"/>
  <c r="L552" i="9"/>
  <c r="K552" i="9"/>
  <c r="S551" i="9"/>
  <c r="R551" i="9"/>
  <c r="Q551" i="9"/>
  <c r="P551" i="9"/>
  <c r="N551" i="9"/>
  <c r="L551" i="9"/>
  <c r="K551" i="9"/>
  <c r="S550" i="9"/>
  <c r="R550" i="9"/>
  <c r="Q550" i="9"/>
  <c r="P550" i="9"/>
  <c r="N550" i="9"/>
  <c r="L550" i="9"/>
  <c r="K550" i="9"/>
  <c r="S549" i="9"/>
  <c r="R549" i="9"/>
  <c r="Q549" i="9"/>
  <c r="P549" i="9"/>
  <c r="N549" i="9"/>
  <c r="L549" i="9"/>
  <c r="K549" i="9"/>
  <c r="S548" i="9"/>
  <c r="R548" i="9"/>
  <c r="Q548" i="9"/>
  <c r="P548" i="9"/>
  <c r="N548" i="9"/>
  <c r="L548" i="9"/>
  <c r="K548" i="9"/>
  <c r="S547" i="9"/>
  <c r="R547" i="9"/>
  <c r="Q547" i="9"/>
  <c r="P547" i="9"/>
  <c r="N547" i="9"/>
  <c r="L547" i="9"/>
  <c r="K547" i="9"/>
  <c r="S546" i="9"/>
  <c r="R546" i="9"/>
  <c r="Q546" i="9"/>
  <c r="P546" i="9"/>
  <c r="N546" i="9"/>
  <c r="L546" i="9"/>
  <c r="K546" i="9"/>
  <c r="S545" i="9"/>
  <c r="R545" i="9"/>
  <c r="Q545" i="9"/>
  <c r="P545" i="9"/>
  <c r="N545" i="9"/>
  <c r="L545" i="9"/>
  <c r="K545" i="9"/>
  <c r="S544" i="9"/>
  <c r="R544" i="9"/>
  <c r="Q544" i="9"/>
  <c r="P544" i="9"/>
  <c r="N544" i="9"/>
  <c r="L544" i="9"/>
  <c r="K544" i="9"/>
  <c r="S543" i="9"/>
  <c r="R543" i="9"/>
  <c r="Q543" i="9"/>
  <c r="P543" i="9"/>
  <c r="N543" i="9"/>
  <c r="L543" i="9"/>
  <c r="K543" i="9"/>
  <c r="S542" i="9"/>
  <c r="R542" i="9"/>
  <c r="Q542" i="9"/>
  <c r="P542" i="9"/>
  <c r="N542" i="9"/>
  <c r="L542" i="9"/>
  <c r="K542" i="9"/>
  <c r="S541" i="9"/>
  <c r="R541" i="9"/>
  <c r="Q541" i="9"/>
  <c r="P541" i="9"/>
  <c r="N541" i="9"/>
  <c r="L541" i="9"/>
  <c r="K541" i="9"/>
  <c r="S540" i="9"/>
  <c r="R540" i="9"/>
  <c r="Q540" i="9"/>
  <c r="P540" i="9"/>
  <c r="N540" i="9"/>
  <c r="L540" i="9"/>
  <c r="K540" i="9"/>
  <c r="S539" i="9"/>
  <c r="R539" i="9"/>
  <c r="Q539" i="9"/>
  <c r="P539" i="9"/>
  <c r="N539" i="9"/>
  <c r="L539" i="9"/>
  <c r="K539" i="9"/>
  <c r="S538" i="9"/>
  <c r="R538" i="9"/>
  <c r="Q538" i="9"/>
  <c r="P538" i="9"/>
  <c r="N538" i="9"/>
  <c r="L538" i="9"/>
  <c r="K538" i="9"/>
  <c r="S537" i="9"/>
  <c r="R537" i="9"/>
  <c r="Q537" i="9"/>
  <c r="P537" i="9"/>
  <c r="N537" i="9"/>
  <c r="L537" i="9"/>
  <c r="K537" i="9"/>
  <c r="S536" i="9"/>
  <c r="R536" i="9"/>
  <c r="Q536" i="9"/>
  <c r="P536" i="9"/>
  <c r="N536" i="9"/>
  <c r="L536" i="9"/>
  <c r="K536" i="9"/>
  <c r="S535" i="9"/>
  <c r="R535" i="9"/>
  <c r="Q535" i="9"/>
  <c r="P535" i="9"/>
  <c r="N535" i="9"/>
  <c r="L535" i="9"/>
  <c r="K535" i="9"/>
  <c r="S534" i="9"/>
  <c r="R534" i="9"/>
  <c r="Q534" i="9"/>
  <c r="P534" i="9"/>
  <c r="N534" i="9"/>
  <c r="L534" i="9"/>
  <c r="K534" i="9"/>
  <c r="S533" i="9"/>
  <c r="R533" i="9"/>
  <c r="Q533" i="9"/>
  <c r="P533" i="9"/>
  <c r="N533" i="9"/>
  <c r="L533" i="9"/>
  <c r="K533" i="9"/>
  <c r="S532" i="9"/>
  <c r="R532" i="9"/>
  <c r="Q532" i="9"/>
  <c r="P532" i="9"/>
  <c r="N532" i="9"/>
  <c r="L532" i="9"/>
  <c r="K532" i="9"/>
  <c r="S531" i="9"/>
  <c r="R531" i="9"/>
  <c r="Q531" i="9"/>
  <c r="P531" i="9"/>
  <c r="N531" i="9"/>
  <c r="L531" i="9"/>
  <c r="K531" i="9"/>
  <c r="S530" i="9"/>
  <c r="R530" i="9"/>
  <c r="Q530" i="9"/>
  <c r="P530" i="9"/>
  <c r="N530" i="9"/>
  <c r="L530" i="9"/>
  <c r="K530" i="9"/>
  <c r="S529" i="9"/>
  <c r="R529" i="9"/>
  <c r="Q529" i="9"/>
  <c r="P529" i="9"/>
  <c r="N529" i="9"/>
  <c r="L529" i="9"/>
  <c r="K529" i="9"/>
  <c r="S528" i="9"/>
  <c r="R528" i="9"/>
  <c r="Q528" i="9"/>
  <c r="P528" i="9"/>
  <c r="N528" i="9"/>
  <c r="L528" i="9"/>
  <c r="K528" i="9"/>
  <c r="S527" i="9"/>
  <c r="R527" i="9"/>
  <c r="Q527" i="9"/>
  <c r="P527" i="9"/>
  <c r="N527" i="9"/>
  <c r="L527" i="9"/>
  <c r="K527" i="9"/>
  <c r="S526" i="9"/>
  <c r="R526" i="9"/>
  <c r="Q526" i="9"/>
  <c r="P526" i="9"/>
  <c r="N526" i="9"/>
  <c r="L526" i="9"/>
  <c r="K526" i="9"/>
  <c r="S525" i="9"/>
  <c r="R525" i="9"/>
  <c r="Q525" i="9"/>
  <c r="P525" i="9"/>
  <c r="N525" i="9"/>
  <c r="L525" i="9"/>
  <c r="K525" i="9"/>
  <c r="S524" i="9"/>
  <c r="R524" i="9"/>
  <c r="Q524" i="9"/>
  <c r="P524" i="9"/>
  <c r="N524" i="9"/>
  <c r="L524" i="9"/>
  <c r="K524" i="9"/>
  <c r="S523" i="9"/>
  <c r="R523" i="9"/>
  <c r="Q523" i="9"/>
  <c r="P523" i="9"/>
  <c r="N523" i="9"/>
  <c r="L523" i="9"/>
  <c r="K523" i="9"/>
  <c r="S522" i="9"/>
  <c r="R522" i="9"/>
  <c r="Q522" i="9"/>
  <c r="P522" i="9"/>
  <c r="N522" i="9"/>
  <c r="L522" i="9"/>
  <c r="K522" i="9"/>
  <c r="S521" i="9"/>
  <c r="R521" i="9"/>
  <c r="Q521" i="9"/>
  <c r="P521" i="9"/>
  <c r="N521" i="9"/>
  <c r="L521" i="9"/>
  <c r="K521" i="9"/>
  <c r="S520" i="9"/>
  <c r="R520" i="9"/>
  <c r="Q520" i="9"/>
  <c r="P520" i="9"/>
  <c r="N520" i="9"/>
  <c r="L520" i="9"/>
  <c r="K520" i="9"/>
  <c r="S519" i="9"/>
  <c r="R519" i="9"/>
  <c r="Q519" i="9"/>
  <c r="P519" i="9"/>
  <c r="N519" i="9"/>
  <c r="L519" i="9"/>
  <c r="K519" i="9"/>
  <c r="S518" i="9"/>
  <c r="R518" i="9"/>
  <c r="Q518" i="9"/>
  <c r="P518" i="9"/>
  <c r="N518" i="9"/>
  <c r="L518" i="9"/>
  <c r="K518" i="9"/>
  <c r="S517" i="9"/>
  <c r="R517" i="9"/>
  <c r="Q517" i="9"/>
  <c r="P517" i="9"/>
  <c r="N517" i="9"/>
  <c r="L517" i="9"/>
  <c r="K517" i="9"/>
  <c r="S516" i="9"/>
  <c r="R516" i="9"/>
  <c r="Q516" i="9"/>
  <c r="P516" i="9"/>
  <c r="N516" i="9"/>
  <c r="L516" i="9"/>
  <c r="K516" i="9"/>
  <c r="S515" i="9"/>
  <c r="R515" i="9"/>
  <c r="Q515" i="9"/>
  <c r="P515" i="9"/>
  <c r="N515" i="9"/>
  <c r="L515" i="9"/>
  <c r="K515" i="9"/>
  <c r="S514" i="9"/>
  <c r="R514" i="9"/>
  <c r="Q514" i="9"/>
  <c r="P514" i="9"/>
  <c r="N514" i="9"/>
  <c r="L514" i="9"/>
  <c r="K514" i="9"/>
  <c r="S513" i="9"/>
  <c r="R513" i="9"/>
  <c r="Q513" i="9"/>
  <c r="P513" i="9"/>
  <c r="N513" i="9"/>
  <c r="L513" i="9"/>
  <c r="K513" i="9"/>
  <c r="S512" i="9"/>
  <c r="R512" i="9"/>
  <c r="Q512" i="9"/>
  <c r="P512" i="9"/>
  <c r="N512" i="9"/>
  <c r="L512" i="9"/>
  <c r="K512" i="9"/>
  <c r="S511" i="9"/>
  <c r="R511" i="9"/>
  <c r="Q511" i="9"/>
  <c r="P511" i="9"/>
  <c r="N511" i="9"/>
  <c r="L511" i="9"/>
  <c r="K511" i="9"/>
  <c r="S510" i="9"/>
  <c r="R510" i="9"/>
  <c r="Q510" i="9"/>
  <c r="P510" i="9"/>
  <c r="N510" i="9"/>
  <c r="L510" i="9"/>
  <c r="K510" i="9"/>
  <c r="S509" i="9"/>
  <c r="R509" i="9"/>
  <c r="Q509" i="9"/>
  <c r="P509" i="9"/>
  <c r="N509" i="9"/>
  <c r="L509" i="9"/>
  <c r="K509" i="9"/>
  <c r="S508" i="9"/>
  <c r="R508" i="9"/>
  <c r="Q508" i="9"/>
  <c r="P508" i="9"/>
  <c r="N508" i="9"/>
  <c r="L508" i="9"/>
  <c r="K508" i="9"/>
  <c r="S507" i="9"/>
  <c r="R507" i="9"/>
  <c r="Q507" i="9"/>
  <c r="P507" i="9"/>
  <c r="N507" i="9"/>
  <c r="L507" i="9"/>
  <c r="K507" i="9"/>
  <c r="S506" i="9"/>
  <c r="R506" i="9"/>
  <c r="Q506" i="9"/>
  <c r="P506" i="9"/>
  <c r="N506" i="9"/>
  <c r="L506" i="9"/>
  <c r="K506" i="9"/>
  <c r="S505" i="9"/>
  <c r="R505" i="9"/>
  <c r="Q505" i="9"/>
  <c r="P505" i="9"/>
  <c r="N505" i="9"/>
  <c r="L505" i="9"/>
  <c r="K505" i="9"/>
  <c r="S504" i="9"/>
  <c r="R504" i="9"/>
  <c r="Q504" i="9"/>
  <c r="P504" i="9"/>
  <c r="N504" i="9"/>
  <c r="L504" i="9"/>
  <c r="K504" i="9"/>
  <c r="S503" i="9"/>
  <c r="R503" i="9"/>
  <c r="Q503" i="9"/>
  <c r="P503" i="9"/>
  <c r="N503" i="9"/>
  <c r="L503" i="9"/>
  <c r="K503" i="9"/>
  <c r="S502" i="9"/>
  <c r="R502" i="9"/>
  <c r="Q502" i="9"/>
  <c r="P502" i="9"/>
  <c r="N502" i="9"/>
  <c r="L502" i="9"/>
  <c r="K502" i="9"/>
  <c r="S501" i="9"/>
  <c r="R501" i="9"/>
  <c r="Q501" i="9"/>
  <c r="P501" i="9"/>
  <c r="N501" i="9"/>
  <c r="L501" i="9"/>
  <c r="K501" i="9"/>
  <c r="S500" i="9"/>
  <c r="R500" i="9"/>
  <c r="Q500" i="9"/>
  <c r="P500" i="9"/>
  <c r="N500" i="9"/>
  <c r="L500" i="9"/>
  <c r="K500" i="9"/>
  <c r="S499" i="9"/>
  <c r="R499" i="9"/>
  <c r="Q499" i="9"/>
  <c r="P499" i="9"/>
  <c r="N499" i="9"/>
  <c r="L499" i="9"/>
  <c r="K499" i="9"/>
  <c r="S498" i="9"/>
  <c r="R498" i="9"/>
  <c r="Q498" i="9"/>
  <c r="P498" i="9"/>
  <c r="N498" i="9"/>
  <c r="L498" i="9"/>
  <c r="K498" i="9"/>
  <c r="S497" i="9"/>
  <c r="R497" i="9"/>
  <c r="Q497" i="9"/>
  <c r="P497" i="9"/>
  <c r="N497" i="9"/>
  <c r="L497" i="9"/>
  <c r="K497" i="9"/>
  <c r="S496" i="9"/>
  <c r="R496" i="9"/>
  <c r="Q496" i="9"/>
  <c r="P496" i="9"/>
  <c r="N496" i="9"/>
  <c r="L496" i="9"/>
  <c r="K496" i="9"/>
  <c r="S495" i="9"/>
  <c r="R495" i="9"/>
  <c r="Q495" i="9"/>
  <c r="P495" i="9"/>
  <c r="N495" i="9"/>
  <c r="L495" i="9"/>
  <c r="K495" i="9"/>
  <c r="S494" i="9"/>
  <c r="R494" i="9"/>
  <c r="Q494" i="9"/>
  <c r="P494" i="9"/>
  <c r="N494" i="9"/>
  <c r="L494" i="9"/>
  <c r="K494" i="9"/>
  <c r="S493" i="9"/>
  <c r="R493" i="9"/>
  <c r="Q493" i="9"/>
  <c r="P493" i="9"/>
  <c r="N493" i="9"/>
  <c r="L493" i="9"/>
  <c r="K493" i="9"/>
  <c r="S492" i="9"/>
  <c r="R492" i="9"/>
  <c r="Q492" i="9"/>
  <c r="P492" i="9"/>
  <c r="N492" i="9"/>
  <c r="L492" i="9"/>
  <c r="K492" i="9"/>
  <c r="S491" i="9"/>
  <c r="R491" i="9"/>
  <c r="Q491" i="9"/>
  <c r="P491" i="9"/>
  <c r="N491" i="9"/>
  <c r="L491" i="9"/>
  <c r="K491" i="9"/>
  <c r="S490" i="9"/>
  <c r="R490" i="9"/>
  <c r="Q490" i="9"/>
  <c r="P490" i="9"/>
  <c r="N490" i="9"/>
  <c r="L490" i="9"/>
  <c r="K490" i="9"/>
  <c r="S489" i="9"/>
  <c r="R489" i="9"/>
  <c r="Q489" i="9"/>
  <c r="P489" i="9"/>
  <c r="N489" i="9"/>
  <c r="L489" i="9"/>
  <c r="K489" i="9"/>
  <c r="S488" i="9"/>
  <c r="R488" i="9"/>
  <c r="Q488" i="9"/>
  <c r="P488" i="9"/>
  <c r="N488" i="9"/>
  <c r="L488" i="9"/>
  <c r="K488" i="9"/>
  <c r="S487" i="9"/>
  <c r="R487" i="9"/>
  <c r="Q487" i="9"/>
  <c r="P487" i="9"/>
  <c r="N487" i="9"/>
  <c r="L487" i="9"/>
  <c r="K487" i="9"/>
  <c r="S486" i="9"/>
  <c r="R486" i="9"/>
  <c r="Q486" i="9"/>
  <c r="P486" i="9"/>
  <c r="N486" i="9"/>
  <c r="L486" i="9"/>
  <c r="K486" i="9"/>
  <c r="S485" i="9"/>
  <c r="R485" i="9"/>
  <c r="Q485" i="9"/>
  <c r="P485" i="9"/>
  <c r="N485" i="9"/>
  <c r="L485" i="9"/>
  <c r="K485" i="9"/>
  <c r="S484" i="9"/>
  <c r="R484" i="9"/>
  <c r="Q484" i="9"/>
  <c r="P484" i="9"/>
  <c r="N484" i="9"/>
  <c r="L484" i="9"/>
  <c r="K484" i="9"/>
  <c r="S483" i="9"/>
  <c r="R483" i="9"/>
  <c r="Q483" i="9"/>
  <c r="P483" i="9"/>
  <c r="N483" i="9"/>
  <c r="L483" i="9"/>
  <c r="K483" i="9"/>
  <c r="S482" i="9"/>
  <c r="R482" i="9"/>
  <c r="Q482" i="9"/>
  <c r="P482" i="9"/>
  <c r="N482" i="9"/>
  <c r="L482" i="9"/>
  <c r="K482" i="9"/>
  <c r="S481" i="9"/>
  <c r="R481" i="9"/>
  <c r="Q481" i="9"/>
  <c r="P481" i="9"/>
  <c r="N481" i="9"/>
  <c r="L481" i="9"/>
  <c r="K481" i="9"/>
  <c r="S480" i="9"/>
  <c r="R480" i="9"/>
  <c r="Q480" i="9"/>
  <c r="P480" i="9"/>
  <c r="N480" i="9"/>
  <c r="L480" i="9"/>
  <c r="K480" i="9"/>
  <c r="S479" i="9"/>
  <c r="R479" i="9"/>
  <c r="Q479" i="9"/>
  <c r="P479" i="9"/>
  <c r="N479" i="9"/>
  <c r="L479" i="9"/>
  <c r="K479" i="9"/>
  <c r="S478" i="9"/>
  <c r="R478" i="9"/>
  <c r="Q478" i="9"/>
  <c r="P478" i="9"/>
  <c r="N478" i="9"/>
  <c r="L478" i="9"/>
  <c r="K478" i="9"/>
  <c r="S477" i="9"/>
  <c r="R477" i="9"/>
  <c r="Q477" i="9"/>
  <c r="P477" i="9"/>
  <c r="N477" i="9"/>
  <c r="L477" i="9"/>
  <c r="K477" i="9"/>
  <c r="S476" i="9"/>
  <c r="R476" i="9"/>
  <c r="Q476" i="9"/>
  <c r="P476" i="9"/>
  <c r="N476" i="9"/>
  <c r="L476" i="9"/>
  <c r="K476" i="9"/>
  <c r="S475" i="9"/>
  <c r="R475" i="9"/>
  <c r="Q475" i="9"/>
  <c r="P475" i="9"/>
  <c r="N475" i="9"/>
  <c r="L475" i="9"/>
  <c r="K475" i="9"/>
  <c r="S474" i="9"/>
  <c r="R474" i="9"/>
  <c r="Q474" i="9"/>
  <c r="P474" i="9"/>
  <c r="N474" i="9"/>
  <c r="L474" i="9"/>
  <c r="K474" i="9"/>
  <c r="S473" i="9"/>
  <c r="R473" i="9"/>
  <c r="Q473" i="9"/>
  <c r="P473" i="9"/>
  <c r="N473" i="9"/>
  <c r="L473" i="9"/>
  <c r="K473" i="9"/>
  <c r="S472" i="9"/>
  <c r="R472" i="9"/>
  <c r="Q472" i="9"/>
  <c r="P472" i="9"/>
  <c r="N472" i="9"/>
  <c r="L472" i="9"/>
  <c r="K472" i="9"/>
  <c r="S471" i="9"/>
  <c r="R471" i="9"/>
  <c r="Q471" i="9"/>
  <c r="P471" i="9"/>
  <c r="N471" i="9"/>
  <c r="L471" i="9"/>
  <c r="K471" i="9"/>
  <c r="S470" i="9"/>
  <c r="R470" i="9"/>
  <c r="Q470" i="9"/>
  <c r="P470" i="9"/>
  <c r="N470" i="9"/>
  <c r="L470" i="9"/>
  <c r="K470" i="9"/>
  <c r="S469" i="9"/>
  <c r="R469" i="9"/>
  <c r="Q469" i="9"/>
  <c r="P469" i="9"/>
  <c r="N469" i="9"/>
  <c r="L469" i="9"/>
  <c r="K469" i="9"/>
  <c r="S468" i="9"/>
  <c r="R468" i="9"/>
  <c r="Q468" i="9"/>
  <c r="P468" i="9"/>
  <c r="N468" i="9"/>
  <c r="L468" i="9"/>
  <c r="K468" i="9"/>
  <c r="S467" i="9"/>
  <c r="R467" i="9"/>
  <c r="Q467" i="9"/>
  <c r="P467" i="9"/>
  <c r="N467" i="9"/>
  <c r="L467" i="9"/>
  <c r="K467" i="9"/>
  <c r="S466" i="9"/>
  <c r="R466" i="9"/>
  <c r="Q466" i="9"/>
  <c r="P466" i="9"/>
  <c r="N466" i="9"/>
  <c r="L466" i="9"/>
  <c r="K466" i="9"/>
  <c r="S465" i="9"/>
  <c r="R465" i="9"/>
  <c r="Q465" i="9"/>
  <c r="P465" i="9"/>
  <c r="N465" i="9"/>
  <c r="L465" i="9"/>
  <c r="K465" i="9"/>
  <c r="S464" i="9"/>
  <c r="R464" i="9"/>
  <c r="Q464" i="9"/>
  <c r="P464" i="9"/>
  <c r="N464" i="9"/>
  <c r="L464" i="9"/>
  <c r="K464" i="9"/>
  <c r="S463" i="9"/>
  <c r="R463" i="9"/>
  <c r="Q463" i="9"/>
  <c r="P463" i="9"/>
  <c r="N463" i="9"/>
  <c r="L463" i="9"/>
  <c r="K463" i="9"/>
  <c r="S462" i="9"/>
  <c r="R462" i="9"/>
  <c r="Q462" i="9"/>
  <c r="P462" i="9"/>
  <c r="N462" i="9"/>
  <c r="L462" i="9"/>
  <c r="K462" i="9"/>
  <c r="S461" i="9"/>
  <c r="R461" i="9"/>
  <c r="Q461" i="9"/>
  <c r="P461" i="9"/>
  <c r="N461" i="9"/>
  <c r="L461" i="9"/>
  <c r="K461" i="9"/>
  <c r="S460" i="9"/>
  <c r="R460" i="9"/>
  <c r="Q460" i="9"/>
  <c r="P460" i="9"/>
  <c r="N460" i="9"/>
  <c r="L460" i="9"/>
  <c r="K460" i="9"/>
  <c r="S459" i="9"/>
  <c r="R459" i="9"/>
  <c r="Q459" i="9"/>
  <c r="P459" i="9"/>
  <c r="N459" i="9"/>
  <c r="L459" i="9"/>
  <c r="K459" i="9"/>
  <c r="S458" i="9"/>
  <c r="R458" i="9"/>
  <c r="Q458" i="9"/>
  <c r="P458" i="9"/>
  <c r="N458" i="9"/>
  <c r="L458" i="9"/>
  <c r="K458" i="9"/>
  <c r="S457" i="9"/>
  <c r="R457" i="9"/>
  <c r="Q457" i="9"/>
  <c r="P457" i="9"/>
  <c r="N457" i="9"/>
  <c r="L457" i="9"/>
  <c r="K457" i="9"/>
  <c r="S456" i="9"/>
  <c r="R456" i="9"/>
  <c r="Q456" i="9"/>
  <c r="P456" i="9"/>
  <c r="N456" i="9"/>
  <c r="L456" i="9"/>
  <c r="K456" i="9"/>
  <c r="S455" i="9"/>
  <c r="R455" i="9"/>
  <c r="Q455" i="9"/>
  <c r="P455" i="9"/>
  <c r="N455" i="9"/>
  <c r="L455" i="9"/>
  <c r="K455" i="9"/>
  <c r="S454" i="9"/>
  <c r="R454" i="9"/>
  <c r="Q454" i="9"/>
  <c r="P454" i="9"/>
  <c r="N454" i="9"/>
  <c r="L454" i="9"/>
  <c r="K454" i="9"/>
  <c r="S453" i="9"/>
  <c r="R453" i="9"/>
  <c r="Q453" i="9"/>
  <c r="P453" i="9"/>
  <c r="N453" i="9"/>
  <c r="L453" i="9"/>
  <c r="K453" i="9"/>
  <c r="S452" i="9"/>
  <c r="R452" i="9"/>
  <c r="Q452" i="9"/>
  <c r="P452" i="9"/>
  <c r="N452" i="9"/>
  <c r="L452" i="9"/>
  <c r="K452" i="9"/>
  <c r="S451" i="9"/>
  <c r="R451" i="9"/>
  <c r="Q451" i="9"/>
  <c r="P451" i="9"/>
  <c r="N451" i="9"/>
  <c r="L451" i="9"/>
  <c r="K451" i="9"/>
  <c r="S450" i="9"/>
  <c r="R450" i="9"/>
  <c r="Q450" i="9"/>
  <c r="P450" i="9"/>
  <c r="N450" i="9"/>
  <c r="L450" i="9"/>
  <c r="K450" i="9"/>
  <c r="S449" i="9"/>
  <c r="R449" i="9"/>
  <c r="Q449" i="9"/>
  <c r="P449" i="9"/>
  <c r="N449" i="9"/>
  <c r="L449" i="9"/>
  <c r="K449" i="9"/>
  <c r="S448" i="9"/>
  <c r="R448" i="9"/>
  <c r="Q448" i="9"/>
  <c r="P448" i="9"/>
  <c r="N448" i="9"/>
  <c r="L448" i="9"/>
  <c r="K448" i="9"/>
  <c r="S447" i="9"/>
  <c r="R447" i="9"/>
  <c r="Q447" i="9"/>
  <c r="P447" i="9"/>
  <c r="N447" i="9"/>
  <c r="L447" i="9"/>
  <c r="K447" i="9"/>
  <c r="S446" i="9"/>
  <c r="R446" i="9"/>
  <c r="Q446" i="9"/>
  <c r="P446" i="9"/>
  <c r="N446" i="9"/>
  <c r="L446" i="9"/>
  <c r="K446" i="9"/>
  <c r="S445" i="9"/>
  <c r="R445" i="9"/>
  <c r="Q445" i="9"/>
  <c r="P445" i="9"/>
  <c r="N445" i="9"/>
  <c r="L445" i="9"/>
  <c r="K445" i="9"/>
  <c r="S444" i="9"/>
  <c r="R444" i="9"/>
  <c r="Q444" i="9"/>
  <c r="P444" i="9"/>
  <c r="N444" i="9"/>
  <c r="L444" i="9"/>
  <c r="K444" i="9"/>
  <c r="S443" i="9"/>
  <c r="R443" i="9"/>
  <c r="Q443" i="9"/>
  <c r="P443" i="9"/>
  <c r="N443" i="9"/>
  <c r="L443" i="9"/>
  <c r="K443" i="9"/>
  <c r="S442" i="9"/>
  <c r="R442" i="9"/>
  <c r="Q442" i="9"/>
  <c r="P442" i="9"/>
  <c r="N442" i="9"/>
  <c r="L442" i="9"/>
  <c r="K442" i="9"/>
  <c r="S441" i="9"/>
  <c r="R441" i="9"/>
  <c r="Q441" i="9"/>
  <c r="P441" i="9"/>
  <c r="N441" i="9"/>
  <c r="L441" i="9"/>
  <c r="K441" i="9"/>
  <c r="S440" i="9"/>
  <c r="R440" i="9"/>
  <c r="Q440" i="9"/>
  <c r="P440" i="9"/>
  <c r="N440" i="9"/>
  <c r="L440" i="9"/>
  <c r="K440" i="9"/>
  <c r="S439" i="9"/>
  <c r="R439" i="9"/>
  <c r="Q439" i="9"/>
  <c r="P439" i="9"/>
  <c r="N439" i="9"/>
  <c r="L439" i="9"/>
  <c r="K439" i="9"/>
  <c r="S438" i="9"/>
  <c r="R438" i="9"/>
  <c r="Q438" i="9"/>
  <c r="P438" i="9"/>
  <c r="N438" i="9"/>
  <c r="L438" i="9"/>
  <c r="K438" i="9"/>
  <c r="S437" i="9"/>
  <c r="R437" i="9"/>
  <c r="Q437" i="9"/>
  <c r="P437" i="9"/>
  <c r="N437" i="9"/>
  <c r="L437" i="9"/>
  <c r="K437" i="9"/>
  <c r="S436" i="9"/>
  <c r="R436" i="9"/>
  <c r="Q436" i="9"/>
  <c r="P436" i="9"/>
  <c r="N436" i="9"/>
  <c r="L436" i="9"/>
  <c r="K436" i="9"/>
  <c r="S435" i="9"/>
  <c r="R435" i="9"/>
  <c r="Q435" i="9"/>
  <c r="P435" i="9"/>
  <c r="N435" i="9"/>
  <c r="L435" i="9"/>
  <c r="K435" i="9"/>
  <c r="S434" i="9"/>
  <c r="R434" i="9"/>
  <c r="Q434" i="9"/>
  <c r="P434" i="9"/>
  <c r="N434" i="9"/>
  <c r="L434" i="9"/>
  <c r="K434" i="9"/>
  <c r="S433" i="9"/>
  <c r="R433" i="9"/>
  <c r="Q433" i="9"/>
  <c r="P433" i="9"/>
  <c r="N433" i="9"/>
  <c r="L433" i="9"/>
  <c r="K433" i="9"/>
  <c r="S432" i="9"/>
  <c r="R432" i="9"/>
  <c r="Q432" i="9"/>
  <c r="P432" i="9"/>
  <c r="N432" i="9"/>
  <c r="L432" i="9"/>
  <c r="K432" i="9"/>
  <c r="S431" i="9"/>
  <c r="R431" i="9"/>
  <c r="Q431" i="9"/>
  <c r="P431" i="9"/>
  <c r="N431" i="9"/>
  <c r="L431" i="9"/>
  <c r="K431" i="9"/>
  <c r="S430" i="9"/>
  <c r="R430" i="9"/>
  <c r="Q430" i="9"/>
  <c r="P430" i="9"/>
  <c r="N430" i="9"/>
  <c r="L430" i="9"/>
  <c r="K430" i="9"/>
  <c r="S429" i="9"/>
  <c r="R429" i="9"/>
  <c r="Q429" i="9"/>
  <c r="P429" i="9"/>
  <c r="N429" i="9"/>
  <c r="L429" i="9"/>
  <c r="K429" i="9"/>
  <c r="S428" i="9"/>
  <c r="R428" i="9"/>
  <c r="Q428" i="9"/>
  <c r="P428" i="9"/>
  <c r="N428" i="9"/>
  <c r="L428" i="9"/>
  <c r="K428" i="9"/>
  <c r="S427" i="9"/>
  <c r="R427" i="9"/>
  <c r="Q427" i="9"/>
  <c r="P427" i="9"/>
  <c r="N427" i="9"/>
  <c r="L427" i="9"/>
  <c r="K427" i="9"/>
  <c r="S426" i="9"/>
  <c r="R426" i="9"/>
  <c r="Q426" i="9"/>
  <c r="P426" i="9"/>
  <c r="N426" i="9"/>
  <c r="L426" i="9"/>
  <c r="K426" i="9"/>
  <c r="S425" i="9"/>
  <c r="R425" i="9"/>
  <c r="Q425" i="9"/>
  <c r="P425" i="9"/>
  <c r="N425" i="9"/>
  <c r="L425" i="9"/>
  <c r="K425" i="9"/>
  <c r="S424" i="9"/>
  <c r="R424" i="9"/>
  <c r="Q424" i="9"/>
  <c r="P424" i="9"/>
  <c r="N424" i="9"/>
  <c r="L424" i="9"/>
  <c r="K424" i="9"/>
  <c r="S423" i="9"/>
  <c r="R423" i="9"/>
  <c r="Q423" i="9"/>
  <c r="P423" i="9"/>
  <c r="N423" i="9"/>
  <c r="L423" i="9"/>
  <c r="K423" i="9"/>
  <c r="S422" i="9"/>
  <c r="R422" i="9"/>
  <c r="Q422" i="9"/>
  <c r="P422" i="9"/>
  <c r="N422" i="9"/>
  <c r="L422" i="9"/>
  <c r="K422" i="9"/>
  <c r="S421" i="9"/>
  <c r="R421" i="9"/>
  <c r="Q421" i="9"/>
  <c r="P421" i="9"/>
  <c r="N421" i="9"/>
  <c r="L421" i="9"/>
  <c r="K421" i="9"/>
  <c r="S420" i="9"/>
  <c r="R420" i="9"/>
  <c r="Q420" i="9"/>
  <c r="P420" i="9"/>
  <c r="N420" i="9"/>
  <c r="L420" i="9"/>
  <c r="K420" i="9"/>
  <c r="S419" i="9"/>
  <c r="R419" i="9"/>
  <c r="Q419" i="9"/>
  <c r="P419" i="9"/>
  <c r="N419" i="9"/>
  <c r="L419" i="9"/>
  <c r="K419" i="9"/>
  <c r="S418" i="9"/>
  <c r="R418" i="9"/>
  <c r="Q418" i="9"/>
  <c r="P418" i="9"/>
  <c r="N418" i="9"/>
  <c r="L418" i="9"/>
  <c r="K418" i="9"/>
  <c r="S417" i="9"/>
  <c r="R417" i="9"/>
  <c r="Q417" i="9"/>
  <c r="P417" i="9"/>
  <c r="N417" i="9"/>
  <c r="L417" i="9"/>
  <c r="K417" i="9"/>
  <c r="S416" i="9"/>
  <c r="R416" i="9"/>
  <c r="Q416" i="9"/>
  <c r="P416" i="9"/>
  <c r="N416" i="9"/>
  <c r="L416" i="9"/>
  <c r="K416" i="9"/>
  <c r="S415" i="9"/>
  <c r="R415" i="9"/>
  <c r="Q415" i="9"/>
  <c r="P415" i="9"/>
  <c r="N415" i="9"/>
  <c r="L415" i="9"/>
  <c r="K415" i="9"/>
  <c r="S414" i="9"/>
  <c r="R414" i="9"/>
  <c r="Q414" i="9"/>
  <c r="P414" i="9"/>
  <c r="N414" i="9"/>
  <c r="L414" i="9"/>
  <c r="K414" i="9"/>
  <c r="S413" i="9"/>
  <c r="R413" i="9"/>
  <c r="Q413" i="9"/>
  <c r="P413" i="9"/>
  <c r="N413" i="9"/>
  <c r="L413" i="9"/>
  <c r="K413" i="9"/>
  <c r="S412" i="9"/>
  <c r="R412" i="9"/>
  <c r="Q412" i="9"/>
  <c r="P412" i="9"/>
  <c r="N412" i="9"/>
  <c r="M412" i="9"/>
  <c r="L412" i="9"/>
  <c r="K412" i="9"/>
  <c r="S411" i="9"/>
  <c r="R411" i="9"/>
  <c r="Q411" i="9"/>
  <c r="P411" i="9"/>
  <c r="N411" i="9"/>
  <c r="L411" i="9"/>
  <c r="K411" i="9"/>
  <c r="S410" i="9"/>
  <c r="R410" i="9"/>
  <c r="Q410" i="9"/>
  <c r="P410" i="9"/>
  <c r="N410" i="9"/>
  <c r="L410" i="9"/>
  <c r="K410" i="9"/>
  <c r="S409" i="9"/>
  <c r="R409" i="9"/>
  <c r="Q409" i="9"/>
  <c r="P409" i="9"/>
  <c r="N409" i="9"/>
  <c r="L409" i="9"/>
  <c r="K409" i="9"/>
  <c r="S408" i="9"/>
  <c r="R408" i="9"/>
  <c r="Q408" i="9"/>
  <c r="P408" i="9"/>
  <c r="N408" i="9"/>
  <c r="L408" i="9"/>
  <c r="K408" i="9"/>
  <c r="S407" i="9"/>
  <c r="R407" i="9"/>
  <c r="Q407" i="9"/>
  <c r="P407" i="9"/>
  <c r="N407" i="9"/>
  <c r="L407" i="9"/>
  <c r="K407" i="9"/>
  <c r="S406" i="9"/>
  <c r="R406" i="9"/>
  <c r="Q406" i="9"/>
  <c r="P406" i="9"/>
  <c r="N406" i="9"/>
  <c r="L406" i="9"/>
  <c r="K406" i="9"/>
  <c r="S405" i="9"/>
  <c r="R405" i="9"/>
  <c r="Q405" i="9"/>
  <c r="P405" i="9"/>
  <c r="N405" i="9"/>
  <c r="L405" i="9"/>
  <c r="K405" i="9"/>
  <c r="S404" i="9"/>
  <c r="R404" i="9"/>
  <c r="Q404" i="9"/>
  <c r="P404" i="9"/>
  <c r="N404" i="9"/>
  <c r="L404" i="9"/>
  <c r="K404" i="9"/>
  <c r="S403" i="9"/>
  <c r="R403" i="9"/>
  <c r="Q403" i="9"/>
  <c r="P403" i="9"/>
  <c r="N403" i="9"/>
  <c r="L403" i="9"/>
  <c r="K403" i="9"/>
  <c r="S402" i="9"/>
  <c r="R402" i="9"/>
  <c r="Q402" i="9"/>
  <c r="P402" i="9"/>
  <c r="N402" i="9"/>
  <c r="L402" i="9"/>
  <c r="K402" i="9"/>
  <c r="S401" i="9"/>
  <c r="R401" i="9"/>
  <c r="Q401" i="9"/>
  <c r="P401" i="9"/>
  <c r="N401" i="9"/>
  <c r="L401" i="9"/>
  <c r="K401" i="9"/>
  <c r="S400" i="9"/>
  <c r="R400" i="9"/>
  <c r="Q400" i="9"/>
  <c r="P400" i="9"/>
  <c r="N400" i="9"/>
  <c r="L400" i="9"/>
  <c r="K400" i="9"/>
  <c r="S399" i="9"/>
  <c r="R399" i="9"/>
  <c r="Q399" i="9"/>
  <c r="P399" i="9"/>
  <c r="N399" i="9"/>
  <c r="L399" i="9"/>
  <c r="K399" i="9"/>
  <c r="S398" i="9"/>
  <c r="R398" i="9"/>
  <c r="Q398" i="9"/>
  <c r="P398" i="9"/>
  <c r="N398" i="9"/>
  <c r="L398" i="9"/>
  <c r="K398" i="9"/>
  <c r="S397" i="9"/>
  <c r="R397" i="9"/>
  <c r="Q397" i="9"/>
  <c r="P397" i="9"/>
  <c r="N397" i="9"/>
  <c r="L397" i="9"/>
  <c r="K397" i="9"/>
  <c r="S396" i="9"/>
  <c r="R396" i="9"/>
  <c r="Q396" i="9"/>
  <c r="P396" i="9"/>
  <c r="N396" i="9"/>
  <c r="L396" i="9"/>
  <c r="K396" i="9"/>
  <c r="S395" i="9"/>
  <c r="R395" i="9"/>
  <c r="Q395" i="9"/>
  <c r="P395" i="9"/>
  <c r="N395" i="9"/>
  <c r="L395" i="9"/>
  <c r="K395" i="9"/>
  <c r="S394" i="9"/>
  <c r="R394" i="9"/>
  <c r="Q394" i="9"/>
  <c r="P394" i="9"/>
  <c r="N394" i="9"/>
  <c r="L394" i="9"/>
  <c r="K394" i="9"/>
  <c r="S393" i="9"/>
  <c r="R393" i="9"/>
  <c r="Q393" i="9"/>
  <c r="P393" i="9"/>
  <c r="N393" i="9"/>
  <c r="L393" i="9"/>
  <c r="K393" i="9"/>
  <c r="S392" i="9"/>
  <c r="R392" i="9"/>
  <c r="Q392" i="9"/>
  <c r="P392" i="9"/>
  <c r="N392" i="9"/>
  <c r="L392" i="9"/>
  <c r="K392" i="9"/>
  <c r="S391" i="9"/>
  <c r="R391" i="9"/>
  <c r="Q391" i="9"/>
  <c r="P391" i="9"/>
  <c r="N391" i="9"/>
  <c r="L391" i="9"/>
  <c r="K391" i="9"/>
  <c r="S390" i="9"/>
  <c r="R390" i="9"/>
  <c r="Q390" i="9"/>
  <c r="P390" i="9"/>
  <c r="N390" i="9"/>
  <c r="M390" i="9"/>
  <c r="L390" i="9"/>
  <c r="K390" i="9"/>
  <c r="S389" i="9"/>
  <c r="R389" i="9"/>
  <c r="Q389" i="9"/>
  <c r="P389" i="9"/>
  <c r="N389" i="9"/>
  <c r="L389" i="9"/>
  <c r="K389" i="9"/>
  <c r="S388" i="9"/>
  <c r="R388" i="9"/>
  <c r="Q388" i="9"/>
  <c r="P388" i="9"/>
  <c r="N388" i="9"/>
  <c r="L388" i="9"/>
  <c r="K388" i="9"/>
  <c r="S387" i="9"/>
  <c r="R387" i="9"/>
  <c r="Q387" i="9"/>
  <c r="P387" i="9"/>
  <c r="N387" i="9"/>
  <c r="M387" i="9"/>
  <c r="L387" i="9"/>
  <c r="K387" i="9"/>
  <c r="S386" i="9"/>
  <c r="R386" i="9"/>
  <c r="Q386" i="9"/>
  <c r="P386" i="9"/>
  <c r="N386" i="9"/>
  <c r="M386" i="9"/>
  <c r="L386" i="9"/>
  <c r="K386" i="9"/>
  <c r="S385" i="9"/>
  <c r="R385" i="9"/>
  <c r="Q385" i="9"/>
  <c r="P385" i="9"/>
  <c r="N385" i="9"/>
  <c r="M385" i="9"/>
  <c r="L385" i="9"/>
  <c r="K385" i="9"/>
  <c r="S384" i="9"/>
  <c r="R384" i="9"/>
  <c r="Q384" i="9"/>
  <c r="P384" i="9"/>
  <c r="N384" i="9"/>
  <c r="M384" i="9"/>
  <c r="L384" i="9"/>
  <c r="K384" i="9"/>
  <c r="S383" i="9"/>
  <c r="R383" i="9"/>
  <c r="Q383" i="9"/>
  <c r="P383" i="9"/>
  <c r="N383" i="9"/>
  <c r="L383" i="9"/>
  <c r="K383" i="9"/>
  <c r="S382" i="9"/>
  <c r="R382" i="9"/>
  <c r="Q382" i="9"/>
  <c r="P382" i="9"/>
  <c r="N382" i="9"/>
  <c r="L382" i="9"/>
  <c r="K382" i="9"/>
  <c r="S381" i="9"/>
  <c r="R381" i="9"/>
  <c r="Q381" i="9"/>
  <c r="P381" i="9"/>
  <c r="N381" i="9"/>
  <c r="L381" i="9"/>
  <c r="K381" i="9"/>
  <c r="S380" i="9"/>
  <c r="R380" i="9"/>
  <c r="Q380" i="9"/>
  <c r="P380" i="9"/>
  <c r="N380" i="9"/>
  <c r="L380" i="9"/>
  <c r="K380" i="9"/>
  <c r="S379" i="9"/>
  <c r="R379" i="9"/>
  <c r="Q379" i="9"/>
  <c r="P379" i="9"/>
  <c r="N379" i="9"/>
  <c r="M379" i="9"/>
  <c r="L379" i="9"/>
  <c r="K379" i="9"/>
  <c r="S378" i="9"/>
  <c r="R378" i="9"/>
  <c r="Q378" i="9"/>
  <c r="P378" i="9"/>
  <c r="N378" i="9"/>
  <c r="M378" i="9"/>
  <c r="L378" i="9"/>
  <c r="K378" i="9"/>
  <c r="S377" i="9"/>
  <c r="R377" i="9"/>
  <c r="Q377" i="9"/>
  <c r="P377" i="9"/>
  <c r="N377" i="9"/>
  <c r="M377" i="9"/>
  <c r="L377" i="9"/>
  <c r="K377" i="9"/>
  <c r="S376" i="9"/>
  <c r="R376" i="9"/>
  <c r="Q376" i="9"/>
  <c r="P376" i="9"/>
  <c r="N376" i="9"/>
  <c r="L376" i="9"/>
  <c r="K376" i="9"/>
  <c r="S375" i="9"/>
  <c r="R375" i="9"/>
  <c r="Q375" i="9"/>
  <c r="P375" i="9"/>
  <c r="N375" i="9"/>
  <c r="L375" i="9"/>
  <c r="K375" i="9"/>
  <c r="S374" i="9"/>
  <c r="R374" i="9"/>
  <c r="Q374" i="9"/>
  <c r="P374" i="9"/>
  <c r="N374" i="9"/>
  <c r="M374" i="9"/>
  <c r="L374" i="9"/>
  <c r="K374" i="9"/>
  <c r="S373" i="9"/>
  <c r="R373" i="9"/>
  <c r="Q373" i="9"/>
  <c r="P373" i="9"/>
  <c r="N373" i="9"/>
  <c r="L373" i="9"/>
  <c r="K373" i="9"/>
  <c r="S372" i="9"/>
  <c r="R372" i="9"/>
  <c r="Q372" i="9"/>
  <c r="P372" i="9"/>
  <c r="N372" i="9"/>
  <c r="L372" i="9"/>
  <c r="K372" i="9"/>
  <c r="S371" i="9"/>
  <c r="R371" i="9"/>
  <c r="Q371" i="9"/>
  <c r="P371" i="9"/>
  <c r="N371" i="9"/>
  <c r="M371" i="9"/>
  <c r="L371" i="9"/>
  <c r="K371" i="9"/>
  <c r="S370" i="9"/>
  <c r="R370" i="9"/>
  <c r="Q370" i="9"/>
  <c r="P370" i="9"/>
  <c r="N370" i="9"/>
  <c r="L370" i="9"/>
  <c r="K370" i="9"/>
  <c r="S369" i="9"/>
  <c r="R369" i="9"/>
  <c r="Q369" i="9"/>
  <c r="P369" i="9"/>
  <c r="N369" i="9"/>
  <c r="L369" i="9"/>
  <c r="K369" i="9"/>
  <c r="S368" i="9"/>
  <c r="R368" i="9"/>
  <c r="Q368" i="9"/>
  <c r="P368" i="9"/>
  <c r="N368" i="9"/>
  <c r="L368" i="9"/>
  <c r="K368" i="9"/>
  <c r="S367" i="9"/>
  <c r="R367" i="9"/>
  <c r="Q367" i="9"/>
  <c r="P367" i="9"/>
  <c r="N367" i="9"/>
  <c r="L367" i="9"/>
  <c r="K367" i="9"/>
  <c r="S366" i="9"/>
  <c r="R366" i="9"/>
  <c r="Q366" i="9"/>
  <c r="P366" i="9"/>
  <c r="N366" i="9"/>
  <c r="L366" i="9"/>
  <c r="K366" i="9"/>
  <c r="S365" i="9"/>
  <c r="R365" i="9"/>
  <c r="Q365" i="9"/>
  <c r="P365" i="9"/>
  <c r="N365" i="9"/>
  <c r="L365" i="9"/>
  <c r="K365" i="9"/>
  <c r="S364" i="9"/>
  <c r="R364" i="9"/>
  <c r="Q364" i="9"/>
  <c r="P364" i="9"/>
  <c r="N364" i="9"/>
  <c r="L364" i="9"/>
  <c r="K364" i="9"/>
  <c r="S363" i="9"/>
  <c r="R363" i="9"/>
  <c r="Q363" i="9"/>
  <c r="P363" i="9"/>
  <c r="N363" i="9"/>
  <c r="L363" i="9"/>
  <c r="K363" i="9"/>
  <c r="S362" i="9"/>
  <c r="R362" i="9"/>
  <c r="Q362" i="9"/>
  <c r="P362" i="9"/>
  <c r="N362" i="9"/>
  <c r="L362" i="9"/>
  <c r="K362" i="9"/>
  <c r="S361" i="9"/>
  <c r="R361" i="9"/>
  <c r="Q361" i="9"/>
  <c r="P361" i="9"/>
  <c r="N361" i="9"/>
  <c r="L361" i="9"/>
  <c r="K361" i="9"/>
  <c r="S360" i="9"/>
  <c r="R360" i="9"/>
  <c r="Q360" i="9"/>
  <c r="P360" i="9"/>
  <c r="N360" i="9"/>
  <c r="L360" i="9"/>
  <c r="K360" i="9"/>
  <c r="S359" i="9"/>
  <c r="R359" i="9"/>
  <c r="Q359" i="9"/>
  <c r="P359" i="9"/>
  <c r="N359" i="9"/>
  <c r="L359" i="9"/>
  <c r="K359" i="9"/>
  <c r="S358" i="9"/>
  <c r="R358" i="9"/>
  <c r="Q358" i="9"/>
  <c r="P358" i="9"/>
  <c r="N358" i="9"/>
  <c r="L358" i="9"/>
  <c r="K358" i="9"/>
  <c r="S357" i="9"/>
  <c r="R357" i="9"/>
  <c r="Q357" i="9"/>
  <c r="P357" i="9"/>
  <c r="N357" i="9"/>
  <c r="L357" i="9"/>
  <c r="K357" i="9"/>
  <c r="S356" i="9"/>
  <c r="R356" i="9"/>
  <c r="Q356" i="9"/>
  <c r="P356" i="9"/>
  <c r="N356" i="9"/>
  <c r="L356" i="9"/>
  <c r="K356" i="9"/>
  <c r="S355" i="9"/>
  <c r="R355" i="9"/>
  <c r="Q355" i="9"/>
  <c r="P355" i="9"/>
  <c r="N355" i="9"/>
  <c r="L355" i="9"/>
  <c r="K355" i="9"/>
  <c r="S354" i="9"/>
  <c r="R354" i="9"/>
  <c r="Q354" i="9"/>
  <c r="P354" i="9"/>
  <c r="N354" i="9"/>
  <c r="L354" i="9"/>
  <c r="K354" i="9"/>
  <c r="S353" i="9"/>
  <c r="R353" i="9"/>
  <c r="Q353" i="9"/>
  <c r="P353" i="9"/>
  <c r="N353" i="9"/>
  <c r="L353" i="9"/>
  <c r="K353" i="9"/>
  <c r="S352" i="9"/>
  <c r="R352" i="9"/>
  <c r="Q352" i="9"/>
  <c r="P352" i="9"/>
  <c r="N352" i="9"/>
  <c r="L352" i="9"/>
  <c r="K352" i="9"/>
  <c r="S351" i="9"/>
  <c r="R351" i="9"/>
  <c r="Q351" i="9"/>
  <c r="P351" i="9"/>
  <c r="N351" i="9"/>
  <c r="L351" i="9"/>
  <c r="K351" i="9"/>
  <c r="S350" i="9"/>
  <c r="R350" i="9"/>
  <c r="Q350" i="9"/>
  <c r="P350" i="9"/>
  <c r="N350" i="9"/>
  <c r="L350" i="9"/>
  <c r="K350" i="9"/>
  <c r="S349" i="9"/>
  <c r="R349" i="9"/>
  <c r="Q349" i="9"/>
  <c r="P349" i="9"/>
  <c r="N349" i="9"/>
  <c r="L349" i="9"/>
  <c r="K349" i="9"/>
  <c r="S348" i="9"/>
  <c r="R348" i="9"/>
  <c r="Q348" i="9"/>
  <c r="P348" i="9"/>
  <c r="N348" i="9"/>
  <c r="L348" i="9"/>
  <c r="K348" i="9"/>
  <c r="S347" i="9"/>
  <c r="R347" i="9"/>
  <c r="Q347" i="9"/>
  <c r="P347" i="9"/>
  <c r="N347" i="9"/>
  <c r="L347" i="9"/>
  <c r="K347" i="9"/>
  <c r="S346" i="9"/>
  <c r="R346" i="9"/>
  <c r="Q346" i="9"/>
  <c r="P346" i="9"/>
  <c r="N346" i="9"/>
  <c r="L346" i="9"/>
  <c r="K346" i="9"/>
  <c r="S345" i="9"/>
  <c r="R345" i="9"/>
  <c r="Q345" i="9"/>
  <c r="P345" i="9"/>
  <c r="N345" i="9"/>
  <c r="L345" i="9"/>
  <c r="K345" i="9"/>
  <c r="S344" i="9"/>
  <c r="R344" i="9"/>
  <c r="Q344" i="9"/>
  <c r="P344" i="9"/>
  <c r="N344" i="9"/>
  <c r="L344" i="9"/>
  <c r="K344" i="9"/>
  <c r="S343" i="9"/>
  <c r="R343" i="9"/>
  <c r="Q343" i="9"/>
  <c r="P343" i="9"/>
  <c r="N343" i="9"/>
  <c r="L343" i="9"/>
  <c r="K343" i="9"/>
  <c r="S342" i="9"/>
  <c r="R342" i="9"/>
  <c r="Q342" i="9"/>
  <c r="P342" i="9"/>
  <c r="N342" i="9"/>
  <c r="L342" i="9"/>
  <c r="K342" i="9"/>
  <c r="S341" i="9"/>
  <c r="R341" i="9"/>
  <c r="Q341" i="9"/>
  <c r="P341" i="9"/>
  <c r="N341" i="9"/>
  <c r="L341" i="9"/>
  <c r="K341" i="9"/>
  <c r="S340" i="9"/>
  <c r="R340" i="9"/>
  <c r="Q340" i="9"/>
  <c r="P340" i="9"/>
  <c r="N340" i="9"/>
  <c r="L340" i="9"/>
  <c r="K340" i="9"/>
  <c r="S339" i="9"/>
  <c r="R339" i="9"/>
  <c r="Q339" i="9"/>
  <c r="P339" i="9"/>
  <c r="N339" i="9"/>
  <c r="L339" i="9"/>
  <c r="K339" i="9"/>
  <c r="S338" i="9"/>
  <c r="R338" i="9"/>
  <c r="Q338" i="9"/>
  <c r="P338" i="9"/>
  <c r="N338" i="9"/>
  <c r="L338" i="9"/>
  <c r="K338" i="9"/>
  <c r="S337" i="9"/>
  <c r="R337" i="9"/>
  <c r="Q337" i="9"/>
  <c r="P337" i="9"/>
  <c r="N337" i="9"/>
  <c r="M337" i="9"/>
  <c r="L337" i="9"/>
  <c r="K337" i="9"/>
  <c r="S336" i="9"/>
  <c r="R336" i="9"/>
  <c r="Q336" i="9"/>
  <c r="P336" i="9"/>
  <c r="N336" i="9"/>
  <c r="L336" i="9"/>
  <c r="K336" i="9"/>
  <c r="S335" i="9"/>
  <c r="R335" i="9"/>
  <c r="Q335" i="9"/>
  <c r="P335" i="9"/>
  <c r="N335" i="9"/>
  <c r="L335" i="9"/>
  <c r="K335" i="9"/>
  <c r="S334" i="9"/>
  <c r="R334" i="9"/>
  <c r="Q334" i="9"/>
  <c r="P334" i="9"/>
  <c r="N334" i="9"/>
  <c r="M334" i="9"/>
  <c r="L334" i="9"/>
  <c r="K334" i="9"/>
  <c r="S333" i="9"/>
  <c r="R333" i="9"/>
  <c r="Q333" i="9"/>
  <c r="P333" i="9"/>
  <c r="N333" i="9"/>
  <c r="L333" i="9"/>
  <c r="K333" i="9"/>
  <c r="S332" i="9"/>
  <c r="R332" i="9"/>
  <c r="Q332" i="9"/>
  <c r="P332" i="9"/>
  <c r="N332" i="9"/>
  <c r="L332" i="9"/>
  <c r="K332" i="9"/>
  <c r="S331" i="9"/>
  <c r="R331" i="9"/>
  <c r="Q331" i="9"/>
  <c r="P331" i="9"/>
  <c r="N331" i="9"/>
  <c r="L331" i="9"/>
  <c r="K331" i="9"/>
  <c r="S330" i="9"/>
  <c r="R330" i="9"/>
  <c r="Q330" i="9"/>
  <c r="P330" i="9"/>
  <c r="N330" i="9"/>
  <c r="L330" i="9"/>
  <c r="K330" i="9"/>
  <c r="S329" i="9"/>
  <c r="R329" i="9"/>
  <c r="Q329" i="9"/>
  <c r="P329" i="9"/>
  <c r="N329" i="9"/>
  <c r="L329" i="9"/>
  <c r="K329" i="9"/>
  <c r="S328" i="9"/>
  <c r="R328" i="9"/>
  <c r="Q328" i="9"/>
  <c r="P328" i="9"/>
  <c r="N328" i="9"/>
  <c r="L328" i="9"/>
  <c r="K328" i="9"/>
  <c r="S327" i="9"/>
  <c r="R327" i="9"/>
  <c r="Q327" i="9"/>
  <c r="P327" i="9"/>
  <c r="N327" i="9"/>
  <c r="L327" i="9"/>
  <c r="K327" i="9"/>
  <c r="S326" i="9"/>
  <c r="R326" i="9"/>
  <c r="Q326" i="9"/>
  <c r="P326" i="9"/>
  <c r="N326" i="9"/>
  <c r="L326" i="9"/>
  <c r="K326" i="9"/>
  <c r="S325" i="9"/>
  <c r="R325" i="9"/>
  <c r="Q325" i="9"/>
  <c r="P325" i="9"/>
  <c r="N325" i="9"/>
  <c r="L325" i="9"/>
  <c r="K325" i="9"/>
  <c r="S324" i="9"/>
  <c r="R324" i="9"/>
  <c r="Q324" i="9"/>
  <c r="P324" i="9"/>
  <c r="N324" i="9"/>
  <c r="L324" i="9"/>
  <c r="K324" i="9"/>
  <c r="S323" i="9"/>
  <c r="R323" i="9"/>
  <c r="Q323" i="9"/>
  <c r="P323" i="9"/>
  <c r="N323" i="9"/>
  <c r="L323" i="9"/>
  <c r="K323" i="9"/>
  <c r="S322" i="9"/>
  <c r="R322" i="9"/>
  <c r="Q322" i="9"/>
  <c r="P322" i="9"/>
  <c r="N322" i="9"/>
  <c r="L322" i="9"/>
  <c r="K322" i="9"/>
  <c r="S321" i="9"/>
  <c r="R321" i="9"/>
  <c r="Q321" i="9"/>
  <c r="P321" i="9"/>
  <c r="N321" i="9"/>
  <c r="L321" i="9"/>
  <c r="K321" i="9"/>
  <c r="S320" i="9"/>
  <c r="R320" i="9"/>
  <c r="Q320" i="9"/>
  <c r="P320" i="9"/>
  <c r="N320" i="9"/>
  <c r="L320" i="9"/>
  <c r="K320" i="9"/>
  <c r="S319" i="9"/>
  <c r="R319" i="9"/>
  <c r="Q319" i="9"/>
  <c r="P319" i="9"/>
  <c r="N319" i="9"/>
  <c r="L319" i="9"/>
  <c r="K319" i="9"/>
  <c r="S318" i="9"/>
  <c r="R318" i="9"/>
  <c r="Q318" i="9"/>
  <c r="P318" i="9"/>
  <c r="N318" i="9"/>
  <c r="L318" i="9"/>
  <c r="K318" i="9"/>
  <c r="S317" i="9"/>
  <c r="R317" i="9"/>
  <c r="Q317" i="9"/>
  <c r="P317" i="9"/>
  <c r="N317" i="9"/>
  <c r="L317" i="9"/>
  <c r="K317" i="9"/>
  <c r="S316" i="9"/>
  <c r="R316" i="9"/>
  <c r="Q316" i="9"/>
  <c r="P316" i="9"/>
  <c r="N316" i="9"/>
  <c r="L316" i="9"/>
  <c r="K316" i="9"/>
  <c r="S315" i="9"/>
  <c r="R315" i="9"/>
  <c r="Q315" i="9"/>
  <c r="P315" i="9"/>
  <c r="N315" i="9"/>
  <c r="L315" i="9"/>
  <c r="K315" i="9"/>
  <c r="S314" i="9"/>
  <c r="R314" i="9"/>
  <c r="Q314" i="9"/>
  <c r="P314" i="9"/>
  <c r="N314" i="9"/>
  <c r="L314" i="9"/>
  <c r="K314" i="9"/>
  <c r="S313" i="9"/>
  <c r="R313" i="9"/>
  <c r="Q313" i="9"/>
  <c r="P313" i="9"/>
  <c r="N313" i="9"/>
  <c r="L313" i="9"/>
  <c r="K313" i="9"/>
  <c r="S312" i="9"/>
  <c r="R312" i="9"/>
  <c r="Q312" i="9"/>
  <c r="P312" i="9"/>
  <c r="N312" i="9"/>
  <c r="L312" i="9"/>
  <c r="K312" i="9"/>
  <c r="S311" i="9"/>
  <c r="R311" i="9"/>
  <c r="Q311" i="9"/>
  <c r="P311" i="9"/>
  <c r="N311" i="9"/>
  <c r="L311" i="9"/>
  <c r="K311" i="9"/>
  <c r="S310" i="9"/>
  <c r="R310" i="9"/>
  <c r="Q310" i="9"/>
  <c r="P310" i="9"/>
  <c r="N310" i="9"/>
  <c r="L310" i="9"/>
  <c r="K310" i="9"/>
  <c r="S309" i="9"/>
  <c r="R309" i="9"/>
  <c r="Q309" i="9"/>
  <c r="P309" i="9"/>
  <c r="N309" i="9"/>
  <c r="L309" i="9"/>
  <c r="K309" i="9"/>
  <c r="S308" i="9"/>
  <c r="R308" i="9"/>
  <c r="Q308" i="9"/>
  <c r="P308" i="9"/>
  <c r="N308" i="9"/>
  <c r="L308" i="9"/>
  <c r="K308" i="9"/>
  <c r="S307" i="9"/>
  <c r="R307" i="9"/>
  <c r="Q307" i="9"/>
  <c r="P307" i="9"/>
  <c r="N307" i="9"/>
  <c r="L307" i="9"/>
  <c r="K307" i="9"/>
  <c r="S306" i="9"/>
  <c r="R306" i="9"/>
  <c r="Q306" i="9"/>
  <c r="P306" i="9"/>
  <c r="N306" i="9"/>
  <c r="L306" i="9"/>
  <c r="K306" i="9"/>
  <c r="S305" i="9"/>
  <c r="R305" i="9"/>
  <c r="Q305" i="9"/>
  <c r="P305" i="9"/>
  <c r="N305" i="9"/>
  <c r="L305" i="9"/>
  <c r="K305" i="9"/>
  <c r="S304" i="9"/>
  <c r="R304" i="9"/>
  <c r="Q304" i="9"/>
  <c r="P304" i="9"/>
  <c r="N304" i="9"/>
  <c r="L304" i="9"/>
  <c r="K304" i="9"/>
  <c r="S303" i="9"/>
  <c r="R303" i="9"/>
  <c r="Q303" i="9"/>
  <c r="P303" i="9"/>
  <c r="N303" i="9"/>
  <c r="L303" i="9"/>
  <c r="K303" i="9"/>
  <c r="S302" i="9"/>
  <c r="R302" i="9"/>
  <c r="Q302" i="9"/>
  <c r="P302" i="9"/>
  <c r="O302" i="9"/>
  <c r="N302" i="9"/>
  <c r="L302" i="9"/>
  <c r="K302" i="9"/>
  <c r="S301" i="9"/>
  <c r="R301" i="9"/>
  <c r="Q301" i="9"/>
  <c r="P301" i="9"/>
  <c r="N301" i="9"/>
  <c r="L301" i="9"/>
  <c r="K301" i="9"/>
  <c r="S300" i="9"/>
  <c r="R300" i="9"/>
  <c r="Q300" i="9"/>
  <c r="P300" i="9"/>
  <c r="N300" i="9"/>
  <c r="L300" i="9"/>
  <c r="K300" i="9"/>
  <c r="S299" i="9"/>
  <c r="R299" i="9"/>
  <c r="Q299" i="9"/>
  <c r="P299" i="9"/>
  <c r="N299" i="9"/>
  <c r="L299" i="9"/>
  <c r="K299" i="9"/>
  <c r="S298" i="9"/>
  <c r="R298" i="9"/>
  <c r="Q298" i="9"/>
  <c r="P298" i="9"/>
  <c r="N298" i="9"/>
  <c r="L298" i="9"/>
  <c r="K298" i="9"/>
  <c r="S297" i="9"/>
  <c r="R297" i="9"/>
  <c r="Q297" i="9"/>
  <c r="P297" i="9"/>
  <c r="N297" i="9"/>
  <c r="L297" i="9"/>
  <c r="K297" i="9"/>
  <c r="S296" i="9"/>
  <c r="R296" i="9"/>
  <c r="Q296" i="9"/>
  <c r="P296" i="9"/>
  <c r="N296" i="9"/>
  <c r="L296" i="9"/>
  <c r="K296" i="9"/>
  <c r="S295" i="9"/>
  <c r="R295" i="9"/>
  <c r="Q295" i="9"/>
  <c r="P295" i="9"/>
  <c r="N295" i="9"/>
  <c r="L295" i="9"/>
  <c r="K295" i="9"/>
  <c r="S294" i="9"/>
  <c r="R294" i="9"/>
  <c r="Q294" i="9"/>
  <c r="P294" i="9"/>
  <c r="N294" i="9"/>
  <c r="L294" i="9"/>
  <c r="K294" i="9"/>
  <c r="S293" i="9"/>
  <c r="R293" i="9"/>
  <c r="Q293" i="9"/>
  <c r="P293" i="9"/>
  <c r="N293" i="9"/>
  <c r="L293" i="9"/>
  <c r="K293" i="9"/>
  <c r="S292" i="9"/>
  <c r="R292" i="9"/>
  <c r="Q292" i="9"/>
  <c r="P292" i="9"/>
  <c r="N292" i="9"/>
  <c r="L292" i="9"/>
  <c r="K292" i="9"/>
  <c r="S291" i="9"/>
  <c r="R291" i="9"/>
  <c r="Q291" i="9"/>
  <c r="P291" i="9"/>
  <c r="N291" i="9"/>
  <c r="L291" i="9"/>
  <c r="K291" i="9"/>
  <c r="S290" i="9"/>
  <c r="R290" i="9"/>
  <c r="Q290" i="9"/>
  <c r="P290" i="9"/>
  <c r="N290" i="9"/>
  <c r="L290" i="9"/>
  <c r="K290" i="9"/>
  <c r="S289" i="9"/>
  <c r="R289" i="9"/>
  <c r="Q289" i="9"/>
  <c r="P289" i="9"/>
  <c r="N289" i="9"/>
  <c r="L289" i="9"/>
  <c r="K289" i="9"/>
  <c r="S288" i="9"/>
  <c r="R288" i="9"/>
  <c r="Q288" i="9"/>
  <c r="P288" i="9"/>
  <c r="N288" i="9"/>
  <c r="L288" i="9"/>
  <c r="K288" i="9"/>
  <c r="S287" i="9"/>
  <c r="R287" i="9"/>
  <c r="Q287" i="9"/>
  <c r="P287" i="9"/>
  <c r="N287" i="9"/>
  <c r="L287" i="9"/>
  <c r="K287" i="9"/>
  <c r="S286" i="9"/>
  <c r="R286" i="9"/>
  <c r="Q286" i="9"/>
  <c r="P286" i="9"/>
  <c r="N286" i="9"/>
  <c r="L286" i="9"/>
  <c r="K286" i="9"/>
  <c r="S285" i="9"/>
  <c r="R285" i="9"/>
  <c r="Q285" i="9"/>
  <c r="P285" i="9"/>
  <c r="N285" i="9"/>
  <c r="L285" i="9"/>
  <c r="K285" i="9"/>
  <c r="S284" i="9"/>
  <c r="R284" i="9"/>
  <c r="Q284" i="9"/>
  <c r="P284" i="9"/>
  <c r="N284" i="9"/>
  <c r="L284" i="9"/>
  <c r="K284" i="9"/>
  <c r="S283" i="9"/>
  <c r="R283" i="9"/>
  <c r="Q283" i="9"/>
  <c r="P283" i="9"/>
  <c r="N283" i="9"/>
  <c r="L283" i="9"/>
  <c r="K283" i="9"/>
  <c r="S282" i="9"/>
  <c r="R282" i="9"/>
  <c r="Q282" i="9"/>
  <c r="P282" i="9"/>
  <c r="N282" i="9"/>
  <c r="L282" i="9"/>
  <c r="K282" i="9"/>
  <c r="S281" i="9"/>
  <c r="R281" i="9"/>
  <c r="Q281" i="9"/>
  <c r="P281" i="9"/>
  <c r="N281" i="9"/>
  <c r="L281" i="9"/>
  <c r="K281" i="9"/>
  <c r="S280" i="9"/>
  <c r="R280" i="9"/>
  <c r="Q280" i="9"/>
  <c r="P280" i="9"/>
  <c r="N280" i="9"/>
  <c r="L280" i="9"/>
  <c r="K280" i="9"/>
  <c r="S279" i="9"/>
  <c r="R279" i="9"/>
  <c r="Q279" i="9"/>
  <c r="P279" i="9"/>
  <c r="N279" i="9"/>
  <c r="L279" i="9"/>
  <c r="K279" i="9"/>
  <c r="S278" i="9"/>
  <c r="R278" i="9"/>
  <c r="Q278" i="9"/>
  <c r="P278" i="9"/>
  <c r="N278" i="9"/>
  <c r="L278" i="9"/>
  <c r="K278" i="9"/>
  <c r="S277" i="9"/>
  <c r="R277" i="9"/>
  <c r="Q277" i="9"/>
  <c r="P277" i="9"/>
  <c r="N277" i="9"/>
  <c r="L277" i="9"/>
  <c r="K277" i="9"/>
  <c r="S276" i="9"/>
  <c r="R276" i="9"/>
  <c r="Q276" i="9"/>
  <c r="P276" i="9"/>
  <c r="N276" i="9"/>
  <c r="L276" i="9"/>
  <c r="K276" i="9"/>
  <c r="S275" i="9"/>
  <c r="R275" i="9"/>
  <c r="Q275" i="9"/>
  <c r="P275" i="9"/>
  <c r="N275" i="9"/>
  <c r="L275" i="9"/>
  <c r="K275" i="9"/>
  <c r="S274" i="9"/>
  <c r="R274" i="9"/>
  <c r="Q274" i="9"/>
  <c r="P274" i="9"/>
  <c r="N274" i="9"/>
  <c r="L274" i="9"/>
  <c r="K274" i="9"/>
  <c r="S273" i="9"/>
  <c r="R273" i="9"/>
  <c r="Q273" i="9"/>
  <c r="P273" i="9"/>
  <c r="N273" i="9"/>
  <c r="L273" i="9"/>
  <c r="K273" i="9"/>
  <c r="S272" i="9"/>
  <c r="R272" i="9"/>
  <c r="Q272" i="9"/>
  <c r="P272" i="9"/>
  <c r="N272" i="9"/>
  <c r="L272" i="9"/>
  <c r="K272" i="9"/>
  <c r="S271" i="9"/>
  <c r="R271" i="9"/>
  <c r="Q271" i="9"/>
  <c r="P271" i="9"/>
  <c r="N271" i="9"/>
  <c r="M271" i="9"/>
  <c r="L271" i="9"/>
  <c r="K271" i="9"/>
  <c r="S270" i="9"/>
  <c r="R270" i="9"/>
  <c r="Q270" i="9"/>
  <c r="P270" i="9"/>
  <c r="N270" i="9"/>
  <c r="L270" i="9"/>
  <c r="K270" i="9"/>
  <c r="S269" i="9"/>
  <c r="R269" i="9"/>
  <c r="Q269" i="9"/>
  <c r="P269" i="9"/>
  <c r="N269" i="9"/>
  <c r="M269" i="9"/>
  <c r="L269" i="9"/>
  <c r="K269" i="9"/>
  <c r="S268" i="9"/>
  <c r="R268" i="9"/>
  <c r="Q268" i="9"/>
  <c r="P268" i="9"/>
  <c r="N268" i="9"/>
  <c r="M268" i="9"/>
  <c r="L268" i="9"/>
  <c r="K268" i="9"/>
  <c r="S267" i="9"/>
  <c r="R267" i="9"/>
  <c r="Q267" i="9"/>
  <c r="P267" i="9"/>
  <c r="N267" i="9"/>
  <c r="L267" i="9"/>
  <c r="K267" i="9"/>
  <c r="S266" i="9"/>
  <c r="R266" i="9"/>
  <c r="Q266" i="9"/>
  <c r="P266" i="9"/>
  <c r="N266" i="9"/>
  <c r="L266" i="9"/>
  <c r="K266" i="9"/>
  <c r="S265" i="9"/>
  <c r="R265" i="9"/>
  <c r="Q265" i="9"/>
  <c r="P265" i="9"/>
  <c r="N265" i="9"/>
  <c r="L265" i="9"/>
  <c r="K265" i="9"/>
  <c r="S264" i="9"/>
  <c r="R264" i="9"/>
  <c r="Q264" i="9"/>
  <c r="P264" i="9"/>
  <c r="N264" i="9"/>
  <c r="L264" i="9"/>
  <c r="K264" i="9"/>
  <c r="S263" i="9"/>
  <c r="R263" i="9"/>
  <c r="Q263" i="9"/>
  <c r="P263" i="9"/>
  <c r="N263" i="9"/>
  <c r="L263" i="9"/>
  <c r="K263" i="9"/>
  <c r="S262" i="9"/>
  <c r="R262" i="9"/>
  <c r="Q262" i="9"/>
  <c r="P262" i="9"/>
  <c r="N262" i="9"/>
  <c r="L262" i="9"/>
  <c r="K262" i="9"/>
  <c r="S261" i="9"/>
  <c r="R261" i="9"/>
  <c r="Q261" i="9"/>
  <c r="P261" i="9"/>
  <c r="N261" i="9"/>
  <c r="L261" i="9"/>
  <c r="K261" i="9"/>
  <c r="S260" i="9"/>
  <c r="R260" i="9"/>
  <c r="Q260" i="9"/>
  <c r="P260" i="9"/>
  <c r="N260" i="9"/>
  <c r="L260" i="9"/>
  <c r="K260" i="9"/>
  <c r="S259" i="9"/>
  <c r="R259" i="9"/>
  <c r="Q259" i="9"/>
  <c r="P259" i="9"/>
  <c r="N259" i="9"/>
  <c r="L259" i="9"/>
  <c r="K259" i="9"/>
  <c r="S258" i="9"/>
  <c r="R258" i="9"/>
  <c r="Q258" i="9"/>
  <c r="P258" i="9"/>
  <c r="N258" i="9"/>
  <c r="L258" i="9"/>
  <c r="K258" i="9"/>
  <c r="S257" i="9"/>
  <c r="R257" i="9"/>
  <c r="Q257" i="9"/>
  <c r="P257" i="9"/>
  <c r="N257" i="9"/>
  <c r="L257" i="9"/>
  <c r="K257" i="9"/>
  <c r="S256" i="9"/>
  <c r="R256" i="9"/>
  <c r="Q256" i="9"/>
  <c r="P256" i="9"/>
  <c r="N256" i="9"/>
  <c r="L256" i="9"/>
  <c r="K256" i="9"/>
  <c r="S255" i="9"/>
  <c r="R255" i="9"/>
  <c r="Q255" i="9"/>
  <c r="P255" i="9"/>
  <c r="N255" i="9"/>
  <c r="L255" i="9"/>
  <c r="K255" i="9"/>
  <c r="S254" i="9"/>
  <c r="R254" i="9"/>
  <c r="Q254" i="9"/>
  <c r="P254" i="9"/>
  <c r="N254" i="9"/>
  <c r="M254" i="9"/>
  <c r="L254" i="9"/>
  <c r="K254" i="9"/>
  <c r="S253" i="9"/>
  <c r="R253" i="9"/>
  <c r="Q253" i="9"/>
  <c r="P253" i="9"/>
  <c r="N253" i="9"/>
  <c r="L253" i="9"/>
  <c r="K253" i="9"/>
  <c r="S252" i="9"/>
  <c r="R252" i="9"/>
  <c r="Q252" i="9"/>
  <c r="P252" i="9"/>
  <c r="N252" i="9"/>
  <c r="L252" i="9"/>
  <c r="K252" i="9"/>
  <c r="S251" i="9"/>
  <c r="R251" i="9"/>
  <c r="Q251" i="9"/>
  <c r="P251" i="9"/>
  <c r="N251" i="9"/>
  <c r="L251" i="9"/>
  <c r="K251" i="9"/>
  <c r="S250" i="9"/>
  <c r="R250" i="9"/>
  <c r="Q250" i="9"/>
  <c r="P250" i="9"/>
  <c r="N250" i="9"/>
  <c r="L250" i="9"/>
  <c r="K250" i="9"/>
  <c r="S249" i="9"/>
  <c r="R249" i="9"/>
  <c r="Q249" i="9"/>
  <c r="P249" i="9"/>
  <c r="N249" i="9"/>
  <c r="L249" i="9"/>
  <c r="K249" i="9"/>
  <c r="S248" i="9"/>
  <c r="R248" i="9"/>
  <c r="Q248" i="9"/>
  <c r="P248" i="9"/>
  <c r="N248" i="9"/>
  <c r="L248" i="9"/>
  <c r="K248" i="9"/>
  <c r="S247" i="9"/>
  <c r="R247" i="9"/>
  <c r="Q247" i="9"/>
  <c r="P247" i="9"/>
  <c r="N247" i="9"/>
  <c r="L247" i="9"/>
  <c r="K247" i="9"/>
  <c r="S246" i="9"/>
  <c r="R246" i="9"/>
  <c r="Q246" i="9"/>
  <c r="P246" i="9"/>
  <c r="N246" i="9"/>
  <c r="L246" i="9"/>
  <c r="K246" i="9"/>
  <c r="S245" i="9"/>
  <c r="R245" i="9"/>
  <c r="Q245" i="9"/>
  <c r="P245" i="9"/>
  <c r="N245" i="9"/>
  <c r="L245" i="9"/>
  <c r="K245" i="9"/>
  <c r="S244" i="9"/>
  <c r="R244" i="9"/>
  <c r="Q244" i="9"/>
  <c r="P244" i="9"/>
  <c r="N244" i="9"/>
  <c r="L244" i="9"/>
  <c r="K244" i="9"/>
  <c r="S243" i="9"/>
  <c r="R243" i="9"/>
  <c r="Q243" i="9"/>
  <c r="P243" i="9"/>
  <c r="N243" i="9"/>
  <c r="L243" i="9"/>
  <c r="K243" i="9"/>
  <c r="S242" i="9"/>
  <c r="R242" i="9"/>
  <c r="Q242" i="9"/>
  <c r="P242" i="9"/>
  <c r="N242" i="9"/>
  <c r="L242" i="9"/>
  <c r="K242" i="9"/>
  <c r="S241" i="9"/>
  <c r="R241" i="9"/>
  <c r="Q241" i="9"/>
  <c r="P241" i="9"/>
  <c r="N241" i="9"/>
  <c r="L241" i="9"/>
  <c r="K241" i="9"/>
  <c r="S240" i="9"/>
  <c r="R240" i="9"/>
  <c r="Q240" i="9"/>
  <c r="P240" i="9"/>
  <c r="N240" i="9"/>
  <c r="L240" i="9"/>
  <c r="K240" i="9"/>
  <c r="S239" i="9"/>
  <c r="R239" i="9"/>
  <c r="Q239" i="9"/>
  <c r="P239" i="9"/>
  <c r="N239" i="9"/>
  <c r="L239" i="9"/>
  <c r="K239" i="9"/>
  <c r="S238" i="9"/>
  <c r="R238" i="9"/>
  <c r="Q238" i="9"/>
  <c r="P238" i="9"/>
  <c r="N238" i="9"/>
  <c r="L238" i="9"/>
  <c r="K238" i="9"/>
  <c r="S237" i="9"/>
  <c r="R237" i="9"/>
  <c r="Q237" i="9"/>
  <c r="P237" i="9"/>
  <c r="N237" i="9"/>
  <c r="L237" i="9"/>
  <c r="K237" i="9"/>
  <c r="S236" i="9"/>
  <c r="R236" i="9"/>
  <c r="Q236" i="9"/>
  <c r="P236" i="9"/>
  <c r="N236" i="9"/>
  <c r="L236" i="9"/>
  <c r="K236" i="9"/>
  <c r="S235" i="9"/>
  <c r="R235" i="9"/>
  <c r="Q235" i="9"/>
  <c r="P235" i="9"/>
  <c r="N235" i="9"/>
  <c r="L235" i="9"/>
  <c r="K235" i="9"/>
  <c r="S234" i="9"/>
  <c r="R234" i="9"/>
  <c r="Q234" i="9"/>
  <c r="P234" i="9"/>
  <c r="N234" i="9"/>
  <c r="L234" i="9"/>
  <c r="K234" i="9"/>
  <c r="S233" i="9"/>
  <c r="R233" i="9"/>
  <c r="Q233" i="9"/>
  <c r="P233" i="9"/>
  <c r="N233" i="9"/>
  <c r="L233" i="9"/>
  <c r="K233" i="9"/>
  <c r="S232" i="9"/>
  <c r="R232" i="9"/>
  <c r="Q232" i="9"/>
  <c r="P232" i="9"/>
  <c r="N232" i="9"/>
  <c r="L232" i="9"/>
  <c r="K232" i="9"/>
  <c r="S231" i="9"/>
  <c r="R231" i="9"/>
  <c r="Q231" i="9"/>
  <c r="P231" i="9"/>
  <c r="N231" i="9"/>
  <c r="L231" i="9"/>
  <c r="K231" i="9"/>
  <c r="S230" i="9"/>
  <c r="R230" i="9"/>
  <c r="Q230" i="9"/>
  <c r="P230" i="9"/>
  <c r="O230" i="9"/>
  <c r="N230" i="9"/>
  <c r="L230" i="9"/>
  <c r="K230" i="9"/>
  <c r="S229" i="9"/>
  <c r="R229" i="9"/>
  <c r="Q229" i="9"/>
  <c r="P229" i="9"/>
  <c r="N229" i="9"/>
  <c r="L229" i="9"/>
  <c r="K229" i="9"/>
  <c r="S228" i="9"/>
  <c r="R228" i="9"/>
  <c r="Q228" i="9"/>
  <c r="P228" i="9"/>
  <c r="N228" i="9"/>
  <c r="L228" i="9"/>
  <c r="K228" i="9"/>
  <c r="S227" i="9"/>
  <c r="R227" i="9"/>
  <c r="Q227" i="9"/>
  <c r="P227" i="9"/>
  <c r="N227" i="9"/>
  <c r="L227" i="9"/>
  <c r="K227" i="9"/>
  <c r="S226" i="9"/>
  <c r="R226" i="9"/>
  <c r="Q226" i="9"/>
  <c r="P226" i="9"/>
  <c r="O226" i="9"/>
  <c r="N226" i="9"/>
  <c r="L226" i="9"/>
  <c r="K226" i="9"/>
  <c r="S225" i="9"/>
  <c r="R225" i="9"/>
  <c r="Q225" i="9"/>
  <c r="P225" i="9"/>
  <c r="O225" i="9"/>
  <c r="N225" i="9"/>
  <c r="L225" i="9"/>
  <c r="K225" i="9"/>
  <c r="S224" i="9"/>
  <c r="R224" i="9"/>
  <c r="Q224" i="9"/>
  <c r="P224" i="9"/>
  <c r="O224" i="9"/>
  <c r="N224" i="9"/>
  <c r="L224" i="9"/>
  <c r="K224" i="9"/>
  <c r="S223" i="9"/>
  <c r="R223" i="9"/>
  <c r="Q223" i="9"/>
  <c r="P223" i="9"/>
  <c r="O223" i="9"/>
  <c r="N223" i="9"/>
  <c r="L223" i="9"/>
  <c r="K223" i="9"/>
  <c r="S222" i="9"/>
  <c r="R222" i="9"/>
  <c r="Q222" i="9"/>
  <c r="P222" i="9"/>
  <c r="N222" i="9"/>
  <c r="L222" i="9"/>
  <c r="K222" i="9"/>
  <c r="S221" i="9"/>
  <c r="R221" i="9"/>
  <c r="Q221" i="9"/>
  <c r="P221" i="9"/>
  <c r="O221" i="9"/>
  <c r="N221" i="9"/>
  <c r="L221" i="9"/>
  <c r="K221" i="9"/>
  <c r="S220" i="9"/>
  <c r="R220" i="9"/>
  <c r="Q220" i="9"/>
  <c r="P220" i="9"/>
  <c r="N220" i="9"/>
  <c r="L220" i="9"/>
  <c r="K220" i="9"/>
  <c r="S219" i="9"/>
  <c r="R219" i="9"/>
  <c r="Q219" i="9"/>
  <c r="P219" i="9"/>
  <c r="N219" i="9"/>
  <c r="L219" i="9"/>
  <c r="K219" i="9"/>
  <c r="S218" i="9"/>
  <c r="R218" i="9"/>
  <c r="Q218" i="9"/>
  <c r="P218" i="9"/>
  <c r="N218" i="9"/>
  <c r="M218" i="9"/>
  <c r="L218" i="9"/>
  <c r="K218" i="9"/>
  <c r="S217" i="9"/>
  <c r="R217" i="9"/>
  <c r="Q217" i="9"/>
  <c r="P217" i="9"/>
  <c r="N217" i="9"/>
  <c r="L217" i="9"/>
  <c r="K217" i="9"/>
  <c r="S216" i="9"/>
  <c r="R216" i="9"/>
  <c r="Q216" i="9"/>
  <c r="P216" i="9"/>
  <c r="O216" i="9"/>
  <c r="N216" i="9"/>
  <c r="L216" i="9"/>
  <c r="K216" i="9"/>
  <c r="S215" i="9"/>
  <c r="R215" i="9"/>
  <c r="Q215" i="9"/>
  <c r="P215" i="9"/>
  <c r="N215" i="9"/>
  <c r="L215" i="9"/>
  <c r="K215" i="9"/>
  <c r="S214" i="9"/>
  <c r="R214" i="9"/>
  <c r="Q214" i="9"/>
  <c r="P214" i="9"/>
  <c r="N214" i="9"/>
  <c r="L214" i="9"/>
  <c r="K214" i="9"/>
  <c r="S213" i="9"/>
  <c r="R213" i="9"/>
  <c r="Q213" i="9"/>
  <c r="P213" i="9"/>
  <c r="N213" i="9"/>
  <c r="L213" i="9"/>
  <c r="K213" i="9"/>
  <c r="S212" i="9"/>
  <c r="R212" i="9"/>
  <c r="Q212" i="9"/>
  <c r="P212" i="9"/>
  <c r="N212" i="9"/>
  <c r="M212" i="9"/>
  <c r="L212" i="9"/>
  <c r="K212" i="9"/>
  <c r="S211" i="9"/>
  <c r="R211" i="9"/>
  <c r="Q211" i="9"/>
  <c r="P211" i="9"/>
  <c r="N211" i="9"/>
  <c r="L211" i="9"/>
  <c r="K211" i="9"/>
  <c r="S210" i="9"/>
  <c r="R210" i="9"/>
  <c r="Q210" i="9"/>
  <c r="P210" i="9"/>
  <c r="N210" i="9"/>
  <c r="L210" i="9"/>
  <c r="K210" i="9"/>
  <c r="S209" i="9"/>
  <c r="R209" i="9"/>
  <c r="Q209" i="9"/>
  <c r="P209" i="9"/>
  <c r="N209" i="9"/>
  <c r="M209" i="9"/>
  <c r="L209" i="9"/>
  <c r="K209" i="9"/>
  <c r="S208" i="9"/>
  <c r="R208" i="9"/>
  <c r="Q208" i="9"/>
  <c r="P208" i="9"/>
  <c r="N208" i="9"/>
  <c r="M208" i="9"/>
  <c r="L208" i="9"/>
  <c r="K208" i="9"/>
  <c r="S207" i="9"/>
  <c r="R207" i="9"/>
  <c r="Q207" i="9"/>
  <c r="P207" i="9"/>
  <c r="O207" i="9"/>
  <c r="N207" i="9"/>
  <c r="L207" i="9"/>
  <c r="K207" i="9"/>
  <c r="S206" i="9"/>
  <c r="R206" i="9"/>
  <c r="Q206" i="9"/>
  <c r="P206" i="9"/>
  <c r="N206" i="9"/>
  <c r="M206" i="9"/>
  <c r="L206" i="9"/>
  <c r="K206" i="9"/>
  <c r="S205" i="9"/>
  <c r="R205" i="9"/>
  <c r="Q205" i="9"/>
  <c r="P205" i="9"/>
  <c r="O205" i="9"/>
  <c r="N205" i="9"/>
  <c r="L205" i="9"/>
  <c r="K205" i="9"/>
  <c r="S204" i="9"/>
  <c r="R204" i="9"/>
  <c r="Q204" i="9"/>
  <c r="P204" i="9"/>
  <c r="O204" i="9"/>
  <c r="N204" i="9"/>
  <c r="L204" i="9"/>
  <c r="K204" i="9"/>
  <c r="S203" i="9"/>
  <c r="R203" i="9"/>
  <c r="Q203" i="9"/>
  <c r="P203" i="9"/>
  <c r="O203" i="9"/>
  <c r="N203" i="9"/>
  <c r="L203" i="9"/>
  <c r="K203" i="9"/>
  <c r="S202" i="9"/>
  <c r="R202" i="9"/>
  <c r="Q202" i="9"/>
  <c r="P202" i="9"/>
  <c r="N202" i="9"/>
  <c r="L202" i="9"/>
  <c r="K202" i="9"/>
  <c r="S201" i="9"/>
  <c r="R201" i="9"/>
  <c r="Q201" i="9"/>
  <c r="P201" i="9"/>
  <c r="O201" i="9"/>
  <c r="N201" i="9"/>
  <c r="M201" i="9"/>
  <c r="L201" i="9"/>
  <c r="K201" i="9"/>
  <c r="S200" i="9"/>
  <c r="R200" i="9"/>
  <c r="Q200" i="9"/>
  <c r="P200" i="9"/>
  <c r="O200" i="9"/>
  <c r="N200" i="9"/>
  <c r="M200" i="9"/>
  <c r="L200" i="9"/>
  <c r="K200" i="9"/>
  <c r="S199" i="9"/>
  <c r="R199" i="9"/>
  <c r="Q199" i="9"/>
  <c r="P199" i="9"/>
  <c r="O199" i="9"/>
  <c r="N199" i="9"/>
  <c r="L199" i="9"/>
  <c r="K199" i="9"/>
  <c r="S198" i="9"/>
  <c r="R198" i="9"/>
  <c r="Q198" i="9"/>
  <c r="P198" i="9"/>
  <c r="N198" i="9"/>
  <c r="L198" i="9"/>
  <c r="K198" i="9"/>
  <c r="S197" i="9"/>
  <c r="R197" i="9"/>
  <c r="Q197" i="9"/>
  <c r="P197" i="9"/>
  <c r="N197" i="9"/>
  <c r="L197" i="9"/>
  <c r="K197" i="9"/>
  <c r="S196" i="9"/>
  <c r="R196" i="9"/>
  <c r="Q196" i="9"/>
  <c r="P196" i="9"/>
  <c r="N196" i="9"/>
  <c r="L196" i="9"/>
  <c r="K196" i="9"/>
  <c r="S195" i="9"/>
  <c r="R195" i="9"/>
  <c r="Q195" i="9"/>
  <c r="P195" i="9"/>
  <c r="N195" i="9"/>
  <c r="L195" i="9"/>
  <c r="K195" i="9"/>
  <c r="S194" i="9"/>
  <c r="R194" i="9"/>
  <c r="Q194" i="9"/>
  <c r="P194" i="9"/>
  <c r="N194" i="9"/>
  <c r="L194" i="9"/>
  <c r="K194" i="9"/>
  <c r="S193" i="9"/>
  <c r="R193" i="9"/>
  <c r="Q193" i="9"/>
  <c r="P193" i="9"/>
  <c r="O193" i="9"/>
  <c r="N193" i="9"/>
  <c r="M193" i="9"/>
  <c r="L193" i="9"/>
  <c r="K193" i="9"/>
  <c r="S192" i="9"/>
  <c r="R192" i="9"/>
  <c r="Q192" i="9"/>
  <c r="P192" i="9"/>
  <c r="N192" i="9"/>
  <c r="L192" i="9"/>
  <c r="K192" i="9"/>
  <c r="S191" i="9"/>
  <c r="R191" i="9"/>
  <c r="Q191" i="9"/>
  <c r="P191" i="9"/>
  <c r="N191" i="9"/>
  <c r="L191" i="9"/>
  <c r="K191" i="9"/>
  <c r="S190" i="9"/>
  <c r="R190" i="9"/>
  <c r="Q190" i="9"/>
  <c r="P190" i="9"/>
  <c r="N190" i="9"/>
  <c r="L190" i="9"/>
  <c r="K190" i="9"/>
  <c r="S189" i="9"/>
  <c r="R189" i="9"/>
  <c r="Q189" i="9"/>
  <c r="P189" i="9"/>
  <c r="N189" i="9"/>
  <c r="L189" i="9"/>
  <c r="K189" i="9"/>
  <c r="S188" i="9"/>
  <c r="R188" i="9"/>
  <c r="Q188" i="9"/>
  <c r="P188" i="9"/>
  <c r="N188" i="9"/>
  <c r="L188" i="9"/>
  <c r="K188" i="9"/>
  <c r="S187" i="9"/>
  <c r="R187" i="9"/>
  <c r="Q187" i="9"/>
  <c r="P187" i="9"/>
  <c r="N187" i="9"/>
  <c r="L187" i="9"/>
  <c r="K187" i="9"/>
  <c r="S186" i="9"/>
  <c r="R186" i="9"/>
  <c r="Q186" i="9"/>
  <c r="P186" i="9"/>
  <c r="N186" i="9"/>
  <c r="L186" i="9"/>
  <c r="K186" i="9"/>
  <c r="S185" i="9"/>
  <c r="R185" i="9"/>
  <c r="Q185" i="9"/>
  <c r="P185" i="9"/>
  <c r="N185" i="9"/>
  <c r="L185" i="9"/>
  <c r="K185" i="9"/>
  <c r="S184" i="9"/>
  <c r="R184" i="9"/>
  <c r="Q184" i="9"/>
  <c r="P184" i="9"/>
  <c r="N184" i="9"/>
  <c r="L184" i="9"/>
  <c r="K184" i="9"/>
  <c r="S183" i="9"/>
  <c r="R183" i="9"/>
  <c r="Q183" i="9"/>
  <c r="P183" i="9"/>
  <c r="N183" i="9"/>
  <c r="L183" i="9"/>
  <c r="K183" i="9"/>
  <c r="S182" i="9"/>
  <c r="R182" i="9"/>
  <c r="Q182" i="9"/>
  <c r="P182" i="9"/>
  <c r="N182" i="9"/>
  <c r="L182" i="9"/>
  <c r="K182" i="9"/>
  <c r="S181" i="9"/>
  <c r="R181" i="9"/>
  <c r="Q181" i="9"/>
  <c r="P181" i="9"/>
  <c r="N181" i="9"/>
  <c r="L181" i="9"/>
  <c r="K181" i="9"/>
  <c r="S180" i="9"/>
  <c r="R180" i="9"/>
  <c r="Q180" i="9"/>
  <c r="P180" i="9"/>
  <c r="N180" i="9"/>
  <c r="L180" i="9"/>
  <c r="K180" i="9"/>
  <c r="S179" i="9"/>
  <c r="R179" i="9"/>
  <c r="Q179" i="9"/>
  <c r="P179" i="9"/>
  <c r="O179" i="9"/>
  <c r="N179" i="9"/>
  <c r="L179" i="9"/>
  <c r="K179" i="9"/>
  <c r="S178" i="9"/>
  <c r="R178" i="9"/>
  <c r="Q178" i="9"/>
  <c r="P178" i="9"/>
  <c r="N178" i="9"/>
  <c r="L178" i="9"/>
  <c r="K178" i="9"/>
  <c r="S177" i="9"/>
  <c r="R177" i="9"/>
  <c r="Q177" i="9"/>
  <c r="P177" i="9"/>
  <c r="N177" i="9"/>
  <c r="L177" i="9"/>
  <c r="K177" i="9"/>
  <c r="S176" i="9"/>
  <c r="R176" i="9"/>
  <c r="Q176" i="9"/>
  <c r="P176" i="9"/>
  <c r="N176" i="9"/>
  <c r="L176" i="9"/>
  <c r="K176" i="9"/>
  <c r="S175" i="9"/>
  <c r="R175" i="9"/>
  <c r="Q175" i="9"/>
  <c r="P175" i="9"/>
  <c r="N175" i="9"/>
  <c r="L175" i="9"/>
  <c r="K175" i="9"/>
  <c r="S174" i="9"/>
  <c r="R174" i="9"/>
  <c r="Q174" i="9"/>
  <c r="P174" i="9"/>
  <c r="N174" i="9"/>
  <c r="L174" i="9"/>
  <c r="K174" i="9"/>
  <c r="S173" i="9"/>
  <c r="R173" i="9"/>
  <c r="Q173" i="9"/>
  <c r="P173" i="9"/>
  <c r="N173" i="9"/>
  <c r="L173" i="9"/>
  <c r="K173" i="9"/>
  <c r="S172" i="9"/>
  <c r="R172" i="9"/>
  <c r="Q172" i="9"/>
  <c r="P172" i="9"/>
  <c r="N172" i="9"/>
  <c r="L172" i="9"/>
  <c r="K172" i="9"/>
  <c r="S171" i="9"/>
  <c r="R171" i="9"/>
  <c r="Q171" i="9"/>
  <c r="P171" i="9"/>
  <c r="N171" i="9"/>
  <c r="L171" i="9"/>
  <c r="K171" i="9"/>
  <c r="S170" i="9"/>
  <c r="R170" i="9"/>
  <c r="Q170" i="9"/>
  <c r="P170" i="9"/>
  <c r="N170" i="9"/>
  <c r="L170" i="9"/>
  <c r="K170" i="9"/>
  <c r="S169" i="9"/>
  <c r="R169" i="9"/>
  <c r="Q169" i="9"/>
  <c r="P169" i="9"/>
  <c r="O169" i="9"/>
  <c r="N169" i="9"/>
  <c r="L169" i="9"/>
  <c r="K169" i="9"/>
  <c r="S168" i="9"/>
  <c r="R168" i="9"/>
  <c r="Q168" i="9"/>
  <c r="P168" i="9"/>
  <c r="N168" i="9"/>
  <c r="L168" i="9"/>
  <c r="K168" i="9"/>
  <c r="S167" i="9"/>
  <c r="R167" i="9"/>
  <c r="Q167" i="9"/>
  <c r="P167" i="9"/>
  <c r="N167" i="9"/>
  <c r="L167" i="9"/>
  <c r="K167" i="9"/>
  <c r="S166" i="9"/>
  <c r="R166" i="9"/>
  <c r="Q166" i="9"/>
  <c r="P166" i="9"/>
  <c r="N166" i="9"/>
  <c r="L166" i="9"/>
  <c r="K166" i="9"/>
  <c r="S165" i="9"/>
  <c r="R165" i="9"/>
  <c r="Q165" i="9"/>
  <c r="P165" i="9"/>
  <c r="N165" i="9"/>
  <c r="L165" i="9"/>
  <c r="K165" i="9"/>
  <c r="S164" i="9"/>
  <c r="R164" i="9"/>
  <c r="Q164" i="9"/>
  <c r="P164" i="9"/>
  <c r="N164" i="9"/>
  <c r="L164" i="9"/>
  <c r="K164" i="9"/>
  <c r="S163" i="9"/>
  <c r="R163" i="9"/>
  <c r="Q163" i="9"/>
  <c r="P163" i="9"/>
  <c r="N163" i="9"/>
  <c r="L163" i="9"/>
  <c r="K163" i="9"/>
  <c r="S162" i="9"/>
  <c r="R162" i="9"/>
  <c r="Q162" i="9"/>
  <c r="P162" i="9"/>
  <c r="N162" i="9"/>
  <c r="L162" i="9"/>
  <c r="K162" i="9"/>
  <c r="S161" i="9"/>
  <c r="R161" i="9"/>
  <c r="Q161" i="9"/>
  <c r="P161" i="9"/>
  <c r="N161" i="9"/>
  <c r="L161" i="9"/>
  <c r="K161" i="9"/>
  <c r="S160" i="9"/>
  <c r="R160" i="9"/>
  <c r="Q160" i="9"/>
  <c r="P160" i="9"/>
  <c r="N160" i="9"/>
  <c r="L160" i="9"/>
  <c r="K160" i="9"/>
  <c r="S159" i="9"/>
  <c r="R159" i="9"/>
  <c r="Q159" i="9"/>
  <c r="P159" i="9"/>
  <c r="N159" i="9"/>
  <c r="L159" i="9"/>
  <c r="K159" i="9"/>
  <c r="S158" i="9"/>
  <c r="R158" i="9"/>
  <c r="Q158" i="9"/>
  <c r="P158" i="9"/>
  <c r="N158" i="9"/>
  <c r="L158" i="9"/>
  <c r="K158" i="9"/>
  <c r="S157" i="9"/>
  <c r="R157" i="9"/>
  <c r="Q157" i="9"/>
  <c r="P157" i="9"/>
  <c r="N157" i="9"/>
  <c r="M157" i="9"/>
  <c r="L157" i="9"/>
  <c r="K157" i="9"/>
  <c r="S156" i="9"/>
  <c r="R156" i="9"/>
  <c r="Q156" i="9"/>
  <c r="P156" i="9"/>
  <c r="N156" i="9"/>
  <c r="M156" i="9"/>
  <c r="L156" i="9"/>
  <c r="K156" i="9"/>
  <c r="S155" i="9"/>
  <c r="R155" i="9"/>
  <c r="Q155" i="9"/>
  <c r="P155" i="9"/>
  <c r="N155" i="9"/>
  <c r="M155" i="9"/>
  <c r="L155" i="9"/>
  <c r="K155" i="9"/>
  <c r="S154" i="9"/>
  <c r="R154" i="9"/>
  <c r="Q154" i="9"/>
  <c r="P154" i="9"/>
  <c r="N154" i="9"/>
  <c r="L154" i="9"/>
  <c r="K154" i="9"/>
  <c r="S153" i="9"/>
  <c r="R153" i="9"/>
  <c r="Q153" i="9"/>
  <c r="P153" i="9"/>
  <c r="N153" i="9"/>
  <c r="L153" i="9"/>
  <c r="K153" i="9"/>
  <c r="S152" i="9"/>
  <c r="R152" i="9"/>
  <c r="Q152" i="9"/>
  <c r="P152" i="9"/>
  <c r="N152" i="9"/>
  <c r="L152" i="9"/>
  <c r="K152" i="9"/>
  <c r="S151" i="9"/>
  <c r="R151" i="9"/>
  <c r="Q151" i="9"/>
  <c r="P151" i="9"/>
  <c r="O151" i="9"/>
  <c r="N151" i="9"/>
  <c r="M151" i="9"/>
  <c r="L151" i="9"/>
  <c r="K151" i="9"/>
  <c r="S150" i="9"/>
  <c r="R150" i="9"/>
  <c r="Q150" i="9"/>
  <c r="P150" i="9"/>
  <c r="O150" i="9"/>
  <c r="N150" i="9"/>
  <c r="M150" i="9"/>
  <c r="L150" i="9"/>
  <c r="K150" i="9"/>
  <c r="S149" i="9"/>
  <c r="R149" i="9"/>
  <c r="Q149" i="9"/>
  <c r="P149" i="9"/>
  <c r="O149" i="9"/>
  <c r="N149" i="9"/>
  <c r="M149" i="9"/>
  <c r="L149" i="9"/>
  <c r="K149" i="9"/>
  <c r="S148" i="9"/>
  <c r="R148" i="9"/>
  <c r="Q148" i="9"/>
  <c r="P148" i="9"/>
  <c r="N148" i="9"/>
  <c r="L148" i="9"/>
  <c r="K148" i="9"/>
  <c r="S147" i="9"/>
  <c r="R147" i="9"/>
  <c r="Q147" i="9"/>
  <c r="P147" i="9"/>
  <c r="N147" i="9"/>
  <c r="M147" i="9"/>
  <c r="L147" i="9"/>
  <c r="K147" i="9"/>
  <c r="S146" i="9"/>
  <c r="R146" i="9"/>
  <c r="Q146" i="9"/>
  <c r="P146" i="9"/>
  <c r="N146" i="9"/>
  <c r="M146" i="9"/>
  <c r="L146" i="9"/>
  <c r="K146" i="9"/>
  <c r="S145" i="9"/>
  <c r="R145" i="9"/>
  <c r="Q145" i="9"/>
  <c r="P145" i="9"/>
  <c r="N145" i="9"/>
  <c r="M145" i="9"/>
  <c r="L145" i="9"/>
  <c r="K145" i="9"/>
  <c r="S144" i="9"/>
  <c r="R144" i="9"/>
  <c r="Q144" i="9"/>
  <c r="P144" i="9"/>
  <c r="N144" i="9"/>
  <c r="M144" i="9"/>
  <c r="L144" i="9"/>
  <c r="K144" i="9"/>
  <c r="S143" i="9"/>
  <c r="R143" i="9"/>
  <c r="Q143" i="9"/>
  <c r="P143" i="9"/>
  <c r="N143" i="9"/>
  <c r="L143" i="9"/>
  <c r="K143" i="9"/>
  <c r="S142" i="9"/>
  <c r="R142" i="9"/>
  <c r="Q142" i="9"/>
  <c r="P142" i="9"/>
  <c r="O142" i="9"/>
  <c r="N142" i="9"/>
  <c r="M142" i="9"/>
  <c r="L142" i="9"/>
  <c r="K142" i="9"/>
  <c r="S141" i="9"/>
  <c r="R141" i="9"/>
  <c r="Q141" i="9"/>
  <c r="P141" i="9"/>
  <c r="N141" i="9"/>
  <c r="L141" i="9"/>
  <c r="K141" i="9"/>
  <c r="S140" i="9"/>
  <c r="R140" i="9"/>
  <c r="Q140" i="9"/>
  <c r="P140" i="9"/>
  <c r="N140" i="9"/>
  <c r="M140" i="9"/>
  <c r="L140" i="9"/>
  <c r="K140" i="9"/>
  <c r="S139" i="9"/>
  <c r="R139" i="9"/>
  <c r="Q139" i="9"/>
  <c r="P139" i="9"/>
  <c r="N139" i="9"/>
  <c r="M139" i="9"/>
  <c r="L139" i="9"/>
  <c r="K139" i="9"/>
  <c r="S138" i="9"/>
  <c r="R138" i="9"/>
  <c r="Q138" i="9"/>
  <c r="P138" i="9"/>
  <c r="N138" i="9"/>
  <c r="M138" i="9"/>
  <c r="L138" i="9"/>
  <c r="K138" i="9"/>
  <c r="S137" i="9"/>
  <c r="R137" i="9"/>
  <c r="Q137" i="9"/>
  <c r="P137" i="9"/>
  <c r="O137" i="9"/>
  <c r="N137" i="9"/>
  <c r="L137" i="9"/>
  <c r="K137" i="9"/>
  <c r="S136" i="9"/>
  <c r="R136" i="9"/>
  <c r="Q136" i="9"/>
  <c r="P136" i="9"/>
  <c r="N136" i="9"/>
  <c r="L136" i="9"/>
  <c r="K136" i="9"/>
  <c r="S135" i="9"/>
  <c r="R135" i="9"/>
  <c r="Q135" i="9"/>
  <c r="P135" i="9"/>
  <c r="N135" i="9"/>
  <c r="L135" i="9"/>
  <c r="K135" i="9"/>
  <c r="S134" i="9"/>
  <c r="R134" i="9"/>
  <c r="Q134" i="9"/>
  <c r="P134" i="9"/>
  <c r="N134" i="9"/>
  <c r="L134" i="9"/>
  <c r="K134" i="9"/>
  <c r="S133" i="9"/>
  <c r="R133" i="9"/>
  <c r="Q133" i="9"/>
  <c r="P133" i="9"/>
  <c r="N133" i="9"/>
  <c r="L133" i="9"/>
  <c r="K133" i="9"/>
  <c r="S132" i="9"/>
  <c r="R132" i="9"/>
  <c r="Q132" i="9"/>
  <c r="P132" i="9"/>
  <c r="O132" i="9"/>
  <c r="N132" i="9"/>
  <c r="L132" i="9"/>
  <c r="K132" i="9"/>
  <c r="S131" i="9"/>
  <c r="R131" i="9"/>
  <c r="Q131" i="9"/>
  <c r="P131" i="9"/>
  <c r="O131" i="9"/>
  <c r="N131" i="9"/>
  <c r="L131" i="9"/>
  <c r="K131" i="9"/>
  <c r="S130" i="9"/>
  <c r="R130" i="9"/>
  <c r="Q130" i="9"/>
  <c r="P130" i="9"/>
  <c r="O130" i="9"/>
  <c r="N130" i="9"/>
  <c r="L130" i="9"/>
  <c r="K130" i="9"/>
  <c r="S129" i="9"/>
  <c r="R129" i="9"/>
  <c r="Q129" i="9"/>
  <c r="P129" i="9"/>
  <c r="O129" i="9"/>
  <c r="N129" i="9"/>
  <c r="M129" i="9"/>
  <c r="L129" i="9"/>
  <c r="K129" i="9"/>
  <c r="S128" i="9"/>
  <c r="R128" i="9"/>
  <c r="Q128" i="9"/>
  <c r="P128" i="9"/>
  <c r="O128" i="9"/>
  <c r="N128" i="9"/>
  <c r="M128" i="9"/>
  <c r="L128" i="9"/>
  <c r="K128" i="9"/>
  <c r="S127" i="9"/>
  <c r="R127" i="9"/>
  <c r="Q127" i="9"/>
  <c r="P127" i="9"/>
  <c r="N127" i="9"/>
  <c r="L127" i="9"/>
  <c r="K127" i="9"/>
  <c r="S126" i="9"/>
  <c r="R126" i="9"/>
  <c r="Q126" i="9"/>
  <c r="P126" i="9"/>
  <c r="N126" i="9"/>
  <c r="L126" i="9"/>
  <c r="K126" i="9"/>
  <c r="S125" i="9"/>
  <c r="R125" i="9"/>
  <c r="Q125" i="9"/>
  <c r="P125" i="9"/>
  <c r="N125" i="9"/>
  <c r="L125" i="9"/>
  <c r="K125" i="9"/>
  <c r="S124" i="9"/>
  <c r="R124" i="9"/>
  <c r="Q124" i="9"/>
  <c r="P124" i="9"/>
  <c r="N124" i="9"/>
  <c r="L124" i="9"/>
  <c r="K124" i="9"/>
  <c r="S123" i="9"/>
  <c r="R123" i="9"/>
  <c r="Q123" i="9"/>
  <c r="P123" i="9"/>
  <c r="N123" i="9"/>
  <c r="L123" i="9"/>
  <c r="K123" i="9"/>
  <c r="S122" i="9"/>
  <c r="R122" i="9"/>
  <c r="Q122" i="9"/>
  <c r="P122" i="9"/>
  <c r="O122" i="9"/>
  <c r="N122" i="9"/>
  <c r="L122" i="9"/>
  <c r="K122" i="9"/>
  <c r="S121" i="9"/>
  <c r="R121" i="9"/>
  <c r="Q121" i="9"/>
  <c r="P121" i="9"/>
  <c r="O121" i="9"/>
  <c r="N121" i="9"/>
  <c r="L121" i="9"/>
  <c r="K121" i="9"/>
  <c r="S120" i="9"/>
  <c r="R120" i="9"/>
  <c r="Q120" i="9"/>
  <c r="P120" i="9"/>
  <c r="N120" i="9"/>
  <c r="L120" i="9"/>
  <c r="K120" i="9"/>
  <c r="S119" i="9"/>
  <c r="R119" i="9"/>
  <c r="Q119" i="9"/>
  <c r="P119" i="9"/>
  <c r="O119" i="9"/>
  <c r="N119" i="9"/>
  <c r="M119" i="9"/>
  <c r="L119" i="9"/>
  <c r="K119" i="9"/>
  <c r="S118" i="9"/>
  <c r="R118" i="9"/>
  <c r="Q118" i="9"/>
  <c r="P118" i="9"/>
  <c r="O118" i="9"/>
  <c r="N118" i="9"/>
  <c r="L118" i="9"/>
  <c r="K118" i="9"/>
  <c r="S117" i="9"/>
  <c r="R117" i="9"/>
  <c r="Q117" i="9"/>
  <c r="P117" i="9"/>
  <c r="O117" i="9"/>
  <c r="N117" i="9"/>
  <c r="L117" i="9"/>
  <c r="K117" i="9"/>
  <c r="S116" i="9"/>
  <c r="R116" i="9"/>
  <c r="Q116" i="9"/>
  <c r="P116" i="9"/>
  <c r="O116" i="9"/>
  <c r="N116" i="9"/>
  <c r="L116" i="9"/>
  <c r="K116" i="9"/>
  <c r="S115" i="9"/>
  <c r="R115" i="9"/>
  <c r="Q115" i="9"/>
  <c r="P115" i="9"/>
  <c r="O115" i="9"/>
  <c r="N115" i="9"/>
  <c r="L115" i="9"/>
  <c r="K115" i="9"/>
  <c r="S114" i="9"/>
  <c r="R114" i="9"/>
  <c r="Q114" i="9"/>
  <c r="P114" i="9"/>
  <c r="O114" i="9"/>
  <c r="N114" i="9"/>
  <c r="L114" i="9"/>
  <c r="K114" i="9"/>
  <c r="S113" i="9"/>
  <c r="R113" i="9"/>
  <c r="Q113" i="9"/>
  <c r="P113" i="9"/>
  <c r="O113" i="9"/>
  <c r="N113" i="9"/>
  <c r="L113" i="9"/>
  <c r="K113" i="9"/>
  <c r="S112" i="9"/>
  <c r="R112" i="9"/>
  <c r="Q112" i="9"/>
  <c r="P112" i="9"/>
  <c r="O112" i="9"/>
  <c r="N112" i="9"/>
  <c r="M112" i="9"/>
  <c r="L112" i="9"/>
  <c r="K112" i="9"/>
  <c r="S111" i="9"/>
  <c r="R111" i="9"/>
  <c r="Q111" i="9"/>
  <c r="P111" i="9"/>
  <c r="N111" i="9"/>
  <c r="L111" i="9"/>
  <c r="K111" i="9"/>
  <c r="S110" i="9"/>
  <c r="R110" i="9"/>
  <c r="Q110" i="9"/>
  <c r="P110" i="9"/>
  <c r="O110" i="9"/>
  <c r="N110" i="9"/>
  <c r="L110" i="9"/>
  <c r="K110" i="9"/>
  <c r="S109" i="9"/>
  <c r="R109" i="9"/>
  <c r="Q109" i="9"/>
  <c r="P109" i="9"/>
  <c r="N109" i="9"/>
  <c r="L109" i="9"/>
  <c r="K109" i="9"/>
  <c r="S108" i="9"/>
  <c r="R108" i="9"/>
  <c r="Q108" i="9"/>
  <c r="P108" i="9"/>
  <c r="N108" i="9"/>
  <c r="L108" i="9"/>
  <c r="K108" i="9"/>
  <c r="S107" i="9"/>
  <c r="R107" i="9"/>
  <c r="Q107" i="9"/>
  <c r="P107" i="9"/>
  <c r="N107" i="9"/>
  <c r="L107" i="9"/>
  <c r="K107" i="9"/>
  <c r="S106" i="9"/>
  <c r="R106" i="9"/>
  <c r="Q106" i="9"/>
  <c r="P106" i="9"/>
  <c r="N106" i="9"/>
  <c r="L106" i="9"/>
  <c r="K106" i="9"/>
  <c r="S105" i="9"/>
  <c r="R105" i="9"/>
  <c r="Q105" i="9"/>
  <c r="P105" i="9"/>
  <c r="O105" i="9"/>
  <c r="N105" i="9"/>
  <c r="L105" i="9"/>
  <c r="K105" i="9"/>
  <c r="S104" i="9"/>
  <c r="R104" i="9"/>
  <c r="Q104" i="9"/>
  <c r="P104" i="9"/>
  <c r="O104" i="9"/>
  <c r="N104" i="9"/>
  <c r="M104" i="9"/>
  <c r="L104" i="9"/>
  <c r="K104" i="9"/>
  <c r="S103" i="9"/>
  <c r="R103" i="9"/>
  <c r="Q103" i="9"/>
  <c r="P103" i="9"/>
  <c r="O103" i="9"/>
  <c r="N103" i="9"/>
  <c r="L103" i="9"/>
  <c r="K103" i="9"/>
  <c r="S102" i="9"/>
  <c r="R102" i="9"/>
  <c r="Q102" i="9"/>
  <c r="P102" i="9"/>
  <c r="O102" i="9"/>
  <c r="N102" i="9"/>
  <c r="L102" i="9"/>
  <c r="K102" i="9"/>
  <c r="S101" i="9"/>
  <c r="R101" i="9"/>
  <c r="Q101" i="9"/>
  <c r="P101" i="9"/>
  <c r="N101" i="9"/>
  <c r="L101" i="9"/>
  <c r="K101" i="9"/>
  <c r="S100" i="9"/>
  <c r="R100" i="9"/>
  <c r="Q100" i="9"/>
  <c r="P100" i="9"/>
  <c r="N100" i="9"/>
  <c r="L100" i="9"/>
  <c r="K100" i="9"/>
  <c r="S99" i="9"/>
  <c r="R99" i="9"/>
  <c r="Q99" i="9"/>
  <c r="P99" i="9"/>
  <c r="O99" i="9"/>
  <c r="N99" i="9"/>
  <c r="L99" i="9"/>
  <c r="K99" i="9"/>
  <c r="S98" i="9"/>
  <c r="R98" i="9"/>
  <c r="Q98" i="9"/>
  <c r="P98" i="9"/>
  <c r="O98" i="9"/>
  <c r="N98" i="9"/>
  <c r="L98" i="9"/>
  <c r="K98" i="9"/>
  <c r="S97" i="9"/>
  <c r="R97" i="9"/>
  <c r="Q97" i="9"/>
  <c r="P97" i="9"/>
  <c r="N97" i="9"/>
  <c r="L97" i="9"/>
  <c r="K97" i="9"/>
  <c r="S96" i="9"/>
  <c r="R96" i="9"/>
  <c r="Q96" i="9"/>
  <c r="P96" i="9"/>
  <c r="O96" i="9"/>
  <c r="N96" i="9"/>
  <c r="L96" i="9"/>
  <c r="K96" i="9"/>
  <c r="S95" i="9"/>
  <c r="R95" i="9"/>
  <c r="Q95" i="9"/>
  <c r="P95" i="9"/>
  <c r="O95" i="9"/>
  <c r="N95" i="9"/>
  <c r="L95" i="9"/>
  <c r="K95" i="9"/>
  <c r="S94" i="9"/>
  <c r="R94" i="9"/>
  <c r="Q94" i="9"/>
  <c r="P94" i="9"/>
  <c r="N94" i="9"/>
  <c r="L94" i="9"/>
  <c r="K94" i="9"/>
  <c r="S93" i="9"/>
  <c r="R93" i="9"/>
  <c r="Q93" i="9"/>
  <c r="P93" i="9"/>
  <c r="N93" i="9"/>
  <c r="L93" i="9"/>
  <c r="K93" i="9"/>
  <c r="S92" i="9"/>
  <c r="R92" i="9"/>
  <c r="Q92" i="9"/>
  <c r="P92" i="9"/>
  <c r="O92" i="9"/>
  <c r="N92" i="9"/>
  <c r="L92" i="9"/>
  <c r="K92" i="9"/>
  <c r="S91" i="9"/>
  <c r="R91" i="9"/>
  <c r="Q91" i="9"/>
  <c r="P91" i="9"/>
  <c r="O91" i="9"/>
  <c r="N91" i="9"/>
  <c r="L91" i="9"/>
  <c r="K91" i="9"/>
  <c r="S90" i="9"/>
  <c r="R90" i="9"/>
  <c r="Q90" i="9"/>
  <c r="P90" i="9"/>
  <c r="N90" i="9"/>
  <c r="M90" i="9"/>
  <c r="L90" i="9"/>
  <c r="K90" i="9"/>
  <c r="S89" i="9"/>
  <c r="R89" i="9"/>
  <c r="Q89" i="9"/>
  <c r="P89" i="9"/>
  <c r="N89" i="9"/>
  <c r="L89" i="9"/>
  <c r="K89" i="9"/>
  <c r="S88" i="9"/>
  <c r="R88" i="9"/>
  <c r="Q88" i="9"/>
  <c r="P88" i="9"/>
  <c r="O88" i="9"/>
  <c r="N88" i="9"/>
  <c r="M88" i="9"/>
  <c r="L88" i="9"/>
  <c r="K88" i="9"/>
  <c r="S87" i="9"/>
  <c r="R87" i="9"/>
  <c r="Q87" i="9"/>
  <c r="P87" i="9"/>
  <c r="N87" i="9"/>
  <c r="L87" i="9"/>
  <c r="K87" i="9"/>
  <c r="S86" i="9"/>
  <c r="R86" i="9"/>
  <c r="Q86" i="9"/>
  <c r="P86" i="9"/>
  <c r="N86" i="9"/>
  <c r="L86" i="9"/>
  <c r="K86" i="9"/>
  <c r="S85" i="9"/>
  <c r="R85" i="9"/>
  <c r="Q85" i="9"/>
  <c r="P85" i="9"/>
  <c r="O85" i="9"/>
  <c r="N85" i="9"/>
  <c r="L85" i="9"/>
  <c r="K85" i="9"/>
  <c r="S84" i="9"/>
  <c r="R84" i="9"/>
  <c r="Q84" i="9"/>
  <c r="P84" i="9"/>
  <c r="O84" i="9"/>
  <c r="N84" i="9"/>
  <c r="L84" i="9"/>
  <c r="K84" i="9"/>
  <c r="S83" i="9"/>
  <c r="R83" i="9"/>
  <c r="Q83" i="9"/>
  <c r="P83" i="9"/>
  <c r="N83" i="9"/>
  <c r="L83" i="9"/>
  <c r="K83" i="9"/>
  <c r="S82" i="9"/>
  <c r="R82" i="9"/>
  <c r="Q82" i="9"/>
  <c r="P82" i="9"/>
  <c r="O82" i="9"/>
  <c r="N82" i="9"/>
  <c r="L82" i="9"/>
  <c r="K82" i="9"/>
  <c r="S81" i="9"/>
  <c r="R81" i="9"/>
  <c r="Q81" i="9"/>
  <c r="P81" i="9"/>
  <c r="O81" i="9"/>
  <c r="N81" i="9"/>
  <c r="L81" i="9"/>
  <c r="K81" i="9"/>
  <c r="S80" i="9"/>
  <c r="R80" i="9"/>
  <c r="Q80" i="9"/>
  <c r="P80" i="9"/>
  <c r="O80" i="9"/>
  <c r="N80" i="9"/>
  <c r="M80" i="9"/>
  <c r="L80" i="9"/>
  <c r="K80" i="9"/>
  <c r="S79" i="9"/>
  <c r="R79" i="9"/>
  <c r="Q79" i="9"/>
  <c r="P79" i="9"/>
  <c r="N79" i="9"/>
  <c r="L79" i="9"/>
  <c r="K79" i="9"/>
  <c r="S78" i="9"/>
  <c r="R78" i="9"/>
  <c r="Q78" i="9"/>
  <c r="P78" i="9"/>
  <c r="O78" i="9"/>
  <c r="N78" i="9"/>
  <c r="M78" i="9"/>
  <c r="L78" i="9"/>
  <c r="K78" i="9"/>
  <c r="S77" i="9"/>
  <c r="R77" i="9"/>
  <c r="Q77" i="9"/>
  <c r="P77" i="9"/>
  <c r="O77" i="9"/>
  <c r="N77" i="9"/>
  <c r="M77" i="9"/>
  <c r="L77" i="9"/>
  <c r="K77" i="9"/>
  <c r="S76" i="9"/>
  <c r="R76" i="9"/>
  <c r="Q76" i="9"/>
  <c r="P76" i="9"/>
  <c r="O76" i="9"/>
  <c r="N76" i="9"/>
  <c r="M76" i="9"/>
  <c r="L76" i="9"/>
  <c r="K76" i="9"/>
  <c r="S75" i="9"/>
  <c r="R75" i="9"/>
  <c r="Q75" i="9"/>
  <c r="P75" i="9"/>
  <c r="O75" i="9"/>
  <c r="N75" i="9"/>
  <c r="L75" i="9"/>
  <c r="K75" i="9"/>
  <c r="S74" i="9"/>
  <c r="R74" i="9"/>
  <c r="Q74" i="9"/>
  <c r="P74" i="9"/>
  <c r="N74" i="9"/>
  <c r="L74" i="9"/>
  <c r="K74" i="9"/>
  <c r="S73" i="9"/>
  <c r="R73" i="9"/>
  <c r="Q73" i="9"/>
  <c r="P73" i="9"/>
  <c r="O73" i="9"/>
  <c r="N73" i="9"/>
  <c r="M73" i="9"/>
  <c r="L73" i="9"/>
  <c r="K73" i="9"/>
  <c r="S72" i="9"/>
  <c r="R72" i="9"/>
  <c r="Q72" i="9"/>
  <c r="P72" i="9"/>
  <c r="N72" i="9"/>
  <c r="L72" i="9"/>
  <c r="K72" i="9"/>
  <c r="S71" i="9"/>
  <c r="R71" i="9"/>
  <c r="Q71" i="9"/>
  <c r="P71" i="9"/>
  <c r="O71" i="9"/>
  <c r="N71" i="9"/>
  <c r="L71" i="9"/>
  <c r="K71" i="9"/>
  <c r="S70" i="9"/>
  <c r="R70" i="9"/>
  <c r="Q70" i="9"/>
  <c r="P70" i="9"/>
  <c r="N70" i="9"/>
  <c r="L70" i="9"/>
  <c r="K70" i="9"/>
  <c r="S69" i="9"/>
  <c r="R69" i="9"/>
  <c r="Q69" i="9"/>
  <c r="P69" i="9"/>
  <c r="N69" i="9"/>
  <c r="L69" i="9"/>
  <c r="K69" i="9"/>
  <c r="S68" i="9"/>
  <c r="R68" i="9"/>
  <c r="Q68" i="9"/>
  <c r="P68" i="9"/>
  <c r="O68" i="9"/>
  <c r="N68" i="9"/>
  <c r="L68" i="9"/>
  <c r="K68" i="9"/>
  <c r="S67" i="9"/>
  <c r="R67" i="9"/>
  <c r="Q67" i="9"/>
  <c r="P67" i="9"/>
  <c r="O67" i="9"/>
  <c r="N67" i="9"/>
  <c r="L67" i="9"/>
  <c r="K67" i="9"/>
  <c r="S66" i="9"/>
  <c r="R66" i="9"/>
  <c r="Q66" i="9"/>
  <c r="P66" i="9"/>
  <c r="O66" i="9"/>
  <c r="N66" i="9"/>
  <c r="M66" i="9"/>
  <c r="L66" i="9"/>
  <c r="K66" i="9"/>
  <c r="S65" i="9"/>
  <c r="R65" i="9"/>
  <c r="Q65" i="9"/>
  <c r="P65" i="9"/>
  <c r="O65" i="9"/>
  <c r="N65" i="9"/>
  <c r="M65" i="9"/>
  <c r="L65" i="9"/>
  <c r="K65" i="9"/>
  <c r="S64" i="9"/>
  <c r="R64" i="9"/>
  <c r="Q64" i="9"/>
  <c r="P64" i="9"/>
  <c r="O64" i="9"/>
  <c r="N64" i="9"/>
  <c r="M64" i="9"/>
  <c r="L64" i="9"/>
  <c r="K64" i="9"/>
  <c r="S62" i="9"/>
  <c r="R62" i="9"/>
  <c r="Q62" i="9"/>
  <c r="P62" i="9"/>
  <c r="O62" i="9"/>
  <c r="N62" i="9"/>
  <c r="L62" i="9"/>
  <c r="K62" i="9"/>
  <c r="S61" i="9"/>
  <c r="R61" i="9"/>
  <c r="Q61" i="9"/>
  <c r="P61" i="9"/>
  <c r="O61" i="9"/>
  <c r="N61" i="9"/>
  <c r="L61" i="9"/>
  <c r="K61" i="9"/>
  <c r="M60" i="9"/>
  <c r="S59" i="9"/>
  <c r="R59" i="9"/>
  <c r="Q59" i="9"/>
  <c r="P59" i="9"/>
  <c r="O59" i="9"/>
  <c r="N59" i="9"/>
  <c r="L59" i="9"/>
  <c r="K59" i="9"/>
  <c r="S58" i="9"/>
  <c r="R58" i="9"/>
  <c r="Q58" i="9"/>
  <c r="P58" i="9"/>
  <c r="O58" i="9"/>
  <c r="N58" i="9"/>
  <c r="L58" i="9"/>
  <c r="K58" i="9"/>
  <c r="S57" i="9"/>
  <c r="R57" i="9"/>
  <c r="Q57" i="9"/>
  <c r="P57" i="9"/>
  <c r="O57" i="9"/>
  <c r="N57" i="9"/>
  <c r="L57" i="9"/>
  <c r="K57" i="9"/>
  <c r="S56" i="9"/>
  <c r="R56" i="9"/>
  <c r="Q56" i="9"/>
  <c r="P56" i="9"/>
  <c r="O56" i="9"/>
  <c r="N56" i="9"/>
  <c r="L56" i="9"/>
  <c r="K56" i="9"/>
  <c r="S55" i="9"/>
  <c r="R55" i="9"/>
  <c r="Q55" i="9"/>
  <c r="P55" i="9"/>
  <c r="O55" i="9"/>
  <c r="N55" i="9"/>
  <c r="L55" i="9"/>
  <c r="K55" i="9"/>
  <c r="S54" i="9"/>
  <c r="R54" i="9"/>
  <c r="Q54" i="9"/>
  <c r="P54" i="9"/>
  <c r="O54" i="9"/>
  <c r="N54" i="9"/>
  <c r="L54" i="9"/>
  <c r="K54" i="9"/>
  <c r="S53" i="9"/>
  <c r="R53" i="9"/>
  <c r="Q53" i="9"/>
  <c r="P53" i="9"/>
  <c r="O53" i="9"/>
  <c r="N53" i="9"/>
  <c r="L53" i="9"/>
  <c r="K53" i="9"/>
  <c r="S52" i="9"/>
  <c r="R52" i="9"/>
  <c r="Q52" i="9"/>
  <c r="P52" i="9"/>
  <c r="O52" i="9"/>
  <c r="N52" i="9"/>
  <c r="L52" i="9"/>
  <c r="K52" i="9"/>
  <c r="S51" i="9"/>
  <c r="R51" i="9"/>
  <c r="Q51" i="9"/>
  <c r="P51" i="9"/>
  <c r="O51" i="9"/>
  <c r="N51" i="9"/>
  <c r="L51" i="9"/>
  <c r="K51" i="9"/>
  <c r="S50" i="9"/>
  <c r="R50" i="9"/>
  <c r="Q50" i="9"/>
  <c r="P50" i="9"/>
  <c r="O50" i="9"/>
  <c r="N50" i="9"/>
  <c r="L50" i="9"/>
  <c r="K50" i="9"/>
  <c r="S49" i="9"/>
  <c r="R49" i="9"/>
  <c r="Q49" i="9"/>
  <c r="P49" i="9"/>
  <c r="O49" i="9"/>
  <c r="N49" i="9"/>
  <c r="L49" i="9"/>
  <c r="K49" i="9"/>
  <c r="S48" i="9"/>
  <c r="R48" i="9"/>
  <c r="Q48" i="9"/>
  <c r="P48" i="9"/>
  <c r="O48" i="9"/>
  <c r="N48" i="9"/>
  <c r="L48" i="9"/>
  <c r="K48" i="9"/>
  <c r="S47" i="9"/>
  <c r="R47" i="9"/>
  <c r="Q47" i="9"/>
  <c r="P47" i="9"/>
  <c r="O47" i="9"/>
  <c r="N47" i="9"/>
  <c r="M47" i="9"/>
  <c r="L47" i="9"/>
  <c r="K47" i="9"/>
  <c r="S46" i="9"/>
  <c r="R46" i="9"/>
  <c r="Q46" i="9"/>
  <c r="P46" i="9"/>
  <c r="O46" i="9"/>
  <c r="N46" i="9"/>
  <c r="L46" i="9"/>
  <c r="K46" i="9"/>
  <c r="S45" i="9"/>
  <c r="R45" i="9"/>
  <c r="Q45" i="9"/>
  <c r="P45" i="9"/>
  <c r="O45" i="9"/>
  <c r="N45" i="9"/>
  <c r="L45" i="9"/>
  <c r="K45" i="9"/>
  <c r="S44" i="9"/>
  <c r="R44" i="9"/>
  <c r="Q44" i="9"/>
  <c r="P44" i="9"/>
  <c r="O44" i="9"/>
  <c r="N44" i="9"/>
  <c r="M44" i="9"/>
  <c r="L44" i="9"/>
  <c r="K44" i="9"/>
  <c r="S43" i="9"/>
  <c r="R43" i="9"/>
  <c r="Q43" i="9"/>
  <c r="P43" i="9"/>
  <c r="O43" i="9"/>
  <c r="N43" i="9"/>
  <c r="M43" i="9"/>
  <c r="L43" i="9"/>
  <c r="K43" i="9"/>
  <c r="S42" i="9"/>
  <c r="R42" i="9"/>
  <c r="Q42" i="9"/>
  <c r="P42" i="9"/>
  <c r="O42" i="9"/>
  <c r="N42" i="9"/>
  <c r="L42" i="9"/>
  <c r="K42" i="9"/>
  <c r="S41" i="9"/>
  <c r="R41" i="9"/>
  <c r="Q41" i="9"/>
  <c r="P41" i="9"/>
  <c r="O41" i="9"/>
  <c r="N41" i="9"/>
  <c r="M41" i="9"/>
  <c r="L41" i="9"/>
  <c r="K41" i="9"/>
  <c r="S40" i="9"/>
  <c r="R40" i="9"/>
  <c r="Q40" i="9"/>
  <c r="P40" i="9"/>
  <c r="O40" i="9"/>
  <c r="N40" i="9"/>
  <c r="M40" i="9"/>
  <c r="L40" i="9"/>
  <c r="K40" i="9"/>
  <c r="S39" i="9"/>
  <c r="R39" i="9"/>
  <c r="Q39" i="9"/>
  <c r="P39" i="9"/>
  <c r="N39" i="9"/>
  <c r="L39" i="9"/>
  <c r="K39" i="9"/>
  <c r="S38" i="9"/>
  <c r="R38" i="9"/>
  <c r="Q38" i="9"/>
  <c r="P38" i="9"/>
  <c r="O38" i="9"/>
  <c r="N38" i="9"/>
  <c r="M38" i="9"/>
  <c r="L38" i="9"/>
  <c r="K38" i="9"/>
  <c r="S37" i="9"/>
  <c r="R37" i="9"/>
  <c r="Q37" i="9"/>
  <c r="P37" i="9"/>
  <c r="O37" i="9"/>
  <c r="N37" i="9"/>
  <c r="M37" i="9"/>
  <c r="L37" i="9"/>
  <c r="K37" i="9"/>
  <c r="S36" i="9"/>
  <c r="R36" i="9"/>
  <c r="Q36" i="9"/>
  <c r="P36" i="9"/>
  <c r="O36" i="9"/>
  <c r="N36" i="9"/>
  <c r="L36" i="9"/>
  <c r="K36" i="9"/>
  <c r="S35" i="9"/>
  <c r="R35" i="9"/>
  <c r="Q35" i="9"/>
  <c r="P35" i="9"/>
  <c r="O35" i="9"/>
  <c r="N35" i="9"/>
  <c r="L35" i="9"/>
  <c r="K35" i="9"/>
  <c r="S34" i="9"/>
  <c r="R34" i="9"/>
  <c r="Q34" i="9"/>
  <c r="P34" i="9"/>
  <c r="O34" i="9"/>
  <c r="N34" i="9"/>
  <c r="M34" i="9"/>
  <c r="L34" i="9"/>
  <c r="K34" i="9"/>
  <c r="S33" i="9"/>
  <c r="R33" i="9"/>
  <c r="Q33" i="9"/>
  <c r="P33" i="9"/>
  <c r="O33" i="9"/>
  <c r="N33" i="9"/>
  <c r="M33" i="9"/>
  <c r="L33" i="9"/>
  <c r="K33" i="9"/>
  <c r="S32" i="9"/>
  <c r="R32" i="9"/>
  <c r="Q32" i="9"/>
  <c r="P32" i="9"/>
  <c r="O32" i="9"/>
  <c r="N32" i="9"/>
  <c r="M32" i="9"/>
  <c r="L32" i="9"/>
  <c r="K32" i="9"/>
  <c r="S31" i="9"/>
  <c r="R31" i="9"/>
  <c r="Q31" i="9"/>
  <c r="P31" i="9"/>
  <c r="O31" i="9"/>
  <c r="N31" i="9"/>
  <c r="L31" i="9"/>
  <c r="K31" i="9"/>
  <c r="S30" i="9"/>
  <c r="R30" i="9"/>
  <c r="Q30" i="9"/>
  <c r="P30" i="9"/>
  <c r="O30" i="9"/>
  <c r="N30" i="9"/>
  <c r="M30" i="9"/>
  <c r="L30" i="9"/>
  <c r="K30" i="9"/>
  <c r="S29" i="9"/>
  <c r="R29" i="9"/>
  <c r="Q29" i="9"/>
  <c r="P29" i="9"/>
  <c r="O29" i="9"/>
  <c r="N29" i="9"/>
  <c r="M29" i="9"/>
  <c r="L29" i="9"/>
  <c r="K29" i="9"/>
  <c r="S28" i="9"/>
  <c r="R28" i="9"/>
  <c r="Q28" i="9"/>
  <c r="P28" i="9"/>
  <c r="O28" i="9"/>
  <c r="N28" i="9"/>
  <c r="M28" i="9"/>
  <c r="L28" i="9"/>
  <c r="K28" i="9"/>
  <c r="S27" i="9"/>
  <c r="R27" i="9"/>
  <c r="Q27" i="9"/>
  <c r="P27" i="9"/>
  <c r="O27" i="9"/>
  <c r="N27" i="9"/>
  <c r="M27" i="9"/>
  <c r="L27" i="9"/>
  <c r="K27" i="9"/>
  <c r="S26" i="9"/>
  <c r="R26" i="9"/>
  <c r="Q26" i="9"/>
  <c r="P26" i="9"/>
  <c r="O26" i="9"/>
  <c r="N26" i="9"/>
  <c r="M26" i="9"/>
  <c r="L26" i="9"/>
  <c r="K26" i="9"/>
  <c r="S25" i="9"/>
  <c r="R25" i="9"/>
  <c r="Q25" i="9"/>
  <c r="P25" i="9"/>
  <c r="O25" i="9"/>
  <c r="N25" i="9"/>
  <c r="M25" i="9"/>
  <c r="L25" i="9"/>
  <c r="K25" i="9"/>
  <c r="S24" i="9"/>
  <c r="R24" i="9"/>
  <c r="Q24" i="9"/>
  <c r="P24" i="9"/>
  <c r="O24" i="9"/>
  <c r="N24" i="9"/>
  <c r="M24" i="9"/>
  <c r="L24" i="9"/>
  <c r="K24" i="9"/>
  <c r="S23" i="9"/>
  <c r="R23" i="9"/>
  <c r="Q23" i="9"/>
  <c r="P23" i="9"/>
  <c r="O23" i="9"/>
  <c r="N23" i="9"/>
  <c r="M23" i="9"/>
  <c r="L23" i="9"/>
  <c r="K23" i="9"/>
  <c r="S22" i="9"/>
  <c r="R22" i="9"/>
  <c r="Q22" i="9"/>
  <c r="P22" i="9"/>
  <c r="O22" i="9"/>
  <c r="N22" i="9"/>
  <c r="M22" i="9"/>
  <c r="L22" i="9"/>
  <c r="K22" i="9"/>
  <c r="S21" i="9"/>
  <c r="R21" i="9"/>
  <c r="Q21" i="9"/>
  <c r="P21" i="9"/>
  <c r="O21" i="9"/>
  <c r="N21" i="9"/>
  <c r="M21" i="9"/>
  <c r="L21" i="9"/>
  <c r="K21" i="9"/>
  <c r="S20" i="9"/>
  <c r="R20" i="9"/>
  <c r="Q20" i="9"/>
  <c r="P20" i="9"/>
  <c r="O20" i="9"/>
  <c r="N20" i="9"/>
  <c r="M20" i="9"/>
  <c r="L20" i="9"/>
  <c r="K20" i="9"/>
  <c r="S19" i="9"/>
  <c r="R19" i="9"/>
  <c r="Q19" i="9"/>
  <c r="P19" i="9"/>
  <c r="N19" i="9"/>
  <c r="L19" i="9"/>
  <c r="K19" i="9"/>
  <c r="S18" i="9"/>
  <c r="R18" i="9"/>
  <c r="Q18" i="9"/>
  <c r="P18" i="9"/>
  <c r="O18" i="9"/>
  <c r="N18" i="9"/>
  <c r="M18" i="9"/>
  <c r="L18" i="9"/>
  <c r="K18" i="9"/>
  <c r="S17" i="9"/>
  <c r="R17" i="9"/>
  <c r="Q17" i="9"/>
  <c r="P17" i="9"/>
  <c r="O17" i="9"/>
  <c r="N17" i="9"/>
  <c r="M17" i="9"/>
  <c r="L17" i="9"/>
  <c r="K17" i="9"/>
  <c r="S16" i="9"/>
  <c r="R16" i="9"/>
  <c r="Q16" i="9"/>
  <c r="P16" i="9"/>
  <c r="O16" i="9"/>
  <c r="N16" i="9"/>
  <c r="L16" i="9"/>
  <c r="K16" i="9"/>
  <c r="S15" i="9"/>
  <c r="R15" i="9"/>
  <c r="Q15" i="9"/>
  <c r="P15" i="9"/>
  <c r="O15" i="9"/>
  <c r="N15" i="9"/>
  <c r="M15" i="9"/>
  <c r="L15" i="9"/>
  <c r="K15" i="9"/>
  <c r="S14" i="9"/>
  <c r="R14" i="9"/>
  <c r="Q14" i="9"/>
  <c r="P14" i="9"/>
  <c r="O14" i="9"/>
  <c r="N14" i="9"/>
  <c r="M14" i="9"/>
  <c r="L14" i="9"/>
  <c r="K14" i="9"/>
  <c r="S13" i="9"/>
  <c r="R13" i="9"/>
  <c r="Q13" i="9"/>
  <c r="P13" i="9"/>
  <c r="O13" i="9"/>
  <c r="N13" i="9"/>
  <c r="M13" i="9"/>
  <c r="L13" i="9"/>
  <c r="K13" i="9"/>
  <c r="S12" i="9"/>
  <c r="R12" i="9"/>
  <c r="Q12" i="9"/>
  <c r="P12" i="9"/>
  <c r="O12" i="9"/>
  <c r="N12" i="9"/>
  <c r="M12" i="9"/>
  <c r="L12" i="9"/>
  <c r="K12" i="9"/>
  <c r="M11" i="9"/>
  <c r="M10" i="9"/>
  <c r="M9" i="9"/>
  <c r="M8" i="9"/>
  <c r="M7" i="9"/>
  <c r="M6" i="9"/>
  <c r="M5" i="9"/>
  <c r="M4" i="9"/>
  <c r="M3" i="9"/>
  <c r="M2" i="9"/>
  <c r="S9" i="8"/>
  <c r="S10" i="8" s="1"/>
  <c r="S11" i="8" s="1"/>
  <c r="R9" i="8"/>
  <c r="R10" i="8" s="1"/>
  <c r="R11" i="8" s="1"/>
  <c r="Q9" i="8"/>
  <c r="Q10" i="8" s="1"/>
  <c r="Q11" i="8" s="1"/>
  <c r="M9" i="8"/>
  <c r="M10" i="8" s="1"/>
  <c r="M11" i="8" s="1"/>
  <c r="L9" i="8"/>
  <c r="L10" i="8" s="1"/>
  <c r="K9" i="8"/>
  <c r="K10" i="8" s="1"/>
  <c r="K11" i="8" s="1"/>
  <c r="J9" i="8"/>
  <c r="M13" i="8" s="1"/>
  <c r="T7" i="8"/>
  <c r="P7" i="8"/>
  <c r="O7" i="8"/>
  <c r="N7" i="8"/>
  <c r="K7" i="8"/>
  <c r="T6" i="8"/>
  <c r="P6" i="8"/>
  <c r="O6" i="8"/>
  <c r="N6" i="8"/>
  <c r="K6" i="8"/>
  <c r="T5" i="8"/>
  <c r="P5" i="8"/>
  <c r="O5" i="8"/>
  <c r="N5" i="8"/>
  <c r="K5" i="8"/>
  <c r="T4" i="8"/>
  <c r="P4" i="8"/>
  <c r="O4" i="8"/>
  <c r="N4" i="8"/>
  <c r="K4" i="8"/>
  <c r="T3" i="8"/>
  <c r="P3" i="8"/>
  <c r="O3" i="8"/>
  <c r="N3" i="8"/>
  <c r="K3" i="8"/>
  <c r="T2" i="8"/>
  <c r="T9" i="8" s="1"/>
  <c r="T10" i="8" s="1"/>
  <c r="T11" i="8" s="1"/>
  <c r="P2" i="8"/>
  <c r="P9" i="8" s="1"/>
  <c r="P10" i="8" s="1"/>
  <c r="P11" i="8" s="1"/>
  <c r="O2" i="8"/>
  <c r="O9" i="8" s="1"/>
  <c r="O10" i="8" s="1"/>
  <c r="O11" i="8" s="1"/>
  <c r="N2" i="8"/>
  <c r="N9" i="8" s="1"/>
  <c r="N10" i="8" s="1"/>
  <c r="N11" i="8" s="1"/>
  <c r="K2" i="8"/>
  <c r="K10" i="15" l="1"/>
  <c r="K11" i="15" s="1"/>
  <c r="K12" i="15" s="1"/>
  <c r="K13" i="15" s="1"/>
  <c r="P15" i="15"/>
  <c r="AL695" i="3"/>
  <c r="AM695" i="3" s="1"/>
  <c r="AN695" i="3" s="1"/>
  <c r="AL350" i="3"/>
  <c r="AM350" i="3" s="1"/>
  <c r="AN350" i="3" s="1"/>
  <c r="O733" i="19"/>
  <c r="O734" i="19" s="1"/>
  <c r="O735" i="19" s="1"/>
  <c r="O736" i="19" s="1"/>
  <c r="N733" i="19"/>
  <c r="N734" i="19" s="1"/>
  <c r="N735" i="19" s="1"/>
  <c r="N736" i="19" s="1"/>
  <c r="L733" i="19"/>
  <c r="L734" i="19" s="1"/>
  <c r="L735" i="19" s="1"/>
  <c r="L736" i="19" s="1"/>
  <c r="S733" i="19"/>
  <c r="S734" i="19" s="1"/>
  <c r="S735" i="19" s="1"/>
  <c r="S736" i="19" s="1"/>
  <c r="K733" i="19"/>
  <c r="K734" i="19" s="1"/>
  <c r="K735" i="19" s="1"/>
  <c r="K736" i="19" s="1"/>
  <c r="R733" i="19"/>
  <c r="R734" i="19" s="1"/>
  <c r="R735" i="19" s="1"/>
  <c r="R736" i="19" s="1"/>
  <c r="Q733" i="19"/>
  <c r="Q734" i="19" s="1"/>
  <c r="Q735" i="19" s="1"/>
  <c r="Q736" i="19" s="1"/>
  <c r="M733" i="19"/>
  <c r="M734" i="19" s="1"/>
  <c r="P733" i="19"/>
  <c r="P734" i="19" s="1"/>
  <c r="P735" i="19" s="1"/>
  <c r="P736" i="19" s="1"/>
  <c r="K730" i="19"/>
  <c r="N738" i="9"/>
  <c r="P730" i="19"/>
  <c r="Q730" i="19"/>
  <c r="R730" i="19"/>
  <c r="N730" i="19"/>
  <c r="O730" i="19"/>
  <c r="M730" i="19"/>
  <c r="L747" i="19"/>
  <c r="O4" i="14"/>
  <c r="N10" i="15"/>
  <c r="N11" i="15" s="1"/>
  <c r="N12" i="15" s="1"/>
  <c r="N13" i="15" s="1"/>
  <c r="T10" i="15"/>
  <c r="T11" i="15" s="1"/>
  <c r="T12" i="15" s="1"/>
  <c r="T13" i="15" s="1"/>
  <c r="O10" i="15"/>
  <c r="O11" i="15" s="1"/>
  <c r="P10" i="15"/>
  <c r="P11" i="15" s="1"/>
  <c r="P12" i="15" s="1"/>
  <c r="P13" i="15" s="1"/>
  <c r="R41" i="14"/>
  <c r="S41" i="14"/>
  <c r="P41" i="14"/>
  <c r="L41" i="14"/>
  <c r="Q41" i="14"/>
  <c r="N41" i="14"/>
  <c r="L738" i="9"/>
  <c r="P712" i="9"/>
  <c r="P725" i="9" s="1"/>
  <c r="N712" i="9"/>
  <c r="N725" i="9" s="1"/>
  <c r="O712" i="9"/>
  <c r="O725" i="9" s="1"/>
  <c r="O695" i="9"/>
  <c r="P695" i="9"/>
  <c r="Q695" i="9"/>
  <c r="N695" i="9"/>
  <c r="M695" i="9"/>
  <c r="R695" i="9"/>
  <c r="S695" i="9"/>
  <c r="L695" i="9"/>
  <c r="K698" i="9"/>
  <c r="K695" i="9"/>
  <c r="S698" i="9"/>
  <c r="N698" i="9"/>
  <c r="Q698" i="9"/>
  <c r="P698" i="9"/>
  <c r="O698" i="9"/>
  <c r="M698" i="9"/>
  <c r="L698" i="9"/>
  <c r="R698" i="9"/>
  <c r="K41" i="10"/>
  <c r="M45" i="10"/>
  <c r="M46" i="10" s="1"/>
  <c r="J41" i="10"/>
  <c r="M15" i="8"/>
  <c r="L11" i="8"/>
  <c r="O14" i="8" s="1"/>
  <c r="N14" i="8"/>
  <c r="J10" i="8"/>
  <c r="M14" i="8"/>
  <c r="AL49" i="3" l="1"/>
  <c r="AM49" i="3" s="1"/>
  <c r="AN49" i="3" s="1"/>
  <c r="AL930" i="3"/>
  <c r="AM930" i="3" s="1"/>
  <c r="AN930" i="3" s="1"/>
  <c r="AL456" i="3"/>
  <c r="AM456" i="3" s="1"/>
  <c r="AN456" i="3" s="1"/>
  <c r="AL194" i="3"/>
  <c r="AM194" i="3" s="1"/>
  <c r="AN194" i="3" s="1"/>
  <c r="O12" i="15"/>
  <c r="O13" i="15" s="1"/>
  <c r="AL54" i="3"/>
  <c r="AM54" i="3" s="1"/>
  <c r="AN54" i="3" s="1"/>
  <c r="AL16" i="3"/>
  <c r="AM16" i="3" s="1"/>
  <c r="AN16" i="3" s="1"/>
  <c r="M739" i="19"/>
  <c r="W771" i="19"/>
  <c r="M735" i="19"/>
  <c r="M736" i="19" s="1"/>
  <c r="P740" i="19" s="1"/>
  <c r="W772" i="19"/>
  <c r="T730" i="19"/>
  <c r="W768" i="19"/>
  <c r="M16" i="15"/>
  <c r="N16" i="15" s="1"/>
  <c r="O16" i="15" s="1"/>
  <c r="W766" i="19"/>
  <c r="W767" i="19"/>
  <c r="W763" i="19"/>
  <c r="T734" i="19"/>
  <c r="N739" i="19"/>
  <c r="W770" i="19"/>
  <c r="N747" i="19"/>
  <c r="M747" i="19"/>
  <c r="T733" i="19"/>
  <c r="W764" i="19"/>
  <c r="M740" i="19"/>
  <c r="W769" i="19"/>
  <c r="N740" i="19"/>
  <c r="L757" i="19" s="1"/>
  <c r="W765" i="19"/>
  <c r="N46" i="14"/>
  <c r="N47" i="14" s="1"/>
  <c r="P45" i="14"/>
  <c r="O45" i="14"/>
  <c r="P46" i="14"/>
  <c r="O46" i="14"/>
  <c r="M706" i="9"/>
  <c r="J42" i="10"/>
  <c r="O44" i="10" s="1"/>
  <c r="O46" i="10" s="1"/>
  <c r="N44" i="10"/>
  <c r="K42" i="10"/>
  <c r="O45" i="10" s="1"/>
  <c r="N45" i="10"/>
  <c r="J11" i="8"/>
  <c r="O13" i="8" s="1"/>
  <c r="O15" i="8" s="1"/>
  <c r="N13" i="8"/>
  <c r="N15" i="8" s="1"/>
  <c r="P16" i="15" l="1"/>
  <c r="O17" i="15"/>
  <c r="M17" i="15"/>
  <c r="M18" i="15" s="1"/>
  <c r="O740" i="19"/>
  <c r="M757" i="19" s="1"/>
  <c r="N757" i="19"/>
  <c r="N741" i="19"/>
  <c r="L756" i="19"/>
  <c r="L755" i="19" s="1"/>
  <c r="L760" i="19" s="1"/>
  <c r="W773" i="19"/>
  <c r="O739" i="19"/>
  <c r="T735" i="19"/>
  <c r="M741" i="19"/>
  <c r="N17" i="15"/>
  <c r="O47" i="14"/>
  <c r="P47" i="14"/>
  <c r="N706" i="9"/>
  <c r="N46" i="10"/>
  <c r="O706" i="9"/>
  <c r="N18" i="15" l="1"/>
  <c r="AL179" i="3"/>
  <c r="AM179" i="3" s="1"/>
  <c r="AN179" i="3" s="1"/>
  <c r="AL154" i="3"/>
  <c r="AM154" i="3" s="1"/>
  <c r="AN154" i="3" s="1"/>
  <c r="AL722" i="3"/>
  <c r="AM722" i="3" s="1"/>
  <c r="AN722" i="3" s="1"/>
  <c r="AL866" i="3"/>
  <c r="AM866" i="3" s="1"/>
  <c r="AN866" i="3" s="1"/>
  <c r="AL934" i="3"/>
  <c r="AM934" i="3" s="1"/>
  <c r="AN934" i="3" s="1"/>
  <c r="AL2" i="3"/>
  <c r="AL634" i="3"/>
  <c r="AM634" i="3" s="1"/>
  <c r="AN634" i="3" s="1"/>
  <c r="AL1037" i="3"/>
  <c r="AM1037" i="3" s="1"/>
  <c r="AN1037" i="3" s="1"/>
  <c r="AL831" i="3"/>
  <c r="AM831" i="3" s="1"/>
  <c r="AN831" i="3" s="1"/>
  <c r="AL460" i="3"/>
  <c r="AM460" i="3" s="1"/>
  <c r="AN460" i="3" s="1"/>
  <c r="AL1006" i="3"/>
  <c r="AM1006" i="3" s="1"/>
  <c r="AN1006" i="3" s="1"/>
  <c r="AL55" i="3"/>
  <c r="AM55" i="3" s="1"/>
  <c r="AN55" i="3" s="1"/>
  <c r="AL392" i="3"/>
  <c r="AM392" i="3" s="1"/>
  <c r="AN392" i="3" s="1"/>
  <c r="AL777" i="3"/>
  <c r="AM777" i="3" s="1"/>
  <c r="AN777" i="3" s="1"/>
  <c r="AL82" i="3"/>
  <c r="AM82" i="3" s="1"/>
  <c r="AN82" i="3" s="1"/>
  <c r="AL973" i="3"/>
  <c r="AM973" i="3" s="1"/>
  <c r="AN973" i="3" s="1"/>
  <c r="AL698" i="3"/>
  <c r="AM698" i="3" s="1"/>
  <c r="AN698" i="3" s="1"/>
  <c r="AL258" i="3"/>
  <c r="AM258" i="3" s="1"/>
  <c r="AN258" i="3" s="1"/>
  <c r="AL776" i="3"/>
  <c r="AM776" i="3" s="1"/>
  <c r="AN776" i="3" s="1"/>
  <c r="AL138" i="3"/>
  <c r="AM138" i="3" s="1"/>
  <c r="AN138" i="3" s="1"/>
  <c r="AL485" i="3"/>
  <c r="AM485" i="3" s="1"/>
  <c r="AN485" i="3" s="1"/>
  <c r="AL675" i="3"/>
  <c r="AM675" i="3" s="1"/>
  <c r="AN675" i="3" s="1"/>
  <c r="AL421" i="3"/>
  <c r="AM421" i="3" s="1"/>
  <c r="AN421" i="3" s="1"/>
  <c r="AL282" i="3"/>
  <c r="AM282" i="3" s="1"/>
  <c r="AN282" i="3" s="1"/>
  <c r="AL353" i="3"/>
  <c r="AM353" i="3" s="1"/>
  <c r="AN353" i="3" s="1"/>
  <c r="AL106" i="3"/>
  <c r="AM106" i="3" s="1"/>
  <c r="AN106" i="3" s="1"/>
  <c r="AL334" i="3"/>
  <c r="AM334" i="3" s="1"/>
  <c r="AN334" i="3" s="1"/>
  <c r="AL374" i="3"/>
  <c r="AM374" i="3" s="1"/>
  <c r="AN374" i="3" s="1"/>
  <c r="AL300" i="3"/>
  <c r="AM300" i="3" s="1"/>
  <c r="AN300" i="3" s="1"/>
  <c r="AL117" i="3"/>
  <c r="AM117" i="3" s="1"/>
  <c r="AN117" i="3" s="1"/>
  <c r="AL200" i="3"/>
  <c r="AM200" i="3" s="1"/>
  <c r="AN200" i="3" s="1"/>
  <c r="AL1016" i="3"/>
  <c r="AM1016" i="3" s="1"/>
  <c r="AN1016" i="3" s="1"/>
  <c r="AL19" i="3"/>
  <c r="AM19" i="3" s="1"/>
  <c r="AN19" i="3" s="1"/>
  <c r="AL225" i="3"/>
  <c r="AM225" i="3" s="1"/>
  <c r="AN225" i="3" s="1"/>
  <c r="AL953" i="3"/>
  <c r="AM953" i="3" s="1"/>
  <c r="AN953" i="3" s="1"/>
  <c r="AL680" i="3"/>
  <c r="AM680" i="3" s="1"/>
  <c r="AN680" i="3" s="1"/>
  <c r="AL91" i="3"/>
  <c r="AM91" i="3" s="1"/>
  <c r="AN91" i="3" s="1"/>
  <c r="AL841" i="3"/>
  <c r="AM841" i="3" s="1"/>
  <c r="AN841" i="3" s="1"/>
  <c r="AL162" i="3"/>
  <c r="AM162" i="3" s="1"/>
  <c r="AN162" i="3" s="1"/>
  <c r="AL63" i="3"/>
  <c r="AM63" i="3" s="1"/>
  <c r="AN63" i="3" s="1"/>
  <c r="AL731" i="3"/>
  <c r="AM731" i="3" s="1"/>
  <c r="AN731" i="3" s="1"/>
  <c r="AL123" i="3"/>
  <c r="AM123" i="3" s="1"/>
  <c r="AN123" i="3" s="1"/>
  <c r="AL958" i="3"/>
  <c r="AM958" i="3" s="1"/>
  <c r="AN958" i="3" s="1"/>
  <c r="AL359" i="3"/>
  <c r="AM359" i="3" s="1"/>
  <c r="AN359" i="3" s="1"/>
  <c r="AL26" i="3"/>
  <c r="AL110" i="3"/>
  <c r="AM110" i="3" s="1"/>
  <c r="AN110" i="3" s="1"/>
  <c r="AL1024" i="3"/>
  <c r="AM1024" i="3" s="1"/>
  <c r="AN1024" i="3" s="1"/>
  <c r="AL379" i="3"/>
  <c r="AM379" i="3" s="1"/>
  <c r="AN379" i="3" s="1"/>
  <c r="AL981" i="3"/>
  <c r="AM981" i="3" s="1"/>
  <c r="AN981" i="3" s="1"/>
  <c r="AL205" i="3"/>
  <c r="AM205" i="3" s="1"/>
  <c r="AN205" i="3" s="1"/>
  <c r="AL791" i="3"/>
  <c r="AM791" i="3" s="1"/>
  <c r="AN791" i="3" s="1"/>
  <c r="AL705" i="3"/>
  <c r="AM705" i="3" s="1"/>
  <c r="AN705" i="3" s="1"/>
  <c r="AL941" i="3"/>
  <c r="AM941" i="3" s="1"/>
  <c r="AN941" i="3" s="1"/>
  <c r="AL400" i="3"/>
  <c r="AM400" i="3" s="1"/>
  <c r="AN400" i="3" s="1"/>
  <c r="AL468" i="3"/>
  <c r="AM468" i="3" s="1"/>
  <c r="AN468" i="3" s="1"/>
  <c r="AL494" i="3"/>
  <c r="AM494" i="3" s="1"/>
  <c r="AN494" i="3" s="1"/>
  <c r="AL288" i="3"/>
  <c r="AM288" i="3" s="1"/>
  <c r="AN288" i="3" s="1"/>
  <c r="AL184" i="3"/>
  <c r="AM184" i="3" s="1"/>
  <c r="AN184" i="3" s="1"/>
  <c r="AL230" i="3"/>
  <c r="AM230" i="3" s="1"/>
  <c r="AN230" i="3" s="1"/>
  <c r="AL143" i="3"/>
  <c r="AM143" i="3" s="1"/>
  <c r="AN143" i="3" s="1"/>
  <c r="AL338" i="3"/>
  <c r="AM338" i="3" s="1"/>
  <c r="AN338" i="3" s="1"/>
  <c r="AL309" i="3"/>
  <c r="AM309" i="3" s="1"/>
  <c r="AN309" i="3" s="1"/>
  <c r="AL1046" i="3"/>
  <c r="AM1046" i="3" s="1"/>
  <c r="AN1046" i="3" s="1"/>
  <c r="AL429" i="3"/>
  <c r="AM429" i="3" s="1"/>
  <c r="AN429" i="3" s="1"/>
  <c r="AL877" i="3"/>
  <c r="AM877" i="3" s="1"/>
  <c r="AN877" i="3" s="1"/>
  <c r="AL644" i="3"/>
  <c r="AM644" i="3" s="1"/>
  <c r="AN644" i="3" s="1"/>
  <c r="AL263" i="3"/>
  <c r="AM263" i="3" s="1"/>
  <c r="AN263" i="3" s="1"/>
  <c r="B4" i="11"/>
  <c r="N742" i="19"/>
  <c r="M742" i="19"/>
  <c r="L775" i="19"/>
  <c r="P17" i="15"/>
  <c r="B5" i="11"/>
  <c r="M756" i="19"/>
  <c r="M755" i="19" s="1"/>
  <c r="M760" i="19" s="1"/>
  <c r="O741" i="19"/>
  <c r="T736" i="19"/>
  <c r="P739" i="19"/>
  <c r="F191" i="1"/>
  <c r="E191" i="1"/>
  <c r="E190" i="1"/>
  <c r="E189" i="1"/>
  <c r="E188" i="1"/>
  <c r="E187" i="1"/>
  <c r="E186" i="1"/>
  <c r="F217" i="1"/>
  <c r="E217" i="1"/>
  <c r="F208" i="1"/>
  <c r="E208" i="1"/>
  <c r="F203" i="1"/>
  <c r="E203" i="1"/>
  <c r="F200" i="1"/>
  <c r="E200" i="1"/>
  <c r="F199" i="1"/>
  <c r="E199" i="1"/>
  <c r="F196" i="1"/>
  <c r="E196" i="1"/>
  <c r="F194" i="1"/>
  <c r="E194" i="1"/>
  <c r="F167" i="1"/>
  <c r="E167" i="1"/>
  <c r="F166" i="1"/>
  <c r="E166" i="1"/>
  <c r="F165" i="1"/>
  <c r="E165" i="1"/>
  <c r="F157" i="1"/>
  <c r="E157" i="1"/>
  <c r="F156" i="1"/>
  <c r="E156" i="1"/>
  <c r="F149" i="1"/>
  <c r="E149" i="1"/>
  <c r="F148" i="1"/>
  <c r="E148" i="1"/>
  <c r="F142" i="1"/>
  <c r="E142" i="1"/>
  <c r="F138" i="1"/>
  <c r="E138" i="1"/>
  <c r="F137" i="1"/>
  <c r="E137" i="1"/>
  <c r="F133" i="1"/>
  <c r="E133" i="1"/>
  <c r="F132" i="1"/>
  <c r="E132" i="1"/>
  <c r="F126" i="1"/>
  <c r="E126" i="1"/>
  <c r="F125" i="1"/>
  <c r="E125" i="1"/>
  <c r="F124" i="1"/>
  <c r="E124" i="1"/>
  <c r="F123" i="1"/>
  <c r="E123" i="1"/>
  <c r="F121" i="1"/>
  <c r="E121" i="1"/>
  <c r="F120" i="1"/>
  <c r="E120" i="1"/>
  <c r="F119" i="1"/>
  <c r="E119" i="1"/>
  <c r="F118" i="1"/>
  <c r="E118" i="1"/>
  <c r="F117" i="1"/>
  <c r="E117" i="1"/>
  <c r="F116" i="1"/>
  <c r="E116" i="1"/>
  <c r="F115" i="1"/>
  <c r="E115" i="1"/>
  <c r="F114" i="1"/>
  <c r="E114" i="1"/>
  <c r="F113" i="1"/>
  <c r="E113" i="1"/>
  <c r="F112" i="1"/>
  <c r="E112" i="1"/>
  <c r="F111" i="1"/>
  <c r="E111" i="1"/>
  <c r="F110" i="1"/>
  <c r="E110" i="1"/>
  <c r="F109" i="1"/>
  <c r="E109" i="1"/>
  <c r="F104" i="1"/>
  <c r="E104" i="1"/>
  <c r="F103" i="1"/>
  <c r="E103" i="1"/>
  <c r="F102" i="1"/>
  <c r="E102" i="1"/>
  <c r="F100" i="1"/>
  <c r="E100" i="1"/>
  <c r="F99" i="1"/>
  <c r="E99" i="1"/>
  <c r="F98" i="1"/>
  <c r="E98" i="1"/>
  <c r="F97" i="1"/>
  <c r="E97" i="1"/>
  <c r="F96" i="1"/>
  <c r="E96" i="1"/>
  <c r="F95" i="1"/>
  <c r="E95" i="1"/>
  <c r="F88" i="1"/>
  <c r="E88" i="1"/>
  <c r="F83" i="1"/>
  <c r="E83" i="1"/>
  <c r="F82" i="1"/>
  <c r="E82" i="1"/>
  <c r="F80" i="1"/>
  <c r="E80" i="1"/>
  <c r="F79" i="1"/>
  <c r="E79" i="1"/>
  <c r="F78" i="1"/>
  <c r="E78" i="1"/>
  <c r="F77" i="1"/>
  <c r="E77" i="1"/>
  <c r="F68" i="1"/>
  <c r="E68" i="1"/>
  <c r="F38" i="1"/>
  <c r="E38" i="1"/>
  <c r="AK31" i="3"/>
  <c r="AK30" i="3"/>
  <c r="AK29" i="3"/>
  <c r="AK28" i="3"/>
  <c r="AK27" i="3"/>
  <c r="AK26" i="3"/>
  <c r="AK25" i="3"/>
  <c r="AL25" i="3" s="1"/>
  <c r="AK24" i="3"/>
  <c r="AL24" i="3" s="1"/>
  <c r="AK23" i="3"/>
  <c r="AK22" i="3"/>
  <c r="AK21" i="3"/>
  <c r="AK20" i="3"/>
  <c r="AK19" i="3"/>
  <c r="AK18" i="3"/>
  <c r="AK17" i="3"/>
  <c r="AK16" i="3"/>
  <c r="J697" i="5"/>
  <c r="J10" i="6"/>
  <c r="AK6" i="3"/>
  <c r="AK5" i="3"/>
  <c r="AK4" i="3"/>
  <c r="AK3" i="3"/>
  <c r="AK2" i="3"/>
  <c r="A499" i="5"/>
  <c r="A420" i="5"/>
  <c r="A415" i="5"/>
  <c r="A414" i="5"/>
  <c r="A413" i="5"/>
  <c r="A401" i="5"/>
  <c r="A400" i="5"/>
  <c r="A399" i="5"/>
  <c r="A398" i="5"/>
  <c r="A392" i="5"/>
  <c r="A369" i="5"/>
  <c r="A365" i="5"/>
  <c r="A36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00" i="5"/>
  <c r="A298" i="5"/>
  <c r="A297" i="5"/>
  <c r="A296" i="5"/>
  <c r="A295" i="5"/>
  <c r="A272" i="5"/>
  <c r="A269" i="5"/>
  <c r="A226" i="5"/>
  <c r="A225" i="5"/>
  <c r="A224" i="5"/>
  <c r="A223" i="5"/>
  <c r="A205" i="5"/>
  <c r="A204" i="5"/>
  <c r="A199" i="5"/>
  <c r="A188" i="5"/>
  <c r="A187" i="5"/>
  <c r="A185" i="5"/>
  <c r="A133" i="5"/>
  <c r="A111" i="5"/>
  <c r="A99" i="5"/>
  <c r="A98" i="5"/>
  <c r="A71" i="5"/>
  <c r="A57" i="5"/>
  <c r="AL422" i="3" l="1"/>
  <c r="AM422" i="3" s="1"/>
  <c r="AN422" i="3" s="1"/>
  <c r="AL375" i="3"/>
  <c r="AM375" i="3" s="1"/>
  <c r="AN375" i="3" s="1"/>
  <c r="AL792" i="3"/>
  <c r="AM792" i="3" s="1"/>
  <c r="AN792" i="3" s="1"/>
  <c r="AL1017" i="3"/>
  <c r="AM1017" i="3" s="1"/>
  <c r="AN1017" i="3" s="1"/>
  <c r="AL676" i="3"/>
  <c r="AM676" i="3" s="1"/>
  <c r="AN676" i="3" s="1"/>
  <c r="P741" i="19"/>
  <c r="P742" i="19" s="1"/>
  <c r="AL201" i="3"/>
  <c r="AM201" i="3" s="1"/>
  <c r="AN201" i="3" s="1"/>
  <c r="AM2" i="3"/>
  <c r="AN2" i="3" s="1"/>
  <c r="AM26" i="3"/>
  <c r="AN26" i="3" s="1"/>
  <c r="AL974" i="3"/>
  <c r="AM974" i="3" s="1"/>
  <c r="AN974" i="3" s="1"/>
  <c r="B6" i="11"/>
  <c r="C4" i="11"/>
  <c r="AL301" i="3"/>
  <c r="AL832" i="3"/>
  <c r="AL778" i="3"/>
  <c r="AL393" i="3"/>
  <c r="AL20" i="3"/>
  <c r="AL699" i="3"/>
  <c r="AL284" i="3"/>
  <c r="AL259" i="3"/>
  <c r="AL335" i="3"/>
  <c r="O742" i="19"/>
  <c r="AL867" i="3"/>
  <c r="AL635" i="3"/>
  <c r="AL107" i="3"/>
  <c r="AL486" i="3"/>
  <c r="AL118" i="3"/>
  <c r="AL336" i="3"/>
  <c r="AL423" i="3"/>
  <c r="AL1018" i="3"/>
  <c r="AL936" i="3"/>
  <c r="AL21" i="3"/>
  <c r="AL462" i="3"/>
  <c r="AL1008" i="3"/>
  <c r="AL833" i="3"/>
  <c r="AL955" i="3"/>
  <c r="AL356" i="3"/>
  <c r="AL376" i="3"/>
  <c r="AL780" i="3"/>
  <c r="AL202" i="3"/>
  <c r="AL57" i="3"/>
  <c r="AL140" i="3"/>
  <c r="AL119" i="3"/>
  <c r="AL285" i="3"/>
  <c r="AL724" i="3"/>
  <c r="AL677" i="3"/>
  <c r="AL487" i="3"/>
  <c r="AL181" i="3"/>
  <c r="AL108" i="3"/>
  <c r="AL868" i="3"/>
  <c r="AL975" i="3"/>
  <c r="AL227" i="3"/>
  <c r="AL700" i="3"/>
  <c r="AL260" i="3"/>
  <c r="AL156" i="3"/>
  <c r="AL636" i="3"/>
  <c r="AL394" i="3"/>
  <c r="AL1040" i="3"/>
  <c r="AL84" i="3"/>
  <c r="AL302" i="3"/>
  <c r="AL935" i="3"/>
  <c r="AL779" i="3"/>
  <c r="AL723" i="3"/>
  <c r="AL83" i="3"/>
  <c r="AL139" i="3"/>
  <c r="AL1039" i="3"/>
  <c r="AL180" i="3"/>
  <c r="AL155" i="3"/>
  <c r="AL1007" i="3"/>
  <c r="AL1026" i="3"/>
  <c r="AL461" i="3"/>
  <c r="AL954" i="3"/>
  <c r="AL185" i="3"/>
  <c r="AL1038" i="3"/>
  <c r="AL360" i="3"/>
  <c r="AL226" i="3"/>
  <c r="AL56" i="3"/>
  <c r="AL354" i="3"/>
  <c r="O18" i="15"/>
  <c r="C5" i="11"/>
  <c r="C6" i="11" s="1"/>
  <c r="P18" i="15"/>
  <c r="D5" i="11"/>
  <c r="N756" i="19"/>
  <c r="N755" i="19" s="1"/>
  <c r="N760" i="19" s="1"/>
  <c r="AI2" i="3"/>
  <c r="J52" i="7"/>
  <c r="K52" i="7" s="1"/>
  <c r="J41" i="7"/>
  <c r="N44" i="7" s="1"/>
  <c r="K40" i="7"/>
  <c r="K41" i="7" s="1"/>
  <c r="J40" i="7"/>
  <c r="M44" i="7" s="1"/>
  <c r="R37" i="7"/>
  <c r="Q37" i="7"/>
  <c r="P37" i="7"/>
  <c r="O37" i="7"/>
  <c r="R36" i="7"/>
  <c r="Q36" i="7"/>
  <c r="P36" i="7"/>
  <c r="O36" i="7"/>
  <c r="N36" i="7"/>
  <c r="R29" i="7"/>
  <c r="Q29" i="7"/>
  <c r="P29" i="7"/>
  <c r="O29" i="7"/>
  <c r="K29" i="7"/>
  <c r="R28" i="7"/>
  <c r="Q28" i="7"/>
  <c r="P28" i="7"/>
  <c r="M28" i="7"/>
  <c r="K28" i="7"/>
  <c r="R27" i="7"/>
  <c r="Q27" i="7"/>
  <c r="P27" i="7"/>
  <c r="O27" i="7"/>
  <c r="N27" i="7"/>
  <c r="M27" i="7"/>
  <c r="L27" i="7"/>
  <c r="K27" i="7"/>
  <c r="R26" i="7"/>
  <c r="Q26" i="7"/>
  <c r="P26" i="7"/>
  <c r="O26" i="7"/>
  <c r="N26" i="7"/>
  <c r="N40" i="7" s="1"/>
  <c r="N41" i="7" s="1"/>
  <c r="N42" i="7" s="1"/>
  <c r="M26" i="7"/>
  <c r="L26" i="7"/>
  <c r="K26" i="7"/>
  <c r="R25" i="7"/>
  <c r="Q25" i="7"/>
  <c r="P25" i="7"/>
  <c r="O25" i="7"/>
  <c r="M25" i="7"/>
  <c r="K25" i="7"/>
  <c r="R24" i="7"/>
  <c r="Q24" i="7"/>
  <c r="P24" i="7"/>
  <c r="O24" i="7"/>
  <c r="M24" i="7"/>
  <c r="K24" i="7"/>
  <c r="R23" i="7"/>
  <c r="Q23" i="7"/>
  <c r="P23" i="7"/>
  <c r="O23" i="7"/>
  <c r="M23" i="7"/>
  <c r="K23" i="7"/>
  <c r="R22" i="7"/>
  <c r="Q22" i="7"/>
  <c r="P22" i="7"/>
  <c r="O22" i="7"/>
  <c r="M22" i="7"/>
  <c r="K22" i="7"/>
  <c r="R21" i="7"/>
  <c r="Q21" i="7"/>
  <c r="P21" i="7"/>
  <c r="O21" i="7"/>
  <c r="M21" i="7"/>
  <c r="K21" i="7"/>
  <c r="R20" i="7"/>
  <c r="Q20" i="7"/>
  <c r="P20" i="7"/>
  <c r="O20" i="7"/>
  <c r="M20" i="7"/>
  <c r="K20" i="7"/>
  <c r="R19" i="7"/>
  <c r="Q19" i="7"/>
  <c r="P19" i="7"/>
  <c r="O19" i="7"/>
  <c r="M19" i="7"/>
  <c r="K19" i="7"/>
  <c r="R18" i="7"/>
  <c r="Q18" i="7"/>
  <c r="P18" i="7"/>
  <c r="O18" i="7"/>
  <c r="M18" i="7"/>
  <c r="K18" i="7"/>
  <c r="R17" i="7"/>
  <c r="Q17" i="7"/>
  <c r="P17" i="7"/>
  <c r="O17" i="7"/>
  <c r="M17" i="7"/>
  <c r="K17" i="7"/>
  <c r="R16" i="7"/>
  <c r="Q16" i="7"/>
  <c r="P16" i="7"/>
  <c r="O16" i="7"/>
  <c r="M16" i="7"/>
  <c r="K16" i="7"/>
  <c r="R15" i="7"/>
  <c r="Q15" i="7"/>
  <c r="P15" i="7"/>
  <c r="O15" i="7"/>
  <c r="M15" i="7"/>
  <c r="K15" i="7"/>
  <c r="R14" i="7"/>
  <c r="Q14" i="7"/>
  <c r="P14" i="7"/>
  <c r="O14" i="7"/>
  <c r="M14" i="7"/>
  <c r="K14" i="7"/>
  <c r="R13" i="7"/>
  <c r="Q13" i="7"/>
  <c r="P13" i="7"/>
  <c r="O13" i="7"/>
  <c r="M13" i="7"/>
  <c r="K13" i="7"/>
  <c r="R12" i="7"/>
  <c r="Q12" i="7"/>
  <c r="P12" i="7"/>
  <c r="O12" i="7"/>
  <c r="M12" i="7"/>
  <c r="K12" i="7"/>
  <c r="R11" i="7"/>
  <c r="Q11" i="7"/>
  <c r="P11" i="7"/>
  <c r="O11" i="7"/>
  <c r="M11" i="7"/>
  <c r="K11" i="7"/>
  <c r="R10" i="7"/>
  <c r="Q10" i="7"/>
  <c r="P10" i="7"/>
  <c r="O10" i="7"/>
  <c r="M10" i="7"/>
  <c r="K10" i="7"/>
  <c r="R9" i="7"/>
  <c r="Q9" i="7"/>
  <c r="P9" i="7"/>
  <c r="O9" i="7"/>
  <c r="M9" i="7"/>
  <c r="L9" i="7"/>
  <c r="K9" i="7"/>
  <c r="R8" i="7"/>
  <c r="Q8" i="7"/>
  <c r="P8" i="7"/>
  <c r="O8" i="7"/>
  <c r="M8" i="7"/>
  <c r="L8" i="7"/>
  <c r="L40" i="7" s="1"/>
  <c r="L41" i="7" s="1"/>
  <c r="L42" i="7" s="1"/>
  <c r="K8" i="7"/>
  <c r="R7" i="7"/>
  <c r="Q7" i="7"/>
  <c r="P7" i="7"/>
  <c r="O7" i="7"/>
  <c r="M7" i="7"/>
  <c r="K7" i="7"/>
  <c r="R6" i="7"/>
  <c r="Q6" i="7"/>
  <c r="P6" i="7"/>
  <c r="P40" i="7" s="1"/>
  <c r="P41" i="7" s="1"/>
  <c r="P42" i="7" s="1"/>
  <c r="O6" i="7"/>
  <c r="M6" i="7"/>
  <c r="K6" i="7"/>
  <c r="R5" i="7"/>
  <c r="Q5" i="7"/>
  <c r="P5" i="7"/>
  <c r="O5" i="7"/>
  <c r="M5" i="7"/>
  <c r="K5" i="7"/>
  <c r="R4" i="7"/>
  <c r="R40" i="7" s="1"/>
  <c r="R41" i="7" s="1"/>
  <c r="R42" i="7" s="1"/>
  <c r="Q4" i="7"/>
  <c r="P4" i="7"/>
  <c r="O4" i="7"/>
  <c r="M4" i="7"/>
  <c r="M40" i="7" s="1"/>
  <c r="M41" i="7" s="1"/>
  <c r="M42" i="7" s="1"/>
  <c r="K4" i="7"/>
  <c r="N3" i="7"/>
  <c r="M3" i="7"/>
  <c r="K3" i="7"/>
  <c r="M13" i="6"/>
  <c r="M10" i="6"/>
  <c r="M11" i="6" s="1"/>
  <c r="L10" i="6"/>
  <c r="L11" i="6" s="1"/>
  <c r="S9" i="6"/>
  <c r="S10" i="6" s="1"/>
  <c r="S11" i="6" s="1"/>
  <c r="R9" i="6"/>
  <c r="R10" i="6" s="1"/>
  <c r="R11" i="6" s="1"/>
  <c r="Q9" i="6"/>
  <c r="Q10" i="6" s="1"/>
  <c r="Q11" i="6" s="1"/>
  <c r="O9" i="6"/>
  <c r="O10" i="6" s="1"/>
  <c r="O11" i="6" s="1"/>
  <c r="M9" i="6"/>
  <c r="L9" i="6"/>
  <c r="J9" i="6"/>
  <c r="J20" i="6" s="1"/>
  <c r="T7" i="6"/>
  <c r="P7" i="6"/>
  <c r="O7" i="6"/>
  <c r="N7" i="6"/>
  <c r="K7" i="6"/>
  <c r="T6" i="6"/>
  <c r="P6" i="6"/>
  <c r="O6" i="6"/>
  <c r="N6" i="6"/>
  <c r="K6" i="6"/>
  <c r="T5" i="6"/>
  <c r="P5" i="6"/>
  <c r="O5" i="6"/>
  <c r="N5" i="6"/>
  <c r="K5" i="6"/>
  <c r="K9" i="6" s="1"/>
  <c r="K10" i="6" s="1"/>
  <c r="K11" i="6" s="1"/>
  <c r="T4" i="6"/>
  <c r="P4" i="6"/>
  <c r="O4" i="6"/>
  <c r="N4" i="6"/>
  <c r="K4" i="6"/>
  <c r="T3" i="6"/>
  <c r="P3" i="6"/>
  <c r="O3" i="6"/>
  <c r="N3" i="6"/>
  <c r="K3" i="6"/>
  <c r="T2" i="6"/>
  <c r="T9" i="6" s="1"/>
  <c r="T10" i="6" s="1"/>
  <c r="T11" i="6" s="1"/>
  <c r="P2" i="6"/>
  <c r="P9" i="6" s="1"/>
  <c r="P10" i="6" s="1"/>
  <c r="P11" i="6" s="1"/>
  <c r="O2" i="6"/>
  <c r="N2" i="6"/>
  <c r="N9" i="6" s="1"/>
  <c r="N10" i="6" s="1"/>
  <c r="N11" i="6" s="1"/>
  <c r="K2" i="6"/>
  <c r="J696" i="5"/>
  <c r="M701" i="5" s="1"/>
  <c r="S694" i="5"/>
  <c r="R694" i="5"/>
  <c r="Q694" i="5"/>
  <c r="P694" i="5"/>
  <c r="N694" i="5"/>
  <c r="L694" i="5"/>
  <c r="K694" i="5"/>
  <c r="S693" i="5"/>
  <c r="R693" i="5"/>
  <c r="Q693" i="5"/>
  <c r="P693" i="5"/>
  <c r="N693" i="5"/>
  <c r="L693" i="5"/>
  <c r="K693" i="5"/>
  <c r="S692" i="5"/>
  <c r="Q692" i="5"/>
  <c r="P692" i="5"/>
  <c r="N692" i="5"/>
  <c r="L692" i="5"/>
  <c r="K692" i="5"/>
  <c r="S691" i="5"/>
  <c r="R691" i="5"/>
  <c r="Q691" i="5"/>
  <c r="P691" i="5"/>
  <c r="N691" i="5"/>
  <c r="L691" i="5"/>
  <c r="K691" i="5"/>
  <c r="S690" i="5"/>
  <c r="R690" i="5"/>
  <c r="Q690" i="5"/>
  <c r="P690" i="5"/>
  <c r="N690" i="5"/>
  <c r="L690" i="5"/>
  <c r="K690" i="5"/>
  <c r="S689" i="5"/>
  <c r="R689" i="5"/>
  <c r="Q689" i="5"/>
  <c r="P689" i="5"/>
  <c r="N689" i="5"/>
  <c r="L689" i="5"/>
  <c r="K689" i="5"/>
  <c r="S688" i="5"/>
  <c r="R688" i="5"/>
  <c r="Q688" i="5"/>
  <c r="P688" i="5"/>
  <c r="N688" i="5"/>
  <c r="L688" i="5"/>
  <c r="K688" i="5"/>
  <c r="S687" i="5"/>
  <c r="R687" i="5"/>
  <c r="Q687" i="5"/>
  <c r="P687" i="5"/>
  <c r="N687" i="5"/>
  <c r="L687" i="5"/>
  <c r="K687" i="5"/>
  <c r="S686" i="5"/>
  <c r="R686" i="5"/>
  <c r="Q686" i="5"/>
  <c r="P686" i="5"/>
  <c r="N686" i="5"/>
  <c r="L686" i="5"/>
  <c r="K686" i="5"/>
  <c r="S685" i="5"/>
  <c r="R685" i="5"/>
  <c r="Q685" i="5"/>
  <c r="P685" i="5"/>
  <c r="N685" i="5"/>
  <c r="L685" i="5"/>
  <c r="K685" i="5"/>
  <c r="S684" i="5"/>
  <c r="R684" i="5"/>
  <c r="Q684" i="5"/>
  <c r="P684" i="5"/>
  <c r="N684" i="5"/>
  <c r="L684" i="5"/>
  <c r="K684" i="5"/>
  <c r="S683" i="5"/>
  <c r="R683" i="5"/>
  <c r="Q683" i="5"/>
  <c r="P683" i="5"/>
  <c r="N683" i="5"/>
  <c r="L683" i="5"/>
  <c r="K683" i="5"/>
  <c r="S682" i="5"/>
  <c r="R682" i="5"/>
  <c r="Q682" i="5"/>
  <c r="P682" i="5"/>
  <c r="N682" i="5"/>
  <c r="L682" i="5"/>
  <c r="K682" i="5"/>
  <c r="S681" i="5"/>
  <c r="R681" i="5"/>
  <c r="Q681" i="5"/>
  <c r="P681" i="5"/>
  <c r="N681" i="5"/>
  <c r="L681" i="5"/>
  <c r="K681" i="5"/>
  <c r="S680" i="5"/>
  <c r="R680" i="5"/>
  <c r="Q680" i="5"/>
  <c r="P680" i="5"/>
  <c r="N680" i="5"/>
  <c r="L680" i="5"/>
  <c r="K680" i="5"/>
  <c r="S679" i="5"/>
  <c r="R679" i="5"/>
  <c r="Q679" i="5"/>
  <c r="P679" i="5"/>
  <c r="N679" i="5"/>
  <c r="L679" i="5"/>
  <c r="K679" i="5"/>
  <c r="S678" i="5"/>
  <c r="R678" i="5"/>
  <c r="Q678" i="5"/>
  <c r="P678" i="5"/>
  <c r="N678" i="5"/>
  <c r="L678" i="5"/>
  <c r="K678" i="5"/>
  <c r="S677" i="5"/>
  <c r="R677" i="5"/>
  <c r="Q677" i="5"/>
  <c r="P677" i="5"/>
  <c r="N677" i="5"/>
  <c r="L677" i="5"/>
  <c r="K677" i="5"/>
  <c r="S676" i="5"/>
  <c r="R676" i="5"/>
  <c r="Q676" i="5"/>
  <c r="P676" i="5"/>
  <c r="N676" i="5"/>
  <c r="L676" i="5"/>
  <c r="K676" i="5"/>
  <c r="S675" i="5"/>
  <c r="R675" i="5"/>
  <c r="Q675" i="5"/>
  <c r="P675" i="5"/>
  <c r="N675" i="5"/>
  <c r="L675" i="5"/>
  <c r="K675" i="5"/>
  <c r="S674" i="5"/>
  <c r="R674" i="5"/>
  <c r="Q674" i="5"/>
  <c r="P674" i="5"/>
  <c r="N674" i="5"/>
  <c r="L674" i="5"/>
  <c r="K674" i="5"/>
  <c r="S673" i="5"/>
  <c r="R673" i="5"/>
  <c r="Q673" i="5"/>
  <c r="P673" i="5"/>
  <c r="N673" i="5"/>
  <c r="L673" i="5"/>
  <c r="K673" i="5"/>
  <c r="S672" i="5"/>
  <c r="R672" i="5"/>
  <c r="Q672" i="5"/>
  <c r="P672" i="5"/>
  <c r="N672" i="5"/>
  <c r="L672" i="5"/>
  <c r="K672" i="5"/>
  <c r="S671" i="5"/>
  <c r="R671" i="5"/>
  <c r="Q671" i="5"/>
  <c r="P671" i="5"/>
  <c r="N671" i="5"/>
  <c r="L671" i="5"/>
  <c r="K671" i="5"/>
  <c r="S670" i="5"/>
  <c r="R670" i="5"/>
  <c r="Q670" i="5"/>
  <c r="P670" i="5"/>
  <c r="N670" i="5"/>
  <c r="L670" i="5"/>
  <c r="K670" i="5"/>
  <c r="S669" i="5"/>
  <c r="R669" i="5"/>
  <c r="Q669" i="5"/>
  <c r="P669" i="5"/>
  <c r="N669" i="5"/>
  <c r="L669" i="5"/>
  <c r="K669" i="5"/>
  <c r="S668" i="5"/>
  <c r="R668" i="5"/>
  <c r="Q668" i="5"/>
  <c r="P668" i="5"/>
  <c r="N668" i="5"/>
  <c r="L668" i="5"/>
  <c r="K668" i="5"/>
  <c r="S667" i="5"/>
  <c r="R667" i="5"/>
  <c r="Q667" i="5"/>
  <c r="P667" i="5"/>
  <c r="N667" i="5"/>
  <c r="L667" i="5"/>
  <c r="K667" i="5"/>
  <c r="S666" i="5"/>
  <c r="R666" i="5"/>
  <c r="Q666" i="5"/>
  <c r="P666" i="5"/>
  <c r="N666" i="5"/>
  <c r="L666" i="5"/>
  <c r="K666" i="5"/>
  <c r="S665" i="5"/>
  <c r="R665" i="5"/>
  <c r="Q665" i="5"/>
  <c r="P665" i="5"/>
  <c r="N665" i="5"/>
  <c r="L665" i="5"/>
  <c r="K665" i="5"/>
  <c r="S664" i="5"/>
  <c r="R664" i="5"/>
  <c r="Q664" i="5"/>
  <c r="P664" i="5"/>
  <c r="N664" i="5"/>
  <c r="L664" i="5"/>
  <c r="K664" i="5"/>
  <c r="S663" i="5"/>
  <c r="R663" i="5"/>
  <c r="Q663" i="5"/>
  <c r="P663" i="5"/>
  <c r="N663" i="5"/>
  <c r="L663" i="5"/>
  <c r="K663" i="5"/>
  <c r="S662" i="5"/>
  <c r="R662" i="5"/>
  <c r="Q662" i="5"/>
  <c r="P662" i="5"/>
  <c r="N662" i="5"/>
  <c r="L662" i="5"/>
  <c r="K662" i="5"/>
  <c r="S661" i="5"/>
  <c r="R661" i="5"/>
  <c r="Q661" i="5"/>
  <c r="P661" i="5"/>
  <c r="N661" i="5"/>
  <c r="L661" i="5"/>
  <c r="K661" i="5"/>
  <c r="S660" i="5"/>
  <c r="R660" i="5"/>
  <c r="Q660" i="5"/>
  <c r="P660" i="5"/>
  <c r="N660" i="5"/>
  <c r="L660" i="5"/>
  <c r="K660" i="5"/>
  <c r="S659" i="5"/>
  <c r="R659" i="5"/>
  <c r="Q659" i="5"/>
  <c r="P659" i="5"/>
  <c r="N659" i="5"/>
  <c r="L659" i="5"/>
  <c r="K659" i="5"/>
  <c r="S658" i="5"/>
  <c r="R658" i="5"/>
  <c r="Q658" i="5"/>
  <c r="P658" i="5"/>
  <c r="N658" i="5"/>
  <c r="L658" i="5"/>
  <c r="K658" i="5"/>
  <c r="S657" i="5"/>
  <c r="R657" i="5"/>
  <c r="Q657" i="5"/>
  <c r="P657" i="5"/>
  <c r="N657" i="5"/>
  <c r="L657" i="5"/>
  <c r="K657" i="5"/>
  <c r="S656" i="5"/>
  <c r="R656" i="5"/>
  <c r="Q656" i="5"/>
  <c r="P656" i="5"/>
  <c r="N656" i="5"/>
  <c r="L656" i="5"/>
  <c r="K656" i="5"/>
  <c r="S655" i="5"/>
  <c r="R655" i="5"/>
  <c r="Q655" i="5"/>
  <c r="P655" i="5"/>
  <c r="N655" i="5"/>
  <c r="L655" i="5"/>
  <c r="K655" i="5"/>
  <c r="S654" i="5"/>
  <c r="R654" i="5"/>
  <c r="Q654" i="5"/>
  <c r="P654" i="5"/>
  <c r="N654" i="5"/>
  <c r="L654" i="5"/>
  <c r="K654" i="5"/>
  <c r="S653" i="5"/>
  <c r="R653" i="5"/>
  <c r="Q653" i="5"/>
  <c r="P653" i="5"/>
  <c r="N653" i="5"/>
  <c r="L653" i="5"/>
  <c r="K653" i="5"/>
  <c r="S652" i="5"/>
  <c r="R652" i="5"/>
  <c r="Q652" i="5"/>
  <c r="P652" i="5"/>
  <c r="N652" i="5"/>
  <c r="L652" i="5"/>
  <c r="K652" i="5"/>
  <c r="S651" i="5"/>
  <c r="R651" i="5"/>
  <c r="Q651" i="5"/>
  <c r="P651" i="5"/>
  <c r="N651" i="5"/>
  <c r="L651" i="5"/>
  <c r="K651" i="5"/>
  <c r="S650" i="5"/>
  <c r="R650" i="5"/>
  <c r="Q650" i="5"/>
  <c r="P650" i="5"/>
  <c r="N650" i="5"/>
  <c r="L650" i="5"/>
  <c r="K650" i="5"/>
  <c r="S649" i="5"/>
  <c r="R649" i="5"/>
  <c r="Q649" i="5"/>
  <c r="P649" i="5"/>
  <c r="N649" i="5"/>
  <c r="L649" i="5"/>
  <c r="K649" i="5"/>
  <c r="S648" i="5"/>
  <c r="R648" i="5"/>
  <c r="Q648" i="5"/>
  <c r="P648" i="5"/>
  <c r="N648" i="5"/>
  <c r="L648" i="5"/>
  <c r="K648" i="5"/>
  <c r="S647" i="5"/>
  <c r="R647" i="5"/>
  <c r="Q647" i="5"/>
  <c r="P647" i="5"/>
  <c r="N647" i="5"/>
  <c r="L647" i="5"/>
  <c r="K647" i="5"/>
  <c r="S646" i="5"/>
  <c r="R646" i="5"/>
  <c r="Q646" i="5"/>
  <c r="P646" i="5"/>
  <c r="N646" i="5"/>
  <c r="L646" i="5"/>
  <c r="K646" i="5"/>
  <c r="S645" i="5"/>
  <c r="R645" i="5"/>
  <c r="Q645" i="5"/>
  <c r="P645" i="5"/>
  <c r="N645" i="5"/>
  <c r="L645" i="5"/>
  <c r="K645" i="5"/>
  <c r="S644" i="5"/>
  <c r="R644" i="5"/>
  <c r="Q644" i="5"/>
  <c r="P644" i="5"/>
  <c r="N644" i="5"/>
  <c r="L644" i="5"/>
  <c r="K644" i="5"/>
  <c r="S643" i="5"/>
  <c r="R643" i="5"/>
  <c r="Q643" i="5"/>
  <c r="P643" i="5"/>
  <c r="N643" i="5"/>
  <c r="L643" i="5"/>
  <c r="K643" i="5"/>
  <c r="S642" i="5"/>
  <c r="R642" i="5"/>
  <c r="Q642" i="5"/>
  <c r="P642" i="5"/>
  <c r="N642" i="5"/>
  <c r="L642" i="5"/>
  <c r="K642" i="5"/>
  <c r="S641" i="5"/>
  <c r="R641" i="5"/>
  <c r="Q641" i="5"/>
  <c r="P641" i="5"/>
  <c r="N641" i="5"/>
  <c r="L641" i="5"/>
  <c r="K641" i="5"/>
  <c r="S640" i="5"/>
  <c r="R640" i="5"/>
  <c r="Q640" i="5"/>
  <c r="P640" i="5"/>
  <c r="N640" i="5"/>
  <c r="L640" i="5"/>
  <c r="K640" i="5"/>
  <c r="S639" i="5"/>
  <c r="R639" i="5"/>
  <c r="Q639" i="5"/>
  <c r="P639" i="5"/>
  <c r="N639" i="5"/>
  <c r="L639" i="5"/>
  <c r="K639" i="5"/>
  <c r="S638" i="5"/>
  <c r="R638" i="5"/>
  <c r="Q638" i="5"/>
  <c r="P638" i="5"/>
  <c r="N638" i="5"/>
  <c r="L638" i="5"/>
  <c r="K638" i="5"/>
  <c r="S637" i="5"/>
  <c r="R637" i="5"/>
  <c r="Q637" i="5"/>
  <c r="P637" i="5"/>
  <c r="N637" i="5"/>
  <c r="L637" i="5"/>
  <c r="K637" i="5"/>
  <c r="S636" i="5"/>
  <c r="R636" i="5"/>
  <c r="Q636" i="5"/>
  <c r="P636" i="5"/>
  <c r="N636" i="5"/>
  <c r="L636" i="5"/>
  <c r="K636" i="5"/>
  <c r="S635" i="5"/>
  <c r="R635" i="5"/>
  <c r="Q635" i="5"/>
  <c r="P635" i="5"/>
  <c r="N635" i="5"/>
  <c r="L635" i="5"/>
  <c r="K635" i="5"/>
  <c r="S634" i="5"/>
  <c r="R634" i="5"/>
  <c r="Q634" i="5"/>
  <c r="P634" i="5"/>
  <c r="N634" i="5"/>
  <c r="L634" i="5"/>
  <c r="K634" i="5"/>
  <c r="S633" i="5"/>
  <c r="R633" i="5"/>
  <c r="Q633" i="5"/>
  <c r="P633" i="5"/>
  <c r="N633" i="5"/>
  <c r="L633" i="5"/>
  <c r="K633" i="5"/>
  <c r="S632" i="5"/>
  <c r="R632" i="5"/>
  <c r="Q632" i="5"/>
  <c r="P632" i="5"/>
  <c r="N632" i="5"/>
  <c r="L632" i="5"/>
  <c r="K632" i="5"/>
  <c r="S631" i="5"/>
  <c r="R631" i="5"/>
  <c r="Q631" i="5"/>
  <c r="P631" i="5"/>
  <c r="N631" i="5"/>
  <c r="L631" i="5"/>
  <c r="K631" i="5"/>
  <c r="S630" i="5"/>
  <c r="R630" i="5"/>
  <c r="Q630" i="5"/>
  <c r="P630" i="5"/>
  <c r="N630" i="5"/>
  <c r="L630" i="5"/>
  <c r="K630" i="5"/>
  <c r="S629" i="5"/>
  <c r="R629" i="5"/>
  <c r="Q629" i="5"/>
  <c r="P629" i="5"/>
  <c r="N629" i="5"/>
  <c r="L629" i="5"/>
  <c r="K629" i="5"/>
  <c r="S628" i="5"/>
  <c r="R628" i="5"/>
  <c r="Q628" i="5"/>
  <c r="P628" i="5"/>
  <c r="N628" i="5"/>
  <c r="L628" i="5"/>
  <c r="K628" i="5"/>
  <c r="S627" i="5"/>
  <c r="R627" i="5"/>
  <c r="Q627" i="5"/>
  <c r="P627" i="5"/>
  <c r="N627" i="5"/>
  <c r="L627" i="5"/>
  <c r="K627" i="5"/>
  <c r="S626" i="5"/>
  <c r="R626" i="5"/>
  <c r="Q626" i="5"/>
  <c r="P626" i="5"/>
  <c r="N626" i="5"/>
  <c r="L626" i="5"/>
  <c r="K626" i="5"/>
  <c r="S625" i="5"/>
  <c r="R625" i="5"/>
  <c r="Q625" i="5"/>
  <c r="P625" i="5"/>
  <c r="N625" i="5"/>
  <c r="L625" i="5"/>
  <c r="K625" i="5"/>
  <c r="S624" i="5"/>
  <c r="R624" i="5"/>
  <c r="Q624" i="5"/>
  <c r="P624" i="5"/>
  <c r="N624" i="5"/>
  <c r="L624" i="5"/>
  <c r="K624" i="5"/>
  <c r="S623" i="5"/>
  <c r="R623" i="5"/>
  <c r="Q623" i="5"/>
  <c r="P623" i="5"/>
  <c r="N623" i="5"/>
  <c r="L623" i="5"/>
  <c r="K623" i="5"/>
  <c r="S622" i="5"/>
  <c r="R622" i="5"/>
  <c r="Q622" i="5"/>
  <c r="P622" i="5"/>
  <c r="N622" i="5"/>
  <c r="L622" i="5"/>
  <c r="K622" i="5"/>
  <c r="S621" i="5"/>
  <c r="R621" i="5"/>
  <c r="Q621" i="5"/>
  <c r="P621" i="5"/>
  <c r="N621" i="5"/>
  <c r="L621" i="5"/>
  <c r="K621" i="5"/>
  <c r="S620" i="5"/>
  <c r="R620" i="5"/>
  <c r="Q620" i="5"/>
  <c r="P620" i="5"/>
  <c r="N620" i="5"/>
  <c r="L620" i="5"/>
  <c r="K620" i="5"/>
  <c r="S619" i="5"/>
  <c r="R619" i="5"/>
  <c r="Q619" i="5"/>
  <c r="P619" i="5"/>
  <c r="N619" i="5"/>
  <c r="L619" i="5"/>
  <c r="K619" i="5"/>
  <c r="S618" i="5"/>
  <c r="R618" i="5"/>
  <c r="Q618" i="5"/>
  <c r="P618" i="5"/>
  <c r="N618" i="5"/>
  <c r="L618" i="5"/>
  <c r="K618" i="5"/>
  <c r="S617" i="5"/>
  <c r="R617" i="5"/>
  <c r="Q617" i="5"/>
  <c r="P617" i="5"/>
  <c r="N617" i="5"/>
  <c r="L617" i="5"/>
  <c r="K617" i="5"/>
  <c r="S616" i="5"/>
  <c r="R616" i="5"/>
  <c r="Q616" i="5"/>
  <c r="P616" i="5"/>
  <c r="N616" i="5"/>
  <c r="L616" i="5"/>
  <c r="K616" i="5"/>
  <c r="S615" i="5"/>
  <c r="R615" i="5"/>
  <c r="Q615" i="5"/>
  <c r="P615" i="5"/>
  <c r="N615" i="5"/>
  <c r="L615" i="5"/>
  <c r="K615" i="5"/>
  <c r="S614" i="5"/>
  <c r="R614" i="5"/>
  <c r="Q614" i="5"/>
  <c r="P614" i="5"/>
  <c r="N614" i="5"/>
  <c r="L614" i="5"/>
  <c r="K614" i="5"/>
  <c r="S613" i="5"/>
  <c r="R613" i="5"/>
  <c r="Q613" i="5"/>
  <c r="P613" i="5"/>
  <c r="N613" i="5"/>
  <c r="L613" i="5"/>
  <c r="K613" i="5"/>
  <c r="S612" i="5"/>
  <c r="R612" i="5"/>
  <c r="Q612" i="5"/>
  <c r="P612" i="5"/>
  <c r="N612" i="5"/>
  <c r="L612" i="5"/>
  <c r="K612" i="5"/>
  <c r="S611" i="5"/>
  <c r="R611" i="5"/>
  <c r="Q611" i="5"/>
  <c r="P611" i="5"/>
  <c r="N611" i="5"/>
  <c r="L611" i="5"/>
  <c r="K611" i="5"/>
  <c r="S610" i="5"/>
  <c r="R610" i="5"/>
  <c r="Q610" i="5"/>
  <c r="P610" i="5"/>
  <c r="N610" i="5"/>
  <c r="L610" i="5"/>
  <c r="K610" i="5"/>
  <c r="S609" i="5"/>
  <c r="R609" i="5"/>
  <c r="Q609" i="5"/>
  <c r="P609" i="5"/>
  <c r="N609" i="5"/>
  <c r="L609" i="5"/>
  <c r="K609" i="5"/>
  <c r="S608" i="5"/>
  <c r="R608" i="5"/>
  <c r="Q608" i="5"/>
  <c r="P608" i="5"/>
  <c r="N608" i="5"/>
  <c r="L608" i="5"/>
  <c r="K608" i="5"/>
  <c r="S607" i="5"/>
  <c r="R607" i="5"/>
  <c r="Q607" i="5"/>
  <c r="P607" i="5"/>
  <c r="N607" i="5"/>
  <c r="L607" i="5"/>
  <c r="K607" i="5"/>
  <c r="S606" i="5"/>
  <c r="R606" i="5"/>
  <c r="Q606" i="5"/>
  <c r="P606" i="5"/>
  <c r="N606" i="5"/>
  <c r="L606" i="5"/>
  <c r="K606" i="5"/>
  <c r="S605" i="5"/>
  <c r="R605" i="5"/>
  <c r="Q605" i="5"/>
  <c r="P605" i="5"/>
  <c r="N605" i="5"/>
  <c r="L605" i="5"/>
  <c r="K605" i="5"/>
  <c r="S604" i="5"/>
  <c r="R604" i="5"/>
  <c r="Q604" i="5"/>
  <c r="P604" i="5"/>
  <c r="N604" i="5"/>
  <c r="L604" i="5"/>
  <c r="K604" i="5"/>
  <c r="S603" i="5"/>
  <c r="R603" i="5"/>
  <c r="Q603" i="5"/>
  <c r="P603" i="5"/>
  <c r="N603" i="5"/>
  <c r="L603" i="5"/>
  <c r="K603" i="5"/>
  <c r="S602" i="5"/>
  <c r="R602" i="5"/>
  <c r="Q602" i="5"/>
  <c r="P602" i="5"/>
  <c r="N602" i="5"/>
  <c r="L602" i="5"/>
  <c r="K602" i="5"/>
  <c r="S601" i="5"/>
  <c r="R601" i="5"/>
  <c r="Q601" i="5"/>
  <c r="P601" i="5"/>
  <c r="N601" i="5"/>
  <c r="L601" i="5"/>
  <c r="K601" i="5"/>
  <c r="S600" i="5"/>
  <c r="R600" i="5"/>
  <c r="Q600" i="5"/>
  <c r="P600" i="5"/>
  <c r="N600" i="5"/>
  <c r="L600" i="5"/>
  <c r="K600" i="5"/>
  <c r="S599" i="5"/>
  <c r="R599" i="5"/>
  <c r="Q599" i="5"/>
  <c r="P599" i="5"/>
  <c r="N599" i="5"/>
  <c r="L599" i="5"/>
  <c r="K599" i="5"/>
  <c r="S598" i="5"/>
  <c r="R598" i="5"/>
  <c r="Q598" i="5"/>
  <c r="P598" i="5"/>
  <c r="N598" i="5"/>
  <c r="L598" i="5"/>
  <c r="K598" i="5"/>
  <c r="S597" i="5"/>
  <c r="R597" i="5"/>
  <c r="Q597" i="5"/>
  <c r="P597" i="5"/>
  <c r="N597" i="5"/>
  <c r="L597" i="5"/>
  <c r="K597" i="5"/>
  <c r="S596" i="5"/>
  <c r="R596" i="5"/>
  <c r="Q596" i="5"/>
  <c r="P596" i="5"/>
  <c r="N596" i="5"/>
  <c r="L596" i="5"/>
  <c r="K596" i="5"/>
  <c r="S595" i="5"/>
  <c r="R595" i="5"/>
  <c r="Q595" i="5"/>
  <c r="P595" i="5"/>
  <c r="N595" i="5"/>
  <c r="L595" i="5"/>
  <c r="K595" i="5"/>
  <c r="S594" i="5"/>
  <c r="R594" i="5"/>
  <c r="Q594" i="5"/>
  <c r="P594" i="5"/>
  <c r="N594" i="5"/>
  <c r="L594" i="5"/>
  <c r="K594" i="5"/>
  <c r="S593" i="5"/>
  <c r="R593" i="5"/>
  <c r="Q593" i="5"/>
  <c r="P593" i="5"/>
  <c r="N593" i="5"/>
  <c r="L593" i="5"/>
  <c r="K593" i="5"/>
  <c r="S592" i="5"/>
  <c r="R592" i="5"/>
  <c r="Q592" i="5"/>
  <c r="P592" i="5"/>
  <c r="N592" i="5"/>
  <c r="L592" i="5"/>
  <c r="K592" i="5"/>
  <c r="S591" i="5"/>
  <c r="R591" i="5"/>
  <c r="Q591" i="5"/>
  <c r="P591" i="5"/>
  <c r="N591" i="5"/>
  <c r="L591" i="5"/>
  <c r="K591" i="5"/>
  <c r="S590" i="5"/>
  <c r="R590" i="5"/>
  <c r="Q590" i="5"/>
  <c r="P590" i="5"/>
  <c r="N590" i="5"/>
  <c r="L590" i="5"/>
  <c r="K590" i="5"/>
  <c r="S589" i="5"/>
  <c r="R589" i="5"/>
  <c r="Q589" i="5"/>
  <c r="P589" i="5"/>
  <c r="N589" i="5"/>
  <c r="L589" i="5"/>
  <c r="K589" i="5"/>
  <c r="S588" i="5"/>
  <c r="R588" i="5"/>
  <c r="Q588" i="5"/>
  <c r="P588" i="5"/>
  <c r="N588" i="5"/>
  <c r="L588" i="5"/>
  <c r="K588" i="5"/>
  <c r="S587" i="5"/>
  <c r="R587" i="5"/>
  <c r="Q587" i="5"/>
  <c r="P587" i="5"/>
  <c r="N587" i="5"/>
  <c r="L587" i="5"/>
  <c r="K587" i="5"/>
  <c r="S586" i="5"/>
  <c r="R586" i="5"/>
  <c r="Q586" i="5"/>
  <c r="P586" i="5"/>
  <c r="N586" i="5"/>
  <c r="L586" i="5"/>
  <c r="K586" i="5"/>
  <c r="S585" i="5"/>
  <c r="R585" i="5"/>
  <c r="Q585" i="5"/>
  <c r="P585" i="5"/>
  <c r="N585" i="5"/>
  <c r="L585" i="5"/>
  <c r="K585" i="5"/>
  <c r="S584" i="5"/>
  <c r="R584" i="5"/>
  <c r="Q584" i="5"/>
  <c r="P584" i="5"/>
  <c r="N584" i="5"/>
  <c r="L584" i="5"/>
  <c r="K584" i="5"/>
  <c r="S583" i="5"/>
  <c r="R583" i="5"/>
  <c r="Q583" i="5"/>
  <c r="P583" i="5"/>
  <c r="N583" i="5"/>
  <c r="L583" i="5"/>
  <c r="K583" i="5"/>
  <c r="S582" i="5"/>
  <c r="R582" i="5"/>
  <c r="Q582" i="5"/>
  <c r="P582" i="5"/>
  <c r="N582" i="5"/>
  <c r="L582" i="5"/>
  <c r="K582" i="5"/>
  <c r="S581" i="5"/>
  <c r="R581" i="5"/>
  <c r="Q581" i="5"/>
  <c r="P581" i="5"/>
  <c r="N581" i="5"/>
  <c r="L581" i="5"/>
  <c r="K581" i="5"/>
  <c r="S580" i="5"/>
  <c r="R580" i="5"/>
  <c r="Q580" i="5"/>
  <c r="P580" i="5"/>
  <c r="N580" i="5"/>
  <c r="L580" i="5"/>
  <c r="K580" i="5"/>
  <c r="S579" i="5"/>
  <c r="R579" i="5"/>
  <c r="Q579" i="5"/>
  <c r="P579" i="5"/>
  <c r="N579" i="5"/>
  <c r="L579" i="5"/>
  <c r="K579" i="5"/>
  <c r="S578" i="5"/>
  <c r="R578" i="5"/>
  <c r="Q578" i="5"/>
  <c r="P578" i="5"/>
  <c r="N578" i="5"/>
  <c r="L578" i="5"/>
  <c r="K578" i="5"/>
  <c r="S577" i="5"/>
  <c r="R577" i="5"/>
  <c r="Q577" i="5"/>
  <c r="P577" i="5"/>
  <c r="N577" i="5"/>
  <c r="L577" i="5"/>
  <c r="K577" i="5"/>
  <c r="S576" i="5"/>
  <c r="R576" i="5"/>
  <c r="Q576" i="5"/>
  <c r="P576" i="5"/>
  <c r="N576" i="5"/>
  <c r="L576" i="5"/>
  <c r="K576" i="5"/>
  <c r="S575" i="5"/>
  <c r="R575" i="5"/>
  <c r="Q575" i="5"/>
  <c r="P575" i="5"/>
  <c r="N575" i="5"/>
  <c r="L575" i="5"/>
  <c r="K575" i="5"/>
  <c r="S574" i="5"/>
  <c r="R574" i="5"/>
  <c r="Q574" i="5"/>
  <c r="P574" i="5"/>
  <c r="N574" i="5"/>
  <c r="L574" i="5"/>
  <c r="K574" i="5"/>
  <c r="S573" i="5"/>
  <c r="R573" i="5"/>
  <c r="Q573" i="5"/>
  <c r="P573" i="5"/>
  <c r="N573" i="5"/>
  <c r="L573" i="5"/>
  <c r="K573" i="5"/>
  <c r="S572" i="5"/>
  <c r="R572" i="5"/>
  <c r="Q572" i="5"/>
  <c r="P572" i="5"/>
  <c r="N572" i="5"/>
  <c r="L572" i="5"/>
  <c r="K572" i="5"/>
  <c r="S571" i="5"/>
  <c r="R571" i="5"/>
  <c r="Q571" i="5"/>
  <c r="P571" i="5"/>
  <c r="N571" i="5"/>
  <c r="L571" i="5"/>
  <c r="K571" i="5"/>
  <c r="S570" i="5"/>
  <c r="R570" i="5"/>
  <c r="Q570" i="5"/>
  <c r="P570" i="5"/>
  <c r="N570" i="5"/>
  <c r="L570" i="5"/>
  <c r="K570" i="5"/>
  <c r="S569" i="5"/>
  <c r="R569" i="5"/>
  <c r="Q569" i="5"/>
  <c r="P569" i="5"/>
  <c r="N569" i="5"/>
  <c r="L569" i="5"/>
  <c r="K569" i="5"/>
  <c r="S568" i="5"/>
  <c r="R568" i="5"/>
  <c r="Q568" i="5"/>
  <c r="P568" i="5"/>
  <c r="N568" i="5"/>
  <c r="L568" i="5"/>
  <c r="K568" i="5"/>
  <c r="S567" i="5"/>
  <c r="R567" i="5"/>
  <c r="Q567" i="5"/>
  <c r="P567" i="5"/>
  <c r="N567" i="5"/>
  <c r="L567" i="5"/>
  <c r="K567" i="5"/>
  <c r="S566" i="5"/>
  <c r="R566" i="5"/>
  <c r="Q566" i="5"/>
  <c r="P566" i="5"/>
  <c r="N566" i="5"/>
  <c r="L566" i="5"/>
  <c r="K566" i="5"/>
  <c r="S565" i="5"/>
  <c r="R565" i="5"/>
  <c r="Q565" i="5"/>
  <c r="P565" i="5"/>
  <c r="N565" i="5"/>
  <c r="L565" i="5"/>
  <c r="K565" i="5"/>
  <c r="S564" i="5"/>
  <c r="R564" i="5"/>
  <c r="Q564" i="5"/>
  <c r="P564" i="5"/>
  <c r="N564" i="5"/>
  <c r="L564" i="5"/>
  <c r="K564" i="5"/>
  <c r="S563" i="5"/>
  <c r="R563" i="5"/>
  <c r="Q563" i="5"/>
  <c r="P563" i="5"/>
  <c r="N563" i="5"/>
  <c r="L563" i="5"/>
  <c r="K563" i="5"/>
  <c r="S562" i="5"/>
  <c r="R562" i="5"/>
  <c r="Q562" i="5"/>
  <c r="P562" i="5"/>
  <c r="N562" i="5"/>
  <c r="L562" i="5"/>
  <c r="K562" i="5"/>
  <c r="S561" i="5"/>
  <c r="R561" i="5"/>
  <c r="Q561" i="5"/>
  <c r="P561" i="5"/>
  <c r="N561" i="5"/>
  <c r="L561" i="5"/>
  <c r="K561" i="5"/>
  <c r="S560" i="5"/>
  <c r="R560" i="5"/>
  <c r="Q560" i="5"/>
  <c r="P560" i="5"/>
  <c r="N560" i="5"/>
  <c r="L560" i="5"/>
  <c r="K560" i="5"/>
  <c r="S559" i="5"/>
  <c r="R559" i="5"/>
  <c r="Q559" i="5"/>
  <c r="P559" i="5"/>
  <c r="N559" i="5"/>
  <c r="L559" i="5"/>
  <c r="K559" i="5"/>
  <c r="S558" i="5"/>
  <c r="R558" i="5"/>
  <c r="Q558" i="5"/>
  <c r="P558" i="5"/>
  <c r="N558" i="5"/>
  <c r="L558" i="5"/>
  <c r="K558" i="5"/>
  <c r="S557" i="5"/>
  <c r="R557" i="5"/>
  <c r="Q557" i="5"/>
  <c r="P557" i="5"/>
  <c r="N557" i="5"/>
  <c r="L557" i="5"/>
  <c r="K557" i="5"/>
  <c r="S556" i="5"/>
  <c r="R556" i="5"/>
  <c r="Q556" i="5"/>
  <c r="P556" i="5"/>
  <c r="N556" i="5"/>
  <c r="L556" i="5"/>
  <c r="K556" i="5"/>
  <c r="S555" i="5"/>
  <c r="R555" i="5"/>
  <c r="Q555" i="5"/>
  <c r="P555" i="5"/>
  <c r="N555" i="5"/>
  <c r="L555" i="5"/>
  <c r="K555" i="5"/>
  <c r="S554" i="5"/>
  <c r="R554" i="5"/>
  <c r="Q554" i="5"/>
  <c r="P554" i="5"/>
  <c r="N554" i="5"/>
  <c r="L554" i="5"/>
  <c r="K554" i="5"/>
  <c r="S553" i="5"/>
  <c r="R553" i="5"/>
  <c r="Q553" i="5"/>
  <c r="P553" i="5"/>
  <c r="N553" i="5"/>
  <c r="L553" i="5"/>
  <c r="K553" i="5"/>
  <c r="S552" i="5"/>
  <c r="R552" i="5"/>
  <c r="Q552" i="5"/>
  <c r="P552" i="5"/>
  <c r="N552" i="5"/>
  <c r="L552" i="5"/>
  <c r="K552" i="5"/>
  <c r="S551" i="5"/>
  <c r="R551" i="5"/>
  <c r="Q551" i="5"/>
  <c r="P551" i="5"/>
  <c r="N551" i="5"/>
  <c r="L551" i="5"/>
  <c r="K551" i="5"/>
  <c r="S550" i="5"/>
  <c r="R550" i="5"/>
  <c r="Q550" i="5"/>
  <c r="P550" i="5"/>
  <c r="N550" i="5"/>
  <c r="L550" i="5"/>
  <c r="K550" i="5"/>
  <c r="S549" i="5"/>
  <c r="R549" i="5"/>
  <c r="Q549" i="5"/>
  <c r="P549" i="5"/>
  <c r="N549" i="5"/>
  <c r="L549" i="5"/>
  <c r="K549" i="5"/>
  <c r="S548" i="5"/>
  <c r="R548" i="5"/>
  <c r="Q548" i="5"/>
  <c r="P548" i="5"/>
  <c r="N548" i="5"/>
  <c r="L548" i="5"/>
  <c r="K548" i="5"/>
  <c r="S547" i="5"/>
  <c r="R547" i="5"/>
  <c r="Q547" i="5"/>
  <c r="P547" i="5"/>
  <c r="N547" i="5"/>
  <c r="L547" i="5"/>
  <c r="K547" i="5"/>
  <c r="S546" i="5"/>
  <c r="R546" i="5"/>
  <c r="Q546" i="5"/>
  <c r="P546" i="5"/>
  <c r="N546" i="5"/>
  <c r="L546" i="5"/>
  <c r="K546" i="5"/>
  <c r="S545" i="5"/>
  <c r="R545" i="5"/>
  <c r="Q545" i="5"/>
  <c r="P545" i="5"/>
  <c r="N545" i="5"/>
  <c r="L545" i="5"/>
  <c r="K545" i="5"/>
  <c r="S544" i="5"/>
  <c r="R544" i="5"/>
  <c r="Q544" i="5"/>
  <c r="P544" i="5"/>
  <c r="N544" i="5"/>
  <c r="L544" i="5"/>
  <c r="K544" i="5"/>
  <c r="S543" i="5"/>
  <c r="R543" i="5"/>
  <c r="Q543" i="5"/>
  <c r="P543" i="5"/>
  <c r="N543" i="5"/>
  <c r="L543" i="5"/>
  <c r="K543" i="5"/>
  <c r="S542" i="5"/>
  <c r="R542" i="5"/>
  <c r="Q542" i="5"/>
  <c r="P542" i="5"/>
  <c r="N542" i="5"/>
  <c r="L542" i="5"/>
  <c r="K542" i="5"/>
  <c r="S541" i="5"/>
  <c r="R541" i="5"/>
  <c r="Q541" i="5"/>
  <c r="P541" i="5"/>
  <c r="N541" i="5"/>
  <c r="L541" i="5"/>
  <c r="K541" i="5"/>
  <c r="S540" i="5"/>
  <c r="R540" i="5"/>
  <c r="Q540" i="5"/>
  <c r="P540" i="5"/>
  <c r="N540" i="5"/>
  <c r="L540" i="5"/>
  <c r="K540" i="5"/>
  <c r="S539" i="5"/>
  <c r="R539" i="5"/>
  <c r="Q539" i="5"/>
  <c r="P539" i="5"/>
  <c r="N539" i="5"/>
  <c r="L539" i="5"/>
  <c r="K539" i="5"/>
  <c r="S538" i="5"/>
  <c r="R538" i="5"/>
  <c r="Q538" i="5"/>
  <c r="P538" i="5"/>
  <c r="N538" i="5"/>
  <c r="L538" i="5"/>
  <c r="K538" i="5"/>
  <c r="S537" i="5"/>
  <c r="R537" i="5"/>
  <c r="Q537" i="5"/>
  <c r="P537" i="5"/>
  <c r="N537" i="5"/>
  <c r="L537" i="5"/>
  <c r="K537" i="5"/>
  <c r="S536" i="5"/>
  <c r="R536" i="5"/>
  <c r="Q536" i="5"/>
  <c r="P536" i="5"/>
  <c r="N536" i="5"/>
  <c r="L536" i="5"/>
  <c r="K536" i="5"/>
  <c r="S535" i="5"/>
  <c r="R535" i="5"/>
  <c r="Q535" i="5"/>
  <c r="P535" i="5"/>
  <c r="N535" i="5"/>
  <c r="L535" i="5"/>
  <c r="K535" i="5"/>
  <c r="S534" i="5"/>
  <c r="R534" i="5"/>
  <c r="Q534" i="5"/>
  <c r="P534" i="5"/>
  <c r="N534" i="5"/>
  <c r="L534" i="5"/>
  <c r="K534" i="5"/>
  <c r="S533" i="5"/>
  <c r="R533" i="5"/>
  <c r="Q533" i="5"/>
  <c r="P533" i="5"/>
  <c r="N533" i="5"/>
  <c r="L533" i="5"/>
  <c r="K533" i="5"/>
  <c r="S532" i="5"/>
  <c r="R532" i="5"/>
  <c r="Q532" i="5"/>
  <c r="P532" i="5"/>
  <c r="N532" i="5"/>
  <c r="L532" i="5"/>
  <c r="K532" i="5"/>
  <c r="S531" i="5"/>
  <c r="R531" i="5"/>
  <c r="Q531" i="5"/>
  <c r="P531" i="5"/>
  <c r="N531" i="5"/>
  <c r="L531" i="5"/>
  <c r="K531" i="5"/>
  <c r="S530" i="5"/>
  <c r="R530" i="5"/>
  <c r="Q530" i="5"/>
  <c r="P530" i="5"/>
  <c r="N530" i="5"/>
  <c r="L530" i="5"/>
  <c r="K530" i="5"/>
  <c r="S529" i="5"/>
  <c r="R529" i="5"/>
  <c r="Q529" i="5"/>
  <c r="P529" i="5"/>
  <c r="N529" i="5"/>
  <c r="L529" i="5"/>
  <c r="K529" i="5"/>
  <c r="S528" i="5"/>
  <c r="R528" i="5"/>
  <c r="Q528" i="5"/>
  <c r="P528" i="5"/>
  <c r="N528" i="5"/>
  <c r="L528" i="5"/>
  <c r="K528" i="5"/>
  <c r="S527" i="5"/>
  <c r="R527" i="5"/>
  <c r="Q527" i="5"/>
  <c r="P527" i="5"/>
  <c r="N527" i="5"/>
  <c r="L527" i="5"/>
  <c r="K527" i="5"/>
  <c r="S526" i="5"/>
  <c r="R526" i="5"/>
  <c r="Q526" i="5"/>
  <c r="P526" i="5"/>
  <c r="N526" i="5"/>
  <c r="L526" i="5"/>
  <c r="K526" i="5"/>
  <c r="S525" i="5"/>
  <c r="R525" i="5"/>
  <c r="Q525" i="5"/>
  <c r="P525" i="5"/>
  <c r="N525" i="5"/>
  <c r="L525" i="5"/>
  <c r="K525" i="5"/>
  <c r="S524" i="5"/>
  <c r="R524" i="5"/>
  <c r="Q524" i="5"/>
  <c r="P524" i="5"/>
  <c r="N524" i="5"/>
  <c r="L524" i="5"/>
  <c r="K524" i="5"/>
  <c r="S523" i="5"/>
  <c r="R523" i="5"/>
  <c r="Q523" i="5"/>
  <c r="P523" i="5"/>
  <c r="N523" i="5"/>
  <c r="L523" i="5"/>
  <c r="K523" i="5"/>
  <c r="S522" i="5"/>
  <c r="R522" i="5"/>
  <c r="Q522" i="5"/>
  <c r="P522" i="5"/>
  <c r="N522" i="5"/>
  <c r="L522" i="5"/>
  <c r="K522" i="5"/>
  <c r="S521" i="5"/>
  <c r="R521" i="5"/>
  <c r="Q521" i="5"/>
  <c r="P521" i="5"/>
  <c r="N521" i="5"/>
  <c r="L521" i="5"/>
  <c r="K521" i="5"/>
  <c r="S520" i="5"/>
  <c r="R520" i="5"/>
  <c r="Q520" i="5"/>
  <c r="P520" i="5"/>
  <c r="N520" i="5"/>
  <c r="L520" i="5"/>
  <c r="K520" i="5"/>
  <c r="S519" i="5"/>
  <c r="R519" i="5"/>
  <c r="Q519" i="5"/>
  <c r="P519" i="5"/>
  <c r="N519" i="5"/>
  <c r="L519" i="5"/>
  <c r="K519" i="5"/>
  <c r="S518" i="5"/>
  <c r="R518" i="5"/>
  <c r="Q518" i="5"/>
  <c r="P518" i="5"/>
  <c r="N518" i="5"/>
  <c r="L518" i="5"/>
  <c r="K518" i="5"/>
  <c r="S517" i="5"/>
  <c r="R517" i="5"/>
  <c r="Q517" i="5"/>
  <c r="P517" i="5"/>
  <c r="N517" i="5"/>
  <c r="L517" i="5"/>
  <c r="K517" i="5"/>
  <c r="S516" i="5"/>
  <c r="R516" i="5"/>
  <c r="Q516" i="5"/>
  <c r="P516" i="5"/>
  <c r="N516" i="5"/>
  <c r="L516" i="5"/>
  <c r="K516" i="5"/>
  <c r="S515" i="5"/>
  <c r="R515" i="5"/>
  <c r="Q515" i="5"/>
  <c r="P515" i="5"/>
  <c r="N515" i="5"/>
  <c r="L515" i="5"/>
  <c r="K515" i="5"/>
  <c r="S514" i="5"/>
  <c r="R514" i="5"/>
  <c r="Q514" i="5"/>
  <c r="P514" i="5"/>
  <c r="N514" i="5"/>
  <c r="L514" i="5"/>
  <c r="K514" i="5"/>
  <c r="S513" i="5"/>
  <c r="R513" i="5"/>
  <c r="Q513" i="5"/>
  <c r="P513" i="5"/>
  <c r="N513" i="5"/>
  <c r="L513" i="5"/>
  <c r="K513" i="5"/>
  <c r="S512" i="5"/>
  <c r="R512" i="5"/>
  <c r="Q512" i="5"/>
  <c r="P512" i="5"/>
  <c r="N512" i="5"/>
  <c r="L512" i="5"/>
  <c r="K512" i="5"/>
  <c r="S511" i="5"/>
  <c r="R511" i="5"/>
  <c r="Q511" i="5"/>
  <c r="P511" i="5"/>
  <c r="N511" i="5"/>
  <c r="L511" i="5"/>
  <c r="K511" i="5"/>
  <c r="S510" i="5"/>
  <c r="R510" i="5"/>
  <c r="Q510" i="5"/>
  <c r="P510" i="5"/>
  <c r="N510" i="5"/>
  <c r="L510" i="5"/>
  <c r="K510" i="5"/>
  <c r="S509" i="5"/>
  <c r="R509" i="5"/>
  <c r="Q509" i="5"/>
  <c r="P509" i="5"/>
  <c r="N509" i="5"/>
  <c r="L509" i="5"/>
  <c r="K509" i="5"/>
  <c r="S508" i="5"/>
  <c r="R508" i="5"/>
  <c r="Q508" i="5"/>
  <c r="P508" i="5"/>
  <c r="N508" i="5"/>
  <c r="L508" i="5"/>
  <c r="K508" i="5"/>
  <c r="S507" i="5"/>
  <c r="R507" i="5"/>
  <c r="Q507" i="5"/>
  <c r="P507" i="5"/>
  <c r="N507" i="5"/>
  <c r="L507" i="5"/>
  <c r="K507" i="5"/>
  <c r="S506" i="5"/>
  <c r="R506" i="5"/>
  <c r="Q506" i="5"/>
  <c r="P506" i="5"/>
  <c r="N506" i="5"/>
  <c r="L506" i="5"/>
  <c r="K506" i="5"/>
  <c r="S505" i="5"/>
  <c r="R505" i="5"/>
  <c r="Q505" i="5"/>
  <c r="P505" i="5"/>
  <c r="N505" i="5"/>
  <c r="L505" i="5"/>
  <c r="K505" i="5"/>
  <c r="S504" i="5"/>
  <c r="R504" i="5"/>
  <c r="Q504" i="5"/>
  <c r="P504" i="5"/>
  <c r="N504" i="5"/>
  <c r="L504" i="5"/>
  <c r="K504" i="5"/>
  <c r="S503" i="5"/>
  <c r="R503" i="5"/>
  <c r="Q503" i="5"/>
  <c r="P503" i="5"/>
  <c r="N503" i="5"/>
  <c r="L503" i="5"/>
  <c r="K503" i="5"/>
  <c r="S502" i="5"/>
  <c r="R502" i="5"/>
  <c r="Q502" i="5"/>
  <c r="P502" i="5"/>
  <c r="N502" i="5"/>
  <c r="L502" i="5"/>
  <c r="K502" i="5"/>
  <c r="S501" i="5"/>
  <c r="R501" i="5"/>
  <c r="Q501" i="5"/>
  <c r="P501" i="5"/>
  <c r="N501" i="5"/>
  <c r="L501" i="5"/>
  <c r="K501" i="5"/>
  <c r="S500" i="5"/>
  <c r="R500" i="5"/>
  <c r="Q500" i="5"/>
  <c r="P500" i="5"/>
  <c r="N500" i="5"/>
  <c r="L500" i="5"/>
  <c r="K500" i="5"/>
  <c r="S499" i="5"/>
  <c r="R499" i="5"/>
  <c r="Q499" i="5"/>
  <c r="P499" i="5"/>
  <c r="N499" i="5"/>
  <c r="L499" i="5"/>
  <c r="K499" i="5"/>
  <c r="S498" i="5"/>
  <c r="R498" i="5"/>
  <c r="Q498" i="5"/>
  <c r="P498" i="5"/>
  <c r="N498" i="5"/>
  <c r="L498" i="5"/>
  <c r="K498" i="5"/>
  <c r="S497" i="5"/>
  <c r="R497" i="5"/>
  <c r="Q497" i="5"/>
  <c r="P497" i="5"/>
  <c r="N497" i="5"/>
  <c r="L497" i="5"/>
  <c r="K497" i="5"/>
  <c r="S496" i="5"/>
  <c r="R496" i="5"/>
  <c r="Q496" i="5"/>
  <c r="P496" i="5"/>
  <c r="N496" i="5"/>
  <c r="L496" i="5"/>
  <c r="K496" i="5"/>
  <c r="S495" i="5"/>
  <c r="R495" i="5"/>
  <c r="Q495" i="5"/>
  <c r="P495" i="5"/>
  <c r="N495" i="5"/>
  <c r="L495" i="5"/>
  <c r="K495" i="5"/>
  <c r="S494" i="5"/>
  <c r="R494" i="5"/>
  <c r="Q494" i="5"/>
  <c r="P494" i="5"/>
  <c r="N494" i="5"/>
  <c r="L494" i="5"/>
  <c r="K494" i="5"/>
  <c r="S493" i="5"/>
  <c r="R493" i="5"/>
  <c r="Q493" i="5"/>
  <c r="P493" i="5"/>
  <c r="N493" i="5"/>
  <c r="L493" i="5"/>
  <c r="K493" i="5"/>
  <c r="S492" i="5"/>
  <c r="R492" i="5"/>
  <c r="Q492" i="5"/>
  <c r="P492" i="5"/>
  <c r="N492" i="5"/>
  <c r="L492" i="5"/>
  <c r="K492" i="5"/>
  <c r="S491" i="5"/>
  <c r="R491" i="5"/>
  <c r="Q491" i="5"/>
  <c r="P491" i="5"/>
  <c r="N491" i="5"/>
  <c r="L491" i="5"/>
  <c r="K491" i="5"/>
  <c r="S490" i="5"/>
  <c r="R490" i="5"/>
  <c r="Q490" i="5"/>
  <c r="P490" i="5"/>
  <c r="N490" i="5"/>
  <c r="L490" i="5"/>
  <c r="K490" i="5"/>
  <c r="S489" i="5"/>
  <c r="R489" i="5"/>
  <c r="Q489" i="5"/>
  <c r="P489" i="5"/>
  <c r="N489" i="5"/>
  <c r="L489" i="5"/>
  <c r="K489" i="5"/>
  <c r="S488" i="5"/>
  <c r="R488" i="5"/>
  <c r="Q488" i="5"/>
  <c r="P488" i="5"/>
  <c r="N488" i="5"/>
  <c r="L488" i="5"/>
  <c r="K488" i="5"/>
  <c r="S487" i="5"/>
  <c r="R487" i="5"/>
  <c r="Q487" i="5"/>
  <c r="P487" i="5"/>
  <c r="N487" i="5"/>
  <c r="L487" i="5"/>
  <c r="K487" i="5"/>
  <c r="S486" i="5"/>
  <c r="R486" i="5"/>
  <c r="Q486" i="5"/>
  <c r="P486" i="5"/>
  <c r="N486" i="5"/>
  <c r="L486" i="5"/>
  <c r="K486" i="5"/>
  <c r="S485" i="5"/>
  <c r="R485" i="5"/>
  <c r="Q485" i="5"/>
  <c r="P485" i="5"/>
  <c r="N485" i="5"/>
  <c r="L485" i="5"/>
  <c r="K485" i="5"/>
  <c r="S484" i="5"/>
  <c r="R484" i="5"/>
  <c r="Q484" i="5"/>
  <c r="P484" i="5"/>
  <c r="N484" i="5"/>
  <c r="L484" i="5"/>
  <c r="K484" i="5"/>
  <c r="S483" i="5"/>
  <c r="R483" i="5"/>
  <c r="Q483" i="5"/>
  <c r="P483" i="5"/>
  <c r="N483" i="5"/>
  <c r="L483" i="5"/>
  <c r="K483" i="5"/>
  <c r="S482" i="5"/>
  <c r="R482" i="5"/>
  <c r="Q482" i="5"/>
  <c r="P482" i="5"/>
  <c r="N482" i="5"/>
  <c r="L482" i="5"/>
  <c r="K482" i="5"/>
  <c r="S481" i="5"/>
  <c r="R481" i="5"/>
  <c r="Q481" i="5"/>
  <c r="P481" i="5"/>
  <c r="N481" i="5"/>
  <c r="L481" i="5"/>
  <c r="K481" i="5"/>
  <c r="S480" i="5"/>
  <c r="R480" i="5"/>
  <c r="Q480" i="5"/>
  <c r="P480" i="5"/>
  <c r="N480" i="5"/>
  <c r="L480" i="5"/>
  <c r="K480" i="5"/>
  <c r="S479" i="5"/>
  <c r="R479" i="5"/>
  <c r="Q479" i="5"/>
  <c r="P479" i="5"/>
  <c r="N479" i="5"/>
  <c r="L479" i="5"/>
  <c r="K479" i="5"/>
  <c r="S478" i="5"/>
  <c r="R478" i="5"/>
  <c r="Q478" i="5"/>
  <c r="P478" i="5"/>
  <c r="N478" i="5"/>
  <c r="L478" i="5"/>
  <c r="K478" i="5"/>
  <c r="S477" i="5"/>
  <c r="R477" i="5"/>
  <c r="Q477" i="5"/>
  <c r="P477" i="5"/>
  <c r="N477" i="5"/>
  <c r="L477" i="5"/>
  <c r="K477" i="5"/>
  <c r="S476" i="5"/>
  <c r="R476" i="5"/>
  <c r="Q476" i="5"/>
  <c r="P476" i="5"/>
  <c r="N476" i="5"/>
  <c r="L476" i="5"/>
  <c r="K476" i="5"/>
  <c r="S475" i="5"/>
  <c r="R475" i="5"/>
  <c r="Q475" i="5"/>
  <c r="P475" i="5"/>
  <c r="N475" i="5"/>
  <c r="L475" i="5"/>
  <c r="K475" i="5"/>
  <c r="S474" i="5"/>
  <c r="R474" i="5"/>
  <c r="Q474" i="5"/>
  <c r="P474" i="5"/>
  <c r="N474" i="5"/>
  <c r="L474" i="5"/>
  <c r="K474" i="5"/>
  <c r="S473" i="5"/>
  <c r="R473" i="5"/>
  <c r="Q473" i="5"/>
  <c r="P473" i="5"/>
  <c r="N473" i="5"/>
  <c r="L473" i="5"/>
  <c r="K473" i="5"/>
  <c r="S472" i="5"/>
  <c r="R472" i="5"/>
  <c r="Q472" i="5"/>
  <c r="P472" i="5"/>
  <c r="N472" i="5"/>
  <c r="L472" i="5"/>
  <c r="K472" i="5"/>
  <c r="S471" i="5"/>
  <c r="R471" i="5"/>
  <c r="Q471" i="5"/>
  <c r="P471" i="5"/>
  <c r="N471" i="5"/>
  <c r="L471" i="5"/>
  <c r="K471" i="5"/>
  <c r="S470" i="5"/>
  <c r="R470" i="5"/>
  <c r="Q470" i="5"/>
  <c r="P470" i="5"/>
  <c r="N470" i="5"/>
  <c r="L470" i="5"/>
  <c r="K470" i="5"/>
  <c r="S469" i="5"/>
  <c r="R469" i="5"/>
  <c r="Q469" i="5"/>
  <c r="P469" i="5"/>
  <c r="N469" i="5"/>
  <c r="L469" i="5"/>
  <c r="K469" i="5"/>
  <c r="S468" i="5"/>
  <c r="R468" i="5"/>
  <c r="Q468" i="5"/>
  <c r="P468" i="5"/>
  <c r="N468" i="5"/>
  <c r="L468" i="5"/>
  <c r="K468" i="5"/>
  <c r="S467" i="5"/>
  <c r="R467" i="5"/>
  <c r="Q467" i="5"/>
  <c r="P467" i="5"/>
  <c r="N467" i="5"/>
  <c r="L467" i="5"/>
  <c r="K467" i="5"/>
  <c r="S466" i="5"/>
  <c r="R466" i="5"/>
  <c r="Q466" i="5"/>
  <c r="P466" i="5"/>
  <c r="N466" i="5"/>
  <c r="L466" i="5"/>
  <c r="K466" i="5"/>
  <c r="S465" i="5"/>
  <c r="R465" i="5"/>
  <c r="Q465" i="5"/>
  <c r="P465" i="5"/>
  <c r="N465" i="5"/>
  <c r="L465" i="5"/>
  <c r="K465" i="5"/>
  <c r="S464" i="5"/>
  <c r="R464" i="5"/>
  <c r="Q464" i="5"/>
  <c r="P464" i="5"/>
  <c r="N464" i="5"/>
  <c r="L464" i="5"/>
  <c r="K464" i="5"/>
  <c r="S463" i="5"/>
  <c r="R463" i="5"/>
  <c r="Q463" i="5"/>
  <c r="P463" i="5"/>
  <c r="N463" i="5"/>
  <c r="L463" i="5"/>
  <c r="K463" i="5"/>
  <c r="S462" i="5"/>
  <c r="R462" i="5"/>
  <c r="Q462" i="5"/>
  <c r="P462" i="5"/>
  <c r="N462" i="5"/>
  <c r="L462" i="5"/>
  <c r="K462" i="5"/>
  <c r="S461" i="5"/>
  <c r="R461" i="5"/>
  <c r="Q461" i="5"/>
  <c r="P461" i="5"/>
  <c r="N461" i="5"/>
  <c r="L461" i="5"/>
  <c r="K461" i="5"/>
  <c r="S460" i="5"/>
  <c r="R460" i="5"/>
  <c r="Q460" i="5"/>
  <c r="P460" i="5"/>
  <c r="N460" i="5"/>
  <c r="L460" i="5"/>
  <c r="K460" i="5"/>
  <c r="S459" i="5"/>
  <c r="R459" i="5"/>
  <c r="Q459" i="5"/>
  <c r="P459" i="5"/>
  <c r="N459" i="5"/>
  <c r="L459" i="5"/>
  <c r="K459" i="5"/>
  <c r="S458" i="5"/>
  <c r="R458" i="5"/>
  <c r="Q458" i="5"/>
  <c r="P458" i="5"/>
  <c r="N458" i="5"/>
  <c r="L458" i="5"/>
  <c r="K458" i="5"/>
  <c r="S457" i="5"/>
  <c r="R457" i="5"/>
  <c r="Q457" i="5"/>
  <c r="P457" i="5"/>
  <c r="N457" i="5"/>
  <c r="L457" i="5"/>
  <c r="K457" i="5"/>
  <c r="S456" i="5"/>
  <c r="R456" i="5"/>
  <c r="Q456" i="5"/>
  <c r="P456" i="5"/>
  <c r="N456" i="5"/>
  <c r="L456" i="5"/>
  <c r="K456" i="5"/>
  <c r="S455" i="5"/>
  <c r="R455" i="5"/>
  <c r="Q455" i="5"/>
  <c r="P455" i="5"/>
  <c r="N455" i="5"/>
  <c r="L455" i="5"/>
  <c r="K455" i="5"/>
  <c r="S454" i="5"/>
  <c r="R454" i="5"/>
  <c r="Q454" i="5"/>
  <c r="P454" i="5"/>
  <c r="N454" i="5"/>
  <c r="L454" i="5"/>
  <c r="K454" i="5"/>
  <c r="S453" i="5"/>
  <c r="R453" i="5"/>
  <c r="Q453" i="5"/>
  <c r="P453" i="5"/>
  <c r="N453" i="5"/>
  <c r="L453" i="5"/>
  <c r="K453" i="5"/>
  <c r="S452" i="5"/>
  <c r="R452" i="5"/>
  <c r="Q452" i="5"/>
  <c r="P452" i="5"/>
  <c r="N452" i="5"/>
  <c r="L452" i="5"/>
  <c r="K452" i="5"/>
  <c r="S451" i="5"/>
  <c r="R451" i="5"/>
  <c r="Q451" i="5"/>
  <c r="P451" i="5"/>
  <c r="N451" i="5"/>
  <c r="L451" i="5"/>
  <c r="K451" i="5"/>
  <c r="S450" i="5"/>
  <c r="R450" i="5"/>
  <c r="Q450" i="5"/>
  <c r="P450" i="5"/>
  <c r="N450" i="5"/>
  <c r="L450" i="5"/>
  <c r="K450" i="5"/>
  <c r="S449" i="5"/>
  <c r="R449" i="5"/>
  <c r="Q449" i="5"/>
  <c r="P449" i="5"/>
  <c r="N449" i="5"/>
  <c r="L449" i="5"/>
  <c r="K449" i="5"/>
  <c r="S448" i="5"/>
  <c r="R448" i="5"/>
  <c r="Q448" i="5"/>
  <c r="P448" i="5"/>
  <c r="N448" i="5"/>
  <c r="L448" i="5"/>
  <c r="K448" i="5"/>
  <c r="S447" i="5"/>
  <c r="R447" i="5"/>
  <c r="Q447" i="5"/>
  <c r="P447" i="5"/>
  <c r="N447" i="5"/>
  <c r="L447" i="5"/>
  <c r="K447" i="5"/>
  <c r="S446" i="5"/>
  <c r="R446" i="5"/>
  <c r="Q446" i="5"/>
  <c r="P446" i="5"/>
  <c r="N446" i="5"/>
  <c r="L446" i="5"/>
  <c r="K446" i="5"/>
  <c r="S445" i="5"/>
  <c r="R445" i="5"/>
  <c r="Q445" i="5"/>
  <c r="P445" i="5"/>
  <c r="N445" i="5"/>
  <c r="L445" i="5"/>
  <c r="K445" i="5"/>
  <c r="S444" i="5"/>
  <c r="R444" i="5"/>
  <c r="Q444" i="5"/>
  <c r="P444" i="5"/>
  <c r="N444" i="5"/>
  <c r="L444" i="5"/>
  <c r="K444" i="5"/>
  <c r="S443" i="5"/>
  <c r="R443" i="5"/>
  <c r="Q443" i="5"/>
  <c r="P443" i="5"/>
  <c r="N443" i="5"/>
  <c r="L443" i="5"/>
  <c r="K443" i="5"/>
  <c r="S442" i="5"/>
  <c r="R442" i="5"/>
  <c r="Q442" i="5"/>
  <c r="P442" i="5"/>
  <c r="N442" i="5"/>
  <c r="L442" i="5"/>
  <c r="K442" i="5"/>
  <c r="S441" i="5"/>
  <c r="R441" i="5"/>
  <c r="Q441" i="5"/>
  <c r="P441" i="5"/>
  <c r="N441" i="5"/>
  <c r="L441" i="5"/>
  <c r="K441" i="5"/>
  <c r="S440" i="5"/>
  <c r="R440" i="5"/>
  <c r="Q440" i="5"/>
  <c r="P440" i="5"/>
  <c r="N440" i="5"/>
  <c r="L440" i="5"/>
  <c r="K440" i="5"/>
  <c r="S439" i="5"/>
  <c r="R439" i="5"/>
  <c r="Q439" i="5"/>
  <c r="P439" i="5"/>
  <c r="N439" i="5"/>
  <c r="L439" i="5"/>
  <c r="K439" i="5"/>
  <c r="S438" i="5"/>
  <c r="R438" i="5"/>
  <c r="Q438" i="5"/>
  <c r="P438" i="5"/>
  <c r="N438" i="5"/>
  <c r="L438" i="5"/>
  <c r="K438" i="5"/>
  <c r="S437" i="5"/>
  <c r="R437" i="5"/>
  <c r="Q437" i="5"/>
  <c r="P437" i="5"/>
  <c r="N437" i="5"/>
  <c r="L437" i="5"/>
  <c r="K437" i="5"/>
  <c r="S436" i="5"/>
  <c r="R436" i="5"/>
  <c r="Q436" i="5"/>
  <c r="P436" i="5"/>
  <c r="N436" i="5"/>
  <c r="L436" i="5"/>
  <c r="K436" i="5"/>
  <c r="S435" i="5"/>
  <c r="R435" i="5"/>
  <c r="Q435" i="5"/>
  <c r="P435" i="5"/>
  <c r="N435" i="5"/>
  <c r="L435" i="5"/>
  <c r="K435" i="5"/>
  <c r="S434" i="5"/>
  <c r="R434" i="5"/>
  <c r="Q434" i="5"/>
  <c r="P434" i="5"/>
  <c r="N434" i="5"/>
  <c r="L434" i="5"/>
  <c r="K434" i="5"/>
  <c r="S433" i="5"/>
  <c r="R433" i="5"/>
  <c r="Q433" i="5"/>
  <c r="P433" i="5"/>
  <c r="N433" i="5"/>
  <c r="L433" i="5"/>
  <c r="K433" i="5"/>
  <c r="S432" i="5"/>
  <c r="R432" i="5"/>
  <c r="Q432" i="5"/>
  <c r="P432" i="5"/>
  <c r="N432" i="5"/>
  <c r="L432" i="5"/>
  <c r="K432" i="5"/>
  <c r="S431" i="5"/>
  <c r="R431" i="5"/>
  <c r="Q431" i="5"/>
  <c r="P431" i="5"/>
  <c r="N431" i="5"/>
  <c r="L431" i="5"/>
  <c r="K431" i="5"/>
  <c r="S430" i="5"/>
  <c r="R430" i="5"/>
  <c r="Q430" i="5"/>
  <c r="P430" i="5"/>
  <c r="N430" i="5"/>
  <c r="L430" i="5"/>
  <c r="K430" i="5"/>
  <c r="S429" i="5"/>
  <c r="R429" i="5"/>
  <c r="Q429" i="5"/>
  <c r="P429" i="5"/>
  <c r="N429" i="5"/>
  <c r="L429" i="5"/>
  <c r="K429" i="5"/>
  <c r="S428" i="5"/>
  <c r="R428" i="5"/>
  <c r="Q428" i="5"/>
  <c r="P428" i="5"/>
  <c r="N428" i="5"/>
  <c r="L428" i="5"/>
  <c r="K428" i="5"/>
  <c r="S427" i="5"/>
  <c r="R427" i="5"/>
  <c r="Q427" i="5"/>
  <c r="P427" i="5"/>
  <c r="N427" i="5"/>
  <c r="L427" i="5"/>
  <c r="K427" i="5"/>
  <c r="S426" i="5"/>
  <c r="R426" i="5"/>
  <c r="Q426" i="5"/>
  <c r="P426" i="5"/>
  <c r="N426" i="5"/>
  <c r="L426" i="5"/>
  <c r="K426" i="5"/>
  <c r="S425" i="5"/>
  <c r="R425" i="5"/>
  <c r="Q425" i="5"/>
  <c r="P425" i="5"/>
  <c r="N425" i="5"/>
  <c r="L425" i="5"/>
  <c r="K425" i="5"/>
  <c r="S424" i="5"/>
  <c r="R424" i="5"/>
  <c r="Q424" i="5"/>
  <c r="P424" i="5"/>
  <c r="N424" i="5"/>
  <c r="L424" i="5"/>
  <c r="K424" i="5"/>
  <c r="S423" i="5"/>
  <c r="R423" i="5"/>
  <c r="Q423" i="5"/>
  <c r="P423" i="5"/>
  <c r="N423" i="5"/>
  <c r="L423" i="5"/>
  <c r="K423" i="5"/>
  <c r="S422" i="5"/>
  <c r="R422" i="5"/>
  <c r="Q422" i="5"/>
  <c r="P422" i="5"/>
  <c r="N422" i="5"/>
  <c r="L422" i="5"/>
  <c r="K422" i="5"/>
  <c r="S421" i="5"/>
  <c r="R421" i="5"/>
  <c r="Q421" i="5"/>
  <c r="P421" i="5"/>
  <c r="N421" i="5"/>
  <c r="L421" i="5"/>
  <c r="K421" i="5"/>
  <c r="S420" i="5"/>
  <c r="R420" i="5"/>
  <c r="Q420" i="5"/>
  <c r="P420" i="5"/>
  <c r="N420" i="5"/>
  <c r="L420" i="5"/>
  <c r="K420" i="5"/>
  <c r="S419" i="5"/>
  <c r="R419" i="5"/>
  <c r="Q419" i="5"/>
  <c r="P419" i="5"/>
  <c r="N419" i="5"/>
  <c r="L419" i="5"/>
  <c r="K419" i="5"/>
  <c r="S418" i="5"/>
  <c r="R418" i="5"/>
  <c r="Q418" i="5"/>
  <c r="P418" i="5"/>
  <c r="N418" i="5"/>
  <c r="L418" i="5"/>
  <c r="K418" i="5"/>
  <c r="S417" i="5"/>
  <c r="R417" i="5"/>
  <c r="Q417" i="5"/>
  <c r="P417" i="5"/>
  <c r="N417" i="5"/>
  <c r="L417" i="5"/>
  <c r="K417" i="5"/>
  <c r="S416" i="5"/>
  <c r="R416" i="5"/>
  <c r="Q416" i="5"/>
  <c r="P416" i="5"/>
  <c r="N416" i="5"/>
  <c r="L416" i="5"/>
  <c r="K416" i="5"/>
  <c r="S415" i="5"/>
  <c r="R415" i="5"/>
  <c r="Q415" i="5"/>
  <c r="P415" i="5"/>
  <c r="N415" i="5"/>
  <c r="L415" i="5"/>
  <c r="K415" i="5"/>
  <c r="S414" i="5"/>
  <c r="R414" i="5"/>
  <c r="Q414" i="5"/>
  <c r="P414" i="5"/>
  <c r="N414" i="5"/>
  <c r="L414" i="5"/>
  <c r="K414" i="5"/>
  <c r="S413" i="5"/>
  <c r="R413" i="5"/>
  <c r="Q413" i="5"/>
  <c r="P413" i="5"/>
  <c r="N413" i="5"/>
  <c r="L413" i="5"/>
  <c r="K413" i="5"/>
  <c r="S412" i="5"/>
  <c r="R412" i="5"/>
  <c r="Q412" i="5"/>
  <c r="P412" i="5"/>
  <c r="N412" i="5"/>
  <c r="M412" i="5"/>
  <c r="L412" i="5"/>
  <c r="K412" i="5"/>
  <c r="S411" i="5"/>
  <c r="R411" i="5"/>
  <c r="Q411" i="5"/>
  <c r="P411" i="5"/>
  <c r="N411" i="5"/>
  <c r="L411" i="5"/>
  <c r="K411" i="5"/>
  <c r="S410" i="5"/>
  <c r="R410" i="5"/>
  <c r="Q410" i="5"/>
  <c r="P410" i="5"/>
  <c r="N410" i="5"/>
  <c r="L410" i="5"/>
  <c r="K410" i="5"/>
  <c r="S409" i="5"/>
  <c r="R409" i="5"/>
  <c r="Q409" i="5"/>
  <c r="P409" i="5"/>
  <c r="N409" i="5"/>
  <c r="L409" i="5"/>
  <c r="K409" i="5"/>
  <c r="S408" i="5"/>
  <c r="R408" i="5"/>
  <c r="Q408" i="5"/>
  <c r="P408" i="5"/>
  <c r="N408" i="5"/>
  <c r="L408" i="5"/>
  <c r="K408" i="5"/>
  <c r="S407" i="5"/>
  <c r="R407" i="5"/>
  <c r="Q407" i="5"/>
  <c r="P407" i="5"/>
  <c r="N407" i="5"/>
  <c r="L407" i="5"/>
  <c r="K407" i="5"/>
  <c r="S406" i="5"/>
  <c r="R406" i="5"/>
  <c r="Q406" i="5"/>
  <c r="P406" i="5"/>
  <c r="N406" i="5"/>
  <c r="L406" i="5"/>
  <c r="K406" i="5"/>
  <c r="S405" i="5"/>
  <c r="R405" i="5"/>
  <c r="Q405" i="5"/>
  <c r="P405" i="5"/>
  <c r="N405" i="5"/>
  <c r="L405" i="5"/>
  <c r="K405" i="5"/>
  <c r="S404" i="5"/>
  <c r="R404" i="5"/>
  <c r="Q404" i="5"/>
  <c r="P404" i="5"/>
  <c r="N404" i="5"/>
  <c r="L404" i="5"/>
  <c r="K404" i="5"/>
  <c r="S403" i="5"/>
  <c r="R403" i="5"/>
  <c r="Q403" i="5"/>
  <c r="P403" i="5"/>
  <c r="N403" i="5"/>
  <c r="L403" i="5"/>
  <c r="K403" i="5"/>
  <c r="S402" i="5"/>
  <c r="R402" i="5"/>
  <c r="Q402" i="5"/>
  <c r="P402" i="5"/>
  <c r="N402" i="5"/>
  <c r="L402" i="5"/>
  <c r="K402" i="5"/>
  <c r="S401" i="5"/>
  <c r="R401" i="5"/>
  <c r="Q401" i="5"/>
  <c r="P401" i="5"/>
  <c r="N401" i="5"/>
  <c r="L401" i="5"/>
  <c r="K401" i="5"/>
  <c r="S400" i="5"/>
  <c r="R400" i="5"/>
  <c r="Q400" i="5"/>
  <c r="P400" i="5"/>
  <c r="N400" i="5"/>
  <c r="L400" i="5"/>
  <c r="K400" i="5"/>
  <c r="S399" i="5"/>
  <c r="R399" i="5"/>
  <c r="Q399" i="5"/>
  <c r="P399" i="5"/>
  <c r="N399" i="5"/>
  <c r="L399" i="5"/>
  <c r="K399" i="5"/>
  <c r="S398" i="5"/>
  <c r="R398" i="5"/>
  <c r="Q398" i="5"/>
  <c r="P398" i="5"/>
  <c r="N398" i="5"/>
  <c r="L398" i="5"/>
  <c r="K398" i="5"/>
  <c r="S397" i="5"/>
  <c r="R397" i="5"/>
  <c r="Q397" i="5"/>
  <c r="P397" i="5"/>
  <c r="N397" i="5"/>
  <c r="L397" i="5"/>
  <c r="K397" i="5"/>
  <c r="S396" i="5"/>
  <c r="R396" i="5"/>
  <c r="Q396" i="5"/>
  <c r="P396" i="5"/>
  <c r="N396" i="5"/>
  <c r="L396" i="5"/>
  <c r="K396" i="5"/>
  <c r="S395" i="5"/>
  <c r="R395" i="5"/>
  <c r="Q395" i="5"/>
  <c r="P395" i="5"/>
  <c r="N395" i="5"/>
  <c r="L395" i="5"/>
  <c r="K395" i="5"/>
  <c r="S394" i="5"/>
  <c r="R394" i="5"/>
  <c r="Q394" i="5"/>
  <c r="P394" i="5"/>
  <c r="N394" i="5"/>
  <c r="L394" i="5"/>
  <c r="K394" i="5"/>
  <c r="S393" i="5"/>
  <c r="R393" i="5"/>
  <c r="Q393" i="5"/>
  <c r="P393" i="5"/>
  <c r="N393" i="5"/>
  <c r="L393" i="5"/>
  <c r="K393" i="5"/>
  <c r="S392" i="5"/>
  <c r="R392" i="5"/>
  <c r="Q392" i="5"/>
  <c r="P392" i="5"/>
  <c r="N392" i="5"/>
  <c r="L392" i="5"/>
  <c r="K392" i="5"/>
  <c r="S391" i="5"/>
  <c r="R391" i="5"/>
  <c r="Q391" i="5"/>
  <c r="P391" i="5"/>
  <c r="N391" i="5"/>
  <c r="L391" i="5"/>
  <c r="K391" i="5"/>
  <c r="S390" i="5"/>
  <c r="R390" i="5"/>
  <c r="Q390" i="5"/>
  <c r="P390" i="5"/>
  <c r="N390" i="5"/>
  <c r="M390" i="5"/>
  <c r="L390" i="5"/>
  <c r="K390" i="5"/>
  <c r="S389" i="5"/>
  <c r="R389" i="5"/>
  <c r="Q389" i="5"/>
  <c r="P389" i="5"/>
  <c r="N389" i="5"/>
  <c r="L389" i="5"/>
  <c r="K389" i="5"/>
  <c r="S388" i="5"/>
  <c r="R388" i="5"/>
  <c r="Q388" i="5"/>
  <c r="P388" i="5"/>
  <c r="N388" i="5"/>
  <c r="L388" i="5"/>
  <c r="K388" i="5"/>
  <c r="S387" i="5"/>
  <c r="R387" i="5"/>
  <c r="Q387" i="5"/>
  <c r="P387" i="5"/>
  <c r="N387" i="5"/>
  <c r="M387" i="5"/>
  <c r="L387" i="5"/>
  <c r="K387" i="5"/>
  <c r="S386" i="5"/>
  <c r="R386" i="5"/>
  <c r="Q386" i="5"/>
  <c r="P386" i="5"/>
  <c r="N386" i="5"/>
  <c r="M386" i="5"/>
  <c r="L386" i="5"/>
  <c r="K386" i="5"/>
  <c r="S385" i="5"/>
  <c r="R385" i="5"/>
  <c r="Q385" i="5"/>
  <c r="P385" i="5"/>
  <c r="N385" i="5"/>
  <c r="M385" i="5"/>
  <c r="L385" i="5"/>
  <c r="K385" i="5"/>
  <c r="S384" i="5"/>
  <c r="R384" i="5"/>
  <c r="Q384" i="5"/>
  <c r="P384" i="5"/>
  <c r="N384" i="5"/>
  <c r="M384" i="5"/>
  <c r="L384" i="5"/>
  <c r="K384" i="5"/>
  <c r="S383" i="5"/>
  <c r="R383" i="5"/>
  <c r="Q383" i="5"/>
  <c r="P383" i="5"/>
  <c r="N383" i="5"/>
  <c r="L383" i="5"/>
  <c r="K383" i="5"/>
  <c r="S382" i="5"/>
  <c r="R382" i="5"/>
  <c r="Q382" i="5"/>
  <c r="P382" i="5"/>
  <c r="N382" i="5"/>
  <c r="L382" i="5"/>
  <c r="K382" i="5"/>
  <c r="S381" i="5"/>
  <c r="R381" i="5"/>
  <c r="Q381" i="5"/>
  <c r="P381" i="5"/>
  <c r="N381" i="5"/>
  <c r="L381" i="5"/>
  <c r="K381" i="5"/>
  <c r="S380" i="5"/>
  <c r="R380" i="5"/>
  <c r="Q380" i="5"/>
  <c r="P380" i="5"/>
  <c r="N380" i="5"/>
  <c r="L380" i="5"/>
  <c r="K380" i="5"/>
  <c r="S379" i="5"/>
  <c r="R379" i="5"/>
  <c r="Q379" i="5"/>
  <c r="P379" i="5"/>
  <c r="N379" i="5"/>
  <c r="M379" i="5"/>
  <c r="L379" i="5"/>
  <c r="K379" i="5"/>
  <c r="S378" i="5"/>
  <c r="R378" i="5"/>
  <c r="Q378" i="5"/>
  <c r="P378" i="5"/>
  <c r="N378" i="5"/>
  <c r="M378" i="5"/>
  <c r="L378" i="5"/>
  <c r="K378" i="5"/>
  <c r="S377" i="5"/>
  <c r="R377" i="5"/>
  <c r="Q377" i="5"/>
  <c r="P377" i="5"/>
  <c r="N377" i="5"/>
  <c r="M377" i="5"/>
  <c r="L377" i="5"/>
  <c r="K377" i="5"/>
  <c r="S376" i="5"/>
  <c r="R376" i="5"/>
  <c r="Q376" i="5"/>
  <c r="P376" i="5"/>
  <c r="N376" i="5"/>
  <c r="L376" i="5"/>
  <c r="K376" i="5"/>
  <c r="S375" i="5"/>
  <c r="R375" i="5"/>
  <c r="Q375" i="5"/>
  <c r="P375" i="5"/>
  <c r="N375" i="5"/>
  <c r="L375" i="5"/>
  <c r="K375" i="5"/>
  <c r="S374" i="5"/>
  <c r="R374" i="5"/>
  <c r="Q374" i="5"/>
  <c r="P374" i="5"/>
  <c r="N374" i="5"/>
  <c r="M374" i="5"/>
  <c r="L374" i="5"/>
  <c r="K374" i="5"/>
  <c r="S373" i="5"/>
  <c r="R373" i="5"/>
  <c r="Q373" i="5"/>
  <c r="P373" i="5"/>
  <c r="N373" i="5"/>
  <c r="L373" i="5"/>
  <c r="K373" i="5"/>
  <c r="S372" i="5"/>
  <c r="R372" i="5"/>
  <c r="Q372" i="5"/>
  <c r="P372" i="5"/>
  <c r="N372" i="5"/>
  <c r="L372" i="5"/>
  <c r="K372" i="5"/>
  <c r="S371" i="5"/>
  <c r="R371" i="5"/>
  <c r="Q371" i="5"/>
  <c r="P371" i="5"/>
  <c r="N371" i="5"/>
  <c r="M371" i="5"/>
  <c r="L371" i="5"/>
  <c r="K371" i="5"/>
  <c r="S370" i="5"/>
  <c r="R370" i="5"/>
  <c r="Q370" i="5"/>
  <c r="P370" i="5"/>
  <c r="N370" i="5"/>
  <c r="L370" i="5"/>
  <c r="K370" i="5"/>
  <c r="S369" i="5"/>
  <c r="R369" i="5"/>
  <c r="Q369" i="5"/>
  <c r="P369" i="5"/>
  <c r="N369" i="5"/>
  <c r="L369" i="5"/>
  <c r="K369" i="5"/>
  <c r="S368" i="5"/>
  <c r="R368" i="5"/>
  <c r="Q368" i="5"/>
  <c r="P368" i="5"/>
  <c r="N368" i="5"/>
  <c r="L368" i="5"/>
  <c r="K368" i="5"/>
  <c r="S367" i="5"/>
  <c r="R367" i="5"/>
  <c r="Q367" i="5"/>
  <c r="P367" i="5"/>
  <c r="N367" i="5"/>
  <c r="L367" i="5"/>
  <c r="K367" i="5"/>
  <c r="S366" i="5"/>
  <c r="R366" i="5"/>
  <c r="Q366" i="5"/>
  <c r="P366" i="5"/>
  <c r="N366" i="5"/>
  <c r="L366" i="5"/>
  <c r="K366" i="5"/>
  <c r="S365" i="5"/>
  <c r="R365" i="5"/>
  <c r="Q365" i="5"/>
  <c r="P365" i="5"/>
  <c r="N365" i="5"/>
  <c r="L365" i="5"/>
  <c r="K365" i="5"/>
  <c r="S364" i="5"/>
  <c r="R364" i="5"/>
  <c r="Q364" i="5"/>
  <c r="P364" i="5"/>
  <c r="N364" i="5"/>
  <c r="L364" i="5"/>
  <c r="K364" i="5"/>
  <c r="S363" i="5"/>
  <c r="R363" i="5"/>
  <c r="Q363" i="5"/>
  <c r="P363" i="5"/>
  <c r="N363" i="5"/>
  <c r="L363" i="5"/>
  <c r="K363" i="5"/>
  <c r="S362" i="5"/>
  <c r="R362" i="5"/>
  <c r="Q362" i="5"/>
  <c r="P362" i="5"/>
  <c r="N362" i="5"/>
  <c r="L362" i="5"/>
  <c r="K362" i="5"/>
  <c r="S361" i="5"/>
  <c r="R361" i="5"/>
  <c r="Q361" i="5"/>
  <c r="P361" i="5"/>
  <c r="N361" i="5"/>
  <c r="L361" i="5"/>
  <c r="K361" i="5"/>
  <c r="S360" i="5"/>
  <c r="R360" i="5"/>
  <c r="Q360" i="5"/>
  <c r="P360" i="5"/>
  <c r="N360" i="5"/>
  <c r="L360" i="5"/>
  <c r="K360" i="5"/>
  <c r="S359" i="5"/>
  <c r="R359" i="5"/>
  <c r="Q359" i="5"/>
  <c r="P359" i="5"/>
  <c r="N359" i="5"/>
  <c r="L359" i="5"/>
  <c r="K359" i="5"/>
  <c r="S358" i="5"/>
  <c r="R358" i="5"/>
  <c r="Q358" i="5"/>
  <c r="P358" i="5"/>
  <c r="N358" i="5"/>
  <c r="L358" i="5"/>
  <c r="K358" i="5"/>
  <c r="S357" i="5"/>
  <c r="R357" i="5"/>
  <c r="Q357" i="5"/>
  <c r="P357" i="5"/>
  <c r="N357" i="5"/>
  <c r="L357" i="5"/>
  <c r="K357" i="5"/>
  <c r="S356" i="5"/>
  <c r="R356" i="5"/>
  <c r="Q356" i="5"/>
  <c r="P356" i="5"/>
  <c r="N356" i="5"/>
  <c r="L356" i="5"/>
  <c r="K356" i="5"/>
  <c r="S355" i="5"/>
  <c r="R355" i="5"/>
  <c r="Q355" i="5"/>
  <c r="P355" i="5"/>
  <c r="N355" i="5"/>
  <c r="L355" i="5"/>
  <c r="K355" i="5"/>
  <c r="S354" i="5"/>
  <c r="R354" i="5"/>
  <c r="Q354" i="5"/>
  <c r="P354" i="5"/>
  <c r="N354" i="5"/>
  <c r="L354" i="5"/>
  <c r="K354" i="5"/>
  <c r="S353" i="5"/>
  <c r="R353" i="5"/>
  <c r="Q353" i="5"/>
  <c r="P353" i="5"/>
  <c r="N353" i="5"/>
  <c r="L353" i="5"/>
  <c r="K353" i="5"/>
  <c r="S352" i="5"/>
  <c r="R352" i="5"/>
  <c r="Q352" i="5"/>
  <c r="P352" i="5"/>
  <c r="N352" i="5"/>
  <c r="L352" i="5"/>
  <c r="K352" i="5"/>
  <c r="S351" i="5"/>
  <c r="R351" i="5"/>
  <c r="Q351" i="5"/>
  <c r="P351" i="5"/>
  <c r="N351" i="5"/>
  <c r="L351" i="5"/>
  <c r="K351" i="5"/>
  <c r="S350" i="5"/>
  <c r="R350" i="5"/>
  <c r="Q350" i="5"/>
  <c r="P350" i="5"/>
  <c r="N350" i="5"/>
  <c r="L350" i="5"/>
  <c r="K350" i="5"/>
  <c r="S349" i="5"/>
  <c r="R349" i="5"/>
  <c r="Q349" i="5"/>
  <c r="P349" i="5"/>
  <c r="N349" i="5"/>
  <c r="L349" i="5"/>
  <c r="K349" i="5"/>
  <c r="S348" i="5"/>
  <c r="R348" i="5"/>
  <c r="Q348" i="5"/>
  <c r="P348" i="5"/>
  <c r="N348" i="5"/>
  <c r="L348" i="5"/>
  <c r="K348" i="5"/>
  <c r="S347" i="5"/>
  <c r="R347" i="5"/>
  <c r="Q347" i="5"/>
  <c r="P347" i="5"/>
  <c r="N347" i="5"/>
  <c r="L347" i="5"/>
  <c r="K347" i="5"/>
  <c r="S346" i="5"/>
  <c r="R346" i="5"/>
  <c r="Q346" i="5"/>
  <c r="P346" i="5"/>
  <c r="N346" i="5"/>
  <c r="L346" i="5"/>
  <c r="K346" i="5"/>
  <c r="S345" i="5"/>
  <c r="R345" i="5"/>
  <c r="Q345" i="5"/>
  <c r="P345" i="5"/>
  <c r="N345" i="5"/>
  <c r="L345" i="5"/>
  <c r="K345" i="5"/>
  <c r="S344" i="5"/>
  <c r="R344" i="5"/>
  <c r="Q344" i="5"/>
  <c r="P344" i="5"/>
  <c r="N344" i="5"/>
  <c r="L344" i="5"/>
  <c r="K344" i="5"/>
  <c r="S343" i="5"/>
  <c r="R343" i="5"/>
  <c r="Q343" i="5"/>
  <c r="P343" i="5"/>
  <c r="N343" i="5"/>
  <c r="L343" i="5"/>
  <c r="K343" i="5"/>
  <c r="S342" i="5"/>
  <c r="R342" i="5"/>
  <c r="Q342" i="5"/>
  <c r="P342" i="5"/>
  <c r="N342" i="5"/>
  <c r="L342" i="5"/>
  <c r="K342" i="5"/>
  <c r="S341" i="5"/>
  <c r="R341" i="5"/>
  <c r="Q341" i="5"/>
  <c r="P341" i="5"/>
  <c r="N341" i="5"/>
  <c r="L341" i="5"/>
  <c r="K341" i="5"/>
  <c r="S340" i="5"/>
  <c r="R340" i="5"/>
  <c r="Q340" i="5"/>
  <c r="P340" i="5"/>
  <c r="N340" i="5"/>
  <c r="L340" i="5"/>
  <c r="K340" i="5"/>
  <c r="S339" i="5"/>
  <c r="R339" i="5"/>
  <c r="Q339" i="5"/>
  <c r="P339" i="5"/>
  <c r="N339" i="5"/>
  <c r="L339" i="5"/>
  <c r="K339" i="5"/>
  <c r="S338" i="5"/>
  <c r="R338" i="5"/>
  <c r="Q338" i="5"/>
  <c r="P338" i="5"/>
  <c r="N338" i="5"/>
  <c r="L338" i="5"/>
  <c r="K338" i="5"/>
  <c r="S337" i="5"/>
  <c r="R337" i="5"/>
  <c r="Q337" i="5"/>
  <c r="P337" i="5"/>
  <c r="N337" i="5"/>
  <c r="M337" i="5"/>
  <c r="L337" i="5"/>
  <c r="K337" i="5"/>
  <c r="S336" i="5"/>
  <c r="R336" i="5"/>
  <c r="Q336" i="5"/>
  <c r="P336" i="5"/>
  <c r="N336" i="5"/>
  <c r="L336" i="5"/>
  <c r="K336" i="5"/>
  <c r="S335" i="5"/>
  <c r="R335" i="5"/>
  <c r="Q335" i="5"/>
  <c r="P335" i="5"/>
  <c r="N335" i="5"/>
  <c r="L335" i="5"/>
  <c r="K335" i="5"/>
  <c r="S334" i="5"/>
  <c r="R334" i="5"/>
  <c r="Q334" i="5"/>
  <c r="P334" i="5"/>
  <c r="N334" i="5"/>
  <c r="M334" i="5"/>
  <c r="L334" i="5"/>
  <c r="K334" i="5"/>
  <c r="S333" i="5"/>
  <c r="R333" i="5"/>
  <c r="Q333" i="5"/>
  <c r="P333" i="5"/>
  <c r="N333" i="5"/>
  <c r="L333" i="5"/>
  <c r="K333" i="5"/>
  <c r="S332" i="5"/>
  <c r="R332" i="5"/>
  <c r="Q332" i="5"/>
  <c r="P332" i="5"/>
  <c r="N332" i="5"/>
  <c r="L332" i="5"/>
  <c r="K332" i="5"/>
  <c r="S331" i="5"/>
  <c r="R331" i="5"/>
  <c r="Q331" i="5"/>
  <c r="P331" i="5"/>
  <c r="N331" i="5"/>
  <c r="L331" i="5"/>
  <c r="K331" i="5"/>
  <c r="S330" i="5"/>
  <c r="R330" i="5"/>
  <c r="Q330" i="5"/>
  <c r="P330" i="5"/>
  <c r="N330" i="5"/>
  <c r="L330" i="5"/>
  <c r="K330" i="5"/>
  <c r="S329" i="5"/>
  <c r="R329" i="5"/>
  <c r="Q329" i="5"/>
  <c r="P329" i="5"/>
  <c r="N329" i="5"/>
  <c r="L329" i="5"/>
  <c r="K329" i="5"/>
  <c r="S328" i="5"/>
  <c r="R328" i="5"/>
  <c r="Q328" i="5"/>
  <c r="P328" i="5"/>
  <c r="N328" i="5"/>
  <c r="L328" i="5"/>
  <c r="K328" i="5"/>
  <c r="S327" i="5"/>
  <c r="R327" i="5"/>
  <c r="Q327" i="5"/>
  <c r="P327" i="5"/>
  <c r="N327" i="5"/>
  <c r="L327" i="5"/>
  <c r="K327" i="5"/>
  <c r="S326" i="5"/>
  <c r="R326" i="5"/>
  <c r="Q326" i="5"/>
  <c r="P326" i="5"/>
  <c r="N326" i="5"/>
  <c r="L326" i="5"/>
  <c r="K326" i="5"/>
  <c r="S325" i="5"/>
  <c r="R325" i="5"/>
  <c r="Q325" i="5"/>
  <c r="P325" i="5"/>
  <c r="N325" i="5"/>
  <c r="L325" i="5"/>
  <c r="K325" i="5"/>
  <c r="S324" i="5"/>
  <c r="R324" i="5"/>
  <c r="Q324" i="5"/>
  <c r="P324" i="5"/>
  <c r="N324" i="5"/>
  <c r="L324" i="5"/>
  <c r="K324" i="5"/>
  <c r="S323" i="5"/>
  <c r="R323" i="5"/>
  <c r="Q323" i="5"/>
  <c r="P323" i="5"/>
  <c r="N323" i="5"/>
  <c r="L323" i="5"/>
  <c r="K323" i="5"/>
  <c r="S322" i="5"/>
  <c r="R322" i="5"/>
  <c r="Q322" i="5"/>
  <c r="P322" i="5"/>
  <c r="N322" i="5"/>
  <c r="L322" i="5"/>
  <c r="K322" i="5"/>
  <c r="S321" i="5"/>
  <c r="R321" i="5"/>
  <c r="Q321" i="5"/>
  <c r="P321" i="5"/>
  <c r="N321" i="5"/>
  <c r="L321" i="5"/>
  <c r="K321" i="5"/>
  <c r="S320" i="5"/>
  <c r="R320" i="5"/>
  <c r="Q320" i="5"/>
  <c r="P320" i="5"/>
  <c r="N320" i="5"/>
  <c r="L320" i="5"/>
  <c r="K320" i="5"/>
  <c r="S319" i="5"/>
  <c r="R319" i="5"/>
  <c r="Q319" i="5"/>
  <c r="P319" i="5"/>
  <c r="N319" i="5"/>
  <c r="L319" i="5"/>
  <c r="K319" i="5"/>
  <c r="S318" i="5"/>
  <c r="R318" i="5"/>
  <c r="Q318" i="5"/>
  <c r="P318" i="5"/>
  <c r="N318" i="5"/>
  <c r="L318" i="5"/>
  <c r="K318" i="5"/>
  <c r="S317" i="5"/>
  <c r="R317" i="5"/>
  <c r="Q317" i="5"/>
  <c r="P317" i="5"/>
  <c r="N317" i="5"/>
  <c r="L317" i="5"/>
  <c r="K317" i="5"/>
  <c r="S316" i="5"/>
  <c r="R316" i="5"/>
  <c r="Q316" i="5"/>
  <c r="P316" i="5"/>
  <c r="N316" i="5"/>
  <c r="L316" i="5"/>
  <c r="K316" i="5"/>
  <c r="S315" i="5"/>
  <c r="R315" i="5"/>
  <c r="Q315" i="5"/>
  <c r="P315" i="5"/>
  <c r="N315" i="5"/>
  <c r="L315" i="5"/>
  <c r="K315" i="5"/>
  <c r="S314" i="5"/>
  <c r="R314" i="5"/>
  <c r="Q314" i="5"/>
  <c r="P314" i="5"/>
  <c r="N314" i="5"/>
  <c r="L314" i="5"/>
  <c r="K314" i="5"/>
  <c r="S313" i="5"/>
  <c r="R313" i="5"/>
  <c r="Q313" i="5"/>
  <c r="P313" i="5"/>
  <c r="N313" i="5"/>
  <c r="L313" i="5"/>
  <c r="K313" i="5"/>
  <c r="S312" i="5"/>
  <c r="R312" i="5"/>
  <c r="Q312" i="5"/>
  <c r="P312" i="5"/>
  <c r="N312" i="5"/>
  <c r="L312" i="5"/>
  <c r="K312" i="5"/>
  <c r="S311" i="5"/>
  <c r="R311" i="5"/>
  <c r="Q311" i="5"/>
  <c r="P311" i="5"/>
  <c r="N311" i="5"/>
  <c r="L311" i="5"/>
  <c r="K311" i="5"/>
  <c r="S310" i="5"/>
  <c r="R310" i="5"/>
  <c r="Q310" i="5"/>
  <c r="P310" i="5"/>
  <c r="N310" i="5"/>
  <c r="L310" i="5"/>
  <c r="K310" i="5"/>
  <c r="S309" i="5"/>
  <c r="R309" i="5"/>
  <c r="Q309" i="5"/>
  <c r="P309" i="5"/>
  <c r="N309" i="5"/>
  <c r="L309" i="5"/>
  <c r="K309" i="5"/>
  <c r="S308" i="5"/>
  <c r="R308" i="5"/>
  <c r="Q308" i="5"/>
  <c r="P308" i="5"/>
  <c r="N308" i="5"/>
  <c r="L308" i="5"/>
  <c r="K308" i="5"/>
  <c r="S307" i="5"/>
  <c r="R307" i="5"/>
  <c r="Q307" i="5"/>
  <c r="P307" i="5"/>
  <c r="N307" i="5"/>
  <c r="L307" i="5"/>
  <c r="K307" i="5"/>
  <c r="S306" i="5"/>
  <c r="R306" i="5"/>
  <c r="Q306" i="5"/>
  <c r="P306" i="5"/>
  <c r="N306" i="5"/>
  <c r="L306" i="5"/>
  <c r="K306" i="5"/>
  <c r="S305" i="5"/>
  <c r="R305" i="5"/>
  <c r="Q305" i="5"/>
  <c r="P305" i="5"/>
  <c r="N305" i="5"/>
  <c r="L305" i="5"/>
  <c r="K305" i="5"/>
  <c r="S304" i="5"/>
  <c r="R304" i="5"/>
  <c r="Q304" i="5"/>
  <c r="P304" i="5"/>
  <c r="N304" i="5"/>
  <c r="L304" i="5"/>
  <c r="K304" i="5"/>
  <c r="S303" i="5"/>
  <c r="R303" i="5"/>
  <c r="Q303" i="5"/>
  <c r="P303" i="5"/>
  <c r="N303" i="5"/>
  <c r="L303" i="5"/>
  <c r="K303" i="5"/>
  <c r="S302" i="5"/>
  <c r="R302" i="5"/>
  <c r="Q302" i="5"/>
  <c r="P302" i="5"/>
  <c r="O302" i="5"/>
  <c r="N302" i="5"/>
  <c r="L302" i="5"/>
  <c r="K302" i="5"/>
  <c r="S301" i="5"/>
  <c r="R301" i="5"/>
  <c r="Q301" i="5"/>
  <c r="P301" i="5"/>
  <c r="N301" i="5"/>
  <c r="L301" i="5"/>
  <c r="K301" i="5"/>
  <c r="S300" i="5"/>
  <c r="R300" i="5"/>
  <c r="Q300" i="5"/>
  <c r="P300" i="5"/>
  <c r="N300" i="5"/>
  <c r="L300" i="5"/>
  <c r="K300" i="5"/>
  <c r="S299" i="5"/>
  <c r="R299" i="5"/>
  <c r="Q299" i="5"/>
  <c r="P299" i="5"/>
  <c r="N299" i="5"/>
  <c r="L299" i="5"/>
  <c r="K299" i="5"/>
  <c r="S298" i="5"/>
  <c r="R298" i="5"/>
  <c r="Q298" i="5"/>
  <c r="P298" i="5"/>
  <c r="N298" i="5"/>
  <c r="L298" i="5"/>
  <c r="K298" i="5"/>
  <c r="S297" i="5"/>
  <c r="R297" i="5"/>
  <c r="Q297" i="5"/>
  <c r="P297" i="5"/>
  <c r="N297" i="5"/>
  <c r="L297" i="5"/>
  <c r="K297" i="5"/>
  <c r="S296" i="5"/>
  <c r="R296" i="5"/>
  <c r="Q296" i="5"/>
  <c r="P296" i="5"/>
  <c r="N296" i="5"/>
  <c r="L296" i="5"/>
  <c r="K296" i="5"/>
  <c r="S295" i="5"/>
  <c r="R295" i="5"/>
  <c r="Q295" i="5"/>
  <c r="P295" i="5"/>
  <c r="N295" i="5"/>
  <c r="L295" i="5"/>
  <c r="K295" i="5"/>
  <c r="S294" i="5"/>
  <c r="R294" i="5"/>
  <c r="Q294" i="5"/>
  <c r="P294" i="5"/>
  <c r="N294" i="5"/>
  <c r="L294" i="5"/>
  <c r="K294" i="5"/>
  <c r="S293" i="5"/>
  <c r="R293" i="5"/>
  <c r="Q293" i="5"/>
  <c r="P293" i="5"/>
  <c r="N293" i="5"/>
  <c r="L293" i="5"/>
  <c r="K293" i="5"/>
  <c r="S292" i="5"/>
  <c r="R292" i="5"/>
  <c r="Q292" i="5"/>
  <c r="P292" i="5"/>
  <c r="N292" i="5"/>
  <c r="L292" i="5"/>
  <c r="K292" i="5"/>
  <c r="S291" i="5"/>
  <c r="R291" i="5"/>
  <c r="Q291" i="5"/>
  <c r="P291" i="5"/>
  <c r="N291" i="5"/>
  <c r="L291" i="5"/>
  <c r="K291" i="5"/>
  <c r="S290" i="5"/>
  <c r="R290" i="5"/>
  <c r="Q290" i="5"/>
  <c r="P290" i="5"/>
  <c r="N290" i="5"/>
  <c r="L290" i="5"/>
  <c r="K290" i="5"/>
  <c r="S289" i="5"/>
  <c r="R289" i="5"/>
  <c r="Q289" i="5"/>
  <c r="P289" i="5"/>
  <c r="N289" i="5"/>
  <c r="L289" i="5"/>
  <c r="K289" i="5"/>
  <c r="S288" i="5"/>
  <c r="R288" i="5"/>
  <c r="Q288" i="5"/>
  <c r="P288" i="5"/>
  <c r="N288" i="5"/>
  <c r="L288" i="5"/>
  <c r="K288" i="5"/>
  <c r="S287" i="5"/>
  <c r="R287" i="5"/>
  <c r="Q287" i="5"/>
  <c r="P287" i="5"/>
  <c r="N287" i="5"/>
  <c r="L287" i="5"/>
  <c r="K287" i="5"/>
  <c r="S286" i="5"/>
  <c r="R286" i="5"/>
  <c r="Q286" i="5"/>
  <c r="P286" i="5"/>
  <c r="N286" i="5"/>
  <c r="L286" i="5"/>
  <c r="K286" i="5"/>
  <c r="S285" i="5"/>
  <c r="R285" i="5"/>
  <c r="Q285" i="5"/>
  <c r="P285" i="5"/>
  <c r="N285" i="5"/>
  <c r="L285" i="5"/>
  <c r="K285" i="5"/>
  <c r="S284" i="5"/>
  <c r="R284" i="5"/>
  <c r="Q284" i="5"/>
  <c r="P284" i="5"/>
  <c r="N284" i="5"/>
  <c r="L284" i="5"/>
  <c r="K284" i="5"/>
  <c r="S283" i="5"/>
  <c r="R283" i="5"/>
  <c r="Q283" i="5"/>
  <c r="P283" i="5"/>
  <c r="N283" i="5"/>
  <c r="L283" i="5"/>
  <c r="K283" i="5"/>
  <c r="S282" i="5"/>
  <c r="R282" i="5"/>
  <c r="Q282" i="5"/>
  <c r="P282" i="5"/>
  <c r="N282" i="5"/>
  <c r="L282" i="5"/>
  <c r="K282" i="5"/>
  <c r="S281" i="5"/>
  <c r="R281" i="5"/>
  <c r="Q281" i="5"/>
  <c r="P281" i="5"/>
  <c r="N281" i="5"/>
  <c r="L281" i="5"/>
  <c r="K281" i="5"/>
  <c r="S280" i="5"/>
  <c r="R280" i="5"/>
  <c r="Q280" i="5"/>
  <c r="P280" i="5"/>
  <c r="N280" i="5"/>
  <c r="L280" i="5"/>
  <c r="K280" i="5"/>
  <c r="S279" i="5"/>
  <c r="R279" i="5"/>
  <c r="Q279" i="5"/>
  <c r="P279" i="5"/>
  <c r="N279" i="5"/>
  <c r="L279" i="5"/>
  <c r="K279" i="5"/>
  <c r="S278" i="5"/>
  <c r="R278" i="5"/>
  <c r="Q278" i="5"/>
  <c r="P278" i="5"/>
  <c r="N278" i="5"/>
  <c r="L278" i="5"/>
  <c r="K278" i="5"/>
  <c r="S277" i="5"/>
  <c r="R277" i="5"/>
  <c r="Q277" i="5"/>
  <c r="P277" i="5"/>
  <c r="N277" i="5"/>
  <c r="L277" i="5"/>
  <c r="K277" i="5"/>
  <c r="S276" i="5"/>
  <c r="R276" i="5"/>
  <c r="Q276" i="5"/>
  <c r="P276" i="5"/>
  <c r="N276" i="5"/>
  <c r="L276" i="5"/>
  <c r="K276" i="5"/>
  <c r="S275" i="5"/>
  <c r="R275" i="5"/>
  <c r="Q275" i="5"/>
  <c r="P275" i="5"/>
  <c r="N275" i="5"/>
  <c r="L275" i="5"/>
  <c r="K275" i="5"/>
  <c r="S274" i="5"/>
  <c r="R274" i="5"/>
  <c r="Q274" i="5"/>
  <c r="P274" i="5"/>
  <c r="N274" i="5"/>
  <c r="L274" i="5"/>
  <c r="K274" i="5"/>
  <c r="S273" i="5"/>
  <c r="R273" i="5"/>
  <c r="Q273" i="5"/>
  <c r="P273" i="5"/>
  <c r="N273" i="5"/>
  <c r="L273" i="5"/>
  <c r="K273" i="5"/>
  <c r="S272" i="5"/>
  <c r="R272" i="5"/>
  <c r="Q272" i="5"/>
  <c r="P272" i="5"/>
  <c r="N272" i="5"/>
  <c r="L272" i="5"/>
  <c r="K272" i="5"/>
  <c r="S271" i="5"/>
  <c r="R271" i="5"/>
  <c r="Q271" i="5"/>
  <c r="P271" i="5"/>
  <c r="N271" i="5"/>
  <c r="M271" i="5"/>
  <c r="L271" i="5"/>
  <c r="K271" i="5"/>
  <c r="S270" i="5"/>
  <c r="R270" i="5"/>
  <c r="Q270" i="5"/>
  <c r="P270" i="5"/>
  <c r="N270" i="5"/>
  <c r="L270" i="5"/>
  <c r="K270" i="5"/>
  <c r="S269" i="5"/>
  <c r="R269" i="5"/>
  <c r="Q269" i="5"/>
  <c r="P269" i="5"/>
  <c r="N269" i="5"/>
  <c r="M269" i="5"/>
  <c r="L269" i="5"/>
  <c r="K269" i="5"/>
  <c r="S268" i="5"/>
  <c r="R268" i="5"/>
  <c r="Q268" i="5"/>
  <c r="P268" i="5"/>
  <c r="N268" i="5"/>
  <c r="M268" i="5"/>
  <c r="L268" i="5"/>
  <c r="K268" i="5"/>
  <c r="S267" i="5"/>
  <c r="R267" i="5"/>
  <c r="Q267" i="5"/>
  <c r="P267" i="5"/>
  <c r="N267" i="5"/>
  <c r="L267" i="5"/>
  <c r="K267" i="5"/>
  <c r="S266" i="5"/>
  <c r="R266" i="5"/>
  <c r="Q266" i="5"/>
  <c r="P266" i="5"/>
  <c r="N266" i="5"/>
  <c r="L266" i="5"/>
  <c r="K266" i="5"/>
  <c r="S265" i="5"/>
  <c r="R265" i="5"/>
  <c r="Q265" i="5"/>
  <c r="P265" i="5"/>
  <c r="N265" i="5"/>
  <c r="L265" i="5"/>
  <c r="K265" i="5"/>
  <c r="S264" i="5"/>
  <c r="R264" i="5"/>
  <c r="Q264" i="5"/>
  <c r="P264" i="5"/>
  <c r="N264" i="5"/>
  <c r="L264" i="5"/>
  <c r="K264" i="5"/>
  <c r="S263" i="5"/>
  <c r="R263" i="5"/>
  <c r="Q263" i="5"/>
  <c r="P263" i="5"/>
  <c r="N263" i="5"/>
  <c r="L263" i="5"/>
  <c r="K263" i="5"/>
  <c r="S262" i="5"/>
  <c r="R262" i="5"/>
  <c r="Q262" i="5"/>
  <c r="P262" i="5"/>
  <c r="N262" i="5"/>
  <c r="L262" i="5"/>
  <c r="K262" i="5"/>
  <c r="S261" i="5"/>
  <c r="R261" i="5"/>
  <c r="Q261" i="5"/>
  <c r="P261" i="5"/>
  <c r="N261" i="5"/>
  <c r="L261" i="5"/>
  <c r="K261" i="5"/>
  <c r="S260" i="5"/>
  <c r="R260" i="5"/>
  <c r="Q260" i="5"/>
  <c r="P260" i="5"/>
  <c r="N260" i="5"/>
  <c r="L260" i="5"/>
  <c r="K260" i="5"/>
  <c r="S259" i="5"/>
  <c r="R259" i="5"/>
  <c r="Q259" i="5"/>
  <c r="P259" i="5"/>
  <c r="N259" i="5"/>
  <c r="L259" i="5"/>
  <c r="K259" i="5"/>
  <c r="S258" i="5"/>
  <c r="R258" i="5"/>
  <c r="Q258" i="5"/>
  <c r="P258" i="5"/>
  <c r="N258" i="5"/>
  <c r="L258" i="5"/>
  <c r="K258" i="5"/>
  <c r="S257" i="5"/>
  <c r="R257" i="5"/>
  <c r="Q257" i="5"/>
  <c r="P257" i="5"/>
  <c r="N257" i="5"/>
  <c r="L257" i="5"/>
  <c r="K257" i="5"/>
  <c r="S256" i="5"/>
  <c r="R256" i="5"/>
  <c r="Q256" i="5"/>
  <c r="P256" i="5"/>
  <c r="N256" i="5"/>
  <c r="L256" i="5"/>
  <c r="K256" i="5"/>
  <c r="S255" i="5"/>
  <c r="R255" i="5"/>
  <c r="Q255" i="5"/>
  <c r="P255" i="5"/>
  <c r="N255" i="5"/>
  <c r="L255" i="5"/>
  <c r="K255" i="5"/>
  <c r="S254" i="5"/>
  <c r="R254" i="5"/>
  <c r="Q254" i="5"/>
  <c r="P254" i="5"/>
  <c r="N254" i="5"/>
  <c r="M254" i="5"/>
  <c r="L254" i="5"/>
  <c r="K254" i="5"/>
  <c r="S253" i="5"/>
  <c r="R253" i="5"/>
  <c r="Q253" i="5"/>
  <c r="P253" i="5"/>
  <c r="N253" i="5"/>
  <c r="L253" i="5"/>
  <c r="K253" i="5"/>
  <c r="S252" i="5"/>
  <c r="R252" i="5"/>
  <c r="Q252" i="5"/>
  <c r="P252" i="5"/>
  <c r="N252" i="5"/>
  <c r="L252" i="5"/>
  <c r="K252" i="5"/>
  <c r="S251" i="5"/>
  <c r="R251" i="5"/>
  <c r="Q251" i="5"/>
  <c r="P251" i="5"/>
  <c r="N251" i="5"/>
  <c r="L251" i="5"/>
  <c r="K251" i="5"/>
  <c r="S250" i="5"/>
  <c r="R250" i="5"/>
  <c r="Q250" i="5"/>
  <c r="P250" i="5"/>
  <c r="N250" i="5"/>
  <c r="L250" i="5"/>
  <c r="K250" i="5"/>
  <c r="S249" i="5"/>
  <c r="R249" i="5"/>
  <c r="Q249" i="5"/>
  <c r="P249" i="5"/>
  <c r="N249" i="5"/>
  <c r="L249" i="5"/>
  <c r="K249" i="5"/>
  <c r="S248" i="5"/>
  <c r="R248" i="5"/>
  <c r="Q248" i="5"/>
  <c r="P248" i="5"/>
  <c r="N248" i="5"/>
  <c r="L248" i="5"/>
  <c r="K248" i="5"/>
  <c r="S247" i="5"/>
  <c r="R247" i="5"/>
  <c r="Q247" i="5"/>
  <c r="P247" i="5"/>
  <c r="N247" i="5"/>
  <c r="L247" i="5"/>
  <c r="K247" i="5"/>
  <c r="S246" i="5"/>
  <c r="R246" i="5"/>
  <c r="Q246" i="5"/>
  <c r="P246" i="5"/>
  <c r="N246" i="5"/>
  <c r="L246" i="5"/>
  <c r="K246" i="5"/>
  <c r="S245" i="5"/>
  <c r="R245" i="5"/>
  <c r="Q245" i="5"/>
  <c r="P245" i="5"/>
  <c r="N245" i="5"/>
  <c r="L245" i="5"/>
  <c r="K245" i="5"/>
  <c r="S244" i="5"/>
  <c r="R244" i="5"/>
  <c r="Q244" i="5"/>
  <c r="P244" i="5"/>
  <c r="N244" i="5"/>
  <c r="L244" i="5"/>
  <c r="K244" i="5"/>
  <c r="S243" i="5"/>
  <c r="R243" i="5"/>
  <c r="Q243" i="5"/>
  <c r="P243" i="5"/>
  <c r="N243" i="5"/>
  <c r="L243" i="5"/>
  <c r="K243" i="5"/>
  <c r="S242" i="5"/>
  <c r="R242" i="5"/>
  <c r="Q242" i="5"/>
  <c r="P242" i="5"/>
  <c r="N242" i="5"/>
  <c r="L242" i="5"/>
  <c r="K242" i="5"/>
  <c r="S241" i="5"/>
  <c r="R241" i="5"/>
  <c r="Q241" i="5"/>
  <c r="P241" i="5"/>
  <c r="N241" i="5"/>
  <c r="L241" i="5"/>
  <c r="K241" i="5"/>
  <c r="S240" i="5"/>
  <c r="R240" i="5"/>
  <c r="Q240" i="5"/>
  <c r="P240" i="5"/>
  <c r="N240" i="5"/>
  <c r="L240" i="5"/>
  <c r="K240" i="5"/>
  <c r="S239" i="5"/>
  <c r="R239" i="5"/>
  <c r="Q239" i="5"/>
  <c r="P239" i="5"/>
  <c r="N239" i="5"/>
  <c r="L239" i="5"/>
  <c r="K239" i="5"/>
  <c r="S238" i="5"/>
  <c r="R238" i="5"/>
  <c r="Q238" i="5"/>
  <c r="P238" i="5"/>
  <c r="N238" i="5"/>
  <c r="L238" i="5"/>
  <c r="K238" i="5"/>
  <c r="S237" i="5"/>
  <c r="R237" i="5"/>
  <c r="Q237" i="5"/>
  <c r="P237" i="5"/>
  <c r="N237" i="5"/>
  <c r="L237" i="5"/>
  <c r="K237" i="5"/>
  <c r="S236" i="5"/>
  <c r="R236" i="5"/>
  <c r="Q236" i="5"/>
  <c r="P236" i="5"/>
  <c r="N236" i="5"/>
  <c r="L236" i="5"/>
  <c r="K236" i="5"/>
  <c r="S235" i="5"/>
  <c r="R235" i="5"/>
  <c r="Q235" i="5"/>
  <c r="P235" i="5"/>
  <c r="N235" i="5"/>
  <c r="L235" i="5"/>
  <c r="K235" i="5"/>
  <c r="S234" i="5"/>
  <c r="R234" i="5"/>
  <c r="Q234" i="5"/>
  <c r="P234" i="5"/>
  <c r="N234" i="5"/>
  <c r="L234" i="5"/>
  <c r="K234" i="5"/>
  <c r="S233" i="5"/>
  <c r="R233" i="5"/>
  <c r="Q233" i="5"/>
  <c r="P233" i="5"/>
  <c r="N233" i="5"/>
  <c r="L233" i="5"/>
  <c r="K233" i="5"/>
  <c r="S232" i="5"/>
  <c r="R232" i="5"/>
  <c r="Q232" i="5"/>
  <c r="P232" i="5"/>
  <c r="N232" i="5"/>
  <c r="L232" i="5"/>
  <c r="K232" i="5"/>
  <c r="S231" i="5"/>
  <c r="R231" i="5"/>
  <c r="Q231" i="5"/>
  <c r="P231" i="5"/>
  <c r="N231" i="5"/>
  <c r="L231" i="5"/>
  <c r="K231" i="5"/>
  <c r="S230" i="5"/>
  <c r="R230" i="5"/>
  <c r="Q230" i="5"/>
  <c r="P230" i="5"/>
  <c r="O230" i="5"/>
  <c r="N230" i="5"/>
  <c r="L230" i="5"/>
  <c r="K230" i="5"/>
  <c r="S229" i="5"/>
  <c r="R229" i="5"/>
  <c r="Q229" i="5"/>
  <c r="P229" i="5"/>
  <c r="N229" i="5"/>
  <c r="L229" i="5"/>
  <c r="K229" i="5"/>
  <c r="S228" i="5"/>
  <c r="R228" i="5"/>
  <c r="Q228" i="5"/>
  <c r="P228" i="5"/>
  <c r="N228" i="5"/>
  <c r="L228" i="5"/>
  <c r="K228" i="5"/>
  <c r="S227" i="5"/>
  <c r="R227" i="5"/>
  <c r="Q227" i="5"/>
  <c r="P227" i="5"/>
  <c r="N227" i="5"/>
  <c r="L227" i="5"/>
  <c r="K227" i="5"/>
  <c r="S226" i="5"/>
  <c r="R226" i="5"/>
  <c r="Q226" i="5"/>
  <c r="P226" i="5"/>
  <c r="O226" i="5"/>
  <c r="N226" i="5"/>
  <c r="L226" i="5"/>
  <c r="K226" i="5"/>
  <c r="S225" i="5"/>
  <c r="R225" i="5"/>
  <c r="Q225" i="5"/>
  <c r="P225" i="5"/>
  <c r="O225" i="5"/>
  <c r="N225" i="5"/>
  <c r="L225" i="5"/>
  <c r="K225" i="5"/>
  <c r="S224" i="5"/>
  <c r="R224" i="5"/>
  <c r="Q224" i="5"/>
  <c r="P224" i="5"/>
  <c r="O224" i="5"/>
  <c r="N224" i="5"/>
  <c r="L224" i="5"/>
  <c r="K224" i="5"/>
  <c r="S223" i="5"/>
  <c r="R223" i="5"/>
  <c r="Q223" i="5"/>
  <c r="P223" i="5"/>
  <c r="O223" i="5"/>
  <c r="N223" i="5"/>
  <c r="L223" i="5"/>
  <c r="K223" i="5"/>
  <c r="S222" i="5"/>
  <c r="R222" i="5"/>
  <c r="Q222" i="5"/>
  <c r="P222" i="5"/>
  <c r="N222" i="5"/>
  <c r="L222" i="5"/>
  <c r="K222" i="5"/>
  <c r="S221" i="5"/>
  <c r="R221" i="5"/>
  <c r="Q221" i="5"/>
  <c r="P221" i="5"/>
  <c r="O221" i="5"/>
  <c r="N221" i="5"/>
  <c r="L221" i="5"/>
  <c r="K221" i="5"/>
  <c r="S220" i="5"/>
  <c r="R220" i="5"/>
  <c r="Q220" i="5"/>
  <c r="P220" i="5"/>
  <c r="N220" i="5"/>
  <c r="L220" i="5"/>
  <c r="K220" i="5"/>
  <c r="S219" i="5"/>
  <c r="R219" i="5"/>
  <c r="Q219" i="5"/>
  <c r="P219" i="5"/>
  <c r="N219" i="5"/>
  <c r="L219" i="5"/>
  <c r="K219" i="5"/>
  <c r="S218" i="5"/>
  <c r="R218" i="5"/>
  <c r="Q218" i="5"/>
  <c r="P218" i="5"/>
  <c r="N218" i="5"/>
  <c r="M218" i="5"/>
  <c r="L218" i="5"/>
  <c r="K218" i="5"/>
  <c r="S217" i="5"/>
  <c r="R217" i="5"/>
  <c r="Q217" i="5"/>
  <c r="P217" i="5"/>
  <c r="N217" i="5"/>
  <c r="L217" i="5"/>
  <c r="K217" i="5"/>
  <c r="S216" i="5"/>
  <c r="R216" i="5"/>
  <c r="Q216" i="5"/>
  <c r="P216" i="5"/>
  <c r="O216" i="5"/>
  <c r="N216" i="5"/>
  <c r="L216" i="5"/>
  <c r="K216" i="5"/>
  <c r="S215" i="5"/>
  <c r="R215" i="5"/>
  <c r="Q215" i="5"/>
  <c r="P215" i="5"/>
  <c r="N215" i="5"/>
  <c r="L215" i="5"/>
  <c r="K215" i="5"/>
  <c r="S214" i="5"/>
  <c r="R214" i="5"/>
  <c r="Q214" i="5"/>
  <c r="P214" i="5"/>
  <c r="N214" i="5"/>
  <c r="L214" i="5"/>
  <c r="K214" i="5"/>
  <c r="S213" i="5"/>
  <c r="R213" i="5"/>
  <c r="Q213" i="5"/>
  <c r="P213" i="5"/>
  <c r="N213" i="5"/>
  <c r="L213" i="5"/>
  <c r="K213" i="5"/>
  <c r="S212" i="5"/>
  <c r="R212" i="5"/>
  <c r="Q212" i="5"/>
  <c r="P212" i="5"/>
  <c r="N212" i="5"/>
  <c r="M212" i="5"/>
  <c r="L212" i="5"/>
  <c r="K212" i="5"/>
  <c r="S211" i="5"/>
  <c r="R211" i="5"/>
  <c r="Q211" i="5"/>
  <c r="P211" i="5"/>
  <c r="N211" i="5"/>
  <c r="L211" i="5"/>
  <c r="K211" i="5"/>
  <c r="S210" i="5"/>
  <c r="R210" i="5"/>
  <c r="Q210" i="5"/>
  <c r="P210" i="5"/>
  <c r="N210" i="5"/>
  <c r="L210" i="5"/>
  <c r="K210" i="5"/>
  <c r="S209" i="5"/>
  <c r="R209" i="5"/>
  <c r="Q209" i="5"/>
  <c r="P209" i="5"/>
  <c r="N209" i="5"/>
  <c r="M209" i="5"/>
  <c r="L209" i="5"/>
  <c r="K209" i="5"/>
  <c r="S208" i="5"/>
  <c r="R208" i="5"/>
  <c r="Q208" i="5"/>
  <c r="P208" i="5"/>
  <c r="N208" i="5"/>
  <c r="M208" i="5"/>
  <c r="L208" i="5"/>
  <c r="K208" i="5"/>
  <c r="S207" i="5"/>
  <c r="R207" i="5"/>
  <c r="Q207" i="5"/>
  <c r="P207" i="5"/>
  <c r="O207" i="5"/>
  <c r="N207" i="5"/>
  <c r="L207" i="5"/>
  <c r="K207" i="5"/>
  <c r="S206" i="5"/>
  <c r="R206" i="5"/>
  <c r="Q206" i="5"/>
  <c r="P206" i="5"/>
  <c r="N206" i="5"/>
  <c r="M206" i="5"/>
  <c r="L206" i="5"/>
  <c r="K206" i="5"/>
  <c r="S205" i="5"/>
  <c r="R205" i="5"/>
  <c r="Q205" i="5"/>
  <c r="P205" i="5"/>
  <c r="O205" i="5"/>
  <c r="N205" i="5"/>
  <c r="L205" i="5"/>
  <c r="K205" i="5"/>
  <c r="S204" i="5"/>
  <c r="R204" i="5"/>
  <c r="Q204" i="5"/>
  <c r="P204" i="5"/>
  <c r="O204" i="5"/>
  <c r="N204" i="5"/>
  <c r="L204" i="5"/>
  <c r="K204" i="5"/>
  <c r="S203" i="5"/>
  <c r="R203" i="5"/>
  <c r="Q203" i="5"/>
  <c r="P203" i="5"/>
  <c r="O203" i="5"/>
  <c r="N203" i="5"/>
  <c r="L203" i="5"/>
  <c r="K203" i="5"/>
  <c r="S202" i="5"/>
  <c r="R202" i="5"/>
  <c r="Q202" i="5"/>
  <c r="P202" i="5"/>
  <c r="N202" i="5"/>
  <c r="L202" i="5"/>
  <c r="K202" i="5"/>
  <c r="S201" i="5"/>
  <c r="R201" i="5"/>
  <c r="Q201" i="5"/>
  <c r="P201" i="5"/>
  <c r="O201" i="5"/>
  <c r="N201" i="5"/>
  <c r="M201" i="5"/>
  <c r="L201" i="5"/>
  <c r="K201" i="5"/>
  <c r="S200" i="5"/>
  <c r="R200" i="5"/>
  <c r="Q200" i="5"/>
  <c r="P200" i="5"/>
  <c r="O200" i="5"/>
  <c r="N200" i="5"/>
  <c r="M200" i="5"/>
  <c r="L200" i="5"/>
  <c r="K200" i="5"/>
  <c r="S199" i="5"/>
  <c r="R199" i="5"/>
  <c r="Q199" i="5"/>
  <c r="P199" i="5"/>
  <c r="O199" i="5"/>
  <c r="N199" i="5"/>
  <c r="L199" i="5"/>
  <c r="K199" i="5"/>
  <c r="S198" i="5"/>
  <c r="R198" i="5"/>
  <c r="Q198" i="5"/>
  <c r="P198" i="5"/>
  <c r="N198" i="5"/>
  <c r="L198" i="5"/>
  <c r="K198" i="5"/>
  <c r="S197" i="5"/>
  <c r="R197" i="5"/>
  <c r="Q197" i="5"/>
  <c r="P197" i="5"/>
  <c r="N197" i="5"/>
  <c r="L197" i="5"/>
  <c r="K197" i="5"/>
  <c r="S196" i="5"/>
  <c r="R196" i="5"/>
  <c r="Q196" i="5"/>
  <c r="P196" i="5"/>
  <c r="N196" i="5"/>
  <c r="L196" i="5"/>
  <c r="K196" i="5"/>
  <c r="S195" i="5"/>
  <c r="R195" i="5"/>
  <c r="Q195" i="5"/>
  <c r="P195" i="5"/>
  <c r="N195" i="5"/>
  <c r="L195" i="5"/>
  <c r="K195" i="5"/>
  <c r="S194" i="5"/>
  <c r="R194" i="5"/>
  <c r="Q194" i="5"/>
  <c r="P194" i="5"/>
  <c r="N194" i="5"/>
  <c r="L194" i="5"/>
  <c r="K194" i="5"/>
  <c r="S193" i="5"/>
  <c r="R193" i="5"/>
  <c r="Q193" i="5"/>
  <c r="P193" i="5"/>
  <c r="O193" i="5"/>
  <c r="N193" i="5"/>
  <c r="M193" i="5"/>
  <c r="L193" i="5"/>
  <c r="K193" i="5"/>
  <c r="S192" i="5"/>
  <c r="R192" i="5"/>
  <c r="Q192" i="5"/>
  <c r="P192" i="5"/>
  <c r="N192" i="5"/>
  <c r="L192" i="5"/>
  <c r="K192" i="5"/>
  <c r="S191" i="5"/>
  <c r="R191" i="5"/>
  <c r="Q191" i="5"/>
  <c r="P191" i="5"/>
  <c r="N191" i="5"/>
  <c r="L191" i="5"/>
  <c r="K191" i="5"/>
  <c r="S190" i="5"/>
  <c r="R190" i="5"/>
  <c r="Q190" i="5"/>
  <c r="P190" i="5"/>
  <c r="N190" i="5"/>
  <c r="L190" i="5"/>
  <c r="K190" i="5"/>
  <c r="S189" i="5"/>
  <c r="R189" i="5"/>
  <c r="Q189" i="5"/>
  <c r="P189" i="5"/>
  <c r="N189" i="5"/>
  <c r="L189" i="5"/>
  <c r="K189" i="5"/>
  <c r="S188" i="5"/>
  <c r="R188" i="5"/>
  <c r="Q188" i="5"/>
  <c r="P188" i="5"/>
  <c r="N188" i="5"/>
  <c r="L188" i="5"/>
  <c r="K188" i="5"/>
  <c r="S187" i="5"/>
  <c r="R187" i="5"/>
  <c r="Q187" i="5"/>
  <c r="P187" i="5"/>
  <c r="N187" i="5"/>
  <c r="L187" i="5"/>
  <c r="K187" i="5"/>
  <c r="S186" i="5"/>
  <c r="R186" i="5"/>
  <c r="Q186" i="5"/>
  <c r="P186" i="5"/>
  <c r="N186" i="5"/>
  <c r="L186" i="5"/>
  <c r="K186" i="5"/>
  <c r="S185" i="5"/>
  <c r="R185" i="5"/>
  <c r="Q185" i="5"/>
  <c r="P185" i="5"/>
  <c r="N185" i="5"/>
  <c r="L185" i="5"/>
  <c r="K185" i="5"/>
  <c r="S184" i="5"/>
  <c r="R184" i="5"/>
  <c r="Q184" i="5"/>
  <c r="P184" i="5"/>
  <c r="N184" i="5"/>
  <c r="L184" i="5"/>
  <c r="K184" i="5"/>
  <c r="S183" i="5"/>
  <c r="R183" i="5"/>
  <c r="Q183" i="5"/>
  <c r="P183" i="5"/>
  <c r="N183" i="5"/>
  <c r="L183" i="5"/>
  <c r="K183" i="5"/>
  <c r="S182" i="5"/>
  <c r="R182" i="5"/>
  <c r="Q182" i="5"/>
  <c r="P182" i="5"/>
  <c r="N182" i="5"/>
  <c r="L182" i="5"/>
  <c r="K182" i="5"/>
  <c r="S181" i="5"/>
  <c r="R181" i="5"/>
  <c r="Q181" i="5"/>
  <c r="P181" i="5"/>
  <c r="N181" i="5"/>
  <c r="L181" i="5"/>
  <c r="K181" i="5"/>
  <c r="S180" i="5"/>
  <c r="R180" i="5"/>
  <c r="Q180" i="5"/>
  <c r="P180" i="5"/>
  <c r="N180" i="5"/>
  <c r="L180" i="5"/>
  <c r="K180" i="5"/>
  <c r="S179" i="5"/>
  <c r="R179" i="5"/>
  <c r="Q179" i="5"/>
  <c r="P179" i="5"/>
  <c r="O179" i="5"/>
  <c r="N179" i="5"/>
  <c r="L179" i="5"/>
  <c r="K179" i="5"/>
  <c r="S178" i="5"/>
  <c r="R178" i="5"/>
  <c r="Q178" i="5"/>
  <c r="P178" i="5"/>
  <c r="N178" i="5"/>
  <c r="L178" i="5"/>
  <c r="K178" i="5"/>
  <c r="S177" i="5"/>
  <c r="R177" i="5"/>
  <c r="Q177" i="5"/>
  <c r="P177" i="5"/>
  <c r="N177" i="5"/>
  <c r="L177" i="5"/>
  <c r="K177" i="5"/>
  <c r="S176" i="5"/>
  <c r="R176" i="5"/>
  <c r="Q176" i="5"/>
  <c r="P176" i="5"/>
  <c r="N176" i="5"/>
  <c r="L176" i="5"/>
  <c r="K176" i="5"/>
  <c r="S175" i="5"/>
  <c r="R175" i="5"/>
  <c r="Q175" i="5"/>
  <c r="P175" i="5"/>
  <c r="N175" i="5"/>
  <c r="L175" i="5"/>
  <c r="K175" i="5"/>
  <c r="S174" i="5"/>
  <c r="R174" i="5"/>
  <c r="Q174" i="5"/>
  <c r="P174" i="5"/>
  <c r="N174" i="5"/>
  <c r="L174" i="5"/>
  <c r="K174" i="5"/>
  <c r="S173" i="5"/>
  <c r="R173" i="5"/>
  <c r="Q173" i="5"/>
  <c r="P173" i="5"/>
  <c r="N173" i="5"/>
  <c r="L173" i="5"/>
  <c r="K173" i="5"/>
  <c r="S172" i="5"/>
  <c r="R172" i="5"/>
  <c r="Q172" i="5"/>
  <c r="P172" i="5"/>
  <c r="N172" i="5"/>
  <c r="L172" i="5"/>
  <c r="K172" i="5"/>
  <c r="S171" i="5"/>
  <c r="R171" i="5"/>
  <c r="Q171" i="5"/>
  <c r="P171" i="5"/>
  <c r="N171" i="5"/>
  <c r="L171" i="5"/>
  <c r="K171" i="5"/>
  <c r="S170" i="5"/>
  <c r="R170" i="5"/>
  <c r="Q170" i="5"/>
  <c r="P170" i="5"/>
  <c r="N170" i="5"/>
  <c r="L170" i="5"/>
  <c r="K170" i="5"/>
  <c r="S169" i="5"/>
  <c r="R169" i="5"/>
  <c r="Q169" i="5"/>
  <c r="P169" i="5"/>
  <c r="O169" i="5"/>
  <c r="N169" i="5"/>
  <c r="L169" i="5"/>
  <c r="K169" i="5"/>
  <c r="S168" i="5"/>
  <c r="R168" i="5"/>
  <c r="Q168" i="5"/>
  <c r="P168" i="5"/>
  <c r="N168" i="5"/>
  <c r="L168" i="5"/>
  <c r="K168" i="5"/>
  <c r="S167" i="5"/>
  <c r="R167" i="5"/>
  <c r="Q167" i="5"/>
  <c r="P167" i="5"/>
  <c r="N167" i="5"/>
  <c r="L167" i="5"/>
  <c r="K167" i="5"/>
  <c r="S166" i="5"/>
  <c r="R166" i="5"/>
  <c r="Q166" i="5"/>
  <c r="P166" i="5"/>
  <c r="N166" i="5"/>
  <c r="L166" i="5"/>
  <c r="K166" i="5"/>
  <c r="S165" i="5"/>
  <c r="R165" i="5"/>
  <c r="Q165" i="5"/>
  <c r="P165" i="5"/>
  <c r="N165" i="5"/>
  <c r="L165" i="5"/>
  <c r="K165" i="5"/>
  <c r="S164" i="5"/>
  <c r="R164" i="5"/>
  <c r="Q164" i="5"/>
  <c r="P164" i="5"/>
  <c r="N164" i="5"/>
  <c r="L164" i="5"/>
  <c r="K164" i="5"/>
  <c r="S163" i="5"/>
  <c r="R163" i="5"/>
  <c r="Q163" i="5"/>
  <c r="P163" i="5"/>
  <c r="N163" i="5"/>
  <c r="L163" i="5"/>
  <c r="K163" i="5"/>
  <c r="S162" i="5"/>
  <c r="R162" i="5"/>
  <c r="Q162" i="5"/>
  <c r="P162" i="5"/>
  <c r="N162" i="5"/>
  <c r="L162" i="5"/>
  <c r="K162" i="5"/>
  <c r="S161" i="5"/>
  <c r="R161" i="5"/>
  <c r="Q161" i="5"/>
  <c r="P161" i="5"/>
  <c r="N161" i="5"/>
  <c r="L161" i="5"/>
  <c r="K161" i="5"/>
  <c r="S160" i="5"/>
  <c r="R160" i="5"/>
  <c r="Q160" i="5"/>
  <c r="P160" i="5"/>
  <c r="N160" i="5"/>
  <c r="L160" i="5"/>
  <c r="K160" i="5"/>
  <c r="S159" i="5"/>
  <c r="R159" i="5"/>
  <c r="Q159" i="5"/>
  <c r="P159" i="5"/>
  <c r="N159" i="5"/>
  <c r="L159" i="5"/>
  <c r="K159" i="5"/>
  <c r="S158" i="5"/>
  <c r="R158" i="5"/>
  <c r="Q158" i="5"/>
  <c r="P158" i="5"/>
  <c r="N158" i="5"/>
  <c r="L158" i="5"/>
  <c r="K158" i="5"/>
  <c r="S157" i="5"/>
  <c r="R157" i="5"/>
  <c r="Q157" i="5"/>
  <c r="P157" i="5"/>
  <c r="N157" i="5"/>
  <c r="M157" i="5"/>
  <c r="L157" i="5"/>
  <c r="K157" i="5"/>
  <c r="S156" i="5"/>
  <c r="R156" i="5"/>
  <c r="Q156" i="5"/>
  <c r="P156" i="5"/>
  <c r="N156" i="5"/>
  <c r="M156" i="5"/>
  <c r="L156" i="5"/>
  <c r="K156" i="5"/>
  <c r="S155" i="5"/>
  <c r="R155" i="5"/>
  <c r="Q155" i="5"/>
  <c r="P155" i="5"/>
  <c r="N155" i="5"/>
  <c r="M155" i="5"/>
  <c r="L155" i="5"/>
  <c r="K155" i="5"/>
  <c r="S154" i="5"/>
  <c r="R154" i="5"/>
  <c r="Q154" i="5"/>
  <c r="P154" i="5"/>
  <c r="N154" i="5"/>
  <c r="L154" i="5"/>
  <c r="K154" i="5"/>
  <c r="S153" i="5"/>
  <c r="R153" i="5"/>
  <c r="Q153" i="5"/>
  <c r="P153" i="5"/>
  <c r="N153" i="5"/>
  <c r="L153" i="5"/>
  <c r="K153" i="5"/>
  <c r="S152" i="5"/>
  <c r="R152" i="5"/>
  <c r="Q152" i="5"/>
  <c r="P152" i="5"/>
  <c r="N152" i="5"/>
  <c r="L152" i="5"/>
  <c r="K152" i="5"/>
  <c r="S151" i="5"/>
  <c r="R151" i="5"/>
  <c r="Q151" i="5"/>
  <c r="P151" i="5"/>
  <c r="O151" i="5"/>
  <c r="N151" i="5"/>
  <c r="M151" i="5"/>
  <c r="L151" i="5"/>
  <c r="K151" i="5"/>
  <c r="S150" i="5"/>
  <c r="R150" i="5"/>
  <c r="Q150" i="5"/>
  <c r="P150" i="5"/>
  <c r="O150" i="5"/>
  <c r="N150" i="5"/>
  <c r="M150" i="5"/>
  <c r="L150" i="5"/>
  <c r="K150" i="5"/>
  <c r="S149" i="5"/>
  <c r="R149" i="5"/>
  <c r="Q149" i="5"/>
  <c r="P149" i="5"/>
  <c r="O149" i="5"/>
  <c r="N149" i="5"/>
  <c r="M149" i="5"/>
  <c r="L149" i="5"/>
  <c r="K149" i="5"/>
  <c r="S148" i="5"/>
  <c r="R148" i="5"/>
  <c r="Q148" i="5"/>
  <c r="P148" i="5"/>
  <c r="N148" i="5"/>
  <c r="L148" i="5"/>
  <c r="K148" i="5"/>
  <c r="S147" i="5"/>
  <c r="R147" i="5"/>
  <c r="Q147" i="5"/>
  <c r="P147" i="5"/>
  <c r="N147" i="5"/>
  <c r="M147" i="5"/>
  <c r="L147" i="5"/>
  <c r="K147" i="5"/>
  <c r="S146" i="5"/>
  <c r="R146" i="5"/>
  <c r="Q146" i="5"/>
  <c r="P146" i="5"/>
  <c r="N146" i="5"/>
  <c r="M146" i="5"/>
  <c r="L146" i="5"/>
  <c r="K146" i="5"/>
  <c r="S145" i="5"/>
  <c r="R145" i="5"/>
  <c r="Q145" i="5"/>
  <c r="P145" i="5"/>
  <c r="N145" i="5"/>
  <c r="M145" i="5"/>
  <c r="L145" i="5"/>
  <c r="K145" i="5"/>
  <c r="S144" i="5"/>
  <c r="R144" i="5"/>
  <c r="Q144" i="5"/>
  <c r="P144" i="5"/>
  <c r="N144" i="5"/>
  <c r="M144" i="5"/>
  <c r="L144" i="5"/>
  <c r="K144" i="5"/>
  <c r="S143" i="5"/>
  <c r="R143" i="5"/>
  <c r="Q143" i="5"/>
  <c r="P143" i="5"/>
  <c r="N143" i="5"/>
  <c r="L143" i="5"/>
  <c r="K143" i="5"/>
  <c r="S142" i="5"/>
  <c r="R142" i="5"/>
  <c r="Q142" i="5"/>
  <c r="P142" i="5"/>
  <c r="O142" i="5"/>
  <c r="N142" i="5"/>
  <c r="M142" i="5"/>
  <c r="L142" i="5"/>
  <c r="K142" i="5"/>
  <c r="S141" i="5"/>
  <c r="R141" i="5"/>
  <c r="Q141" i="5"/>
  <c r="P141" i="5"/>
  <c r="N141" i="5"/>
  <c r="L141" i="5"/>
  <c r="K141" i="5"/>
  <c r="S140" i="5"/>
  <c r="R140" i="5"/>
  <c r="Q140" i="5"/>
  <c r="P140" i="5"/>
  <c r="N140" i="5"/>
  <c r="M140" i="5"/>
  <c r="L140" i="5"/>
  <c r="K140" i="5"/>
  <c r="S139" i="5"/>
  <c r="R139" i="5"/>
  <c r="Q139" i="5"/>
  <c r="P139" i="5"/>
  <c r="N139" i="5"/>
  <c r="M139" i="5"/>
  <c r="L139" i="5"/>
  <c r="K139" i="5"/>
  <c r="S138" i="5"/>
  <c r="R138" i="5"/>
  <c r="Q138" i="5"/>
  <c r="P138" i="5"/>
  <c r="N138" i="5"/>
  <c r="M138" i="5"/>
  <c r="L138" i="5"/>
  <c r="K138" i="5"/>
  <c r="S137" i="5"/>
  <c r="R137" i="5"/>
  <c r="Q137" i="5"/>
  <c r="P137" i="5"/>
  <c r="O137" i="5"/>
  <c r="N137" i="5"/>
  <c r="L137" i="5"/>
  <c r="K137" i="5"/>
  <c r="S136" i="5"/>
  <c r="R136" i="5"/>
  <c r="Q136" i="5"/>
  <c r="P136" i="5"/>
  <c r="N136" i="5"/>
  <c r="L136" i="5"/>
  <c r="K136" i="5"/>
  <c r="S135" i="5"/>
  <c r="R135" i="5"/>
  <c r="Q135" i="5"/>
  <c r="P135" i="5"/>
  <c r="N135" i="5"/>
  <c r="L135" i="5"/>
  <c r="K135" i="5"/>
  <c r="S134" i="5"/>
  <c r="R134" i="5"/>
  <c r="Q134" i="5"/>
  <c r="P134" i="5"/>
  <c r="N134" i="5"/>
  <c r="L134" i="5"/>
  <c r="K134" i="5"/>
  <c r="S133" i="5"/>
  <c r="R133" i="5"/>
  <c r="Q133" i="5"/>
  <c r="P133" i="5"/>
  <c r="N133" i="5"/>
  <c r="L133" i="5"/>
  <c r="K133" i="5"/>
  <c r="S132" i="5"/>
  <c r="R132" i="5"/>
  <c r="Q132" i="5"/>
  <c r="P132" i="5"/>
  <c r="O132" i="5"/>
  <c r="N132" i="5"/>
  <c r="L132" i="5"/>
  <c r="K132" i="5"/>
  <c r="S131" i="5"/>
  <c r="R131" i="5"/>
  <c r="Q131" i="5"/>
  <c r="P131" i="5"/>
  <c r="O131" i="5"/>
  <c r="N131" i="5"/>
  <c r="L131" i="5"/>
  <c r="K131" i="5"/>
  <c r="S130" i="5"/>
  <c r="R130" i="5"/>
  <c r="Q130" i="5"/>
  <c r="P130" i="5"/>
  <c r="O130" i="5"/>
  <c r="N130" i="5"/>
  <c r="L130" i="5"/>
  <c r="K130" i="5"/>
  <c r="S129" i="5"/>
  <c r="R129" i="5"/>
  <c r="Q129" i="5"/>
  <c r="P129" i="5"/>
  <c r="O129" i="5"/>
  <c r="N129" i="5"/>
  <c r="M129" i="5"/>
  <c r="L129" i="5"/>
  <c r="K129" i="5"/>
  <c r="S128" i="5"/>
  <c r="R128" i="5"/>
  <c r="Q128" i="5"/>
  <c r="P128" i="5"/>
  <c r="O128" i="5"/>
  <c r="N128" i="5"/>
  <c r="M128" i="5"/>
  <c r="L128" i="5"/>
  <c r="K128" i="5"/>
  <c r="S127" i="5"/>
  <c r="R127" i="5"/>
  <c r="Q127" i="5"/>
  <c r="P127" i="5"/>
  <c r="N127" i="5"/>
  <c r="L127" i="5"/>
  <c r="K127" i="5"/>
  <c r="S126" i="5"/>
  <c r="R126" i="5"/>
  <c r="Q126" i="5"/>
  <c r="P126" i="5"/>
  <c r="N126" i="5"/>
  <c r="L126" i="5"/>
  <c r="K126" i="5"/>
  <c r="S125" i="5"/>
  <c r="R125" i="5"/>
  <c r="Q125" i="5"/>
  <c r="P125" i="5"/>
  <c r="N125" i="5"/>
  <c r="L125" i="5"/>
  <c r="K125" i="5"/>
  <c r="S124" i="5"/>
  <c r="R124" i="5"/>
  <c r="Q124" i="5"/>
  <c r="P124" i="5"/>
  <c r="N124" i="5"/>
  <c r="L124" i="5"/>
  <c r="K124" i="5"/>
  <c r="S123" i="5"/>
  <c r="R123" i="5"/>
  <c r="Q123" i="5"/>
  <c r="P123" i="5"/>
  <c r="N123" i="5"/>
  <c r="L123" i="5"/>
  <c r="K123" i="5"/>
  <c r="S122" i="5"/>
  <c r="R122" i="5"/>
  <c r="Q122" i="5"/>
  <c r="P122" i="5"/>
  <c r="O122" i="5"/>
  <c r="N122" i="5"/>
  <c r="L122" i="5"/>
  <c r="K122" i="5"/>
  <c r="S121" i="5"/>
  <c r="R121" i="5"/>
  <c r="Q121" i="5"/>
  <c r="P121" i="5"/>
  <c r="O121" i="5"/>
  <c r="N121" i="5"/>
  <c r="L121" i="5"/>
  <c r="K121" i="5"/>
  <c r="S120" i="5"/>
  <c r="R120" i="5"/>
  <c r="Q120" i="5"/>
  <c r="P120" i="5"/>
  <c r="N120" i="5"/>
  <c r="L120" i="5"/>
  <c r="K120" i="5"/>
  <c r="S119" i="5"/>
  <c r="R119" i="5"/>
  <c r="Q119" i="5"/>
  <c r="P119" i="5"/>
  <c r="O119" i="5"/>
  <c r="N119" i="5"/>
  <c r="M119" i="5"/>
  <c r="L119" i="5"/>
  <c r="K119" i="5"/>
  <c r="S118" i="5"/>
  <c r="R118" i="5"/>
  <c r="Q118" i="5"/>
  <c r="P118" i="5"/>
  <c r="O118" i="5"/>
  <c r="N118" i="5"/>
  <c r="L118" i="5"/>
  <c r="K118" i="5"/>
  <c r="S117" i="5"/>
  <c r="R117" i="5"/>
  <c r="Q117" i="5"/>
  <c r="P117" i="5"/>
  <c r="O117" i="5"/>
  <c r="N117" i="5"/>
  <c r="L117" i="5"/>
  <c r="K117" i="5"/>
  <c r="S116" i="5"/>
  <c r="R116" i="5"/>
  <c r="Q116" i="5"/>
  <c r="P116" i="5"/>
  <c r="O116" i="5"/>
  <c r="N116" i="5"/>
  <c r="L116" i="5"/>
  <c r="K116" i="5"/>
  <c r="S115" i="5"/>
  <c r="R115" i="5"/>
  <c r="Q115" i="5"/>
  <c r="P115" i="5"/>
  <c r="O115" i="5"/>
  <c r="N115" i="5"/>
  <c r="L115" i="5"/>
  <c r="K115" i="5"/>
  <c r="S114" i="5"/>
  <c r="R114" i="5"/>
  <c r="Q114" i="5"/>
  <c r="P114" i="5"/>
  <c r="O114" i="5"/>
  <c r="N114" i="5"/>
  <c r="L114" i="5"/>
  <c r="K114" i="5"/>
  <c r="S113" i="5"/>
  <c r="R113" i="5"/>
  <c r="Q113" i="5"/>
  <c r="P113" i="5"/>
  <c r="O113" i="5"/>
  <c r="N113" i="5"/>
  <c r="L113" i="5"/>
  <c r="K113" i="5"/>
  <c r="S112" i="5"/>
  <c r="R112" i="5"/>
  <c r="Q112" i="5"/>
  <c r="P112" i="5"/>
  <c r="O112" i="5"/>
  <c r="N112" i="5"/>
  <c r="M112" i="5"/>
  <c r="L112" i="5"/>
  <c r="K112" i="5"/>
  <c r="S111" i="5"/>
  <c r="R111" i="5"/>
  <c r="Q111" i="5"/>
  <c r="P111" i="5"/>
  <c r="N111" i="5"/>
  <c r="L111" i="5"/>
  <c r="K111" i="5"/>
  <c r="S110" i="5"/>
  <c r="R110" i="5"/>
  <c r="Q110" i="5"/>
  <c r="P110" i="5"/>
  <c r="O110" i="5"/>
  <c r="N110" i="5"/>
  <c r="L110" i="5"/>
  <c r="K110" i="5"/>
  <c r="S109" i="5"/>
  <c r="R109" i="5"/>
  <c r="Q109" i="5"/>
  <c r="P109" i="5"/>
  <c r="N109" i="5"/>
  <c r="L109" i="5"/>
  <c r="K109" i="5"/>
  <c r="S108" i="5"/>
  <c r="R108" i="5"/>
  <c r="Q108" i="5"/>
  <c r="P108" i="5"/>
  <c r="N108" i="5"/>
  <c r="L108" i="5"/>
  <c r="K108" i="5"/>
  <c r="S107" i="5"/>
  <c r="R107" i="5"/>
  <c r="Q107" i="5"/>
  <c r="P107" i="5"/>
  <c r="N107" i="5"/>
  <c r="L107" i="5"/>
  <c r="K107" i="5"/>
  <c r="S106" i="5"/>
  <c r="R106" i="5"/>
  <c r="Q106" i="5"/>
  <c r="P106" i="5"/>
  <c r="N106" i="5"/>
  <c r="L106" i="5"/>
  <c r="K106" i="5"/>
  <c r="S105" i="5"/>
  <c r="R105" i="5"/>
  <c r="Q105" i="5"/>
  <c r="P105" i="5"/>
  <c r="O105" i="5"/>
  <c r="N105" i="5"/>
  <c r="L105" i="5"/>
  <c r="K105" i="5"/>
  <c r="S104" i="5"/>
  <c r="R104" i="5"/>
  <c r="Q104" i="5"/>
  <c r="P104" i="5"/>
  <c r="O104" i="5"/>
  <c r="N104" i="5"/>
  <c r="M104" i="5"/>
  <c r="L104" i="5"/>
  <c r="K104" i="5"/>
  <c r="S103" i="5"/>
  <c r="R103" i="5"/>
  <c r="Q103" i="5"/>
  <c r="P103" i="5"/>
  <c r="O103" i="5"/>
  <c r="N103" i="5"/>
  <c r="L103" i="5"/>
  <c r="K103" i="5"/>
  <c r="S102" i="5"/>
  <c r="R102" i="5"/>
  <c r="Q102" i="5"/>
  <c r="P102" i="5"/>
  <c r="O102" i="5"/>
  <c r="N102" i="5"/>
  <c r="L102" i="5"/>
  <c r="K102" i="5"/>
  <c r="S101" i="5"/>
  <c r="R101" i="5"/>
  <c r="Q101" i="5"/>
  <c r="P101" i="5"/>
  <c r="N101" i="5"/>
  <c r="L101" i="5"/>
  <c r="K101" i="5"/>
  <c r="S100" i="5"/>
  <c r="R100" i="5"/>
  <c r="Q100" i="5"/>
  <c r="P100" i="5"/>
  <c r="N100" i="5"/>
  <c r="L100" i="5"/>
  <c r="K100" i="5"/>
  <c r="S99" i="5"/>
  <c r="R99" i="5"/>
  <c r="Q99" i="5"/>
  <c r="P99" i="5"/>
  <c r="O99" i="5"/>
  <c r="N99" i="5"/>
  <c r="L99" i="5"/>
  <c r="K99" i="5"/>
  <c r="S98" i="5"/>
  <c r="R98" i="5"/>
  <c r="Q98" i="5"/>
  <c r="P98" i="5"/>
  <c r="O98" i="5"/>
  <c r="N98" i="5"/>
  <c r="L98" i="5"/>
  <c r="K98" i="5"/>
  <c r="S97" i="5"/>
  <c r="R97" i="5"/>
  <c r="Q97" i="5"/>
  <c r="P97" i="5"/>
  <c r="N97" i="5"/>
  <c r="L97" i="5"/>
  <c r="K97" i="5"/>
  <c r="S96" i="5"/>
  <c r="R96" i="5"/>
  <c r="Q96" i="5"/>
  <c r="P96" i="5"/>
  <c r="O96" i="5"/>
  <c r="N96" i="5"/>
  <c r="L96" i="5"/>
  <c r="K96" i="5"/>
  <c r="S95" i="5"/>
  <c r="R95" i="5"/>
  <c r="Q95" i="5"/>
  <c r="P95" i="5"/>
  <c r="O95" i="5"/>
  <c r="N95" i="5"/>
  <c r="L95" i="5"/>
  <c r="K95" i="5"/>
  <c r="S94" i="5"/>
  <c r="R94" i="5"/>
  <c r="Q94" i="5"/>
  <c r="P94" i="5"/>
  <c r="N94" i="5"/>
  <c r="L94" i="5"/>
  <c r="K94" i="5"/>
  <c r="S93" i="5"/>
  <c r="R93" i="5"/>
  <c r="Q93" i="5"/>
  <c r="P93" i="5"/>
  <c r="N93" i="5"/>
  <c r="L93" i="5"/>
  <c r="K93" i="5"/>
  <c r="S92" i="5"/>
  <c r="R92" i="5"/>
  <c r="Q92" i="5"/>
  <c r="P92" i="5"/>
  <c r="O92" i="5"/>
  <c r="N92" i="5"/>
  <c r="L92" i="5"/>
  <c r="K92" i="5"/>
  <c r="S91" i="5"/>
  <c r="R91" i="5"/>
  <c r="Q91" i="5"/>
  <c r="P91" i="5"/>
  <c r="O91" i="5"/>
  <c r="N91" i="5"/>
  <c r="L91" i="5"/>
  <c r="K91" i="5"/>
  <c r="S90" i="5"/>
  <c r="R90" i="5"/>
  <c r="Q90" i="5"/>
  <c r="P90" i="5"/>
  <c r="N90" i="5"/>
  <c r="M90" i="5"/>
  <c r="L90" i="5"/>
  <c r="K90" i="5"/>
  <c r="S89" i="5"/>
  <c r="R89" i="5"/>
  <c r="Q89" i="5"/>
  <c r="P89" i="5"/>
  <c r="N89" i="5"/>
  <c r="L89" i="5"/>
  <c r="K89" i="5"/>
  <c r="S88" i="5"/>
  <c r="R88" i="5"/>
  <c r="Q88" i="5"/>
  <c r="P88" i="5"/>
  <c r="O88" i="5"/>
  <c r="N88" i="5"/>
  <c r="M88" i="5"/>
  <c r="L88" i="5"/>
  <c r="K88" i="5"/>
  <c r="S87" i="5"/>
  <c r="R87" i="5"/>
  <c r="Q87" i="5"/>
  <c r="P87" i="5"/>
  <c r="N87" i="5"/>
  <c r="L87" i="5"/>
  <c r="K87" i="5"/>
  <c r="S86" i="5"/>
  <c r="R86" i="5"/>
  <c r="Q86" i="5"/>
  <c r="P86" i="5"/>
  <c r="N86" i="5"/>
  <c r="L86" i="5"/>
  <c r="K86" i="5"/>
  <c r="S85" i="5"/>
  <c r="R85" i="5"/>
  <c r="Q85" i="5"/>
  <c r="P85" i="5"/>
  <c r="O85" i="5"/>
  <c r="N85" i="5"/>
  <c r="L85" i="5"/>
  <c r="K85" i="5"/>
  <c r="S84" i="5"/>
  <c r="R84" i="5"/>
  <c r="Q84" i="5"/>
  <c r="P84" i="5"/>
  <c r="O84" i="5"/>
  <c r="N84" i="5"/>
  <c r="L84" i="5"/>
  <c r="K84" i="5"/>
  <c r="S83" i="5"/>
  <c r="R83" i="5"/>
  <c r="Q83" i="5"/>
  <c r="P83" i="5"/>
  <c r="N83" i="5"/>
  <c r="L83" i="5"/>
  <c r="K83" i="5"/>
  <c r="S82" i="5"/>
  <c r="R82" i="5"/>
  <c r="Q82" i="5"/>
  <c r="P82" i="5"/>
  <c r="O82" i="5"/>
  <c r="N82" i="5"/>
  <c r="L82" i="5"/>
  <c r="K82" i="5"/>
  <c r="S81" i="5"/>
  <c r="R81" i="5"/>
  <c r="Q81" i="5"/>
  <c r="P81" i="5"/>
  <c r="O81" i="5"/>
  <c r="N81" i="5"/>
  <c r="L81" i="5"/>
  <c r="K81" i="5"/>
  <c r="S80" i="5"/>
  <c r="R80" i="5"/>
  <c r="Q80" i="5"/>
  <c r="P80" i="5"/>
  <c r="O80" i="5"/>
  <c r="N80" i="5"/>
  <c r="M80" i="5"/>
  <c r="L80" i="5"/>
  <c r="K80" i="5"/>
  <c r="S79" i="5"/>
  <c r="R79" i="5"/>
  <c r="Q79" i="5"/>
  <c r="P79" i="5"/>
  <c r="N79" i="5"/>
  <c r="L79" i="5"/>
  <c r="K79" i="5"/>
  <c r="S78" i="5"/>
  <c r="R78" i="5"/>
  <c r="Q78" i="5"/>
  <c r="P78" i="5"/>
  <c r="O78" i="5"/>
  <c r="N78" i="5"/>
  <c r="M78" i="5"/>
  <c r="L78" i="5"/>
  <c r="K78" i="5"/>
  <c r="S77" i="5"/>
  <c r="R77" i="5"/>
  <c r="Q77" i="5"/>
  <c r="P77" i="5"/>
  <c r="O77" i="5"/>
  <c r="N77" i="5"/>
  <c r="M77" i="5"/>
  <c r="L77" i="5"/>
  <c r="K77" i="5"/>
  <c r="S76" i="5"/>
  <c r="R76" i="5"/>
  <c r="Q76" i="5"/>
  <c r="P76" i="5"/>
  <c r="O76" i="5"/>
  <c r="N76" i="5"/>
  <c r="M76" i="5"/>
  <c r="L76" i="5"/>
  <c r="K76" i="5"/>
  <c r="S75" i="5"/>
  <c r="R75" i="5"/>
  <c r="Q75" i="5"/>
  <c r="P75" i="5"/>
  <c r="O75" i="5"/>
  <c r="N75" i="5"/>
  <c r="L75" i="5"/>
  <c r="K75" i="5"/>
  <c r="S74" i="5"/>
  <c r="R74" i="5"/>
  <c r="Q74" i="5"/>
  <c r="P74" i="5"/>
  <c r="N74" i="5"/>
  <c r="L74" i="5"/>
  <c r="K74" i="5"/>
  <c r="S73" i="5"/>
  <c r="R73" i="5"/>
  <c r="Q73" i="5"/>
  <c r="P73" i="5"/>
  <c r="O73" i="5"/>
  <c r="N73" i="5"/>
  <c r="M73" i="5"/>
  <c r="L73" i="5"/>
  <c r="K73" i="5"/>
  <c r="S72" i="5"/>
  <c r="R72" i="5"/>
  <c r="Q72" i="5"/>
  <c r="P72" i="5"/>
  <c r="N72" i="5"/>
  <c r="L72" i="5"/>
  <c r="K72" i="5"/>
  <c r="S71" i="5"/>
  <c r="R71" i="5"/>
  <c r="Q71" i="5"/>
  <c r="P71" i="5"/>
  <c r="O71" i="5"/>
  <c r="N71" i="5"/>
  <c r="L71" i="5"/>
  <c r="K71" i="5"/>
  <c r="S70" i="5"/>
  <c r="R70" i="5"/>
  <c r="Q70" i="5"/>
  <c r="P70" i="5"/>
  <c r="N70" i="5"/>
  <c r="L70" i="5"/>
  <c r="K70" i="5"/>
  <c r="S69" i="5"/>
  <c r="R69" i="5"/>
  <c r="Q69" i="5"/>
  <c r="P69" i="5"/>
  <c r="N69" i="5"/>
  <c r="L69" i="5"/>
  <c r="K69" i="5"/>
  <c r="S68" i="5"/>
  <c r="R68" i="5"/>
  <c r="Q68" i="5"/>
  <c r="P68" i="5"/>
  <c r="O68" i="5"/>
  <c r="N68" i="5"/>
  <c r="L68" i="5"/>
  <c r="K68" i="5"/>
  <c r="S67" i="5"/>
  <c r="R67" i="5"/>
  <c r="Q67" i="5"/>
  <c r="P67" i="5"/>
  <c r="O67" i="5"/>
  <c r="N67" i="5"/>
  <c r="L67" i="5"/>
  <c r="K67" i="5"/>
  <c r="S66" i="5"/>
  <c r="R66" i="5"/>
  <c r="Q66" i="5"/>
  <c r="P66" i="5"/>
  <c r="O66" i="5"/>
  <c r="N66" i="5"/>
  <c r="M66" i="5"/>
  <c r="L66" i="5"/>
  <c r="K66" i="5"/>
  <c r="S65" i="5"/>
  <c r="R65" i="5"/>
  <c r="Q65" i="5"/>
  <c r="P65" i="5"/>
  <c r="O65" i="5"/>
  <c r="N65" i="5"/>
  <c r="M65" i="5"/>
  <c r="L65" i="5"/>
  <c r="K65" i="5"/>
  <c r="S64" i="5"/>
  <c r="R64" i="5"/>
  <c r="Q64" i="5"/>
  <c r="P64" i="5"/>
  <c r="O64" i="5"/>
  <c r="N64" i="5"/>
  <c r="M64" i="5"/>
  <c r="L64" i="5"/>
  <c r="K64" i="5"/>
  <c r="S62" i="5"/>
  <c r="R62" i="5"/>
  <c r="Q62" i="5"/>
  <c r="P62" i="5"/>
  <c r="O62" i="5"/>
  <c r="N62" i="5"/>
  <c r="L62" i="5"/>
  <c r="K62" i="5"/>
  <c r="S61" i="5"/>
  <c r="R61" i="5"/>
  <c r="Q61" i="5"/>
  <c r="P61" i="5"/>
  <c r="O61" i="5"/>
  <c r="N61" i="5"/>
  <c r="L61" i="5"/>
  <c r="K61" i="5"/>
  <c r="M60" i="5"/>
  <c r="S59" i="5"/>
  <c r="R59" i="5"/>
  <c r="Q59" i="5"/>
  <c r="P59" i="5"/>
  <c r="O59" i="5"/>
  <c r="N59" i="5"/>
  <c r="L59" i="5"/>
  <c r="K59" i="5"/>
  <c r="S58" i="5"/>
  <c r="R58" i="5"/>
  <c r="Q58" i="5"/>
  <c r="P58" i="5"/>
  <c r="O58" i="5"/>
  <c r="N58" i="5"/>
  <c r="L58" i="5"/>
  <c r="K58" i="5"/>
  <c r="S57" i="5"/>
  <c r="R57" i="5"/>
  <c r="Q57" i="5"/>
  <c r="P57" i="5"/>
  <c r="O57" i="5"/>
  <c r="N57" i="5"/>
  <c r="L57" i="5"/>
  <c r="K57" i="5"/>
  <c r="S56" i="5"/>
  <c r="R56" i="5"/>
  <c r="Q56" i="5"/>
  <c r="P56" i="5"/>
  <c r="O56" i="5"/>
  <c r="N56" i="5"/>
  <c r="L56" i="5"/>
  <c r="K56" i="5"/>
  <c r="S55" i="5"/>
  <c r="R55" i="5"/>
  <c r="Q55" i="5"/>
  <c r="P55" i="5"/>
  <c r="O55" i="5"/>
  <c r="N55" i="5"/>
  <c r="L55" i="5"/>
  <c r="K55" i="5"/>
  <c r="S54" i="5"/>
  <c r="R54" i="5"/>
  <c r="Q54" i="5"/>
  <c r="P54" i="5"/>
  <c r="O54" i="5"/>
  <c r="N54" i="5"/>
  <c r="L54" i="5"/>
  <c r="K54" i="5"/>
  <c r="S53" i="5"/>
  <c r="R53" i="5"/>
  <c r="Q53" i="5"/>
  <c r="P53" i="5"/>
  <c r="O53" i="5"/>
  <c r="N53" i="5"/>
  <c r="L53" i="5"/>
  <c r="K53" i="5"/>
  <c r="S52" i="5"/>
  <c r="R52" i="5"/>
  <c r="Q52" i="5"/>
  <c r="P52" i="5"/>
  <c r="O52" i="5"/>
  <c r="N52" i="5"/>
  <c r="L52" i="5"/>
  <c r="K52" i="5"/>
  <c r="S51" i="5"/>
  <c r="R51" i="5"/>
  <c r="Q51" i="5"/>
  <c r="P51" i="5"/>
  <c r="O51" i="5"/>
  <c r="N51" i="5"/>
  <c r="L51" i="5"/>
  <c r="K51" i="5"/>
  <c r="S50" i="5"/>
  <c r="R50" i="5"/>
  <c r="Q50" i="5"/>
  <c r="P50" i="5"/>
  <c r="O50" i="5"/>
  <c r="N50" i="5"/>
  <c r="L50" i="5"/>
  <c r="K50" i="5"/>
  <c r="S49" i="5"/>
  <c r="R49" i="5"/>
  <c r="Q49" i="5"/>
  <c r="P49" i="5"/>
  <c r="O49" i="5"/>
  <c r="N49" i="5"/>
  <c r="L49" i="5"/>
  <c r="K49" i="5"/>
  <c r="S48" i="5"/>
  <c r="R48" i="5"/>
  <c r="Q48" i="5"/>
  <c r="P48" i="5"/>
  <c r="O48" i="5"/>
  <c r="N48" i="5"/>
  <c r="L48" i="5"/>
  <c r="K48" i="5"/>
  <c r="S47" i="5"/>
  <c r="R47" i="5"/>
  <c r="Q47" i="5"/>
  <c r="P47" i="5"/>
  <c r="O47" i="5"/>
  <c r="N47" i="5"/>
  <c r="M47" i="5"/>
  <c r="L47" i="5"/>
  <c r="K47" i="5"/>
  <c r="S46" i="5"/>
  <c r="R46" i="5"/>
  <c r="Q46" i="5"/>
  <c r="P46" i="5"/>
  <c r="O46" i="5"/>
  <c r="N46" i="5"/>
  <c r="L46" i="5"/>
  <c r="K46" i="5"/>
  <c r="S45" i="5"/>
  <c r="R45" i="5"/>
  <c r="Q45" i="5"/>
  <c r="P45" i="5"/>
  <c r="O45" i="5"/>
  <c r="N45" i="5"/>
  <c r="L45" i="5"/>
  <c r="K45" i="5"/>
  <c r="S44" i="5"/>
  <c r="R44" i="5"/>
  <c r="Q44" i="5"/>
  <c r="P44" i="5"/>
  <c r="O44" i="5"/>
  <c r="N44" i="5"/>
  <c r="M44" i="5"/>
  <c r="L44" i="5"/>
  <c r="K44" i="5"/>
  <c r="S43" i="5"/>
  <c r="R43" i="5"/>
  <c r="Q43" i="5"/>
  <c r="P43" i="5"/>
  <c r="O43" i="5"/>
  <c r="N43" i="5"/>
  <c r="M43" i="5"/>
  <c r="L43" i="5"/>
  <c r="K43" i="5"/>
  <c r="S42" i="5"/>
  <c r="R42" i="5"/>
  <c r="Q42" i="5"/>
  <c r="P42" i="5"/>
  <c r="O42" i="5"/>
  <c r="N42" i="5"/>
  <c r="L42" i="5"/>
  <c r="K42" i="5"/>
  <c r="S41" i="5"/>
  <c r="R41" i="5"/>
  <c r="Q41" i="5"/>
  <c r="P41" i="5"/>
  <c r="O41" i="5"/>
  <c r="N41" i="5"/>
  <c r="M41" i="5"/>
  <c r="L41" i="5"/>
  <c r="K41" i="5"/>
  <c r="S40" i="5"/>
  <c r="R40" i="5"/>
  <c r="Q40" i="5"/>
  <c r="P40" i="5"/>
  <c r="O40" i="5"/>
  <c r="N40" i="5"/>
  <c r="M40" i="5"/>
  <c r="L40" i="5"/>
  <c r="K40" i="5"/>
  <c r="S39" i="5"/>
  <c r="R39" i="5"/>
  <c r="Q39" i="5"/>
  <c r="P39" i="5"/>
  <c r="N39" i="5"/>
  <c r="L39" i="5"/>
  <c r="K39" i="5"/>
  <c r="S38" i="5"/>
  <c r="R38" i="5"/>
  <c r="Q38" i="5"/>
  <c r="P38" i="5"/>
  <c r="O38" i="5"/>
  <c r="N38" i="5"/>
  <c r="M38" i="5"/>
  <c r="L38" i="5"/>
  <c r="K38" i="5"/>
  <c r="S37" i="5"/>
  <c r="R37" i="5"/>
  <c r="Q37" i="5"/>
  <c r="P37" i="5"/>
  <c r="O37" i="5"/>
  <c r="N37" i="5"/>
  <c r="M37" i="5"/>
  <c r="L37" i="5"/>
  <c r="K37" i="5"/>
  <c r="S36" i="5"/>
  <c r="R36" i="5"/>
  <c r="Q36" i="5"/>
  <c r="P36" i="5"/>
  <c r="O36" i="5"/>
  <c r="N36" i="5"/>
  <c r="L36" i="5"/>
  <c r="K36" i="5"/>
  <c r="S35" i="5"/>
  <c r="R35" i="5"/>
  <c r="Q35" i="5"/>
  <c r="P35" i="5"/>
  <c r="O35" i="5"/>
  <c r="N35" i="5"/>
  <c r="L35" i="5"/>
  <c r="K35" i="5"/>
  <c r="S34" i="5"/>
  <c r="R34" i="5"/>
  <c r="Q34" i="5"/>
  <c r="P34" i="5"/>
  <c r="O34" i="5"/>
  <c r="N34" i="5"/>
  <c r="M34" i="5"/>
  <c r="L34" i="5"/>
  <c r="K34" i="5"/>
  <c r="S33" i="5"/>
  <c r="R33" i="5"/>
  <c r="Q33" i="5"/>
  <c r="P33" i="5"/>
  <c r="O33" i="5"/>
  <c r="N33" i="5"/>
  <c r="M33" i="5"/>
  <c r="L33" i="5"/>
  <c r="K33" i="5"/>
  <c r="S32" i="5"/>
  <c r="R32" i="5"/>
  <c r="Q32" i="5"/>
  <c r="P32" i="5"/>
  <c r="O32" i="5"/>
  <c r="N32" i="5"/>
  <c r="M32" i="5"/>
  <c r="L32" i="5"/>
  <c r="K32" i="5"/>
  <c r="S31" i="5"/>
  <c r="R31" i="5"/>
  <c r="Q31" i="5"/>
  <c r="P31" i="5"/>
  <c r="O31" i="5"/>
  <c r="N31" i="5"/>
  <c r="L31" i="5"/>
  <c r="K31" i="5"/>
  <c r="S30" i="5"/>
  <c r="R30" i="5"/>
  <c r="Q30" i="5"/>
  <c r="P30" i="5"/>
  <c r="O30" i="5"/>
  <c r="N30" i="5"/>
  <c r="M30" i="5"/>
  <c r="L30" i="5"/>
  <c r="K30" i="5"/>
  <c r="S29" i="5"/>
  <c r="R29" i="5"/>
  <c r="Q29" i="5"/>
  <c r="P29" i="5"/>
  <c r="O29" i="5"/>
  <c r="N29" i="5"/>
  <c r="M29" i="5"/>
  <c r="L29" i="5"/>
  <c r="K29" i="5"/>
  <c r="S28" i="5"/>
  <c r="R28" i="5"/>
  <c r="Q28" i="5"/>
  <c r="P28" i="5"/>
  <c r="O28" i="5"/>
  <c r="N28" i="5"/>
  <c r="M28" i="5"/>
  <c r="L28" i="5"/>
  <c r="K28" i="5"/>
  <c r="S27" i="5"/>
  <c r="R27" i="5"/>
  <c r="Q27" i="5"/>
  <c r="P27" i="5"/>
  <c r="O27" i="5"/>
  <c r="N27" i="5"/>
  <c r="M27" i="5"/>
  <c r="L27" i="5"/>
  <c r="K27" i="5"/>
  <c r="S26" i="5"/>
  <c r="R26" i="5"/>
  <c r="Q26" i="5"/>
  <c r="P26" i="5"/>
  <c r="O26" i="5"/>
  <c r="N26" i="5"/>
  <c r="M26" i="5"/>
  <c r="L26" i="5"/>
  <c r="K26" i="5"/>
  <c r="S25" i="5"/>
  <c r="R25" i="5"/>
  <c r="Q25" i="5"/>
  <c r="P25" i="5"/>
  <c r="O25" i="5"/>
  <c r="N25" i="5"/>
  <c r="M25" i="5"/>
  <c r="L25" i="5"/>
  <c r="K25" i="5"/>
  <c r="S24" i="5"/>
  <c r="R24" i="5"/>
  <c r="Q24" i="5"/>
  <c r="P24" i="5"/>
  <c r="O24" i="5"/>
  <c r="N24" i="5"/>
  <c r="M24" i="5"/>
  <c r="L24" i="5"/>
  <c r="K24" i="5"/>
  <c r="S23" i="5"/>
  <c r="R23" i="5"/>
  <c r="Q23" i="5"/>
  <c r="P23" i="5"/>
  <c r="O23" i="5"/>
  <c r="N23" i="5"/>
  <c r="M23" i="5"/>
  <c r="L23" i="5"/>
  <c r="K23" i="5"/>
  <c r="S22" i="5"/>
  <c r="R22" i="5"/>
  <c r="Q22" i="5"/>
  <c r="P22" i="5"/>
  <c r="O22" i="5"/>
  <c r="N22" i="5"/>
  <c r="M22" i="5"/>
  <c r="L22" i="5"/>
  <c r="K22" i="5"/>
  <c r="S21" i="5"/>
  <c r="R21" i="5"/>
  <c r="Q21" i="5"/>
  <c r="P21" i="5"/>
  <c r="O21" i="5"/>
  <c r="N21" i="5"/>
  <c r="M21" i="5"/>
  <c r="L21" i="5"/>
  <c r="K21" i="5"/>
  <c r="S20" i="5"/>
  <c r="R20" i="5"/>
  <c r="Q20" i="5"/>
  <c r="P20" i="5"/>
  <c r="O20" i="5"/>
  <c r="N20" i="5"/>
  <c r="M20" i="5"/>
  <c r="L20" i="5"/>
  <c r="K20" i="5"/>
  <c r="S19" i="5"/>
  <c r="R19" i="5"/>
  <c r="Q19" i="5"/>
  <c r="P19" i="5"/>
  <c r="N19" i="5"/>
  <c r="L19" i="5"/>
  <c r="K19" i="5"/>
  <c r="S18" i="5"/>
  <c r="R18" i="5"/>
  <c r="Q18" i="5"/>
  <c r="P18" i="5"/>
  <c r="O18" i="5"/>
  <c r="N18" i="5"/>
  <c r="M18" i="5"/>
  <c r="L18" i="5"/>
  <c r="K18" i="5"/>
  <c r="S17" i="5"/>
  <c r="R17" i="5"/>
  <c r="Q17" i="5"/>
  <c r="P17" i="5"/>
  <c r="O17" i="5"/>
  <c r="N17" i="5"/>
  <c r="M17" i="5"/>
  <c r="L17" i="5"/>
  <c r="K17" i="5"/>
  <c r="S16" i="5"/>
  <c r="R16" i="5"/>
  <c r="Q16" i="5"/>
  <c r="P16" i="5"/>
  <c r="O16" i="5"/>
  <c r="N16" i="5"/>
  <c r="L16" i="5"/>
  <c r="K16" i="5"/>
  <c r="S15" i="5"/>
  <c r="R15" i="5"/>
  <c r="Q15" i="5"/>
  <c r="Q696" i="5" s="1"/>
  <c r="Q697" i="5" s="1"/>
  <c r="Q698" i="5" s="1"/>
  <c r="P15" i="5"/>
  <c r="O15" i="5"/>
  <c r="N15" i="5"/>
  <c r="M15" i="5"/>
  <c r="L15" i="5"/>
  <c r="K15" i="5"/>
  <c r="S14" i="5"/>
  <c r="R14" i="5"/>
  <c r="Q14" i="5"/>
  <c r="P14" i="5"/>
  <c r="O14" i="5"/>
  <c r="N14" i="5"/>
  <c r="M14" i="5"/>
  <c r="L14" i="5"/>
  <c r="K14" i="5"/>
  <c r="S13" i="5"/>
  <c r="R13" i="5"/>
  <c r="Q13" i="5"/>
  <c r="P13" i="5"/>
  <c r="O13" i="5"/>
  <c r="N13" i="5"/>
  <c r="M13" i="5"/>
  <c r="L13" i="5"/>
  <c r="K13" i="5"/>
  <c r="S12" i="5"/>
  <c r="S696" i="5" s="1"/>
  <c r="S697" i="5" s="1"/>
  <c r="S698" i="5" s="1"/>
  <c r="R12" i="5"/>
  <c r="Q12" i="5"/>
  <c r="P12" i="5"/>
  <c r="O12" i="5"/>
  <c r="O696" i="5" s="1"/>
  <c r="O697" i="5" s="1"/>
  <c r="O698" i="5" s="1"/>
  <c r="N12" i="5"/>
  <c r="N696" i="5" s="1"/>
  <c r="N697" i="5" s="1"/>
  <c r="N698" i="5" s="1"/>
  <c r="M12" i="5"/>
  <c r="L12" i="5"/>
  <c r="L696" i="5" s="1"/>
  <c r="L697" i="5" s="1"/>
  <c r="L698" i="5" s="1"/>
  <c r="K12" i="5"/>
  <c r="M11" i="5"/>
  <c r="M10" i="5"/>
  <c r="M9" i="5"/>
  <c r="M8" i="5"/>
  <c r="M7" i="5"/>
  <c r="M6" i="5"/>
  <c r="M5" i="5"/>
  <c r="M4" i="5"/>
  <c r="M3" i="5"/>
  <c r="M2" i="5"/>
  <c r="M696" i="5" s="1"/>
  <c r="M697" i="5" s="1"/>
  <c r="M698" i="5" s="1"/>
  <c r="AL681" i="3" l="1"/>
  <c r="AL164" i="3"/>
  <c r="AL735" i="3"/>
  <c r="AL144" i="3"/>
  <c r="AL403" i="3"/>
  <c r="AL844" i="3"/>
  <c r="AL470" i="3"/>
  <c r="AL647" i="3"/>
  <c r="AL289" i="3"/>
  <c r="AL1011" i="3"/>
  <c r="AL66" i="3"/>
  <c r="AL264" i="3"/>
  <c r="AL879" i="3"/>
  <c r="AL797" i="3"/>
  <c r="AL203" i="3"/>
  <c r="AM203" i="3" s="1"/>
  <c r="AN203" i="3" s="1"/>
  <c r="AL111" i="3"/>
  <c r="AL312" i="3"/>
  <c r="AL984" i="3"/>
  <c r="AL27" i="3"/>
  <c r="AL798" i="3"/>
  <c r="AL1048" i="3"/>
  <c r="AL708" i="3"/>
  <c r="AL380" i="3"/>
  <c r="AM380" i="3" s="1"/>
  <c r="AN380" i="3" s="1"/>
  <c r="AL782" i="3"/>
  <c r="AL124" i="3"/>
  <c r="AL339" i="3"/>
  <c r="AL231" i="3"/>
  <c r="AM231" i="3" s="1"/>
  <c r="AN231" i="3" s="1"/>
  <c r="AL93" i="3"/>
  <c r="AL944" i="3"/>
  <c r="AL959" i="3"/>
  <c r="AM959" i="3" s="1"/>
  <c r="AN959" i="3" s="1"/>
  <c r="AL497" i="3"/>
  <c r="AM497" i="3" s="1"/>
  <c r="AN497" i="3" s="1"/>
  <c r="AL206" i="3"/>
  <c r="AL431" i="3"/>
  <c r="AL228" i="3"/>
  <c r="AL337" i="3"/>
  <c r="AL121" i="3"/>
  <c r="AL727" i="3"/>
  <c r="AM727" i="3" s="1"/>
  <c r="AN727" i="3" s="1"/>
  <c r="AL678" i="3"/>
  <c r="AM678" i="3" s="1"/>
  <c r="AN678" i="3" s="1"/>
  <c r="AL425" i="3"/>
  <c r="AM425" i="3" s="1"/>
  <c r="AN425" i="3" s="1"/>
  <c r="AL489" i="3"/>
  <c r="AL639" i="3"/>
  <c r="AM639" i="3" s="1"/>
  <c r="AN639" i="3" s="1"/>
  <c r="AL261" i="3"/>
  <c r="AM261" i="3" s="1"/>
  <c r="AN261" i="3" s="1"/>
  <c r="AL109" i="3"/>
  <c r="AM109" i="3" s="1"/>
  <c r="AN109" i="3" s="1"/>
  <c r="B9" i="11"/>
  <c r="AL1090" i="3" s="1"/>
  <c r="AL186" i="3"/>
  <c r="AM186" i="3" s="1"/>
  <c r="AN186" i="3" s="1"/>
  <c r="AL232" i="3"/>
  <c r="AM232" i="3" s="1"/>
  <c r="AN232" i="3" s="1"/>
  <c r="AL396" i="3"/>
  <c r="AM396" i="3" s="1"/>
  <c r="AN396" i="3" s="1"/>
  <c r="AL463" i="3"/>
  <c r="AM463" i="3" s="1"/>
  <c r="AN463" i="3" s="1"/>
  <c r="AL956" i="3"/>
  <c r="AM956" i="3" s="1"/>
  <c r="AN956" i="3" s="1"/>
  <c r="AL141" i="3"/>
  <c r="AM141" i="3" s="1"/>
  <c r="AN141" i="3" s="1"/>
  <c r="AL182" i="3"/>
  <c r="AM182" i="3" s="1"/>
  <c r="AN182" i="3" s="1"/>
  <c r="AL1049" i="3"/>
  <c r="AM1049" i="3" s="1"/>
  <c r="AN1049" i="3" s="1"/>
  <c r="AL265" i="3"/>
  <c r="AM265" i="3" s="1"/>
  <c r="AN265" i="3" s="1"/>
  <c r="AL498" i="3"/>
  <c r="AM498" i="3" s="1"/>
  <c r="AN498" i="3" s="1"/>
  <c r="AL404" i="3"/>
  <c r="AM404" i="3" s="1"/>
  <c r="AN404" i="3" s="1"/>
  <c r="AL799" i="3"/>
  <c r="AM799" i="3" s="1"/>
  <c r="AN799" i="3" s="1"/>
  <c r="AL977" i="3"/>
  <c r="AM977" i="3" s="1"/>
  <c r="AN977" i="3" s="1"/>
  <c r="AL286" i="3"/>
  <c r="AL23" i="3"/>
  <c r="AL159" i="3"/>
  <c r="AM159" i="3" s="1"/>
  <c r="AN159" i="3" s="1"/>
  <c r="AL783" i="3"/>
  <c r="AM783" i="3" s="1"/>
  <c r="AN783" i="3" s="1"/>
  <c r="AL145" i="3"/>
  <c r="AM145" i="3" s="1"/>
  <c r="AN145" i="3" s="1"/>
  <c r="AL432" i="3"/>
  <c r="AM432" i="3" s="1"/>
  <c r="AN432" i="3" s="1"/>
  <c r="AL1009" i="3"/>
  <c r="AM1009" i="3" s="1"/>
  <c r="AN1009" i="3" s="1"/>
  <c r="AL87" i="3"/>
  <c r="AM87" i="3" s="1"/>
  <c r="AN87" i="3" s="1"/>
  <c r="AL938" i="3"/>
  <c r="AM938" i="3" s="1"/>
  <c r="AN938" i="3" s="1"/>
  <c r="AL880" i="3"/>
  <c r="AM880" i="3" s="1"/>
  <c r="AN880" i="3" s="1"/>
  <c r="AL361" i="3"/>
  <c r="AM361" i="3" s="1"/>
  <c r="AN361" i="3" s="1"/>
  <c r="AL471" i="3"/>
  <c r="AM471" i="3" s="1"/>
  <c r="AN471" i="3" s="1"/>
  <c r="AL381" i="3"/>
  <c r="AM381" i="3" s="1"/>
  <c r="AN381" i="3" s="1"/>
  <c r="AL357" i="3"/>
  <c r="AM357" i="3" s="1"/>
  <c r="AN357" i="3" s="1"/>
  <c r="AL1042" i="3"/>
  <c r="AM1042" i="3" s="1"/>
  <c r="AN1042" i="3" s="1"/>
  <c r="AL1020" i="3"/>
  <c r="AM1020" i="3" s="1"/>
  <c r="AN1020" i="3" s="1"/>
  <c r="AL59" i="3"/>
  <c r="AM59" i="3" s="1"/>
  <c r="AN59" i="3" s="1"/>
  <c r="AL377" i="3"/>
  <c r="AM377" i="3" s="1"/>
  <c r="AN377" i="3" s="1"/>
  <c r="AL835" i="3"/>
  <c r="AM835" i="3" s="1"/>
  <c r="AN835" i="3" s="1"/>
  <c r="AL304" i="3"/>
  <c r="AM304" i="3" s="1"/>
  <c r="AN304" i="3" s="1"/>
  <c r="AL871" i="3"/>
  <c r="AM871" i="3" s="1"/>
  <c r="AN871" i="3" s="1"/>
  <c r="AL960" i="3"/>
  <c r="AM960" i="3" s="1"/>
  <c r="AN960" i="3" s="1"/>
  <c r="AL1012" i="3"/>
  <c r="AM1012" i="3" s="1"/>
  <c r="AN1012" i="3" s="1"/>
  <c r="AL340" i="3"/>
  <c r="AM340" i="3" s="1"/>
  <c r="AN340" i="3" s="1"/>
  <c r="AL800" i="3"/>
  <c r="AM800" i="3" s="1"/>
  <c r="AN800" i="3" s="1"/>
  <c r="AL682" i="3"/>
  <c r="AM682" i="3" s="1"/>
  <c r="AN682" i="3" s="1"/>
  <c r="AL985" i="3"/>
  <c r="AM985" i="3" s="1"/>
  <c r="AN985" i="3" s="1"/>
  <c r="AL165" i="3"/>
  <c r="AM165" i="3" s="1"/>
  <c r="AN165" i="3" s="1"/>
  <c r="AL67" i="3"/>
  <c r="AM67" i="3" s="1"/>
  <c r="AN67" i="3" s="1"/>
  <c r="AL94" i="3"/>
  <c r="AM94" i="3" s="1"/>
  <c r="AN94" i="3" s="1"/>
  <c r="AL709" i="3"/>
  <c r="AM709" i="3" s="1"/>
  <c r="AN709" i="3" s="1"/>
  <c r="AL1027" i="3"/>
  <c r="AM1027" i="3" s="1"/>
  <c r="AN1027" i="3" s="1"/>
  <c r="AL845" i="3"/>
  <c r="AM845" i="3" s="1"/>
  <c r="AN845" i="3" s="1"/>
  <c r="AL945" i="3"/>
  <c r="AM945" i="3" s="1"/>
  <c r="AN945" i="3" s="1"/>
  <c r="AL648" i="3"/>
  <c r="AM648" i="3" s="1"/>
  <c r="AN648" i="3" s="1"/>
  <c r="AL125" i="3"/>
  <c r="AM125" i="3" s="1"/>
  <c r="AN125" i="3" s="1"/>
  <c r="AL290" i="3"/>
  <c r="AM290" i="3" s="1"/>
  <c r="AN290" i="3" s="1"/>
  <c r="AL207" i="3"/>
  <c r="AM207" i="3" s="1"/>
  <c r="AN207" i="3" s="1"/>
  <c r="AL313" i="3"/>
  <c r="AM313" i="3" s="1"/>
  <c r="AN313" i="3" s="1"/>
  <c r="AL28" i="3"/>
  <c r="AL736" i="3"/>
  <c r="AM736" i="3" s="1"/>
  <c r="AN736" i="3" s="1"/>
  <c r="D4" i="11"/>
  <c r="D6" i="11" s="1"/>
  <c r="AM260" i="3"/>
  <c r="AN260" i="3" s="1"/>
  <c r="AM339" i="3"/>
  <c r="AN339" i="3" s="1"/>
  <c r="AM155" i="3"/>
  <c r="AN155" i="3" s="1"/>
  <c r="AM83" i="3"/>
  <c r="AN83" i="3" s="1"/>
  <c r="AM636" i="3"/>
  <c r="AN636" i="3" s="1"/>
  <c r="AM108" i="3"/>
  <c r="AN108" i="3" s="1"/>
  <c r="AM780" i="3"/>
  <c r="AN780" i="3" s="1"/>
  <c r="AM833" i="3"/>
  <c r="AN833" i="3" s="1"/>
  <c r="AM1008" i="3"/>
  <c r="AN1008" i="3" s="1"/>
  <c r="AM1018" i="3"/>
  <c r="AN1018" i="3" s="1"/>
  <c r="AM867" i="3"/>
  <c r="AN867" i="3" s="1"/>
  <c r="AM832" i="3"/>
  <c r="AN832" i="3" s="1"/>
  <c r="AM1038" i="3"/>
  <c r="AN1038" i="3" s="1"/>
  <c r="AM681" i="3"/>
  <c r="AN681" i="3" s="1"/>
  <c r="AM206" i="3"/>
  <c r="AN206" i="3" s="1"/>
  <c r="AM935" i="3"/>
  <c r="AN935" i="3" s="1"/>
  <c r="AM185" i="3"/>
  <c r="AN185" i="3" s="1"/>
  <c r="AM144" i="3"/>
  <c r="AN144" i="3" s="1"/>
  <c r="AM289" i="3"/>
  <c r="AN289" i="3" s="1"/>
  <c r="AM180" i="3"/>
  <c r="AN180" i="3" s="1"/>
  <c r="AM844" i="3"/>
  <c r="AN844" i="3" s="1"/>
  <c r="AM227" i="3"/>
  <c r="AN227" i="3" s="1"/>
  <c r="AM354" i="3"/>
  <c r="AN354" i="3" s="1"/>
  <c r="AM264" i="3"/>
  <c r="AN264" i="3" s="1"/>
  <c r="AM879" i="3"/>
  <c r="AN879" i="3" s="1"/>
  <c r="AM1007" i="3"/>
  <c r="AN1007" i="3" s="1"/>
  <c r="AM797" i="3"/>
  <c r="AN797" i="3" s="1"/>
  <c r="AM302" i="3"/>
  <c r="AN302" i="3" s="1"/>
  <c r="AM156" i="3"/>
  <c r="AN156" i="3" s="1"/>
  <c r="AM376" i="3"/>
  <c r="AN376" i="3" s="1"/>
  <c r="AM423" i="3"/>
  <c r="AN423" i="3" s="1"/>
  <c r="AM312" i="3"/>
  <c r="AN312" i="3" s="1"/>
  <c r="AM66" i="3"/>
  <c r="AN66" i="3" s="1"/>
  <c r="AM56" i="3"/>
  <c r="AN56" i="3" s="1"/>
  <c r="AM461" i="3"/>
  <c r="AN461" i="3" s="1"/>
  <c r="AM111" i="3"/>
  <c r="AN111" i="3" s="1"/>
  <c r="AM1039" i="3"/>
  <c r="AN1039" i="3" s="1"/>
  <c r="AM782" i="3"/>
  <c r="AN782" i="3" s="1"/>
  <c r="AM337" i="3"/>
  <c r="AN337" i="3" s="1"/>
  <c r="AM336" i="3"/>
  <c r="AN336" i="3" s="1"/>
  <c r="AM699" i="3"/>
  <c r="AN699" i="3" s="1"/>
  <c r="AM301" i="3"/>
  <c r="AN301" i="3" s="1"/>
  <c r="AM181" i="3"/>
  <c r="AN181" i="3" s="1"/>
  <c r="AM798" i="3"/>
  <c r="AN798" i="3" s="1"/>
  <c r="AM1048" i="3"/>
  <c r="AN1048" i="3" s="1"/>
  <c r="AM708" i="3"/>
  <c r="AN708" i="3" s="1"/>
  <c r="AM139" i="3"/>
  <c r="AN139" i="3" s="1"/>
  <c r="AM1040" i="3"/>
  <c r="AN1040" i="3" s="1"/>
  <c r="AM700" i="3"/>
  <c r="AN700" i="3" s="1"/>
  <c r="AM487" i="3"/>
  <c r="AN487" i="3" s="1"/>
  <c r="AM93" i="3"/>
  <c r="AN93" i="3" s="1"/>
  <c r="AM944" i="3"/>
  <c r="AN944" i="3" s="1"/>
  <c r="AM984" i="3"/>
  <c r="AN984" i="3" s="1"/>
  <c r="AM27" i="3"/>
  <c r="AN27" i="3" s="1"/>
  <c r="AM118" i="3"/>
  <c r="AN118" i="3" s="1"/>
  <c r="AM335" i="3"/>
  <c r="AN335" i="3" s="1"/>
  <c r="AM124" i="3"/>
  <c r="AN124" i="3" s="1"/>
  <c r="AM84" i="3"/>
  <c r="AN84" i="3" s="1"/>
  <c r="AM226" i="3"/>
  <c r="AN226" i="3" s="1"/>
  <c r="AM119" i="3"/>
  <c r="AN119" i="3" s="1"/>
  <c r="AM1011" i="3"/>
  <c r="AN1011" i="3" s="1"/>
  <c r="AM470" i="3"/>
  <c r="AN470" i="3" s="1"/>
  <c r="AM164" i="3"/>
  <c r="AN164" i="3" s="1"/>
  <c r="AM723" i="3"/>
  <c r="AN723" i="3" s="1"/>
  <c r="AM724" i="3"/>
  <c r="AN724" i="3" s="1"/>
  <c r="AM140" i="3"/>
  <c r="AN140" i="3" s="1"/>
  <c r="AM462" i="3"/>
  <c r="AN462" i="3" s="1"/>
  <c r="AM486" i="3"/>
  <c r="AN486" i="3" s="1"/>
  <c r="AM259" i="3"/>
  <c r="AN259" i="3" s="1"/>
  <c r="AM20" i="3"/>
  <c r="AN20" i="3" s="1"/>
  <c r="AM677" i="3"/>
  <c r="AN677" i="3" s="1"/>
  <c r="AM735" i="3"/>
  <c r="AN735" i="3" s="1"/>
  <c r="AM360" i="3"/>
  <c r="AN360" i="3" s="1"/>
  <c r="AM954" i="3"/>
  <c r="AN954" i="3" s="1"/>
  <c r="AM1026" i="3"/>
  <c r="AN1026" i="3" s="1"/>
  <c r="AM403" i="3"/>
  <c r="AN403" i="3" s="1"/>
  <c r="AM779" i="3"/>
  <c r="AN779" i="3" s="1"/>
  <c r="AM121" i="3"/>
  <c r="AN121" i="3" s="1"/>
  <c r="AM228" i="3"/>
  <c r="AN228" i="3" s="1"/>
  <c r="AM975" i="3"/>
  <c r="AN975" i="3" s="1"/>
  <c r="AM57" i="3"/>
  <c r="AN57" i="3" s="1"/>
  <c r="AM356" i="3"/>
  <c r="AN356" i="3" s="1"/>
  <c r="AM21" i="3"/>
  <c r="AN21" i="3" s="1"/>
  <c r="AM107" i="3"/>
  <c r="AN107" i="3" s="1"/>
  <c r="AM431" i="3"/>
  <c r="AN431" i="3" s="1"/>
  <c r="AM393" i="3"/>
  <c r="AN393" i="3" s="1"/>
  <c r="AM647" i="3"/>
  <c r="AN647" i="3" s="1"/>
  <c r="AM394" i="3"/>
  <c r="AN394" i="3" s="1"/>
  <c r="AM868" i="3"/>
  <c r="AN868" i="3" s="1"/>
  <c r="AM285" i="3"/>
  <c r="AN285" i="3" s="1"/>
  <c r="AM202" i="3"/>
  <c r="AN202" i="3" s="1"/>
  <c r="AM955" i="3"/>
  <c r="AN955" i="3" s="1"/>
  <c r="AM489" i="3"/>
  <c r="AN489" i="3" s="1"/>
  <c r="AM936" i="3"/>
  <c r="AN936" i="3" s="1"/>
  <c r="AM635" i="3"/>
  <c r="AN635" i="3" s="1"/>
  <c r="AM284" i="3"/>
  <c r="AN284" i="3" s="1"/>
  <c r="AM778" i="3"/>
  <c r="AN778" i="3" s="1"/>
  <c r="O40" i="7"/>
  <c r="O41" i="7" s="1"/>
  <c r="O42" i="7" s="1"/>
  <c r="Q40" i="7"/>
  <c r="Q41" i="7" s="1"/>
  <c r="Q42" i="7" s="1"/>
  <c r="R696" i="5"/>
  <c r="R697" i="5" s="1"/>
  <c r="R698" i="5" s="1"/>
  <c r="P696" i="5"/>
  <c r="P697" i="5" s="1"/>
  <c r="P698" i="5" s="1"/>
  <c r="K696" i="5"/>
  <c r="K697" i="5" s="1"/>
  <c r="K42" i="7"/>
  <c r="O45" i="7" s="1"/>
  <c r="N45" i="7"/>
  <c r="N46" i="7" s="1"/>
  <c r="M45" i="7"/>
  <c r="M46" i="7" s="1"/>
  <c r="J42" i="7"/>
  <c r="O44" i="7" s="1"/>
  <c r="O14" i="6"/>
  <c r="M14" i="6"/>
  <c r="M15" i="6" s="1"/>
  <c r="N14" i="6"/>
  <c r="AM23" i="3" l="1"/>
  <c r="AN23" i="3" s="1"/>
  <c r="AM28" i="3"/>
  <c r="AN28" i="3" s="1"/>
  <c r="AM286" i="3"/>
  <c r="AN286" i="3" s="1"/>
  <c r="O46" i="7"/>
  <c r="M702" i="5"/>
  <c r="M703" i="5" s="1"/>
  <c r="N13" i="6"/>
  <c r="N15" i="6" s="1"/>
  <c r="J11" i="6"/>
  <c r="O13" i="6" s="1"/>
  <c r="O15" i="6" s="1"/>
  <c r="J698" i="5"/>
  <c r="O701" i="5" s="1"/>
  <c r="N701" i="5"/>
  <c r="K698" i="5"/>
  <c r="O702" i="5" s="1"/>
  <c r="N702" i="5"/>
  <c r="O703" i="5" l="1"/>
  <c r="N703" i="5"/>
  <c r="AK827" i="3" l="1"/>
  <c r="AK828" i="3"/>
  <c r="AK829" i="3"/>
  <c r="AK865" i="3"/>
  <c r="AK928" i="3"/>
  <c r="AK929" i="3"/>
  <c r="AK1072" i="3"/>
  <c r="AK1034" i="3"/>
  <c r="AK1005" i="3"/>
  <c r="AK1066" i="3"/>
  <c r="AK990" i="3"/>
  <c r="AK971" i="3"/>
  <c r="AK968" i="3"/>
  <c r="AL896" i="3"/>
  <c r="AL894" i="3"/>
  <c r="AL891" i="3"/>
  <c r="AL888" i="3"/>
  <c r="AL887" i="3"/>
  <c r="AK886" i="3"/>
  <c r="AL886" i="3" s="1"/>
  <c r="AL860" i="3"/>
  <c r="AL857" i="3"/>
  <c r="AL851" i="3"/>
  <c r="AL811" i="3"/>
  <c r="AK817" i="3"/>
  <c r="AL817" i="3" s="1"/>
  <c r="AK686" i="3"/>
  <c r="AK149" i="3"/>
  <c r="AK48" i="3"/>
  <c r="AK47" i="3"/>
  <c r="AF1086" i="3"/>
  <c r="AG1086" i="3"/>
  <c r="AH1086" i="3"/>
  <c r="AI1086" i="3"/>
  <c r="AE1086" i="3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AJ307" i="3"/>
  <c r="AJ308" i="3"/>
  <c r="AJ309" i="3"/>
  <c r="AJ310" i="3"/>
  <c r="AJ311" i="3"/>
  <c r="AJ312" i="3"/>
  <c r="AJ313" i="3"/>
  <c r="AJ314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AJ437" i="3"/>
  <c r="AJ438" i="3"/>
  <c r="AJ439" i="3"/>
  <c r="AJ440" i="3"/>
  <c r="AJ441" i="3"/>
  <c r="AJ442" i="3"/>
  <c r="AJ443" i="3"/>
  <c r="AJ444" i="3"/>
  <c r="AJ445" i="3"/>
  <c r="AJ446" i="3"/>
  <c r="AJ447" i="3"/>
  <c r="AJ448" i="3"/>
  <c r="AJ449" i="3"/>
  <c r="AJ450" i="3"/>
  <c r="AJ451" i="3"/>
  <c r="AJ452" i="3"/>
  <c r="AJ453" i="3"/>
  <c r="AJ454" i="3"/>
  <c r="AJ455" i="3"/>
  <c r="AJ456" i="3"/>
  <c r="AJ457" i="3"/>
  <c r="AJ458" i="3"/>
  <c r="AJ459" i="3"/>
  <c r="AJ460" i="3"/>
  <c r="AJ461" i="3"/>
  <c r="AJ462" i="3"/>
  <c r="AJ463" i="3"/>
  <c r="AJ464" i="3"/>
  <c r="AJ465" i="3"/>
  <c r="AJ466" i="3"/>
  <c r="AJ467" i="3"/>
  <c r="AJ468" i="3"/>
  <c r="AJ469" i="3"/>
  <c r="AJ470" i="3"/>
  <c r="AJ471" i="3"/>
  <c r="AJ472" i="3"/>
  <c r="AJ473" i="3"/>
  <c r="AJ474" i="3"/>
  <c r="AJ475" i="3"/>
  <c r="AJ476" i="3"/>
  <c r="AJ477" i="3"/>
  <c r="AJ478" i="3"/>
  <c r="AJ479" i="3"/>
  <c r="AJ480" i="3"/>
  <c r="AJ481" i="3"/>
  <c r="AJ482" i="3"/>
  <c r="AJ483" i="3"/>
  <c r="AJ484" i="3"/>
  <c r="AJ485" i="3"/>
  <c r="AJ486" i="3"/>
  <c r="AJ487" i="3"/>
  <c r="AJ488" i="3"/>
  <c r="AJ489" i="3"/>
  <c r="AJ490" i="3"/>
  <c r="AJ491" i="3"/>
  <c r="AJ492" i="3"/>
  <c r="AJ493" i="3"/>
  <c r="AJ494" i="3"/>
  <c r="AJ495" i="3"/>
  <c r="AJ496" i="3"/>
  <c r="AJ497" i="3"/>
  <c r="AJ498" i="3"/>
  <c r="AJ499" i="3"/>
  <c r="AJ500" i="3"/>
  <c r="AJ501" i="3"/>
  <c r="AJ502" i="3"/>
  <c r="AJ503" i="3"/>
  <c r="AJ504" i="3"/>
  <c r="AJ505" i="3"/>
  <c r="AJ506" i="3"/>
  <c r="AJ507" i="3"/>
  <c r="AJ508" i="3"/>
  <c r="AJ509" i="3"/>
  <c r="AJ510" i="3"/>
  <c r="AJ511" i="3"/>
  <c r="AJ512" i="3"/>
  <c r="AJ513" i="3"/>
  <c r="AJ514" i="3"/>
  <c r="AJ515" i="3"/>
  <c r="AJ516" i="3"/>
  <c r="AJ517" i="3"/>
  <c r="AJ518" i="3"/>
  <c r="AJ519" i="3"/>
  <c r="AJ520" i="3"/>
  <c r="AJ521" i="3"/>
  <c r="AJ522" i="3"/>
  <c r="AJ523" i="3"/>
  <c r="AJ524" i="3"/>
  <c r="AJ525" i="3"/>
  <c r="AJ526" i="3"/>
  <c r="AJ527" i="3"/>
  <c r="AJ528" i="3"/>
  <c r="AJ529" i="3"/>
  <c r="AJ530" i="3"/>
  <c r="AJ531" i="3"/>
  <c r="AJ532" i="3"/>
  <c r="AJ533" i="3"/>
  <c r="AJ534" i="3"/>
  <c r="AJ535" i="3"/>
  <c r="AJ536" i="3"/>
  <c r="AJ537" i="3"/>
  <c r="AJ538" i="3"/>
  <c r="AJ539" i="3"/>
  <c r="AJ540" i="3"/>
  <c r="AJ541" i="3"/>
  <c r="AJ542" i="3"/>
  <c r="AJ543" i="3"/>
  <c r="AJ544" i="3"/>
  <c r="AJ545" i="3"/>
  <c r="AJ546" i="3"/>
  <c r="AJ547" i="3"/>
  <c r="AJ548" i="3"/>
  <c r="AJ549" i="3"/>
  <c r="AJ550" i="3"/>
  <c r="AJ551" i="3"/>
  <c r="AJ552" i="3"/>
  <c r="AJ553" i="3"/>
  <c r="AJ554" i="3"/>
  <c r="AJ555" i="3"/>
  <c r="AJ556" i="3"/>
  <c r="AJ557" i="3"/>
  <c r="AJ558" i="3"/>
  <c r="AJ559" i="3"/>
  <c r="AJ560" i="3"/>
  <c r="AJ561" i="3"/>
  <c r="AJ562" i="3"/>
  <c r="AJ563" i="3"/>
  <c r="AJ564" i="3"/>
  <c r="AJ565" i="3"/>
  <c r="AJ566" i="3"/>
  <c r="AJ567" i="3"/>
  <c r="AJ568" i="3"/>
  <c r="AJ569" i="3"/>
  <c r="AJ570" i="3"/>
  <c r="AJ571" i="3"/>
  <c r="AJ572" i="3"/>
  <c r="AJ573" i="3"/>
  <c r="AJ574" i="3"/>
  <c r="AJ575" i="3"/>
  <c r="AJ576" i="3"/>
  <c r="AJ577" i="3"/>
  <c r="AJ578" i="3"/>
  <c r="AJ579" i="3"/>
  <c r="AJ580" i="3"/>
  <c r="AJ581" i="3"/>
  <c r="AJ582" i="3"/>
  <c r="AJ583" i="3"/>
  <c r="AJ584" i="3"/>
  <c r="AJ585" i="3"/>
  <c r="AJ586" i="3"/>
  <c r="AJ587" i="3"/>
  <c r="AJ588" i="3"/>
  <c r="AJ589" i="3"/>
  <c r="AJ590" i="3"/>
  <c r="AJ591" i="3"/>
  <c r="AJ592" i="3"/>
  <c r="AJ593" i="3"/>
  <c r="AJ594" i="3"/>
  <c r="AJ595" i="3"/>
  <c r="AJ596" i="3"/>
  <c r="AJ597" i="3"/>
  <c r="AJ598" i="3"/>
  <c r="AJ599" i="3"/>
  <c r="AJ600" i="3"/>
  <c r="AJ601" i="3"/>
  <c r="AJ602" i="3"/>
  <c r="AJ603" i="3"/>
  <c r="AJ604" i="3"/>
  <c r="AJ605" i="3"/>
  <c r="AJ606" i="3"/>
  <c r="AJ607" i="3"/>
  <c r="AJ608" i="3"/>
  <c r="AJ609" i="3"/>
  <c r="AJ610" i="3"/>
  <c r="AJ611" i="3"/>
  <c r="AJ612" i="3"/>
  <c r="AJ613" i="3"/>
  <c r="AJ614" i="3"/>
  <c r="AJ615" i="3"/>
  <c r="AJ616" i="3"/>
  <c r="AJ617" i="3"/>
  <c r="AJ618" i="3"/>
  <c r="AJ619" i="3"/>
  <c r="AJ620" i="3"/>
  <c r="AJ621" i="3"/>
  <c r="AJ622" i="3"/>
  <c r="AJ623" i="3"/>
  <c r="AJ624" i="3"/>
  <c r="AJ625" i="3"/>
  <c r="AJ626" i="3"/>
  <c r="AJ627" i="3"/>
  <c r="AJ628" i="3"/>
  <c r="AJ629" i="3"/>
  <c r="AJ630" i="3"/>
  <c r="AJ631" i="3"/>
  <c r="AJ632" i="3"/>
  <c r="AJ633" i="3"/>
  <c r="AJ634" i="3"/>
  <c r="AJ635" i="3"/>
  <c r="AJ636" i="3"/>
  <c r="AJ637" i="3"/>
  <c r="AJ638" i="3"/>
  <c r="AJ639" i="3"/>
  <c r="AJ640" i="3"/>
  <c r="AJ641" i="3"/>
  <c r="AJ642" i="3"/>
  <c r="AJ643" i="3"/>
  <c r="AJ644" i="3"/>
  <c r="AJ645" i="3"/>
  <c r="AJ646" i="3"/>
  <c r="AJ647" i="3"/>
  <c r="AJ648" i="3"/>
  <c r="AJ649" i="3"/>
  <c r="AJ650" i="3"/>
  <c r="AJ651" i="3"/>
  <c r="AJ652" i="3"/>
  <c r="AJ653" i="3"/>
  <c r="AJ654" i="3"/>
  <c r="AJ655" i="3"/>
  <c r="AJ656" i="3"/>
  <c r="AJ657" i="3"/>
  <c r="AJ658" i="3"/>
  <c r="AJ659" i="3"/>
  <c r="AJ660" i="3"/>
  <c r="AJ661" i="3"/>
  <c r="AJ662" i="3"/>
  <c r="AJ663" i="3"/>
  <c r="AJ664" i="3"/>
  <c r="AJ665" i="3"/>
  <c r="AJ666" i="3"/>
  <c r="AJ667" i="3"/>
  <c r="AJ668" i="3"/>
  <c r="AJ669" i="3"/>
  <c r="AJ670" i="3"/>
  <c r="AJ671" i="3"/>
  <c r="AJ672" i="3"/>
  <c r="AJ673" i="3"/>
  <c r="AJ674" i="3"/>
  <c r="AJ675" i="3"/>
  <c r="AJ676" i="3"/>
  <c r="AJ677" i="3"/>
  <c r="AJ678" i="3"/>
  <c r="AJ679" i="3"/>
  <c r="AJ680" i="3"/>
  <c r="AJ681" i="3"/>
  <c r="AJ682" i="3"/>
  <c r="AJ683" i="3"/>
  <c r="AJ684" i="3"/>
  <c r="AJ685" i="3"/>
  <c r="AJ686" i="3"/>
  <c r="AJ687" i="3"/>
  <c r="AJ688" i="3"/>
  <c r="AJ689" i="3"/>
  <c r="AJ690" i="3"/>
  <c r="AJ691" i="3"/>
  <c r="AJ692" i="3"/>
  <c r="AJ693" i="3"/>
  <c r="AJ694" i="3"/>
  <c r="AJ695" i="3"/>
  <c r="AJ696" i="3"/>
  <c r="AJ697" i="3"/>
  <c r="AJ698" i="3"/>
  <c r="AJ699" i="3"/>
  <c r="AJ700" i="3"/>
  <c r="AJ701" i="3"/>
  <c r="AJ702" i="3"/>
  <c r="AJ703" i="3"/>
  <c r="AJ704" i="3"/>
  <c r="AJ705" i="3"/>
  <c r="AJ706" i="3"/>
  <c r="AJ707" i="3"/>
  <c r="AJ708" i="3"/>
  <c r="AJ709" i="3"/>
  <c r="AJ710" i="3"/>
  <c r="AJ711" i="3"/>
  <c r="AJ712" i="3"/>
  <c r="AJ713" i="3"/>
  <c r="AJ714" i="3"/>
  <c r="AJ715" i="3"/>
  <c r="AJ716" i="3"/>
  <c r="AJ717" i="3"/>
  <c r="AJ718" i="3"/>
  <c r="AJ719" i="3"/>
  <c r="AJ720" i="3"/>
  <c r="AJ721" i="3"/>
  <c r="AJ722" i="3"/>
  <c r="AJ723" i="3"/>
  <c r="AJ724" i="3"/>
  <c r="AJ725" i="3"/>
  <c r="AJ726" i="3"/>
  <c r="AJ727" i="3"/>
  <c r="AJ728" i="3"/>
  <c r="AJ729" i="3"/>
  <c r="AJ730" i="3"/>
  <c r="AJ731" i="3"/>
  <c r="AJ732" i="3"/>
  <c r="AJ733" i="3"/>
  <c r="AJ734" i="3"/>
  <c r="AJ735" i="3"/>
  <c r="AJ736" i="3"/>
  <c r="AJ737" i="3"/>
  <c r="AJ738" i="3"/>
  <c r="AJ739" i="3"/>
  <c r="AJ740" i="3"/>
  <c r="AJ741" i="3"/>
  <c r="AJ742" i="3"/>
  <c r="AJ743" i="3"/>
  <c r="AJ744" i="3"/>
  <c r="AJ745" i="3"/>
  <c r="AJ746" i="3"/>
  <c r="AJ747" i="3"/>
  <c r="AJ748" i="3"/>
  <c r="AJ749" i="3"/>
  <c r="AJ750" i="3"/>
  <c r="AJ751" i="3"/>
  <c r="AJ752" i="3"/>
  <c r="AJ753" i="3"/>
  <c r="AJ754" i="3"/>
  <c r="AJ755" i="3"/>
  <c r="AJ756" i="3"/>
  <c r="AJ757" i="3"/>
  <c r="AJ758" i="3"/>
  <c r="AJ759" i="3"/>
  <c r="AJ760" i="3"/>
  <c r="AJ761" i="3"/>
  <c r="AJ762" i="3"/>
  <c r="AJ763" i="3"/>
  <c r="AJ764" i="3"/>
  <c r="AJ765" i="3"/>
  <c r="AJ766" i="3"/>
  <c r="AJ767" i="3"/>
  <c r="AJ768" i="3"/>
  <c r="AJ769" i="3"/>
  <c r="AJ770" i="3"/>
  <c r="AJ771" i="3"/>
  <c r="AJ772" i="3"/>
  <c r="AJ773" i="3"/>
  <c r="AJ774" i="3"/>
  <c r="AJ775" i="3"/>
  <c r="AJ776" i="3"/>
  <c r="AJ777" i="3"/>
  <c r="AJ778" i="3"/>
  <c r="AJ779" i="3"/>
  <c r="AJ780" i="3"/>
  <c r="AJ781" i="3"/>
  <c r="AJ782" i="3"/>
  <c r="AJ783" i="3"/>
  <c r="AJ784" i="3"/>
  <c r="AJ785" i="3"/>
  <c r="AJ786" i="3"/>
  <c r="AJ787" i="3"/>
  <c r="AJ788" i="3"/>
  <c r="AJ789" i="3"/>
  <c r="AJ790" i="3"/>
  <c r="AJ791" i="3"/>
  <c r="AJ792" i="3"/>
  <c r="AJ793" i="3"/>
  <c r="AJ794" i="3"/>
  <c r="AJ795" i="3"/>
  <c r="AJ796" i="3"/>
  <c r="AJ797" i="3"/>
  <c r="AJ798" i="3"/>
  <c r="AJ799" i="3"/>
  <c r="AJ800" i="3"/>
  <c r="AJ801" i="3"/>
  <c r="AJ802" i="3"/>
  <c r="AJ803" i="3"/>
  <c r="AJ804" i="3"/>
  <c r="AJ805" i="3"/>
  <c r="AJ806" i="3"/>
  <c r="AJ807" i="3"/>
  <c r="AJ808" i="3"/>
  <c r="AJ809" i="3"/>
  <c r="AJ810" i="3"/>
  <c r="AJ811" i="3"/>
  <c r="AJ812" i="3"/>
  <c r="AJ813" i="3"/>
  <c r="AJ814" i="3"/>
  <c r="AJ815" i="3"/>
  <c r="AJ816" i="3"/>
  <c r="AJ817" i="3"/>
  <c r="AJ818" i="3"/>
  <c r="AJ819" i="3"/>
  <c r="AJ820" i="3"/>
  <c r="AJ821" i="3"/>
  <c r="AJ822" i="3"/>
  <c r="AJ823" i="3"/>
  <c r="AJ824" i="3"/>
  <c r="AJ825" i="3"/>
  <c r="AJ826" i="3"/>
  <c r="AJ827" i="3"/>
  <c r="AJ828" i="3"/>
  <c r="AJ829" i="3"/>
  <c r="AJ830" i="3"/>
  <c r="AJ831" i="3"/>
  <c r="AJ832" i="3"/>
  <c r="AJ833" i="3"/>
  <c r="AJ834" i="3"/>
  <c r="AJ835" i="3"/>
  <c r="AJ836" i="3"/>
  <c r="AJ837" i="3"/>
  <c r="AJ838" i="3"/>
  <c r="AJ839" i="3"/>
  <c r="AJ840" i="3"/>
  <c r="AJ841" i="3"/>
  <c r="AJ842" i="3"/>
  <c r="AJ843" i="3"/>
  <c r="AJ844" i="3"/>
  <c r="AJ845" i="3"/>
  <c r="AJ846" i="3"/>
  <c r="AJ847" i="3"/>
  <c r="AJ848" i="3"/>
  <c r="AJ849" i="3"/>
  <c r="AJ850" i="3"/>
  <c r="AJ851" i="3"/>
  <c r="AJ852" i="3"/>
  <c r="AJ853" i="3"/>
  <c r="AJ854" i="3"/>
  <c r="AJ855" i="3"/>
  <c r="AJ856" i="3"/>
  <c r="AJ857" i="3"/>
  <c r="AJ858" i="3"/>
  <c r="AJ859" i="3"/>
  <c r="AJ860" i="3"/>
  <c r="AJ861" i="3"/>
  <c r="AJ862" i="3"/>
  <c r="AJ863" i="3"/>
  <c r="AJ864" i="3"/>
  <c r="AJ865" i="3"/>
  <c r="AJ866" i="3"/>
  <c r="AJ867" i="3"/>
  <c r="AJ868" i="3"/>
  <c r="AJ869" i="3"/>
  <c r="AJ870" i="3"/>
  <c r="AJ871" i="3"/>
  <c r="AJ872" i="3"/>
  <c r="AJ873" i="3"/>
  <c r="AJ874" i="3"/>
  <c r="AJ875" i="3"/>
  <c r="AJ876" i="3"/>
  <c r="AJ877" i="3"/>
  <c r="AJ878" i="3"/>
  <c r="AJ879" i="3"/>
  <c r="AJ880" i="3"/>
  <c r="AJ881" i="3"/>
  <c r="AJ882" i="3"/>
  <c r="AJ883" i="3"/>
  <c r="AJ884" i="3"/>
  <c r="AJ885" i="3"/>
  <c r="AJ886" i="3"/>
  <c r="AJ887" i="3"/>
  <c r="AJ888" i="3"/>
  <c r="AJ889" i="3"/>
  <c r="AJ890" i="3"/>
  <c r="AJ891" i="3"/>
  <c r="AJ892" i="3"/>
  <c r="AJ893" i="3"/>
  <c r="AJ894" i="3"/>
  <c r="AJ895" i="3"/>
  <c r="AJ896" i="3"/>
  <c r="AJ897" i="3"/>
  <c r="AJ898" i="3"/>
  <c r="AJ899" i="3"/>
  <c r="AJ900" i="3"/>
  <c r="AJ901" i="3"/>
  <c r="AJ902" i="3"/>
  <c r="AJ903" i="3"/>
  <c r="AJ904" i="3"/>
  <c r="AJ905" i="3"/>
  <c r="AJ906" i="3"/>
  <c r="AJ907" i="3"/>
  <c r="AJ908" i="3"/>
  <c r="AJ909" i="3"/>
  <c r="AJ910" i="3"/>
  <c r="AJ911" i="3"/>
  <c r="AJ912" i="3"/>
  <c r="AJ913" i="3"/>
  <c r="AJ914" i="3"/>
  <c r="AJ915" i="3"/>
  <c r="AJ916" i="3"/>
  <c r="AJ917" i="3"/>
  <c r="AJ918" i="3"/>
  <c r="AJ919" i="3"/>
  <c r="AJ920" i="3"/>
  <c r="AJ921" i="3"/>
  <c r="AJ922" i="3"/>
  <c r="AJ923" i="3"/>
  <c r="AJ924" i="3"/>
  <c r="AJ925" i="3"/>
  <c r="AJ926" i="3"/>
  <c r="AJ927" i="3"/>
  <c r="AJ928" i="3"/>
  <c r="AJ929" i="3"/>
  <c r="AJ930" i="3"/>
  <c r="AJ931" i="3"/>
  <c r="AJ932" i="3"/>
  <c r="AJ933" i="3"/>
  <c r="AJ934" i="3"/>
  <c r="AJ935" i="3"/>
  <c r="AJ936" i="3"/>
  <c r="AJ937" i="3"/>
  <c r="AJ938" i="3"/>
  <c r="AJ939" i="3"/>
  <c r="AJ940" i="3"/>
  <c r="AJ941" i="3"/>
  <c r="AJ942" i="3"/>
  <c r="AJ943" i="3"/>
  <c r="AJ944" i="3"/>
  <c r="AJ945" i="3"/>
  <c r="AJ946" i="3"/>
  <c r="AJ947" i="3"/>
  <c r="AJ948" i="3"/>
  <c r="AJ949" i="3"/>
  <c r="AJ950" i="3"/>
  <c r="AJ951" i="3"/>
  <c r="AJ952" i="3"/>
  <c r="AJ953" i="3"/>
  <c r="AJ954" i="3"/>
  <c r="AJ955" i="3"/>
  <c r="AJ956" i="3"/>
  <c r="AJ957" i="3"/>
  <c r="AJ958" i="3"/>
  <c r="AJ959" i="3"/>
  <c r="AJ960" i="3"/>
  <c r="AJ961" i="3"/>
  <c r="AJ962" i="3"/>
  <c r="AJ963" i="3"/>
  <c r="AJ964" i="3"/>
  <c r="AJ965" i="3"/>
  <c r="AJ966" i="3"/>
  <c r="AJ967" i="3"/>
  <c r="AJ968" i="3"/>
  <c r="AJ969" i="3"/>
  <c r="AJ970" i="3"/>
  <c r="AJ971" i="3"/>
  <c r="AJ972" i="3"/>
  <c r="AJ973" i="3"/>
  <c r="AJ974" i="3"/>
  <c r="AJ975" i="3"/>
  <c r="AJ976" i="3"/>
  <c r="AJ977" i="3"/>
  <c r="AJ978" i="3"/>
  <c r="AJ979" i="3"/>
  <c r="AJ980" i="3"/>
  <c r="AJ981" i="3"/>
  <c r="AJ982" i="3"/>
  <c r="AJ983" i="3"/>
  <c r="AJ984" i="3"/>
  <c r="AJ985" i="3"/>
  <c r="AJ986" i="3"/>
  <c r="AJ987" i="3"/>
  <c r="AJ988" i="3"/>
  <c r="AJ989" i="3"/>
  <c r="AJ990" i="3"/>
  <c r="AJ991" i="3"/>
  <c r="AJ992" i="3"/>
  <c r="AJ993" i="3"/>
  <c r="AJ994" i="3"/>
  <c r="AJ995" i="3"/>
  <c r="AJ996" i="3"/>
  <c r="AJ997" i="3"/>
  <c r="AJ998" i="3"/>
  <c r="AJ999" i="3"/>
  <c r="AJ1000" i="3"/>
  <c r="AJ1001" i="3"/>
  <c r="AJ1002" i="3"/>
  <c r="AJ1003" i="3"/>
  <c r="AJ1004" i="3"/>
  <c r="AJ1005" i="3"/>
  <c r="AJ1006" i="3"/>
  <c r="AJ1007" i="3"/>
  <c r="AJ1008" i="3"/>
  <c r="AJ1009" i="3"/>
  <c r="AJ1010" i="3"/>
  <c r="AJ1011" i="3"/>
  <c r="AJ1012" i="3"/>
  <c r="AJ1013" i="3"/>
  <c r="AJ1014" i="3"/>
  <c r="AJ1015" i="3"/>
  <c r="AJ1016" i="3"/>
  <c r="AJ1017" i="3"/>
  <c r="AJ1018" i="3"/>
  <c r="AJ1019" i="3"/>
  <c r="AJ1020" i="3"/>
  <c r="AJ1021" i="3"/>
  <c r="AJ1022" i="3"/>
  <c r="AJ1023" i="3"/>
  <c r="AJ1024" i="3"/>
  <c r="AJ1025" i="3"/>
  <c r="AJ1026" i="3"/>
  <c r="AJ1027" i="3"/>
  <c r="AJ1028" i="3"/>
  <c r="AJ1029" i="3"/>
  <c r="AJ1030" i="3"/>
  <c r="AJ1031" i="3"/>
  <c r="AJ1032" i="3"/>
  <c r="AJ1033" i="3"/>
  <c r="AJ1034" i="3"/>
  <c r="AJ1035" i="3"/>
  <c r="AJ1036" i="3"/>
  <c r="AJ1037" i="3"/>
  <c r="AJ1038" i="3"/>
  <c r="AJ1039" i="3"/>
  <c r="AJ1040" i="3"/>
  <c r="AJ1041" i="3"/>
  <c r="AJ1042" i="3"/>
  <c r="AJ1043" i="3"/>
  <c r="AJ1044" i="3"/>
  <c r="AJ1045" i="3"/>
  <c r="AJ1046" i="3"/>
  <c r="AJ1047" i="3"/>
  <c r="AJ1048" i="3"/>
  <c r="AJ1049" i="3"/>
  <c r="AJ1050" i="3"/>
  <c r="AJ1051" i="3"/>
  <c r="AJ1052" i="3"/>
  <c r="AJ1053" i="3"/>
  <c r="AJ1054" i="3"/>
  <c r="AJ1055" i="3"/>
  <c r="AJ1056" i="3"/>
  <c r="AJ1057" i="3"/>
  <c r="AJ1058" i="3"/>
  <c r="AJ1059" i="3"/>
  <c r="AJ1060" i="3"/>
  <c r="AJ1061" i="3"/>
  <c r="AJ1062" i="3"/>
  <c r="AJ1063" i="3"/>
  <c r="AJ1064" i="3"/>
  <c r="AJ1065" i="3"/>
  <c r="AJ1066" i="3"/>
  <c r="AJ1067" i="3"/>
  <c r="AJ1068" i="3"/>
  <c r="AJ1069" i="3"/>
  <c r="AJ1070" i="3"/>
  <c r="AJ1071" i="3"/>
  <c r="AJ1072" i="3"/>
  <c r="AJ1073" i="3"/>
  <c r="AJ1074" i="3"/>
  <c r="AJ1075" i="3"/>
  <c r="AJ1076" i="3"/>
  <c r="AJ1077" i="3"/>
  <c r="AJ1078" i="3"/>
  <c r="AJ1079" i="3"/>
  <c r="AJ1080" i="3"/>
  <c r="AJ1081" i="3"/>
  <c r="AJ1082" i="3"/>
  <c r="AJ1083" i="3"/>
  <c r="AJ1084" i="3"/>
  <c r="AJ1085" i="3"/>
  <c r="AJ1087" i="3"/>
  <c r="AJ1088" i="3"/>
  <c r="AJ6" i="3"/>
  <c r="AW3" i="3"/>
  <c r="AW4" i="3"/>
  <c r="AW5" i="3"/>
  <c r="AW6" i="3"/>
  <c r="AW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W553" i="3"/>
  <c r="AW554" i="3"/>
  <c r="AW555" i="3"/>
  <c r="AW556" i="3"/>
  <c r="AW557" i="3"/>
  <c r="AW558" i="3"/>
  <c r="AW559" i="3"/>
  <c r="AW560" i="3"/>
  <c r="AW561" i="3"/>
  <c r="AW562" i="3"/>
  <c r="AW563" i="3"/>
  <c r="AW564" i="3"/>
  <c r="AW565" i="3"/>
  <c r="AW566" i="3"/>
  <c r="AW567" i="3"/>
  <c r="AW568" i="3"/>
  <c r="AW569" i="3"/>
  <c r="AW570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586" i="3"/>
  <c r="AW587" i="3"/>
  <c r="AW588" i="3"/>
  <c r="AW589" i="3"/>
  <c r="AW590" i="3"/>
  <c r="AW591" i="3"/>
  <c r="AW592" i="3"/>
  <c r="AW593" i="3"/>
  <c r="AW594" i="3"/>
  <c r="AW595" i="3"/>
  <c r="AW596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W613" i="3"/>
  <c r="AW614" i="3"/>
  <c r="AW615" i="3"/>
  <c r="AW616" i="3"/>
  <c r="AW617" i="3"/>
  <c r="AW618" i="3"/>
  <c r="AW619" i="3"/>
  <c r="AW620" i="3"/>
  <c r="AW621" i="3"/>
  <c r="AW622" i="3"/>
  <c r="AW623" i="3"/>
  <c r="AW624" i="3"/>
  <c r="AW625" i="3"/>
  <c r="AW626" i="3"/>
  <c r="AW627" i="3"/>
  <c r="AW628" i="3"/>
  <c r="AW629" i="3"/>
  <c r="AW630" i="3"/>
  <c r="AW631" i="3"/>
  <c r="AW632" i="3"/>
  <c r="AW633" i="3"/>
  <c r="AW634" i="3"/>
  <c r="AW635" i="3"/>
  <c r="AW636" i="3"/>
  <c r="AW637" i="3"/>
  <c r="AW638" i="3"/>
  <c r="AW639" i="3"/>
  <c r="AW640" i="3"/>
  <c r="AW641" i="3"/>
  <c r="AW642" i="3"/>
  <c r="AW643" i="3"/>
  <c r="AW644" i="3"/>
  <c r="AW645" i="3"/>
  <c r="AW646" i="3"/>
  <c r="AW647" i="3"/>
  <c r="AW648" i="3"/>
  <c r="AW649" i="3"/>
  <c r="AW650" i="3"/>
  <c r="AW651" i="3"/>
  <c r="AW652" i="3"/>
  <c r="AW653" i="3"/>
  <c r="AW654" i="3"/>
  <c r="AW655" i="3"/>
  <c r="AW656" i="3"/>
  <c r="AW657" i="3"/>
  <c r="AW658" i="3"/>
  <c r="AW659" i="3"/>
  <c r="AW660" i="3"/>
  <c r="AW661" i="3"/>
  <c r="AW662" i="3"/>
  <c r="AW663" i="3"/>
  <c r="AW664" i="3"/>
  <c r="AW665" i="3"/>
  <c r="AW666" i="3"/>
  <c r="AW667" i="3"/>
  <c r="AW668" i="3"/>
  <c r="AW669" i="3"/>
  <c r="AW670" i="3"/>
  <c r="AW671" i="3"/>
  <c r="AW672" i="3"/>
  <c r="AW673" i="3"/>
  <c r="AW674" i="3"/>
  <c r="AW675" i="3"/>
  <c r="AW676" i="3"/>
  <c r="AW677" i="3"/>
  <c r="AW678" i="3"/>
  <c r="AW679" i="3"/>
  <c r="AW680" i="3"/>
  <c r="AW681" i="3"/>
  <c r="AW682" i="3"/>
  <c r="AW683" i="3"/>
  <c r="AW684" i="3"/>
  <c r="AW685" i="3"/>
  <c r="AW686" i="3"/>
  <c r="AW687" i="3"/>
  <c r="AW688" i="3"/>
  <c r="AW689" i="3"/>
  <c r="AW690" i="3"/>
  <c r="AW691" i="3"/>
  <c r="AW692" i="3"/>
  <c r="AW693" i="3"/>
  <c r="AW694" i="3"/>
  <c r="AW695" i="3"/>
  <c r="AW696" i="3"/>
  <c r="AW697" i="3"/>
  <c r="AW698" i="3"/>
  <c r="AW699" i="3"/>
  <c r="AW700" i="3"/>
  <c r="AW701" i="3"/>
  <c r="AW702" i="3"/>
  <c r="AW703" i="3"/>
  <c r="AW704" i="3"/>
  <c r="AW705" i="3"/>
  <c r="AW706" i="3"/>
  <c r="AW707" i="3"/>
  <c r="AW708" i="3"/>
  <c r="AW709" i="3"/>
  <c r="AW710" i="3"/>
  <c r="AW711" i="3"/>
  <c r="AW712" i="3"/>
  <c r="AW713" i="3"/>
  <c r="AW714" i="3"/>
  <c r="AW715" i="3"/>
  <c r="AW716" i="3"/>
  <c r="AW717" i="3"/>
  <c r="AW718" i="3"/>
  <c r="AW719" i="3"/>
  <c r="AW720" i="3"/>
  <c r="AW721" i="3"/>
  <c r="AW722" i="3"/>
  <c r="AW723" i="3"/>
  <c r="AW724" i="3"/>
  <c r="AW725" i="3"/>
  <c r="AW726" i="3"/>
  <c r="AW727" i="3"/>
  <c r="AW728" i="3"/>
  <c r="AW729" i="3"/>
  <c r="AW730" i="3"/>
  <c r="AW731" i="3"/>
  <c r="AW732" i="3"/>
  <c r="AW733" i="3"/>
  <c r="AW734" i="3"/>
  <c r="AW735" i="3"/>
  <c r="AW736" i="3"/>
  <c r="AW737" i="3"/>
  <c r="AW738" i="3"/>
  <c r="AW739" i="3"/>
  <c r="AW740" i="3"/>
  <c r="AW741" i="3"/>
  <c r="AW742" i="3"/>
  <c r="AW743" i="3"/>
  <c r="AW744" i="3"/>
  <c r="AW745" i="3"/>
  <c r="AW746" i="3"/>
  <c r="AW747" i="3"/>
  <c r="AW748" i="3"/>
  <c r="AW749" i="3"/>
  <c r="AW750" i="3"/>
  <c r="AW751" i="3"/>
  <c r="AW752" i="3"/>
  <c r="AW753" i="3"/>
  <c r="AW754" i="3"/>
  <c r="AW755" i="3"/>
  <c r="AW756" i="3"/>
  <c r="AW757" i="3"/>
  <c r="AW758" i="3"/>
  <c r="AW759" i="3"/>
  <c r="AW760" i="3"/>
  <c r="AW761" i="3"/>
  <c r="AW762" i="3"/>
  <c r="AW763" i="3"/>
  <c r="AW764" i="3"/>
  <c r="AW765" i="3"/>
  <c r="AW766" i="3"/>
  <c r="AW767" i="3"/>
  <c r="AW768" i="3"/>
  <c r="AW769" i="3"/>
  <c r="AW770" i="3"/>
  <c r="AW771" i="3"/>
  <c r="AW772" i="3"/>
  <c r="AW773" i="3"/>
  <c r="AW774" i="3"/>
  <c r="AW775" i="3"/>
  <c r="AW776" i="3"/>
  <c r="AW777" i="3"/>
  <c r="AW778" i="3"/>
  <c r="AW779" i="3"/>
  <c r="AW780" i="3"/>
  <c r="AW781" i="3"/>
  <c r="AW782" i="3"/>
  <c r="AW783" i="3"/>
  <c r="AW784" i="3"/>
  <c r="AW785" i="3"/>
  <c r="AW786" i="3"/>
  <c r="AW787" i="3"/>
  <c r="AW788" i="3"/>
  <c r="AW789" i="3"/>
  <c r="AW790" i="3"/>
  <c r="AW791" i="3"/>
  <c r="AW792" i="3"/>
  <c r="AW793" i="3"/>
  <c r="AW794" i="3"/>
  <c r="AW795" i="3"/>
  <c r="AW796" i="3"/>
  <c r="AW797" i="3"/>
  <c r="AW798" i="3"/>
  <c r="AW799" i="3"/>
  <c r="AW800" i="3"/>
  <c r="AW801" i="3"/>
  <c r="AW802" i="3"/>
  <c r="AW803" i="3"/>
  <c r="AW804" i="3"/>
  <c r="AW805" i="3"/>
  <c r="AW806" i="3"/>
  <c r="AW807" i="3"/>
  <c r="AW808" i="3"/>
  <c r="AW809" i="3"/>
  <c r="AW810" i="3"/>
  <c r="AW811" i="3"/>
  <c r="AW812" i="3"/>
  <c r="AW813" i="3"/>
  <c r="AW814" i="3"/>
  <c r="AW815" i="3"/>
  <c r="AW816" i="3"/>
  <c r="AW817" i="3"/>
  <c r="AW818" i="3"/>
  <c r="AW819" i="3"/>
  <c r="AW820" i="3"/>
  <c r="AW821" i="3"/>
  <c r="AW822" i="3"/>
  <c r="AW823" i="3"/>
  <c r="AW824" i="3"/>
  <c r="AW825" i="3"/>
  <c r="AW826" i="3"/>
  <c r="AW827" i="3"/>
  <c r="AW828" i="3"/>
  <c r="AW829" i="3"/>
  <c r="AW830" i="3"/>
  <c r="AW831" i="3"/>
  <c r="AW832" i="3"/>
  <c r="AW833" i="3"/>
  <c r="AW834" i="3"/>
  <c r="AW835" i="3"/>
  <c r="AW836" i="3"/>
  <c r="AW837" i="3"/>
  <c r="AW838" i="3"/>
  <c r="AW839" i="3"/>
  <c r="AW840" i="3"/>
  <c r="AW841" i="3"/>
  <c r="AW842" i="3"/>
  <c r="AW843" i="3"/>
  <c r="AW844" i="3"/>
  <c r="AW845" i="3"/>
  <c r="AW846" i="3"/>
  <c r="AW847" i="3"/>
  <c r="AW848" i="3"/>
  <c r="AW849" i="3"/>
  <c r="AW850" i="3"/>
  <c r="AW851" i="3"/>
  <c r="AW852" i="3"/>
  <c r="AW853" i="3"/>
  <c r="AW854" i="3"/>
  <c r="AW855" i="3"/>
  <c r="AW856" i="3"/>
  <c r="AW857" i="3"/>
  <c r="AW858" i="3"/>
  <c r="AW859" i="3"/>
  <c r="AW860" i="3"/>
  <c r="AW861" i="3"/>
  <c r="AW862" i="3"/>
  <c r="AW863" i="3"/>
  <c r="AW864" i="3"/>
  <c r="AW865" i="3"/>
  <c r="AW866" i="3"/>
  <c r="AW867" i="3"/>
  <c r="AW868" i="3"/>
  <c r="AW869" i="3"/>
  <c r="AW870" i="3"/>
  <c r="AW871" i="3"/>
  <c r="AW872" i="3"/>
  <c r="AW873" i="3"/>
  <c r="AW874" i="3"/>
  <c r="AW875" i="3"/>
  <c r="AW876" i="3"/>
  <c r="AW877" i="3"/>
  <c r="AW878" i="3"/>
  <c r="AW879" i="3"/>
  <c r="AW880" i="3"/>
  <c r="AW881" i="3"/>
  <c r="AW882" i="3"/>
  <c r="AW883" i="3"/>
  <c r="AW884" i="3"/>
  <c r="AW885" i="3"/>
  <c r="AW886" i="3"/>
  <c r="AW887" i="3"/>
  <c r="AW888" i="3"/>
  <c r="AW889" i="3"/>
  <c r="AW890" i="3"/>
  <c r="AW891" i="3"/>
  <c r="AW892" i="3"/>
  <c r="AW893" i="3"/>
  <c r="AW894" i="3"/>
  <c r="AW895" i="3"/>
  <c r="AW896" i="3"/>
  <c r="AW897" i="3"/>
  <c r="AW898" i="3"/>
  <c r="AW899" i="3"/>
  <c r="AW900" i="3"/>
  <c r="AW901" i="3"/>
  <c r="AW902" i="3"/>
  <c r="AW903" i="3"/>
  <c r="AW904" i="3"/>
  <c r="AW905" i="3"/>
  <c r="AW906" i="3"/>
  <c r="AW907" i="3"/>
  <c r="AW908" i="3"/>
  <c r="AW909" i="3"/>
  <c r="AW910" i="3"/>
  <c r="AW911" i="3"/>
  <c r="AW912" i="3"/>
  <c r="AW913" i="3"/>
  <c r="AW914" i="3"/>
  <c r="AW915" i="3"/>
  <c r="AW916" i="3"/>
  <c r="AW917" i="3"/>
  <c r="AW918" i="3"/>
  <c r="AW919" i="3"/>
  <c r="AW920" i="3"/>
  <c r="AW921" i="3"/>
  <c r="AW922" i="3"/>
  <c r="AW923" i="3"/>
  <c r="AW924" i="3"/>
  <c r="AW925" i="3"/>
  <c r="AW926" i="3"/>
  <c r="AW927" i="3"/>
  <c r="AW928" i="3"/>
  <c r="AW929" i="3"/>
  <c r="AW930" i="3"/>
  <c r="AW931" i="3"/>
  <c r="AW932" i="3"/>
  <c r="AW933" i="3"/>
  <c r="AW934" i="3"/>
  <c r="AW935" i="3"/>
  <c r="AW936" i="3"/>
  <c r="AW937" i="3"/>
  <c r="AW938" i="3"/>
  <c r="AW939" i="3"/>
  <c r="AW940" i="3"/>
  <c r="AW941" i="3"/>
  <c r="AW942" i="3"/>
  <c r="AW943" i="3"/>
  <c r="AW944" i="3"/>
  <c r="AW945" i="3"/>
  <c r="AW946" i="3"/>
  <c r="AW947" i="3"/>
  <c r="AW948" i="3"/>
  <c r="AW949" i="3"/>
  <c r="AW950" i="3"/>
  <c r="AW951" i="3"/>
  <c r="AW952" i="3"/>
  <c r="AW953" i="3"/>
  <c r="AW954" i="3"/>
  <c r="AW955" i="3"/>
  <c r="AW956" i="3"/>
  <c r="AW957" i="3"/>
  <c r="AW958" i="3"/>
  <c r="AW959" i="3"/>
  <c r="AW960" i="3"/>
  <c r="AW961" i="3"/>
  <c r="AW962" i="3"/>
  <c r="AW963" i="3"/>
  <c r="AW964" i="3"/>
  <c r="AW965" i="3"/>
  <c r="AW966" i="3"/>
  <c r="AW967" i="3"/>
  <c r="AW968" i="3"/>
  <c r="AW969" i="3"/>
  <c r="AW970" i="3"/>
  <c r="AW971" i="3"/>
  <c r="AW972" i="3"/>
  <c r="AW973" i="3"/>
  <c r="AW974" i="3"/>
  <c r="AW975" i="3"/>
  <c r="AW976" i="3"/>
  <c r="AW977" i="3"/>
  <c r="AW978" i="3"/>
  <c r="AW979" i="3"/>
  <c r="AW980" i="3"/>
  <c r="AW981" i="3"/>
  <c r="AW982" i="3"/>
  <c r="AW983" i="3"/>
  <c r="AW984" i="3"/>
  <c r="AW985" i="3"/>
  <c r="AW986" i="3"/>
  <c r="AW987" i="3"/>
  <c r="AW988" i="3"/>
  <c r="AW989" i="3"/>
  <c r="AW990" i="3"/>
  <c r="AW991" i="3"/>
  <c r="AW992" i="3"/>
  <c r="AW993" i="3"/>
  <c r="AW994" i="3"/>
  <c r="AW995" i="3"/>
  <c r="AW996" i="3"/>
  <c r="AW997" i="3"/>
  <c r="AW998" i="3"/>
  <c r="AW999" i="3"/>
  <c r="AW1000" i="3"/>
  <c r="AW1001" i="3"/>
  <c r="AW1002" i="3"/>
  <c r="AW1003" i="3"/>
  <c r="AW1004" i="3"/>
  <c r="AW1005" i="3"/>
  <c r="AW1006" i="3"/>
  <c r="AW1007" i="3"/>
  <c r="AW1008" i="3"/>
  <c r="AW1009" i="3"/>
  <c r="AW1010" i="3"/>
  <c r="AW1011" i="3"/>
  <c r="AW1012" i="3"/>
  <c r="AW1013" i="3"/>
  <c r="AW1014" i="3"/>
  <c r="AW1015" i="3"/>
  <c r="AW1016" i="3"/>
  <c r="AW1017" i="3"/>
  <c r="AW1018" i="3"/>
  <c r="AW1019" i="3"/>
  <c r="AW1020" i="3"/>
  <c r="AW1021" i="3"/>
  <c r="AW1022" i="3"/>
  <c r="AW1023" i="3"/>
  <c r="AW1024" i="3"/>
  <c r="AW1025" i="3"/>
  <c r="AW1026" i="3"/>
  <c r="AW1027" i="3"/>
  <c r="AW1028" i="3"/>
  <c r="AW1029" i="3"/>
  <c r="AW1030" i="3"/>
  <c r="AW1031" i="3"/>
  <c r="AW1032" i="3"/>
  <c r="AW1033" i="3"/>
  <c r="AW1034" i="3"/>
  <c r="AW1035" i="3"/>
  <c r="AW1036" i="3"/>
  <c r="AW1037" i="3"/>
  <c r="AW1038" i="3"/>
  <c r="AW1039" i="3"/>
  <c r="AW1040" i="3"/>
  <c r="AW1041" i="3"/>
  <c r="AW1042" i="3"/>
  <c r="AW1043" i="3"/>
  <c r="AW1044" i="3"/>
  <c r="AW1045" i="3"/>
  <c r="AW1046" i="3"/>
  <c r="AW1047" i="3"/>
  <c r="AW1048" i="3"/>
  <c r="AW1049" i="3"/>
  <c r="AW1050" i="3"/>
  <c r="AW1051" i="3"/>
  <c r="AW1052" i="3"/>
  <c r="AW1053" i="3"/>
  <c r="AW1054" i="3"/>
  <c r="AW1055" i="3"/>
  <c r="AW1056" i="3"/>
  <c r="AW1057" i="3"/>
  <c r="AW1058" i="3"/>
  <c r="AW1059" i="3"/>
  <c r="AW1060" i="3"/>
  <c r="AW1061" i="3"/>
  <c r="AW1062" i="3"/>
  <c r="AW1063" i="3"/>
  <c r="AW1064" i="3"/>
  <c r="AW1065" i="3"/>
  <c r="AW1066" i="3"/>
  <c r="AW1067" i="3"/>
  <c r="AW1068" i="3"/>
  <c r="AW1069" i="3"/>
  <c r="AW1070" i="3"/>
  <c r="AW1071" i="3"/>
  <c r="AW1072" i="3"/>
  <c r="AW1073" i="3"/>
  <c r="AW1074" i="3"/>
  <c r="AW1075" i="3"/>
  <c r="AW1076" i="3"/>
  <c r="AW1077" i="3"/>
  <c r="AW1078" i="3"/>
  <c r="AW1079" i="3"/>
  <c r="AW1080" i="3"/>
  <c r="AW1081" i="3"/>
  <c r="AW1082" i="3"/>
  <c r="AW1083" i="3"/>
  <c r="AW1084" i="3"/>
  <c r="AW1085" i="3"/>
  <c r="AW1086" i="3"/>
  <c r="AW1087" i="3"/>
  <c r="AW1088" i="3"/>
  <c r="AW2" i="3"/>
  <c r="AJ1086" i="3" l="1"/>
  <c r="AP8" i="3" l="1"/>
  <c r="AP11" i="3"/>
  <c r="AP16" i="3"/>
  <c r="AP17" i="3"/>
  <c r="AP18" i="3"/>
  <c r="AP20" i="3"/>
  <c r="AP21" i="3"/>
  <c r="AP22" i="3"/>
  <c r="AP23" i="3"/>
  <c r="AP24" i="3"/>
  <c r="AP25" i="3"/>
  <c r="AP27" i="3"/>
  <c r="AP28" i="3"/>
  <c r="AP34" i="3"/>
  <c r="AP36" i="3"/>
  <c r="AP49" i="3"/>
  <c r="AP50" i="3"/>
  <c r="AP51" i="3"/>
  <c r="AP52" i="3"/>
  <c r="AP53" i="3"/>
  <c r="AP54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73" i="3"/>
  <c r="AP75" i="3"/>
  <c r="AP77" i="3"/>
  <c r="AP78" i="3"/>
  <c r="AP81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100" i="3"/>
  <c r="AP105" i="3"/>
  <c r="AP107" i="3"/>
  <c r="AP108" i="3"/>
  <c r="AP109" i="3"/>
  <c r="AP110" i="3"/>
  <c r="AP111" i="3"/>
  <c r="AP115" i="3"/>
  <c r="AP118" i="3"/>
  <c r="AP119" i="3"/>
  <c r="AP120" i="3"/>
  <c r="AP121" i="3"/>
  <c r="AP122" i="3"/>
  <c r="AP123" i="3"/>
  <c r="AP124" i="3"/>
  <c r="AP125" i="3"/>
  <c r="AP129" i="3"/>
  <c r="AP130" i="3"/>
  <c r="AP134" i="3"/>
  <c r="AP135" i="3"/>
  <c r="AP136" i="3"/>
  <c r="AP137" i="3"/>
  <c r="AP139" i="3"/>
  <c r="AP140" i="3"/>
  <c r="AP141" i="3"/>
  <c r="AP142" i="3"/>
  <c r="AP143" i="3"/>
  <c r="AP144" i="3"/>
  <c r="AP145" i="3"/>
  <c r="AP151" i="3"/>
  <c r="AP155" i="3"/>
  <c r="AP156" i="3"/>
  <c r="AP157" i="3"/>
  <c r="AP158" i="3"/>
  <c r="AP159" i="3"/>
  <c r="AP160" i="3"/>
  <c r="AP161" i="3"/>
  <c r="AP162" i="3"/>
  <c r="AP163" i="3"/>
  <c r="AP164" i="3"/>
  <c r="AP165" i="3"/>
  <c r="AP171" i="3"/>
  <c r="AP180" i="3"/>
  <c r="AP181" i="3"/>
  <c r="AP182" i="3"/>
  <c r="AP183" i="3"/>
  <c r="AP184" i="3"/>
  <c r="AP185" i="3"/>
  <c r="AP186" i="3"/>
  <c r="AP191" i="3"/>
  <c r="AP192" i="3"/>
  <c r="AP193" i="3"/>
  <c r="AP194" i="3"/>
  <c r="AP195" i="3"/>
  <c r="AP196" i="3"/>
  <c r="AP197" i="3"/>
  <c r="AP198" i="3"/>
  <c r="AP199" i="3"/>
  <c r="AP201" i="3"/>
  <c r="AP202" i="3"/>
  <c r="AP203" i="3"/>
  <c r="AP204" i="3"/>
  <c r="AP205" i="3"/>
  <c r="AP206" i="3"/>
  <c r="AP207" i="3"/>
  <c r="AP217" i="3"/>
  <c r="AP218" i="3"/>
  <c r="AP221" i="3"/>
  <c r="AP224" i="3"/>
  <c r="AP226" i="3"/>
  <c r="AP229" i="3"/>
  <c r="AP230" i="3"/>
  <c r="AP231" i="3"/>
  <c r="AP232" i="3"/>
  <c r="AP240" i="3"/>
  <c r="AP243" i="3"/>
  <c r="AP245" i="3"/>
  <c r="AP246" i="3"/>
  <c r="AP248" i="3"/>
  <c r="AP251" i="3"/>
  <c r="AP252" i="3"/>
  <c r="AP253" i="3"/>
  <c r="AP256" i="3"/>
  <c r="AP257" i="3"/>
  <c r="AP259" i="3"/>
  <c r="AP260" i="3"/>
  <c r="AP261" i="3"/>
  <c r="AP262" i="3"/>
  <c r="AP263" i="3"/>
  <c r="AP264" i="3"/>
  <c r="AP265" i="3"/>
  <c r="AP270" i="3"/>
  <c r="AP272" i="3"/>
  <c r="AP275" i="3"/>
  <c r="AP276" i="3"/>
  <c r="AP278" i="3"/>
  <c r="AP279" i="3"/>
  <c r="AP280" i="3"/>
  <c r="AP281" i="3"/>
  <c r="AP283" i="3"/>
  <c r="AP284" i="3"/>
  <c r="AP285" i="3"/>
  <c r="AP286" i="3"/>
  <c r="AP287" i="3"/>
  <c r="AP288" i="3"/>
  <c r="AP289" i="3"/>
  <c r="AP290" i="3"/>
  <c r="AP295" i="3"/>
  <c r="AP296" i="3"/>
  <c r="AP297" i="3"/>
  <c r="AP299" i="3"/>
  <c r="AP301" i="3"/>
  <c r="AP302" i="3"/>
  <c r="AP303" i="3"/>
  <c r="AP304" i="3"/>
  <c r="AP305" i="3"/>
  <c r="AP306" i="3"/>
  <c r="AP307" i="3"/>
  <c r="AP308" i="3"/>
  <c r="AP309" i="3"/>
  <c r="AP310" i="3"/>
  <c r="AP311" i="3"/>
  <c r="AP312" i="3"/>
  <c r="AP313" i="3"/>
  <c r="AP318" i="3"/>
  <c r="AP319" i="3"/>
  <c r="AP320" i="3"/>
  <c r="AP321" i="3"/>
  <c r="AP322" i="3"/>
  <c r="AP323" i="3"/>
  <c r="AP324" i="3"/>
  <c r="AP326" i="3"/>
  <c r="AP328" i="3"/>
  <c r="AP330" i="3"/>
  <c r="AP332" i="3"/>
  <c r="AP335" i="3"/>
  <c r="AP336" i="3"/>
  <c r="AP337" i="3"/>
  <c r="AP338" i="3"/>
  <c r="AP339" i="3"/>
  <c r="AP340" i="3"/>
  <c r="AP350" i="3"/>
  <c r="AP351" i="3"/>
  <c r="AP352" i="3"/>
  <c r="AP354" i="3"/>
  <c r="AP355" i="3"/>
  <c r="AP356" i="3"/>
  <c r="AP357" i="3"/>
  <c r="AP358" i="3"/>
  <c r="AP359" i="3"/>
  <c r="AP360" i="3"/>
  <c r="AP361" i="3"/>
  <c r="AP369" i="3"/>
  <c r="AP370" i="3"/>
  <c r="AP371" i="3"/>
  <c r="AP372" i="3"/>
  <c r="AP375" i="3"/>
  <c r="AP376" i="3"/>
  <c r="AP377" i="3"/>
  <c r="AP378" i="3"/>
  <c r="AP379" i="3"/>
  <c r="AP380" i="3"/>
  <c r="AP381" i="3"/>
  <c r="AP386" i="3"/>
  <c r="AP393" i="3"/>
  <c r="AP394" i="3"/>
  <c r="AP395" i="3"/>
  <c r="AP396" i="3"/>
  <c r="AP397" i="3"/>
  <c r="AP398" i="3"/>
  <c r="AP399" i="3"/>
  <c r="AP400" i="3"/>
  <c r="AP401" i="3"/>
  <c r="AP402" i="3"/>
  <c r="AP403" i="3"/>
  <c r="AP404" i="3"/>
  <c r="AP409" i="3"/>
  <c r="AP422" i="3"/>
  <c r="AP423" i="3"/>
  <c r="AP424" i="3"/>
  <c r="AP425" i="3"/>
  <c r="AP426" i="3"/>
  <c r="AP427" i="3"/>
  <c r="AP428" i="3"/>
  <c r="AP429" i="3"/>
  <c r="AP430" i="3"/>
  <c r="AP431" i="3"/>
  <c r="AP432" i="3"/>
  <c r="AP438" i="3"/>
  <c r="AP439" i="3"/>
  <c r="AP440" i="3"/>
  <c r="AP441" i="3"/>
  <c r="AP456" i="3"/>
  <c r="AP457" i="3"/>
  <c r="AP458" i="3"/>
  <c r="AP459" i="3"/>
  <c r="AP461" i="3"/>
  <c r="AP462" i="3"/>
  <c r="AP463" i="3"/>
  <c r="AP464" i="3"/>
  <c r="AP465" i="3"/>
  <c r="AP466" i="3"/>
  <c r="AP467" i="3"/>
  <c r="AP468" i="3"/>
  <c r="AP469" i="3"/>
  <c r="AP470" i="3"/>
  <c r="AP471" i="3"/>
  <c r="AP476" i="3"/>
  <c r="AP477" i="3"/>
  <c r="AP478" i="3"/>
  <c r="AP479" i="3"/>
  <c r="AP480" i="3"/>
  <c r="AP481" i="3"/>
  <c r="AP482" i="3"/>
  <c r="AP486" i="3"/>
  <c r="AP487" i="3"/>
  <c r="AP488" i="3"/>
  <c r="AP489" i="3"/>
  <c r="AP490" i="3"/>
  <c r="AP491" i="3"/>
  <c r="AP492" i="3"/>
  <c r="AP493" i="3"/>
  <c r="AP494" i="3"/>
  <c r="AP495" i="3"/>
  <c r="AP496" i="3"/>
  <c r="AP497" i="3"/>
  <c r="AP498" i="3"/>
  <c r="AP502" i="3"/>
  <c r="AP503" i="3"/>
  <c r="AP504" i="3"/>
  <c r="AP505" i="3"/>
  <c r="AP506" i="3"/>
  <c r="AP507" i="3"/>
  <c r="AP508" i="3"/>
  <c r="AP509" i="3"/>
  <c r="AP530" i="3"/>
  <c r="AP633" i="3"/>
  <c r="AP635" i="3"/>
  <c r="AP636" i="3"/>
  <c r="AP637" i="3"/>
  <c r="AP638" i="3"/>
  <c r="AP639" i="3"/>
  <c r="AP640" i="3"/>
  <c r="AP641" i="3"/>
  <c r="AP642" i="3"/>
  <c r="AP643" i="3"/>
  <c r="AP644" i="3"/>
  <c r="AP645" i="3"/>
  <c r="AP646" i="3"/>
  <c r="AP647" i="3"/>
  <c r="AP648" i="3"/>
  <c r="AP676" i="3"/>
  <c r="AP677" i="3"/>
  <c r="AP678" i="3"/>
  <c r="AP679" i="3"/>
  <c r="AP680" i="3"/>
  <c r="AP681" i="3"/>
  <c r="AP682" i="3"/>
  <c r="AP687" i="3"/>
  <c r="AP688" i="3"/>
  <c r="AP689" i="3"/>
  <c r="AP690" i="3"/>
  <c r="AP691" i="3"/>
  <c r="AP692" i="3"/>
  <c r="AP693" i="3"/>
  <c r="AP695" i="3"/>
  <c r="AP696" i="3"/>
  <c r="AP697" i="3"/>
  <c r="AP699" i="3"/>
  <c r="AP700" i="3"/>
  <c r="AP701" i="3"/>
  <c r="AP702" i="3"/>
  <c r="AP703" i="3"/>
  <c r="AP704" i="3"/>
  <c r="AP705" i="3"/>
  <c r="AP706" i="3"/>
  <c r="AP707" i="3"/>
  <c r="AP708" i="3"/>
  <c r="AP709" i="3"/>
  <c r="AP714" i="3"/>
  <c r="AP715" i="3"/>
  <c r="AP716" i="3"/>
  <c r="AP717" i="3"/>
  <c r="AP718" i="3"/>
  <c r="AP719" i="3"/>
  <c r="AP721" i="3"/>
  <c r="AP723" i="3"/>
  <c r="AP724" i="3"/>
  <c r="AP725" i="3"/>
  <c r="AP726" i="3"/>
  <c r="AP727" i="3"/>
  <c r="AP728" i="3"/>
  <c r="AP729" i="3"/>
  <c r="AP730" i="3"/>
  <c r="AP731" i="3"/>
  <c r="AP732" i="3"/>
  <c r="AP733" i="3"/>
  <c r="AP734" i="3"/>
  <c r="AP735" i="3"/>
  <c r="AP736" i="3"/>
  <c r="AP757" i="3"/>
  <c r="AP759" i="3"/>
  <c r="AP760" i="3"/>
  <c r="AP769" i="3"/>
  <c r="AP771" i="3"/>
  <c r="AP778" i="3"/>
  <c r="AP779" i="3"/>
  <c r="AP780" i="3"/>
  <c r="AP781" i="3"/>
  <c r="AP782" i="3"/>
  <c r="AP783" i="3"/>
  <c r="AP784" i="3"/>
  <c r="AP785" i="3"/>
  <c r="AP786" i="3"/>
  <c r="AP787" i="3"/>
  <c r="AP788" i="3"/>
  <c r="AP789" i="3"/>
  <c r="AP790" i="3"/>
  <c r="AP791" i="3"/>
  <c r="AP792" i="3"/>
  <c r="AP793" i="3"/>
  <c r="AP794" i="3"/>
  <c r="AP795" i="3"/>
  <c r="AP796" i="3"/>
  <c r="AP797" i="3"/>
  <c r="AP798" i="3"/>
  <c r="AP799" i="3"/>
  <c r="AP800" i="3"/>
  <c r="AP808" i="3"/>
  <c r="AP809" i="3"/>
  <c r="AP810" i="3"/>
  <c r="AP811" i="3"/>
  <c r="AP812" i="3"/>
  <c r="AP813" i="3"/>
  <c r="AP814" i="3"/>
  <c r="AP815" i="3"/>
  <c r="AP816" i="3"/>
  <c r="AP817" i="3"/>
  <c r="AP818" i="3"/>
  <c r="AP819" i="3"/>
  <c r="AP820" i="3"/>
  <c r="AP822" i="3"/>
  <c r="AP824" i="3"/>
  <c r="AP825" i="3"/>
  <c r="AP826" i="3"/>
  <c r="AP832" i="3"/>
  <c r="AP833" i="3"/>
  <c r="AP834" i="3"/>
  <c r="AP835" i="3"/>
  <c r="AP836" i="3"/>
  <c r="AP837" i="3"/>
  <c r="AP838" i="3"/>
  <c r="AP839" i="3"/>
  <c r="AP840" i="3"/>
  <c r="AP841" i="3"/>
  <c r="AP842" i="3"/>
  <c r="AP843" i="3"/>
  <c r="AP844" i="3"/>
  <c r="AP845" i="3"/>
  <c r="AP849" i="3"/>
  <c r="AP850" i="3"/>
  <c r="AP851" i="3"/>
  <c r="AP852" i="3"/>
  <c r="AP853" i="3"/>
  <c r="AP854" i="3"/>
  <c r="AP855" i="3"/>
  <c r="AP856" i="3"/>
  <c r="AP857" i="3"/>
  <c r="AP858" i="3"/>
  <c r="AP859" i="3"/>
  <c r="AP860" i="3"/>
  <c r="AP861" i="3"/>
  <c r="AP862" i="3"/>
  <c r="AP863" i="3"/>
  <c r="AP864" i="3"/>
  <c r="AP867" i="3"/>
  <c r="AP868" i="3"/>
  <c r="AP869" i="3"/>
  <c r="AP870" i="3"/>
  <c r="AP871" i="3"/>
  <c r="AP872" i="3"/>
  <c r="AP873" i="3"/>
  <c r="AP874" i="3"/>
  <c r="AP875" i="3"/>
  <c r="AP876" i="3"/>
  <c r="AP877" i="3"/>
  <c r="AP878" i="3"/>
  <c r="AP879" i="3"/>
  <c r="AP880" i="3"/>
  <c r="AP884" i="3"/>
  <c r="AP885" i="3"/>
  <c r="AP886" i="3"/>
  <c r="AP887" i="3"/>
  <c r="AP888" i="3"/>
  <c r="AP889" i="3"/>
  <c r="AP890" i="3"/>
  <c r="AP891" i="3"/>
  <c r="AP892" i="3"/>
  <c r="AP893" i="3"/>
  <c r="AP894" i="3"/>
  <c r="AP895" i="3"/>
  <c r="AP896" i="3"/>
  <c r="AP897" i="3"/>
  <c r="AP898" i="3"/>
  <c r="AP899" i="3"/>
  <c r="AP900" i="3"/>
  <c r="AP901" i="3"/>
  <c r="AP902" i="3"/>
  <c r="AP903" i="3"/>
  <c r="AP904" i="3"/>
  <c r="AP905" i="3"/>
  <c r="AP906" i="3"/>
  <c r="AP907" i="3"/>
  <c r="AP908" i="3"/>
  <c r="AP909" i="3"/>
  <c r="AP911" i="3"/>
  <c r="AP912" i="3"/>
  <c r="AP914" i="3"/>
  <c r="AP915" i="3"/>
  <c r="AP918" i="3"/>
  <c r="AP919" i="3"/>
  <c r="AP921" i="3"/>
  <c r="AP923" i="3"/>
  <c r="AP925" i="3"/>
  <c r="AP927" i="3"/>
  <c r="AP930" i="3"/>
  <c r="AP931" i="3"/>
  <c r="AP932" i="3"/>
  <c r="AP933" i="3"/>
  <c r="AP935" i="3"/>
  <c r="AP936" i="3"/>
  <c r="AP937" i="3"/>
  <c r="AP938" i="3"/>
  <c r="AP939" i="3"/>
  <c r="AP940" i="3"/>
  <c r="AP941" i="3"/>
  <c r="AP942" i="3"/>
  <c r="AP943" i="3"/>
  <c r="AP944" i="3"/>
  <c r="AP945" i="3"/>
  <c r="AP951" i="3"/>
  <c r="AP954" i="3"/>
  <c r="AP955" i="3"/>
  <c r="AP956" i="3"/>
  <c r="AP957" i="3"/>
  <c r="AP958" i="3"/>
  <c r="AP959" i="3"/>
  <c r="AP960" i="3"/>
  <c r="AP967" i="3"/>
  <c r="AP974" i="3"/>
  <c r="AP975" i="3"/>
  <c r="AP976" i="3"/>
  <c r="AP977" i="3"/>
  <c r="AP978" i="3"/>
  <c r="AP979" i="3"/>
  <c r="AP980" i="3"/>
  <c r="AP981" i="3"/>
  <c r="AP982" i="3"/>
  <c r="AP983" i="3"/>
  <c r="AP984" i="3"/>
  <c r="AP985" i="3"/>
  <c r="AP994" i="3"/>
  <c r="AP1007" i="3"/>
  <c r="AP1008" i="3"/>
  <c r="AP1009" i="3"/>
  <c r="AP1010" i="3"/>
  <c r="AP1011" i="3"/>
  <c r="AP1012" i="3"/>
  <c r="AP1017" i="3"/>
  <c r="AP1018" i="3"/>
  <c r="AP1019" i="3"/>
  <c r="AP1020" i="3"/>
  <c r="AP1021" i="3"/>
  <c r="AP1022" i="3"/>
  <c r="AP1023" i="3"/>
  <c r="AP1024" i="3"/>
  <c r="AP1025" i="3"/>
  <c r="AP1026" i="3"/>
  <c r="AP1027" i="3"/>
  <c r="AP1031" i="3"/>
  <c r="AP1038" i="3"/>
  <c r="AP1039" i="3"/>
  <c r="AP1040" i="3"/>
  <c r="AP1041" i="3"/>
  <c r="AP1042" i="3"/>
  <c r="AP1043" i="3"/>
  <c r="AP1044" i="3"/>
  <c r="AP1045" i="3"/>
  <c r="AP1046" i="3"/>
  <c r="AP1047" i="3"/>
  <c r="AP1048" i="3"/>
  <c r="AP1049" i="3"/>
  <c r="AP1053" i="3"/>
  <c r="AP1055" i="3"/>
  <c r="AP1056" i="3"/>
  <c r="AP1057" i="3"/>
  <c r="AP1058" i="3"/>
  <c r="AP1059" i="3"/>
  <c r="AP1060" i="3"/>
  <c r="AP1063" i="3"/>
  <c r="AP1067" i="3"/>
  <c r="AP1068" i="3"/>
  <c r="AP1070" i="3"/>
  <c r="AP1071" i="3"/>
  <c r="AP1073" i="3"/>
  <c r="AP1074" i="3"/>
  <c r="AP1075" i="3"/>
  <c r="AP1076" i="3"/>
  <c r="AP1077" i="3"/>
  <c r="AP1078" i="3"/>
  <c r="AP1079" i="3"/>
  <c r="AP1080" i="3"/>
  <c r="AP1081" i="3"/>
  <c r="AP1082" i="3"/>
  <c r="AP1083" i="3"/>
  <c r="AP1084" i="3"/>
  <c r="AP6" i="3"/>
  <c r="AC1088" i="3"/>
  <c r="X769" i="19" l="1"/>
  <c r="Y769" i="19" s="1"/>
  <c r="X766" i="19"/>
  <c r="Y766" i="19" s="1"/>
  <c r="X764" i="19"/>
  <c r="Y764" i="19" s="1"/>
  <c r="X770" i="19"/>
  <c r="Y770" i="19" s="1"/>
  <c r="X765" i="19"/>
  <c r="Y765" i="19" s="1"/>
  <c r="X767" i="19"/>
  <c r="Y767" i="19" s="1"/>
  <c r="M734" i="9"/>
  <c r="O734" i="9" s="1"/>
  <c r="M735" i="9"/>
  <c r="O735" i="9" s="1"/>
  <c r="M729" i="9"/>
  <c r="O729" i="9" s="1"/>
  <c r="AK922" i="3"/>
  <c r="F76" i="1" l="1"/>
  <c r="AL1072" i="3" l="1"/>
  <c r="AP1072" i="3" s="1"/>
  <c r="AL1034" i="3"/>
  <c r="AP1034" i="3" s="1"/>
  <c r="AL1005" i="3"/>
  <c r="AP1005" i="3" s="1"/>
  <c r="AL1004" i="3"/>
  <c r="AP1004" i="3" s="1"/>
  <c r="AL929" i="3"/>
  <c r="AP929" i="3" s="1"/>
  <c r="AL928" i="3"/>
  <c r="AP928" i="3" s="1"/>
  <c r="AL926" i="3"/>
  <c r="AP926" i="3" s="1"/>
  <c r="AL924" i="3"/>
  <c r="AP924" i="3" s="1"/>
  <c r="AL922" i="3"/>
  <c r="AP922" i="3" s="1"/>
  <c r="AL920" i="3"/>
  <c r="AP920" i="3" s="1"/>
  <c r="AL917" i="3"/>
  <c r="AP917" i="3" s="1"/>
  <c r="AL916" i="3"/>
  <c r="AP916" i="3" s="1"/>
  <c r="AL913" i="3"/>
  <c r="AP913" i="3" s="1"/>
  <c r="AL910" i="3"/>
  <c r="AP910" i="3" s="1"/>
  <c r="AL865" i="3"/>
  <c r="AP865" i="3" s="1"/>
  <c r="AL830" i="3"/>
  <c r="AP830" i="3" s="1"/>
  <c r="AL829" i="3"/>
  <c r="AP829" i="3" s="1"/>
  <c r="AL828" i="3"/>
  <c r="AP828" i="3" s="1"/>
  <c r="AL827" i="3"/>
  <c r="AP827" i="3" s="1"/>
  <c r="AL823" i="3"/>
  <c r="AP823" i="3" s="1"/>
  <c r="AL775" i="3"/>
  <c r="AP775" i="3" s="1"/>
  <c r="AL774" i="3"/>
  <c r="AP774" i="3" s="1"/>
  <c r="AL773" i="3"/>
  <c r="AP773" i="3" s="1"/>
  <c r="AL772" i="3"/>
  <c r="AP772" i="3" s="1"/>
  <c r="AL770" i="3"/>
  <c r="AP770" i="3" s="1"/>
  <c r="AL768" i="3"/>
  <c r="AP768" i="3" s="1"/>
  <c r="AL767" i="3"/>
  <c r="AP767" i="3" s="1"/>
  <c r="AL766" i="3"/>
  <c r="AP766" i="3" s="1"/>
  <c r="AL765" i="3"/>
  <c r="AP765" i="3" s="1"/>
  <c r="AL764" i="3"/>
  <c r="AP764" i="3" s="1"/>
  <c r="AL763" i="3"/>
  <c r="AP763" i="3" s="1"/>
  <c r="AL762" i="3"/>
  <c r="AP762" i="3" s="1"/>
  <c r="AL761" i="3"/>
  <c r="AP761" i="3" s="1"/>
  <c r="AL758" i="3"/>
  <c r="AP758" i="3" s="1"/>
  <c r="AL756" i="3"/>
  <c r="AP756" i="3" s="1"/>
  <c r="E8" i="4"/>
  <c r="AM330" i="3"/>
  <c r="F6" i="4"/>
  <c r="E3" i="4"/>
  <c r="AL652" i="3" l="1"/>
  <c r="AP652" i="3" s="1"/>
  <c r="AM1072" i="3" l="1"/>
  <c r="AN1072" i="3" s="1"/>
  <c r="AL1069" i="3"/>
  <c r="AL1066" i="3"/>
  <c r="AP1066" i="3" s="1"/>
  <c r="AL1065" i="3"/>
  <c r="AL1064" i="3"/>
  <c r="AL1062" i="3"/>
  <c r="AL1061" i="3"/>
  <c r="AL1054" i="3"/>
  <c r="AP1054" i="3" s="1"/>
  <c r="AL1036" i="3"/>
  <c r="AL1035" i="3"/>
  <c r="AL1033" i="3"/>
  <c r="AP1033" i="3" s="1"/>
  <c r="AL1032" i="3"/>
  <c r="AM1005" i="3"/>
  <c r="AN1005" i="3" s="1"/>
  <c r="AL1003" i="3"/>
  <c r="AL1002" i="3"/>
  <c r="AL1001" i="3"/>
  <c r="AL1000" i="3"/>
  <c r="AL999" i="3"/>
  <c r="AL998" i="3"/>
  <c r="AP998" i="3" s="1"/>
  <c r="AL997" i="3"/>
  <c r="AP997" i="3" s="1"/>
  <c r="AL996" i="3"/>
  <c r="AP996" i="3" s="1"/>
  <c r="AL995" i="3"/>
  <c r="AP995" i="3" s="1"/>
  <c r="AL993" i="3"/>
  <c r="AL992" i="3"/>
  <c r="AL991" i="3"/>
  <c r="AP991" i="3" s="1"/>
  <c r="AL990" i="3"/>
  <c r="AP990" i="3" s="1"/>
  <c r="AL989" i="3"/>
  <c r="AP989" i="3" s="1"/>
  <c r="AL972" i="3"/>
  <c r="AL971" i="3"/>
  <c r="AP971" i="3" s="1"/>
  <c r="AL970" i="3"/>
  <c r="AL969" i="3"/>
  <c r="AL968" i="3"/>
  <c r="AP968" i="3" s="1"/>
  <c r="AL966" i="3"/>
  <c r="AL965" i="3"/>
  <c r="AL964" i="3"/>
  <c r="AL952" i="3"/>
  <c r="AL950" i="3"/>
  <c r="AP950" i="3" s="1"/>
  <c r="AL949" i="3"/>
  <c r="AL821" i="3"/>
  <c r="AL807" i="3"/>
  <c r="AL755" i="3"/>
  <c r="AL754" i="3"/>
  <c r="AL753" i="3"/>
  <c r="AL752" i="3"/>
  <c r="AL751" i="3"/>
  <c r="AL750" i="3"/>
  <c r="AL749" i="3"/>
  <c r="AL748" i="3"/>
  <c r="AL747" i="3"/>
  <c r="AP747" i="3" s="1"/>
  <c r="AL746" i="3"/>
  <c r="AL745" i="3"/>
  <c r="AL744" i="3"/>
  <c r="AL743" i="3"/>
  <c r="AL742" i="3"/>
  <c r="AL741" i="3"/>
  <c r="AL740" i="3"/>
  <c r="AL720" i="3"/>
  <c r="AL713" i="3"/>
  <c r="AL694" i="3"/>
  <c r="AL686" i="3"/>
  <c r="AP686" i="3" s="1"/>
  <c r="AL674" i="3"/>
  <c r="AP674" i="3" s="1"/>
  <c r="AL673" i="3"/>
  <c r="AL672" i="3"/>
  <c r="AL671" i="3"/>
  <c r="AL670" i="3"/>
  <c r="AL669" i="3"/>
  <c r="AL668" i="3"/>
  <c r="AP668" i="3" s="1"/>
  <c r="AL667" i="3"/>
  <c r="AP667" i="3" s="1"/>
  <c r="AL666" i="3"/>
  <c r="AP666" i="3" s="1"/>
  <c r="AL665" i="3"/>
  <c r="AP665" i="3" s="1"/>
  <c r="AL664" i="3"/>
  <c r="AP664" i="3" s="1"/>
  <c r="AL663" i="3"/>
  <c r="AL662" i="3"/>
  <c r="AL661" i="3"/>
  <c r="AL660" i="3"/>
  <c r="AL659" i="3"/>
  <c r="AL658" i="3"/>
  <c r="AL657" i="3"/>
  <c r="AL656" i="3"/>
  <c r="AP656" i="3" s="1"/>
  <c r="AL655" i="3"/>
  <c r="AP655" i="3" s="1"/>
  <c r="AL654" i="3"/>
  <c r="AP654" i="3" s="1"/>
  <c r="AL653" i="3"/>
  <c r="AP653" i="3" s="1"/>
  <c r="AL632" i="3"/>
  <c r="AP632" i="3" s="1"/>
  <c r="AL631" i="3"/>
  <c r="AP631" i="3" s="1"/>
  <c r="AL630" i="3"/>
  <c r="AP630" i="3" s="1"/>
  <c r="AL629" i="3"/>
  <c r="AP629" i="3" s="1"/>
  <c r="AL628" i="3"/>
  <c r="AP628" i="3" s="1"/>
  <c r="AL627" i="3"/>
  <c r="AP627" i="3" s="1"/>
  <c r="AL626" i="3"/>
  <c r="AP626" i="3" s="1"/>
  <c r="AL625" i="3"/>
  <c r="AP625" i="3" s="1"/>
  <c r="AL624" i="3"/>
  <c r="AP624" i="3" s="1"/>
  <c r="AL623" i="3"/>
  <c r="AP623" i="3" s="1"/>
  <c r="AL622" i="3"/>
  <c r="AP622" i="3" s="1"/>
  <c r="AL621" i="3"/>
  <c r="AP621" i="3" s="1"/>
  <c r="AL620" i="3"/>
  <c r="AP620" i="3" s="1"/>
  <c r="AL619" i="3"/>
  <c r="AP619" i="3" s="1"/>
  <c r="AL618" i="3"/>
  <c r="AP618" i="3" s="1"/>
  <c r="AL617" i="3"/>
  <c r="AP617" i="3" s="1"/>
  <c r="AL616" i="3"/>
  <c r="AP616" i="3" s="1"/>
  <c r="AL615" i="3"/>
  <c r="AP615" i="3" s="1"/>
  <c r="AL614" i="3"/>
  <c r="AP614" i="3" s="1"/>
  <c r="AL613" i="3"/>
  <c r="AP613" i="3" s="1"/>
  <c r="AL612" i="3"/>
  <c r="AP612" i="3" s="1"/>
  <c r="AL611" i="3"/>
  <c r="AP611" i="3" s="1"/>
  <c r="AL610" i="3"/>
  <c r="AP610" i="3" s="1"/>
  <c r="AL609" i="3"/>
  <c r="AP609" i="3" s="1"/>
  <c r="AL608" i="3"/>
  <c r="AP608" i="3" s="1"/>
  <c r="AL607" i="3"/>
  <c r="AP607" i="3" s="1"/>
  <c r="AL606" i="3"/>
  <c r="AP606" i="3" s="1"/>
  <c r="AL605" i="3"/>
  <c r="AP605" i="3" s="1"/>
  <c r="AL604" i="3"/>
  <c r="AP604" i="3" s="1"/>
  <c r="AL603" i="3"/>
  <c r="AP603" i="3" s="1"/>
  <c r="AL602" i="3"/>
  <c r="AP602" i="3" s="1"/>
  <c r="AL601" i="3"/>
  <c r="AP601" i="3" s="1"/>
  <c r="AL600" i="3"/>
  <c r="AP600" i="3" s="1"/>
  <c r="AL599" i="3"/>
  <c r="AP599" i="3" s="1"/>
  <c r="AL598" i="3"/>
  <c r="AP598" i="3" s="1"/>
  <c r="AL597" i="3"/>
  <c r="AP597" i="3" s="1"/>
  <c r="AL596" i="3"/>
  <c r="AP596" i="3" s="1"/>
  <c r="AL595" i="3"/>
  <c r="AP595" i="3" s="1"/>
  <c r="AL594" i="3"/>
  <c r="AP594" i="3" s="1"/>
  <c r="AL593" i="3"/>
  <c r="AP593" i="3" s="1"/>
  <c r="AL592" i="3"/>
  <c r="AP592" i="3" s="1"/>
  <c r="AL591" i="3"/>
  <c r="AP591" i="3" s="1"/>
  <c r="AL590" i="3"/>
  <c r="AL589" i="3"/>
  <c r="AP589" i="3" s="1"/>
  <c r="AL588" i="3"/>
  <c r="AP588" i="3" s="1"/>
  <c r="AL587" i="3"/>
  <c r="AP587" i="3" s="1"/>
  <c r="AL586" i="3"/>
  <c r="AP586" i="3" s="1"/>
  <c r="AL585" i="3"/>
  <c r="AP585" i="3" s="1"/>
  <c r="AL584" i="3"/>
  <c r="AP584" i="3" s="1"/>
  <c r="AL583" i="3"/>
  <c r="AP583" i="3" s="1"/>
  <c r="AL582" i="3"/>
  <c r="AP582" i="3" s="1"/>
  <c r="AL581" i="3"/>
  <c r="AP581" i="3" s="1"/>
  <c r="AL580" i="3"/>
  <c r="AP580" i="3" s="1"/>
  <c r="AL579" i="3"/>
  <c r="AP579" i="3" s="1"/>
  <c r="AL578" i="3"/>
  <c r="AP578" i="3" s="1"/>
  <c r="AL577" i="3"/>
  <c r="AP577" i="3" s="1"/>
  <c r="AL576" i="3"/>
  <c r="AP576" i="3" s="1"/>
  <c r="AL575" i="3"/>
  <c r="AP575" i="3" s="1"/>
  <c r="AL574" i="3"/>
  <c r="AP574" i="3" s="1"/>
  <c r="AL573" i="3"/>
  <c r="AP573" i="3" s="1"/>
  <c r="AL572" i="3"/>
  <c r="AP572" i="3" s="1"/>
  <c r="AL571" i="3"/>
  <c r="AP571" i="3" s="1"/>
  <c r="AL570" i="3"/>
  <c r="AP570" i="3" s="1"/>
  <c r="AL569" i="3"/>
  <c r="AP569" i="3" s="1"/>
  <c r="AL568" i="3"/>
  <c r="AP568" i="3" s="1"/>
  <c r="AL567" i="3"/>
  <c r="AP567" i="3" s="1"/>
  <c r="AL566" i="3"/>
  <c r="AP566" i="3" s="1"/>
  <c r="AL565" i="3"/>
  <c r="AP565" i="3" s="1"/>
  <c r="AL564" i="3"/>
  <c r="AP564" i="3" s="1"/>
  <c r="AL563" i="3"/>
  <c r="AP563" i="3" s="1"/>
  <c r="AL562" i="3"/>
  <c r="AP562" i="3" s="1"/>
  <c r="AL561" i="3"/>
  <c r="AP561" i="3" s="1"/>
  <c r="AL560" i="3"/>
  <c r="AP560" i="3" s="1"/>
  <c r="AL559" i="3"/>
  <c r="AP559" i="3" s="1"/>
  <c r="AL558" i="3"/>
  <c r="AL557" i="3"/>
  <c r="AP557" i="3" s="1"/>
  <c r="AL556" i="3"/>
  <c r="AP556" i="3" s="1"/>
  <c r="AL555" i="3"/>
  <c r="AP555" i="3" s="1"/>
  <c r="AL554" i="3"/>
  <c r="AP554" i="3" s="1"/>
  <c r="AL553" i="3"/>
  <c r="AP553" i="3" s="1"/>
  <c r="AL552" i="3"/>
  <c r="AP552" i="3" s="1"/>
  <c r="AL551" i="3"/>
  <c r="AP551" i="3" s="1"/>
  <c r="AL550" i="3"/>
  <c r="AP550" i="3" s="1"/>
  <c r="AL549" i="3"/>
  <c r="AL548" i="3"/>
  <c r="AP548" i="3" s="1"/>
  <c r="AL547" i="3"/>
  <c r="AP547" i="3" s="1"/>
  <c r="AL546" i="3"/>
  <c r="AP546" i="3" s="1"/>
  <c r="AL545" i="3"/>
  <c r="AP545" i="3" s="1"/>
  <c r="AL544" i="3"/>
  <c r="AP544" i="3" s="1"/>
  <c r="AL543" i="3"/>
  <c r="AP543" i="3" s="1"/>
  <c r="AL542" i="3"/>
  <c r="AP542" i="3" s="1"/>
  <c r="AL541" i="3"/>
  <c r="AP541" i="3" s="1"/>
  <c r="AL540" i="3"/>
  <c r="AP540" i="3" s="1"/>
  <c r="AL539" i="3"/>
  <c r="AL538" i="3"/>
  <c r="AP538" i="3" s="1"/>
  <c r="AL537" i="3"/>
  <c r="AP537" i="3" s="1"/>
  <c r="AL536" i="3"/>
  <c r="AP536" i="3" s="1"/>
  <c r="AL535" i="3"/>
  <c r="AP535" i="3" s="1"/>
  <c r="AL534" i="3"/>
  <c r="AP534" i="3" s="1"/>
  <c r="AL533" i="3"/>
  <c r="AP533" i="3" s="1"/>
  <c r="AL532" i="3"/>
  <c r="AP532" i="3" s="1"/>
  <c r="AL531" i="3"/>
  <c r="AP531" i="3" s="1"/>
  <c r="AL529" i="3"/>
  <c r="AP529" i="3" s="1"/>
  <c r="AL528" i="3"/>
  <c r="AP528" i="3" s="1"/>
  <c r="AL522" i="3"/>
  <c r="AL521" i="3"/>
  <c r="AL520" i="3"/>
  <c r="AP520" i="3" s="1"/>
  <c r="AL519" i="3"/>
  <c r="AL518" i="3"/>
  <c r="AL517" i="3"/>
  <c r="AL516" i="3"/>
  <c r="AP516" i="3" s="1"/>
  <c r="AL515" i="3"/>
  <c r="AL514" i="3"/>
  <c r="AL513" i="3"/>
  <c r="AP513" i="3" s="1"/>
  <c r="AL512" i="3"/>
  <c r="AL511" i="3"/>
  <c r="AP511" i="3" s="1"/>
  <c r="AL510" i="3"/>
  <c r="AL484" i="3"/>
  <c r="AP484" i="3" s="1"/>
  <c r="AL483" i="3"/>
  <c r="AP483" i="3" s="1"/>
  <c r="AL475" i="3"/>
  <c r="AL455" i="3"/>
  <c r="AP455" i="3" s="1"/>
  <c r="AL454" i="3"/>
  <c r="AL453" i="3"/>
  <c r="AL452" i="3"/>
  <c r="AL451" i="3"/>
  <c r="AL450" i="3"/>
  <c r="AL449" i="3"/>
  <c r="AL448" i="3"/>
  <c r="AL447" i="3"/>
  <c r="AP447" i="3" s="1"/>
  <c r="AL446" i="3"/>
  <c r="AP446" i="3" s="1"/>
  <c r="AL445" i="3"/>
  <c r="AP445" i="3" s="1"/>
  <c r="AL444" i="3"/>
  <c r="AP444" i="3" s="1"/>
  <c r="AL443" i="3"/>
  <c r="AP443" i="3" s="1"/>
  <c r="AL442" i="3"/>
  <c r="AP442" i="3" s="1"/>
  <c r="AL437" i="3"/>
  <c r="AL436" i="3"/>
  <c r="AP436" i="3" s="1"/>
  <c r="AL420" i="3"/>
  <c r="AL419" i="3"/>
  <c r="AL418" i="3"/>
  <c r="AL417" i="3"/>
  <c r="AL416" i="3"/>
  <c r="AP416" i="3" s="1"/>
  <c r="AL415" i="3"/>
  <c r="AL414" i="3"/>
  <c r="AP414" i="3" s="1"/>
  <c r="AL413" i="3"/>
  <c r="AP413" i="3" s="1"/>
  <c r="AL412" i="3"/>
  <c r="AL411" i="3"/>
  <c r="AP411" i="3" s="1"/>
  <c r="AL410" i="3"/>
  <c r="AP410" i="3" s="1"/>
  <c r="AL408" i="3"/>
  <c r="AP408" i="3" s="1"/>
  <c r="AL391" i="3"/>
  <c r="AP391" i="3" s="1"/>
  <c r="AL390" i="3"/>
  <c r="AP390" i="3" s="1"/>
  <c r="AL389" i="3"/>
  <c r="AP389" i="3" s="1"/>
  <c r="AL388" i="3"/>
  <c r="AP388" i="3" s="1"/>
  <c r="AL387" i="3"/>
  <c r="AL385" i="3"/>
  <c r="AP385" i="3" s="1"/>
  <c r="AL373" i="3"/>
  <c r="AP373" i="3" s="1"/>
  <c r="AL368" i="3"/>
  <c r="AL367" i="3"/>
  <c r="AP367" i="3" s="1"/>
  <c r="AL366" i="3"/>
  <c r="AL365" i="3"/>
  <c r="AP365" i="3" s="1"/>
  <c r="AL349" i="3"/>
  <c r="AP349" i="3" s="1"/>
  <c r="AL348" i="3"/>
  <c r="AL347" i="3"/>
  <c r="AP347" i="3" s="1"/>
  <c r="AL346" i="3"/>
  <c r="AP346" i="3" s="1"/>
  <c r="AL345" i="3"/>
  <c r="AP345" i="3" s="1"/>
  <c r="AL344" i="3"/>
  <c r="AP344" i="3" s="1"/>
  <c r="AL333" i="3"/>
  <c r="AP333" i="3" s="1"/>
  <c r="AL331" i="3"/>
  <c r="AL329" i="3"/>
  <c r="AL327" i="3"/>
  <c r="AP327" i="3" s="1"/>
  <c r="AL325" i="3"/>
  <c r="AL317" i="3"/>
  <c r="AP317" i="3" s="1"/>
  <c r="AL298" i="3"/>
  <c r="AP298" i="3" s="1"/>
  <c r="AL294" i="3"/>
  <c r="AP294" i="3" s="1"/>
  <c r="AL277" i="3"/>
  <c r="AL274" i="3"/>
  <c r="AL273" i="3"/>
  <c r="AL271" i="3"/>
  <c r="AP271" i="3" s="1"/>
  <c r="AL269" i="3"/>
  <c r="AP269" i="3" s="1"/>
  <c r="AL255" i="3"/>
  <c r="AL254" i="3"/>
  <c r="AL250" i="3"/>
  <c r="AL249" i="3"/>
  <c r="AL247" i="3"/>
  <c r="AL244" i="3"/>
  <c r="AL242" i="3"/>
  <c r="AP242" i="3" s="1"/>
  <c r="AL241" i="3"/>
  <c r="AP241" i="3" s="1"/>
  <c r="AL239" i="3"/>
  <c r="AL238" i="3"/>
  <c r="AL237" i="3"/>
  <c r="AL236" i="3"/>
  <c r="AP236" i="3" s="1"/>
  <c r="AL223" i="3"/>
  <c r="AL222" i="3"/>
  <c r="AL220" i="3"/>
  <c r="AL219" i="3"/>
  <c r="AP219" i="3" s="1"/>
  <c r="AL216" i="3"/>
  <c r="AL215" i="3"/>
  <c r="AL214" i="3"/>
  <c r="AL213" i="3"/>
  <c r="AL212" i="3"/>
  <c r="AP212" i="3" s="1"/>
  <c r="AL211" i="3"/>
  <c r="AP211" i="3" s="1"/>
  <c r="AL190" i="3"/>
  <c r="AP190" i="3" s="1"/>
  <c r="AL178" i="3"/>
  <c r="AP178" i="3" s="1"/>
  <c r="AL153" i="3"/>
  <c r="AL152" i="3"/>
  <c r="AL150" i="3"/>
  <c r="AL149" i="3"/>
  <c r="AP149" i="3" s="1"/>
  <c r="AL133" i="3"/>
  <c r="AP133" i="3" s="1"/>
  <c r="AL132" i="3"/>
  <c r="AP132" i="3" s="1"/>
  <c r="AL131" i="3"/>
  <c r="AP131" i="3" s="1"/>
  <c r="AL116" i="3"/>
  <c r="AL104" i="3"/>
  <c r="AL103" i="3"/>
  <c r="AP103" i="3" s="1"/>
  <c r="AL102" i="3"/>
  <c r="AL101" i="3"/>
  <c r="AP101" i="3" s="1"/>
  <c r="AL99" i="3"/>
  <c r="AP99" i="3" s="1"/>
  <c r="AL98" i="3"/>
  <c r="AL80" i="3"/>
  <c r="AL79" i="3"/>
  <c r="AL76" i="3"/>
  <c r="AL74" i="3"/>
  <c r="AL72" i="3"/>
  <c r="AL71" i="3"/>
  <c r="AL48" i="3"/>
  <c r="AP48" i="3" s="1"/>
  <c r="AL47" i="3"/>
  <c r="AP47" i="3" s="1"/>
  <c r="AL46" i="3"/>
  <c r="AP46" i="3" s="1"/>
  <c r="AL45" i="3"/>
  <c r="AL44" i="3"/>
  <c r="AP44" i="3" s="1"/>
  <c r="AL43" i="3"/>
  <c r="AP43" i="3" s="1"/>
  <c r="AL42" i="3"/>
  <c r="AP42" i="3" s="1"/>
  <c r="AL41" i="3"/>
  <c r="AL40" i="3"/>
  <c r="AP40" i="3" s="1"/>
  <c r="AL39" i="3"/>
  <c r="AP39" i="3" s="1"/>
  <c r="AL38" i="3"/>
  <c r="AP38" i="3" s="1"/>
  <c r="AL37" i="3"/>
  <c r="AP37" i="3" s="1"/>
  <c r="AL35" i="3"/>
  <c r="AP35" i="3" s="1"/>
  <c r="AL33" i="3"/>
  <c r="AP33" i="3" s="1"/>
  <c r="AL32" i="3"/>
  <c r="AP32" i="3" s="1"/>
  <c r="AL15" i="3"/>
  <c r="AP15" i="3" s="1"/>
  <c r="AL14" i="3"/>
  <c r="AP14" i="3" s="1"/>
  <c r="AL13" i="3"/>
  <c r="AP13" i="3" s="1"/>
  <c r="AL12" i="3"/>
  <c r="AP12" i="3" s="1"/>
  <c r="AL10" i="3"/>
  <c r="AP10" i="3" s="1"/>
  <c r="AL9" i="3"/>
  <c r="AM4" i="3"/>
  <c r="AN4" i="3" s="1"/>
  <c r="AM5" i="3"/>
  <c r="AN5" i="3" s="1"/>
  <c r="AM8" i="3"/>
  <c r="AN8" i="3" s="1"/>
  <c r="AM11" i="3"/>
  <c r="AN11" i="3" s="1"/>
  <c r="AM18" i="3"/>
  <c r="AN18" i="3" s="1"/>
  <c r="AM22" i="3"/>
  <c r="AN22" i="3" s="1"/>
  <c r="AM24" i="3"/>
  <c r="AN24" i="3" s="1"/>
  <c r="AM25" i="3"/>
  <c r="AN25" i="3" s="1"/>
  <c r="AM34" i="3"/>
  <c r="AN34" i="3" s="1"/>
  <c r="AM36" i="3"/>
  <c r="AN36" i="3" s="1"/>
  <c r="AM51" i="3"/>
  <c r="AN51" i="3" s="1"/>
  <c r="AM52" i="3"/>
  <c r="AN52" i="3" s="1"/>
  <c r="AM53" i="3"/>
  <c r="AN53" i="3" s="1"/>
  <c r="AM58" i="3"/>
  <c r="AN58" i="3" s="1"/>
  <c r="AN60" i="3"/>
  <c r="AM61" i="3"/>
  <c r="AN61" i="3" s="1"/>
  <c r="AM62" i="3"/>
  <c r="AN62" i="3" s="1"/>
  <c r="AM64" i="3"/>
  <c r="AN64" i="3" s="1"/>
  <c r="AM65" i="3"/>
  <c r="AN65" i="3" s="1"/>
  <c r="AM73" i="3"/>
  <c r="AN73" i="3" s="1"/>
  <c r="AM75" i="3"/>
  <c r="AN75" i="3" s="1"/>
  <c r="AM77" i="3"/>
  <c r="AN77" i="3" s="1"/>
  <c r="AM78" i="3"/>
  <c r="AN78" i="3" s="1"/>
  <c r="AM81" i="3"/>
  <c r="AN81" i="3" s="1"/>
  <c r="AM85" i="3"/>
  <c r="AN85" i="3" s="1"/>
  <c r="AM86" i="3"/>
  <c r="AN86" i="3" s="1"/>
  <c r="AM88" i="3"/>
  <c r="AN88" i="3" s="1"/>
  <c r="AM89" i="3"/>
  <c r="AN89" i="3" s="1"/>
  <c r="AM90" i="3"/>
  <c r="AN90" i="3" s="1"/>
  <c r="AM92" i="3"/>
  <c r="AN92" i="3" s="1"/>
  <c r="AM100" i="3"/>
  <c r="AN100" i="3" s="1"/>
  <c r="AM105" i="3"/>
  <c r="AN105" i="3" s="1"/>
  <c r="AM115" i="3"/>
  <c r="AN115" i="3" s="1"/>
  <c r="AM120" i="3"/>
  <c r="AN120" i="3" s="1"/>
  <c r="AM122" i="3"/>
  <c r="AN122" i="3" s="1"/>
  <c r="AM129" i="3"/>
  <c r="AN129" i="3" s="1"/>
  <c r="AM130" i="3"/>
  <c r="AN130" i="3" s="1"/>
  <c r="AM134" i="3"/>
  <c r="AN134" i="3" s="1"/>
  <c r="AM135" i="3"/>
  <c r="AN135" i="3" s="1"/>
  <c r="AM136" i="3"/>
  <c r="AN136" i="3" s="1"/>
  <c r="AM137" i="3"/>
  <c r="AN137" i="3" s="1"/>
  <c r="AM142" i="3"/>
  <c r="AN142" i="3" s="1"/>
  <c r="AM151" i="3"/>
  <c r="AN151" i="3" s="1"/>
  <c r="AM157" i="3"/>
  <c r="AN157" i="3" s="1"/>
  <c r="AM158" i="3"/>
  <c r="AN158" i="3" s="1"/>
  <c r="AM160" i="3"/>
  <c r="AN160" i="3" s="1"/>
  <c r="AM161" i="3"/>
  <c r="AN161" i="3" s="1"/>
  <c r="AM163" i="3"/>
  <c r="AN163" i="3" s="1"/>
  <c r="AM171" i="3"/>
  <c r="AN171" i="3" s="1"/>
  <c r="AM173" i="3"/>
  <c r="AN173" i="3" s="1"/>
  <c r="AM183" i="3"/>
  <c r="AN183" i="3" s="1"/>
  <c r="AM191" i="3"/>
  <c r="AN191" i="3" s="1"/>
  <c r="AM192" i="3"/>
  <c r="AN192" i="3" s="1"/>
  <c r="AM193" i="3"/>
  <c r="AN193" i="3" s="1"/>
  <c r="AM198" i="3"/>
  <c r="AN198" i="3" s="1"/>
  <c r="AM199" i="3"/>
  <c r="AN199" i="3" s="1"/>
  <c r="AM204" i="3"/>
  <c r="AN204" i="3" s="1"/>
  <c r="AM217" i="3"/>
  <c r="AN217" i="3" s="1"/>
  <c r="AM218" i="3"/>
  <c r="AN218" i="3" s="1"/>
  <c r="AM221" i="3"/>
  <c r="AN221" i="3" s="1"/>
  <c r="AM224" i="3"/>
  <c r="AN224" i="3" s="1"/>
  <c r="AM229" i="3"/>
  <c r="AN229" i="3" s="1"/>
  <c r="AM240" i="3"/>
  <c r="AN240" i="3" s="1"/>
  <c r="AM243" i="3"/>
  <c r="AN243" i="3" s="1"/>
  <c r="AM245" i="3"/>
  <c r="AN245" i="3" s="1"/>
  <c r="AM246" i="3"/>
  <c r="AN246" i="3" s="1"/>
  <c r="AM248" i="3"/>
  <c r="AN248" i="3" s="1"/>
  <c r="AM251" i="3"/>
  <c r="AN251" i="3" s="1"/>
  <c r="AM252" i="3"/>
  <c r="AN252" i="3" s="1"/>
  <c r="AM253" i="3"/>
  <c r="AN253" i="3" s="1"/>
  <c r="AM256" i="3"/>
  <c r="AN256" i="3" s="1"/>
  <c r="AM257" i="3"/>
  <c r="AN257" i="3" s="1"/>
  <c r="AM262" i="3"/>
  <c r="AN262" i="3" s="1"/>
  <c r="AM270" i="3"/>
  <c r="AN270" i="3" s="1"/>
  <c r="AM272" i="3"/>
  <c r="AN272" i="3" s="1"/>
  <c r="AM275" i="3"/>
  <c r="AN275" i="3" s="1"/>
  <c r="AM276" i="3"/>
  <c r="AN276" i="3" s="1"/>
  <c r="AM278" i="3"/>
  <c r="AN278" i="3" s="1"/>
  <c r="AM279" i="3"/>
  <c r="AN279" i="3" s="1"/>
  <c r="AM280" i="3"/>
  <c r="AN280" i="3" s="1"/>
  <c r="AM281" i="3"/>
  <c r="AN281" i="3" s="1"/>
  <c r="AM283" i="3"/>
  <c r="AN283" i="3" s="1"/>
  <c r="AM287" i="3"/>
  <c r="AN287" i="3" s="1"/>
  <c r="AM295" i="3"/>
  <c r="AN295" i="3" s="1"/>
  <c r="AM296" i="3"/>
  <c r="AN296" i="3" s="1"/>
  <c r="AM297" i="3"/>
  <c r="AN297" i="3" s="1"/>
  <c r="AM303" i="3"/>
  <c r="AM305" i="3"/>
  <c r="AN305" i="3" s="1"/>
  <c r="AM306" i="3"/>
  <c r="AN306" i="3" s="1"/>
  <c r="AM307" i="3"/>
  <c r="AN307" i="3" s="1"/>
  <c r="AM308" i="3"/>
  <c r="AN308" i="3" s="1"/>
  <c r="AM310" i="3"/>
  <c r="AN310" i="3" s="1"/>
  <c r="AM311" i="3"/>
  <c r="AN311" i="3" s="1"/>
  <c r="AM318" i="3"/>
  <c r="AN318" i="3" s="1"/>
  <c r="AM319" i="3"/>
  <c r="AN319" i="3" s="1"/>
  <c r="AM320" i="3"/>
  <c r="AN320" i="3" s="1"/>
  <c r="AM321" i="3"/>
  <c r="AN321" i="3" s="1"/>
  <c r="AM322" i="3"/>
  <c r="AN322" i="3" s="1"/>
  <c r="AM323" i="3"/>
  <c r="AN323" i="3" s="1"/>
  <c r="AM324" i="3"/>
  <c r="AN324" i="3" s="1"/>
  <c r="AM326" i="3"/>
  <c r="AN326" i="3" s="1"/>
  <c r="AM328" i="3"/>
  <c r="AN328" i="3" s="1"/>
  <c r="AN330" i="3"/>
  <c r="AM332" i="3"/>
  <c r="AN332" i="3" s="1"/>
  <c r="AM355" i="3"/>
  <c r="AN355" i="3" s="1"/>
  <c r="AM358" i="3"/>
  <c r="AN358" i="3" s="1"/>
  <c r="AM369" i="3"/>
  <c r="AN369" i="3" s="1"/>
  <c r="AM370" i="3"/>
  <c r="AN370" i="3" s="1"/>
  <c r="AM371" i="3"/>
  <c r="AN371" i="3" s="1"/>
  <c r="AM372" i="3"/>
  <c r="AN372" i="3" s="1"/>
  <c r="AM378" i="3"/>
  <c r="AN378" i="3" s="1"/>
  <c r="AM386" i="3"/>
  <c r="AN386" i="3" s="1"/>
  <c r="AM395" i="3"/>
  <c r="AN395" i="3" s="1"/>
  <c r="AM397" i="3"/>
  <c r="AN397" i="3" s="1"/>
  <c r="AM398" i="3"/>
  <c r="AN398" i="3" s="1"/>
  <c r="AM399" i="3"/>
  <c r="AN399" i="3" s="1"/>
  <c r="AM401" i="3"/>
  <c r="AN401" i="3" s="1"/>
  <c r="AM402" i="3"/>
  <c r="AN402" i="3" s="1"/>
  <c r="AM409" i="3"/>
  <c r="AN409" i="3" s="1"/>
  <c r="AM424" i="3"/>
  <c r="AN424" i="3" s="1"/>
  <c r="AM426" i="3"/>
  <c r="AN426" i="3" s="1"/>
  <c r="AM427" i="3"/>
  <c r="AN427" i="3" s="1"/>
  <c r="AM428" i="3"/>
  <c r="AN428" i="3" s="1"/>
  <c r="AM430" i="3"/>
  <c r="AN430" i="3" s="1"/>
  <c r="AM438" i="3"/>
  <c r="AN438" i="3" s="1"/>
  <c r="AM439" i="3"/>
  <c r="AN439" i="3" s="1"/>
  <c r="AM440" i="3"/>
  <c r="AN440" i="3" s="1"/>
  <c r="AM441" i="3"/>
  <c r="AN441" i="3" s="1"/>
  <c r="AM464" i="3"/>
  <c r="AN464" i="3" s="1"/>
  <c r="AM465" i="3"/>
  <c r="AN465" i="3" s="1"/>
  <c r="AM466" i="3"/>
  <c r="AN466" i="3" s="1"/>
  <c r="AM467" i="3"/>
  <c r="AN467" i="3" s="1"/>
  <c r="AM469" i="3"/>
  <c r="AN469" i="3" s="1"/>
  <c r="AM476" i="3"/>
  <c r="AN476" i="3" s="1"/>
  <c r="AM477" i="3"/>
  <c r="AN477" i="3" s="1"/>
  <c r="AM478" i="3"/>
  <c r="AN478" i="3" s="1"/>
  <c r="AM479" i="3"/>
  <c r="AN479" i="3" s="1"/>
  <c r="AM480" i="3"/>
  <c r="AN480" i="3" s="1"/>
  <c r="AM481" i="3"/>
  <c r="AN481" i="3" s="1"/>
  <c r="AM482" i="3"/>
  <c r="AN482" i="3" s="1"/>
  <c r="AM488" i="3"/>
  <c r="AN488" i="3" s="1"/>
  <c r="AM490" i="3"/>
  <c r="AN490" i="3" s="1"/>
  <c r="AM491" i="3"/>
  <c r="AN491" i="3" s="1"/>
  <c r="AM492" i="3"/>
  <c r="AN492" i="3" s="1"/>
  <c r="AM493" i="3"/>
  <c r="AN493" i="3" s="1"/>
  <c r="AM495" i="3"/>
  <c r="AN495" i="3" s="1"/>
  <c r="AM496" i="3"/>
  <c r="AN496" i="3" s="1"/>
  <c r="AM502" i="3"/>
  <c r="AN502" i="3" s="1"/>
  <c r="AM503" i="3"/>
  <c r="AN503" i="3" s="1"/>
  <c r="AM504" i="3"/>
  <c r="AN504" i="3" s="1"/>
  <c r="AM505" i="3"/>
  <c r="AN505" i="3" s="1"/>
  <c r="AM506" i="3"/>
  <c r="AN506" i="3" s="1"/>
  <c r="AM507" i="3"/>
  <c r="AN507" i="3" s="1"/>
  <c r="AM508" i="3"/>
  <c r="AN508" i="3" s="1"/>
  <c r="AM509" i="3"/>
  <c r="AN509" i="3" s="1"/>
  <c r="AM530" i="3"/>
  <c r="AN530" i="3" s="1"/>
  <c r="AM633" i="3"/>
  <c r="AN633" i="3" s="1"/>
  <c r="AM637" i="3"/>
  <c r="AN637" i="3" s="1"/>
  <c r="AM638" i="3"/>
  <c r="AN638" i="3" s="1"/>
  <c r="AM640" i="3"/>
  <c r="AN640" i="3" s="1"/>
  <c r="AM641" i="3"/>
  <c r="AN641" i="3" s="1"/>
  <c r="AM642" i="3"/>
  <c r="AN642" i="3" s="1"/>
  <c r="AM643" i="3"/>
  <c r="AN643" i="3" s="1"/>
  <c r="AM645" i="3"/>
  <c r="AN645" i="3" s="1"/>
  <c r="AM646" i="3"/>
  <c r="AN646" i="3" s="1"/>
  <c r="AM652" i="3"/>
  <c r="AN652" i="3" s="1"/>
  <c r="AM679" i="3"/>
  <c r="AN679" i="3" s="1"/>
  <c r="AM687" i="3"/>
  <c r="AN687" i="3" s="1"/>
  <c r="AM688" i="3"/>
  <c r="AN688" i="3" s="1"/>
  <c r="AM689" i="3"/>
  <c r="AN689" i="3" s="1"/>
  <c r="AM690" i="3"/>
  <c r="AN690" i="3" s="1"/>
  <c r="AM691" i="3"/>
  <c r="AN691" i="3" s="1"/>
  <c r="AM692" i="3"/>
  <c r="AN692" i="3" s="1"/>
  <c r="AM693" i="3"/>
  <c r="AN693" i="3" s="1"/>
  <c r="AM701" i="3"/>
  <c r="AN701" i="3" s="1"/>
  <c r="AM702" i="3"/>
  <c r="AN702" i="3" s="1"/>
  <c r="AM703" i="3"/>
  <c r="AN703" i="3" s="1"/>
  <c r="AM704" i="3"/>
  <c r="AN704" i="3" s="1"/>
  <c r="AM706" i="3"/>
  <c r="AN706" i="3" s="1"/>
  <c r="AM707" i="3"/>
  <c r="AN707" i="3" s="1"/>
  <c r="AM714" i="3"/>
  <c r="AN714" i="3" s="1"/>
  <c r="AM715" i="3"/>
  <c r="AN715" i="3" s="1"/>
  <c r="AM716" i="3"/>
  <c r="AN716" i="3" s="1"/>
  <c r="AM717" i="3"/>
  <c r="AN717" i="3" s="1"/>
  <c r="AM718" i="3"/>
  <c r="AN718" i="3" s="1"/>
  <c r="AM719" i="3"/>
  <c r="AN719" i="3" s="1"/>
  <c r="AM721" i="3"/>
  <c r="AN721" i="3" s="1"/>
  <c r="AM725" i="3"/>
  <c r="AN725" i="3" s="1"/>
  <c r="AM726" i="3"/>
  <c r="AN726" i="3" s="1"/>
  <c r="AM728" i="3"/>
  <c r="AN728" i="3" s="1"/>
  <c r="AM729" i="3"/>
  <c r="AN729" i="3" s="1"/>
  <c r="AM730" i="3"/>
  <c r="AN730" i="3" s="1"/>
  <c r="AM732" i="3"/>
  <c r="AN732" i="3" s="1"/>
  <c r="AM733" i="3"/>
  <c r="AN733" i="3" s="1"/>
  <c r="AM734" i="3"/>
  <c r="AN734" i="3" s="1"/>
  <c r="AM756" i="3"/>
  <c r="AN756" i="3" s="1"/>
  <c r="AM757" i="3"/>
  <c r="AN757" i="3" s="1"/>
  <c r="AM758" i="3"/>
  <c r="AN758" i="3" s="1"/>
  <c r="AM759" i="3"/>
  <c r="AN759" i="3" s="1"/>
  <c r="AM760" i="3"/>
  <c r="AN760" i="3" s="1"/>
  <c r="AM761" i="3"/>
  <c r="AN761" i="3" s="1"/>
  <c r="AM762" i="3"/>
  <c r="AN762" i="3" s="1"/>
  <c r="AM763" i="3"/>
  <c r="AN763" i="3" s="1"/>
  <c r="AM764" i="3"/>
  <c r="AN764" i="3" s="1"/>
  <c r="AM765" i="3"/>
  <c r="AN765" i="3" s="1"/>
  <c r="AM766" i="3"/>
  <c r="AN766" i="3" s="1"/>
  <c r="AM767" i="3"/>
  <c r="AN767" i="3" s="1"/>
  <c r="AM768" i="3"/>
  <c r="AN768" i="3" s="1"/>
  <c r="AM769" i="3"/>
  <c r="AN769" i="3" s="1"/>
  <c r="AM770" i="3"/>
  <c r="AN770" i="3" s="1"/>
  <c r="AM771" i="3"/>
  <c r="AN771" i="3" s="1"/>
  <c r="AM772" i="3"/>
  <c r="AN772" i="3" s="1"/>
  <c r="AM773" i="3"/>
  <c r="AN773" i="3" s="1"/>
  <c r="AM774" i="3"/>
  <c r="AN774" i="3" s="1"/>
  <c r="AM775" i="3"/>
  <c r="AN775" i="3" s="1"/>
  <c r="AM781" i="3"/>
  <c r="AN781" i="3" s="1"/>
  <c r="AM784" i="3"/>
  <c r="AN784" i="3" s="1"/>
  <c r="AM785" i="3"/>
  <c r="AN785" i="3" s="1"/>
  <c r="AM786" i="3"/>
  <c r="AN786" i="3" s="1"/>
  <c r="AM787" i="3"/>
  <c r="AN787" i="3" s="1"/>
  <c r="AM788" i="3"/>
  <c r="AN788" i="3" s="1"/>
  <c r="AM789" i="3"/>
  <c r="AN789" i="3" s="1"/>
  <c r="AM790" i="3"/>
  <c r="AN790" i="3" s="1"/>
  <c r="AM793" i="3"/>
  <c r="AN793" i="3" s="1"/>
  <c r="AM794" i="3"/>
  <c r="AN794" i="3" s="1"/>
  <c r="AM795" i="3"/>
  <c r="AN795" i="3" s="1"/>
  <c r="AM796" i="3"/>
  <c r="AN796" i="3" s="1"/>
  <c r="AM808" i="3"/>
  <c r="AN808" i="3" s="1"/>
  <c r="AM809" i="3"/>
  <c r="AN809" i="3" s="1"/>
  <c r="AM810" i="3"/>
  <c r="AN810" i="3" s="1"/>
  <c r="AM811" i="3"/>
  <c r="AN811" i="3" s="1"/>
  <c r="AM812" i="3"/>
  <c r="AN812" i="3" s="1"/>
  <c r="AM813" i="3"/>
  <c r="AN813" i="3" s="1"/>
  <c r="AM814" i="3"/>
  <c r="AN814" i="3" s="1"/>
  <c r="AM815" i="3"/>
  <c r="AN815" i="3" s="1"/>
  <c r="AM816" i="3"/>
  <c r="AN816" i="3" s="1"/>
  <c r="AM817" i="3"/>
  <c r="AN817" i="3" s="1"/>
  <c r="AM818" i="3"/>
  <c r="AN818" i="3" s="1"/>
  <c r="AM819" i="3"/>
  <c r="AN819" i="3" s="1"/>
  <c r="AM820" i="3"/>
  <c r="AN820" i="3" s="1"/>
  <c r="AM822" i="3"/>
  <c r="AN822" i="3" s="1"/>
  <c r="AM823" i="3"/>
  <c r="AN823" i="3" s="1"/>
  <c r="AM824" i="3"/>
  <c r="AN824" i="3" s="1"/>
  <c r="AM825" i="3"/>
  <c r="AN825" i="3" s="1"/>
  <c r="AM826" i="3"/>
  <c r="AN826" i="3" s="1"/>
  <c r="AM827" i="3"/>
  <c r="AN827" i="3" s="1"/>
  <c r="AM828" i="3"/>
  <c r="AN828" i="3" s="1"/>
  <c r="AM829" i="3"/>
  <c r="AN829" i="3" s="1"/>
  <c r="AM830" i="3"/>
  <c r="AN830" i="3" s="1"/>
  <c r="AM834" i="3"/>
  <c r="AN834" i="3" s="1"/>
  <c r="AM836" i="3"/>
  <c r="AN836" i="3" s="1"/>
  <c r="AM837" i="3"/>
  <c r="AN837" i="3" s="1"/>
  <c r="AM838" i="3"/>
  <c r="AN838" i="3" s="1"/>
  <c r="AM839" i="3"/>
  <c r="AN839" i="3" s="1"/>
  <c r="AM840" i="3"/>
  <c r="AN840" i="3" s="1"/>
  <c r="AM842" i="3"/>
  <c r="AN842" i="3" s="1"/>
  <c r="AM843" i="3"/>
  <c r="AN843" i="3" s="1"/>
  <c r="AM849" i="3"/>
  <c r="AN849" i="3" s="1"/>
  <c r="AM850" i="3"/>
  <c r="AN850" i="3" s="1"/>
  <c r="AM851" i="3"/>
  <c r="AN851" i="3" s="1"/>
  <c r="AM852" i="3"/>
  <c r="AN852" i="3" s="1"/>
  <c r="AM853" i="3"/>
  <c r="AN853" i="3" s="1"/>
  <c r="AM854" i="3"/>
  <c r="AN854" i="3" s="1"/>
  <c r="AM855" i="3"/>
  <c r="AN855" i="3" s="1"/>
  <c r="AM856" i="3"/>
  <c r="AN856" i="3" s="1"/>
  <c r="AM857" i="3"/>
  <c r="AN857" i="3" s="1"/>
  <c r="AM858" i="3"/>
  <c r="AN858" i="3" s="1"/>
  <c r="AM859" i="3"/>
  <c r="AN859" i="3" s="1"/>
  <c r="AM860" i="3"/>
  <c r="AN860" i="3" s="1"/>
  <c r="AM861" i="3"/>
  <c r="AN861" i="3" s="1"/>
  <c r="AM862" i="3"/>
  <c r="AN862" i="3" s="1"/>
  <c r="AM863" i="3"/>
  <c r="AN863" i="3" s="1"/>
  <c r="AM864" i="3"/>
  <c r="AN864" i="3" s="1"/>
  <c r="AM865" i="3"/>
  <c r="AN865" i="3" s="1"/>
  <c r="AM869" i="3"/>
  <c r="AN869" i="3" s="1"/>
  <c r="AM870" i="3"/>
  <c r="AN870" i="3" s="1"/>
  <c r="AM872" i="3"/>
  <c r="AN872" i="3" s="1"/>
  <c r="AM873" i="3"/>
  <c r="AN873" i="3" s="1"/>
  <c r="AM874" i="3"/>
  <c r="AN874" i="3" s="1"/>
  <c r="AM875" i="3"/>
  <c r="AN875" i="3" s="1"/>
  <c r="AM876" i="3"/>
  <c r="AN876" i="3" s="1"/>
  <c r="AM878" i="3"/>
  <c r="AN878" i="3" s="1"/>
  <c r="AM884" i="3"/>
  <c r="AN884" i="3" s="1"/>
  <c r="AM885" i="3"/>
  <c r="AN885" i="3" s="1"/>
  <c r="AM886" i="3"/>
  <c r="AN886" i="3" s="1"/>
  <c r="AM887" i="3"/>
  <c r="AN887" i="3" s="1"/>
  <c r="AM888" i="3"/>
  <c r="AN888" i="3" s="1"/>
  <c r="AM889" i="3"/>
  <c r="AN889" i="3" s="1"/>
  <c r="AM890" i="3"/>
  <c r="AN890" i="3" s="1"/>
  <c r="AM891" i="3"/>
  <c r="AN891" i="3" s="1"/>
  <c r="AM892" i="3"/>
  <c r="AN892" i="3" s="1"/>
  <c r="AM893" i="3"/>
  <c r="AN893" i="3" s="1"/>
  <c r="AM894" i="3"/>
  <c r="AN894" i="3" s="1"/>
  <c r="AM895" i="3"/>
  <c r="AN895" i="3" s="1"/>
  <c r="AM896" i="3"/>
  <c r="AN896" i="3" s="1"/>
  <c r="AM897" i="3"/>
  <c r="AN897" i="3" s="1"/>
  <c r="AM898" i="3"/>
  <c r="AN898" i="3" s="1"/>
  <c r="AM899" i="3"/>
  <c r="AN899" i="3" s="1"/>
  <c r="AM900" i="3"/>
  <c r="AN900" i="3" s="1"/>
  <c r="AM901" i="3"/>
  <c r="AN901" i="3" s="1"/>
  <c r="AM902" i="3"/>
  <c r="AN902" i="3" s="1"/>
  <c r="AM903" i="3"/>
  <c r="AN903" i="3" s="1"/>
  <c r="AM904" i="3"/>
  <c r="AN904" i="3" s="1"/>
  <c r="AM905" i="3"/>
  <c r="AN905" i="3" s="1"/>
  <c r="AM906" i="3"/>
  <c r="AN906" i="3" s="1"/>
  <c r="AM907" i="3"/>
  <c r="AN907" i="3" s="1"/>
  <c r="AM908" i="3"/>
  <c r="AN908" i="3" s="1"/>
  <c r="AM909" i="3"/>
  <c r="AN909" i="3" s="1"/>
  <c r="AM910" i="3"/>
  <c r="AN910" i="3" s="1"/>
  <c r="AM911" i="3"/>
  <c r="AN911" i="3" s="1"/>
  <c r="AM912" i="3"/>
  <c r="AN912" i="3" s="1"/>
  <c r="AM913" i="3"/>
  <c r="AN913" i="3" s="1"/>
  <c r="AM914" i="3"/>
  <c r="AN914" i="3" s="1"/>
  <c r="AM915" i="3"/>
  <c r="AN915" i="3" s="1"/>
  <c r="AM916" i="3"/>
  <c r="AN916" i="3" s="1"/>
  <c r="AM917" i="3"/>
  <c r="AN917" i="3" s="1"/>
  <c r="AM918" i="3"/>
  <c r="AN918" i="3" s="1"/>
  <c r="AM919" i="3"/>
  <c r="AN919" i="3" s="1"/>
  <c r="AM920" i="3"/>
  <c r="AN920" i="3" s="1"/>
  <c r="AM921" i="3"/>
  <c r="AN921" i="3" s="1"/>
  <c r="AM922" i="3"/>
  <c r="AN922" i="3" s="1"/>
  <c r="AM923" i="3"/>
  <c r="AN923" i="3" s="1"/>
  <c r="AM924" i="3"/>
  <c r="AN924" i="3" s="1"/>
  <c r="AM925" i="3"/>
  <c r="AN925" i="3" s="1"/>
  <c r="AM926" i="3"/>
  <c r="AN926" i="3" s="1"/>
  <c r="AM927" i="3"/>
  <c r="AN927" i="3" s="1"/>
  <c r="AM928" i="3"/>
  <c r="AN928" i="3" s="1"/>
  <c r="AM929" i="3"/>
  <c r="AN929" i="3" s="1"/>
  <c r="AM937" i="3"/>
  <c r="AN937" i="3" s="1"/>
  <c r="AM939" i="3"/>
  <c r="AN939" i="3" s="1"/>
  <c r="AM940" i="3"/>
  <c r="AN940" i="3" s="1"/>
  <c r="AM942" i="3"/>
  <c r="AN942" i="3" s="1"/>
  <c r="AM943" i="3"/>
  <c r="AN943" i="3" s="1"/>
  <c r="AM951" i="3"/>
  <c r="AN951" i="3" s="1"/>
  <c r="AM957" i="3"/>
  <c r="AN957" i="3" s="1"/>
  <c r="AM967" i="3"/>
  <c r="AN967" i="3" s="1"/>
  <c r="AM976" i="3"/>
  <c r="AN976" i="3" s="1"/>
  <c r="AM978" i="3"/>
  <c r="AN978" i="3" s="1"/>
  <c r="AM979" i="3"/>
  <c r="AN979" i="3" s="1"/>
  <c r="AM980" i="3"/>
  <c r="AN980" i="3" s="1"/>
  <c r="AM982" i="3"/>
  <c r="AN982" i="3" s="1"/>
  <c r="AM983" i="3"/>
  <c r="AN983" i="3" s="1"/>
  <c r="AM994" i="3"/>
  <c r="AN994" i="3" s="1"/>
  <c r="AM1004" i="3"/>
  <c r="AN1004" i="3" s="1"/>
  <c r="AM1010" i="3"/>
  <c r="AN1010" i="3" s="1"/>
  <c r="AM1019" i="3"/>
  <c r="AN1019" i="3" s="1"/>
  <c r="AM1021" i="3"/>
  <c r="AN1021" i="3" s="1"/>
  <c r="AM1022" i="3"/>
  <c r="AN1022" i="3" s="1"/>
  <c r="AM1023" i="3"/>
  <c r="AN1023" i="3" s="1"/>
  <c r="AM1025" i="3"/>
  <c r="AN1025" i="3" s="1"/>
  <c r="AM1031" i="3"/>
  <c r="AN1031" i="3" s="1"/>
  <c r="AM1034" i="3"/>
  <c r="AN1034" i="3" s="1"/>
  <c r="AM1041" i="3"/>
  <c r="AN1041" i="3" s="1"/>
  <c r="AM1043" i="3"/>
  <c r="AN1043" i="3" s="1"/>
  <c r="AM1044" i="3"/>
  <c r="AN1044" i="3" s="1"/>
  <c r="AM1045" i="3"/>
  <c r="AN1045" i="3" s="1"/>
  <c r="AM1047" i="3"/>
  <c r="AN1047" i="3" s="1"/>
  <c r="AM1053" i="3"/>
  <c r="AN1053" i="3" s="1"/>
  <c r="AM1055" i="3"/>
  <c r="AN1055" i="3" s="1"/>
  <c r="AM1056" i="3"/>
  <c r="AN1056" i="3" s="1"/>
  <c r="AM1057" i="3"/>
  <c r="AN1057" i="3" s="1"/>
  <c r="AM1058" i="3"/>
  <c r="AN1058" i="3" s="1"/>
  <c r="AM1059" i="3"/>
  <c r="AN1059" i="3" s="1"/>
  <c r="AM1060" i="3"/>
  <c r="AN1060" i="3" s="1"/>
  <c r="AM1063" i="3"/>
  <c r="AN1063" i="3" s="1"/>
  <c r="AM1067" i="3"/>
  <c r="AN1067" i="3" s="1"/>
  <c r="AM1068" i="3"/>
  <c r="AN1068" i="3" s="1"/>
  <c r="AM1070" i="3"/>
  <c r="AN1070" i="3" s="1"/>
  <c r="AM1071" i="3"/>
  <c r="AN1071" i="3" s="1"/>
  <c r="AM1073" i="3"/>
  <c r="AN1073" i="3" s="1"/>
  <c r="AM1074" i="3"/>
  <c r="AN1074" i="3" s="1"/>
  <c r="AM1075" i="3"/>
  <c r="AN1075" i="3" s="1"/>
  <c r="AM1076" i="3"/>
  <c r="AN1076" i="3" s="1"/>
  <c r="AM1077" i="3"/>
  <c r="AN1077" i="3" s="1"/>
  <c r="AM1078" i="3"/>
  <c r="AN1078" i="3" s="1"/>
  <c r="AM1079" i="3"/>
  <c r="AN1079" i="3" s="1"/>
  <c r="AM1080" i="3"/>
  <c r="AN1080" i="3" s="1"/>
  <c r="AM1081" i="3"/>
  <c r="AN1081" i="3" s="1"/>
  <c r="AM1082" i="3"/>
  <c r="AN1082" i="3" s="1"/>
  <c r="AM1083" i="3"/>
  <c r="AN1083" i="3" s="1"/>
  <c r="AM1084" i="3"/>
  <c r="AN1084" i="3" s="1"/>
  <c r="AL7" i="3"/>
  <c r="AP7" i="3" s="1"/>
  <c r="AM1066" i="3" l="1"/>
  <c r="AN1066" i="3" s="1"/>
  <c r="AM991" i="3"/>
  <c r="AN991" i="3" s="1"/>
  <c r="AM1033" i="3"/>
  <c r="AN1033" i="3" s="1"/>
  <c r="AM747" i="3"/>
  <c r="AN747" i="3" s="1"/>
  <c r="AM950" i="3"/>
  <c r="AN950" i="3" s="1"/>
  <c r="AM347" i="3"/>
  <c r="AN347" i="3" s="1"/>
  <c r="AM219" i="3"/>
  <c r="AN219" i="3" s="1"/>
  <c r="AM626" i="3"/>
  <c r="AN626" i="3" s="1"/>
  <c r="AM610" i="3"/>
  <c r="AN610" i="3" s="1"/>
  <c r="AM594" i="3"/>
  <c r="AN594" i="3" s="1"/>
  <c r="AN6" i="3"/>
  <c r="D7" i="11" s="1"/>
  <c r="C7" i="11"/>
  <c r="M730" i="9"/>
  <c r="O730" i="9" s="1"/>
  <c r="M731" i="9"/>
  <c r="O731" i="9" s="1"/>
  <c r="AN303" i="3"/>
  <c r="D8" i="11" s="1"/>
  <c r="C8" i="11"/>
  <c r="AM971" i="3"/>
  <c r="AN971" i="3" s="1"/>
  <c r="AM996" i="3"/>
  <c r="AN996" i="3" s="1"/>
  <c r="AM529" i="3"/>
  <c r="AN529" i="3" s="1"/>
  <c r="AM516" i="3"/>
  <c r="AN516" i="3" s="1"/>
  <c r="AM238" i="3"/>
  <c r="AN238" i="3" s="1"/>
  <c r="AP238" i="3"/>
  <c r="AM1001" i="3"/>
  <c r="AN1001" i="3" s="1"/>
  <c r="AP1001" i="3"/>
  <c r="AM98" i="3"/>
  <c r="AN98" i="3" s="1"/>
  <c r="AP98" i="3"/>
  <c r="AM222" i="3"/>
  <c r="AN222" i="3" s="1"/>
  <c r="AP222" i="3"/>
  <c r="AM239" i="3"/>
  <c r="AN239" i="3" s="1"/>
  <c r="AP239" i="3"/>
  <c r="AM255" i="3"/>
  <c r="AN255" i="3" s="1"/>
  <c r="AP255" i="3"/>
  <c r="AM368" i="3"/>
  <c r="AN368" i="3" s="1"/>
  <c r="AP368" i="3"/>
  <c r="AM417" i="3"/>
  <c r="AN417" i="3" s="1"/>
  <c r="AP417" i="3"/>
  <c r="AM452" i="3"/>
  <c r="AN452" i="3" s="1"/>
  <c r="AP452" i="3"/>
  <c r="AM510" i="3"/>
  <c r="AN510" i="3" s="1"/>
  <c r="AP510" i="3"/>
  <c r="AM518" i="3"/>
  <c r="AN518" i="3" s="1"/>
  <c r="AP518" i="3"/>
  <c r="AM672" i="3"/>
  <c r="AN672" i="3" s="1"/>
  <c r="AP672" i="3"/>
  <c r="AM741" i="3"/>
  <c r="AN741" i="3" s="1"/>
  <c r="AP741" i="3"/>
  <c r="AM749" i="3"/>
  <c r="AN749" i="3" s="1"/>
  <c r="AP749" i="3"/>
  <c r="AM821" i="3"/>
  <c r="AN821" i="3" s="1"/>
  <c r="AP821" i="3"/>
  <c r="AM969" i="3"/>
  <c r="AN969" i="3" s="1"/>
  <c r="AP969" i="3"/>
  <c r="AM993" i="3"/>
  <c r="AN993" i="3" s="1"/>
  <c r="AP993" i="3"/>
  <c r="AM1002" i="3"/>
  <c r="AN1002" i="3" s="1"/>
  <c r="AP1002" i="3"/>
  <c r="AM1061" i="3"/>
  <c r="AN1061" i="3" s="1"/>
  <c r="AP1061" i="3"/>
  <c r="AM517" i="3"/>
  <c r="AN517" i="3" s="1"/>
  <c r="AP517" i="3"/>
  <c r="AM992" i="3"/>
  <c r="AN992" i="3" s="1"/>
  <c r="AP992" i="3"/>
  <c r="AM223" i="3"/>
  <c r="AN223" i="3" s="1"/>
  <c r="AP223" i="3"/>
  <c r="AM418" i="3"/>
  <c r="AN418" i="3" s="1"/>
  <c r="AP418" i="3"/>
  <c r="AM453" i="3"/>
  <c r="AN453" i="3" s="1"/>
  <c r="AP453" i="3"/>
  <c r="AM519" i="3"/>
  <c r="AN519" i="3" s="1"/>
  <c r="AP519" i="3"/>
  <c r="AM549" i="3"/>
  <c r="AN549" i="3" s="1"/>
  <c r="AP549" i="3"/>
  <c r="AM657" i="3"/>
  <c r="AN657" i="3" s="1"/>
  <c r="AP657" i="3"/>
  <c r="AM673" i="3"/>
  <c r="AN673" i="3" s="1"/>
  <c r="AP673" i="3"/>
  <c r="AM742" i="3"/>
  <c r="AN742" i="3" s="1"/>
  <c r="AP742" i="3"/>
  <c r="AM750" i="3"/>
  <c r="AN750" i="3" s="1"/>
  <c r="AP750" i="3"/>
  <c r="AM949" i="3"/>
  <c r="AN949" i="3" s="1"/>
  <c r="AP949" i="3"/>
  <c r="AM970" i="3"/>
  <c r="AN970" i="3" s="1"/>
  <c r="AP970" i="3"/>
  <c r="AM1003" i="3"/>
  <c r="AN1003" i="3" s="1"/>
  <c r="AP1003" i="3"/>
  <c r="AM1062" i="3"/>
  <c r="AN1062" i="3" s="1"/>
  <c r="AP1062" i="3"/>
  <c r="AM539" i="3"/>
  <c r="AN539" i="3" s="1"/>
  <c r="AP539" i="3"/>
  <c r="AM41" i="3"/>
  <c r="AN41" i="3" s="1"/>
  <c r="AP41" i="3"/>
  <c r="AM71" i="3"/>
  <c r="AN71" i="3" s="1"/>
  <c r="AP71" i="3"/>
  <c r="AM213" i="3"/>
  <c r="AN213" i="3" s="1"/>
  <c r="AP213" i="3"/>
  <c r="AM325" i="3"/>
  <c r="AN325" i="3" s="1"/>
  <c r="AP325" i="3"/>
  <c r="AM419" i="3"/>
  <c r="AN419" i="3" s="1"/>
  <c r="AP419" i="3"/>
  <c r="AM454" i="3"/>
  <c r="AN454" i="3" s="1"/>
  <c r="AP454" i="3"/>
  <c r="AM512" i="3"/>
  <c r="AN512" i="3" s="1"/>
  <c r="AP512" i="3"/>
  <c r="AM558" i="3"/>
  <c r="AN558" i="3" s="1"/>
  <c r="AP558" i="3"/>
  <c r="AM590" i="3"/>
  <c r="AN590" i="3" s="1"/>
  <c r="AP590" i="3"/>
  <c r="AM658" i="3"/>
  <c r="AN658" i="3" s="1"/>
  <c r="AP658" i="3"/>
  <c r="AM743" i="3"/>
  <c r="AN743" i="3" s="1"/>
  <c r="AP743" i="3"/>
  <c r="AM751" i="3"/>
  <c r="AN751" i="3" s="1"/>
  <c r="AP751" i="3"/>
  <c r="AM1064" i="3"/>
  <c r="AN1064" i="3" s="1"/>
  <c r="AP1064" i="3"/>
  <c r="AM72" i="3"/>
  <c r="AN72" i="3" s="1"/>
  <c r="AP72" i="3"/>
  <c r="AM102" i="3"/>
  <c r="AN102" i="3" s="1"/>
  <c r="AP102" i="3"/>
  <c r="AM150" i="3"/>
  <c r="AN150" i="3" s="1"/>
  <c r="AP150" i="3"/>
  <c r="AM214" i="3"/>
  <c r="AN214" i="3" s="1"/>
  <c r="AP214" i="3"/>
  <c r="AP227" i="3"/>
  <c r="AM244" i="3"/>
  <c r="AN244" i="3" s="1"/>
  <c r="AP244" i="3"/>
  <c r="AM273" i="3"/>
  <c r="AN273" i="3" s="1"/>
  <c r="AP273" i="3"/>
  <c r="AM348" i="3"/>
  <c r="AN348" i="3" s="1"/>
  <c r="AP348" i="3"/>
  <c r="AM387" i="3"/>
  <c r="AN387" i="3" s="1"/>
  <c r="AP387" i="3"/>
  <c r="AM412" i="3"/>
  <c r="AN412" i="3" s="1"/>
  <c r="AP412" i="3"/>
  <c r="AM420" i="3"/>
  <c r="AN420" i="3" s="1"/>
  <c r="AP420" i="3"/>
  <c r="AM521" i="3"/>
  <c r="AN521" i="3" s="1"/>
  <c r="AP521" i="3"/>
  <c r="AM659" i="3"/>
  <c r="AN659" i="3" s="1"/>
  <c r="AP659" i="3"/>
  <c r="AM744" i="3"/>
  <c r="AN744" i="3" s="1"/>
  <c r="AP744" i="3"/>
  <c r="AM752" i="3"/>
  <c r="AN752" i="3" s="1"/>
  <c r="AP752" i="3"/>
  <c r="AM952" i="3"/>
  <c r="AN952" i="3" s="1"/>
  <c r="AP952" i="3"/>
  <c r="AM972" i="3"/>
  <c r="AN972" i="3" s="1"/>
  <c r="AP972" i="3"/>
  <c r="AM1032" i="3"/>
  <c r="AN1032" i="3" s="1"/>
  <c r="AP1032" i="3"/>
  <c r="AM1065" i="3"/>
  <c r="AN1065" i="3" s="1"/>
  <c r="AP1065" i="3"/>
  <c r="AM254" i="3"/>
  <c r="AN254" i="3" s="1"/>
  <c r="AP254" i="3"/>
  <c r="AM451" i="3"/>
  <c r="AN451" i="3" s="1"/>
  <c r="AP451" i="3"/>
  <c r="AM807" i="3"/>
  <c r="AN807" i="3" s="1"/>
  <c r="AP807" i="3"/>
  <c r="AM74" i="3"/>
  <c r="AN74" i="3" s="1"/>
  <c r="AP74" i="3"/>
  <c r="AM152" i="3"/>
  <c r="AN152" i="3" s="1"/>
  <c r="AP152" i="3"/>
  <c r="AM215" i="3"/>
  <c r="AN215" i="3" s="1"/>
  <c r="AP215" i="3"/>
  <c r="AP228" i="3"/>
  <c r="AM247" i="3"/>
  <c r="AN247" i="3" s="1"/>
  <c r="AP247" i="3"/>
  <c r="AM274" i="3"/>
  <c r="AN274" i="3" s="1"/>
  <c r="AP274" i="3"/>
  <c r="AM329" i="3"/>
  <c r="AN329" i="3" s="1"/>
  <c r="AP329" i="3"/>
  <c r="AM448" i="3"/>
  <c r="AN448" i="3" s="1"/>
  <c r="AP448" i="3"/>
  <c r="AM475" i="3"/>
  <c r="AN475" i="3" s="1"/>
  <c r="AP475" i="3"/>
  <c r="AM514" i="3"/>
  <c r="AN514" i="3" s="1"/>
  <c r="AP514" i="3"/>
  <c r="AM522" i="3"/>
  <c r="AN522" i="3" s="1"/>
  <c r="AP522" i="3"/>
  <c r="AM660" i="3"/>
  <c r="AN660" i="3" s="1"/>
  <c r="AP660" i="3"/>
  <c r="AM694" i="3"/>
  <c r="AN694" i="3" s="1"/>
  <c r="AP694" i="3"/>
  <c r="AM745" i="3"/>
  <c r="AN745" i="3" s="1"/>
  <c r="AP745" i="3"/>
  <c r="AM753" i="3"/>
  <c r="AN753" i="3" s="1"/>
  <c r="AP753" i="3"/>
  <c r="AM964" i="3"/>
  <c r="AN964" i="3" s="1"/>
  <c r="AP964" i="3"/>
  <c r="AM80" i="3"/>
  <c r="AN80" i="3" s="1"/>
  <c r="AP80" i="3"/>
  <c r="AM663" i="3"/>
  <c r="AN663" i="3" s="1"/>
  <c r="AP663" i="3"/>
  <c r="AM748" i="3"/>
  <c r="AN748" i="3" s="1"/>
  <c r="AP748" i="3"/>
  <c r="AM9" i="3"/>
  <c r="AN9" i="3" s="1"/>
  <c r="AP9" i="3"/>
  <c r="AM76" i="3"/>
  <c r="AN76" i="3" s="1"/>
  <c r="AP76" i="3"/>
  <c r="AM104" i="3"/>
  <c r="AN104" i="3" s="1"/>
  <c r="AP104" i="3"/>
  <c r="AM153" i="3"/>
  <c r="AN153" i="3" s="1"/>
  <c r="AP153" i="3"/>
  <c r="AM216" i="3"/>
  <c r="AN216" i="3" s="1"/>
  <c r="AP216" i="3"/>
  <c r="AM249" i="3"/>
  <c r="AN249" i="3" s="1"/>
  <c r="AP249" i="3"/>
  <c r="AM277" i="3"/>
  <c r="AN277" i="3" s="1"/>
  <c r="AP277" i="3"/>
  <c r="AM331" i="3"/>
  <c r="AN331" i="3" s="1"/>
  <c r="AP331" i="3"/>
  <c r="AM437" i="3"/>
  <c r="AN437" i="3" s="1"/>
  <c r="AP437" i="3"/>
  <c r="AM449" i="3"/>
  <c r="AN449" i="3" s="1"/>
  <c r="AP449" i="3"/>
  <c r="AM515" i="3"/>
  <c r="AN515" i="3" s="1"/>
  <c r="AP515" i="3"/>
  <c r="AM661" i="3"/>
  <c r="AN661" i="3" s="1"/>
  <c r="AP661" i="3"/>
  <c r="AM669" i="3"/>
  <c r="AN669" i="3" s="1"/>
  <c r="AP669" i="3"/>
  <c r="AM713" i="3"/>
  <c r="AN713" i="3" s="1"/>
  <c r="AP713" i="3"/>
  <c r="AM746" i="3"/>
  <c r="AN746" i="3" s="1"/>
  <c r="AP746" i="3"/>
  <c r="AM754" i="3"/>
  <c r="AN754" i="3" s="1"/>
  <c r="AP754" i="3"/>
  <c r="AM965" i="3"/>
  <c r="AN965" i="3" s="1"/>
  <c r="AP965" i="3"/>
  <c r="AM999" i="3"/>
  <c r="AN999" i="3" s="1"/>
  <c r="AP999" i="3"/>
  <c r="AM1035" i="3"/>
  <c r="AN1035" i="3" s="1"/>
  <c r="AP1035" i="3"/>
  <c r="AM1069" i="3"/>
  <c r="AN1069" i="3" s="1"/>
  <c r="AP1069" i="3"/>
  <c r="AM220" i="3"/>
  <c r="AN220" i="3" s="1"/>
  <c r="AP220" i="3"/>
  <c r="AM671" i="3"/>
  <c r="AN671" i="3" s="1"/>
  <c r="AP671" i="3"/>
  <c r="AM740" i="3"/>
  <c r="AN740" i="3" s="1"/>
  <c r="AP740" i="3"/>
  <c r="AM45" i="3"/>
  <c r="AN45" i="3" s="1"/>
  <c r="AP45" i="3"/>
  <c r="AM79" i="3"/>
  <c r="AN79" i="3" s="1"/>
  <c r="AP79" i="3"/>
  <c r="AM116" i="3"/>
  <c r="AN116" i="3" s="1"/>
  <c r="AP116" i="3"/>
  <c r="AM237" i="3"/>
  <c r="AN237" i="3" s="1"/>
  <c r="AP237" i="3"/>
  <c r="AM250" i="3"/>
  <c r="AN250" i="3" s="1"/>
  <c r="AP250" i="3"/>
  <c r="AM366" i="3"/>
  <c r="AN366" i="3" s="1"/>
  <c r="AP366" i="3"/>
  <c r="AM415" i="3"/>
  <c r="AN415" i="3" s="1"/>
  <c r="AP415" i="3"/>
  <c r="AM450" i="3"/>
  <c r="AN450" i="3" s="1"/>
  <c r="AP450" i="3"/>
  <c r="AM662" i="3"/>
  <c r="AN662" i="3" s="1"/>
  <c r="AP662" i="3"/>
  <c r="AM670" i="3"/>
  <c r="AN670" i="3" s="1"/>
  <c r="AP670" i="3"/>
  <c r="AM720" i="3"/>
  <c r="AN720" i="3" s="1"/>
  <c r="AP720" i="3"/>
  <c r="AM755" i="3"/>
  <c r="AN755" i="3" s="1"/>
  <c r="AP755" i="3"/>
  <c r="AM966" i="3"/>
  <c r="AN966" i="3" s="1"/>
  <c r="AP966" i="3"/>
  <c r="AM1000" i="3"/>
  <c r="AN1000" i="3" s="1"/>
  <c r="AP1000" i="3"/>
  <c r="AM1036" i="3"/>
  <c r="AN1036" i="3" s="1"/>
  <c r="AP1036" i="3"/>
  <c r="AM13" i="3"/>
  <c r="AN13" i="3" s="1"/>
  <c r="AM39" i="3"/>
  <c r="AN39" i="3" s="1"/>
  <c r="AM47" i="3"/>
  <c r="AN47" i="3" s="1"/>
  <c r="AM132" i="3"/>
  <c r="AN132" i="3" s="1"/>
  <c r="AM211" i="3"/>
  <c r="AN211" i="3" s="1"/>
  <c r="AM298" i="3"/>
  <c r="AN298" i="3" s="1"/>
  <c r="AM345" i="3"/>
  <c r="AN345" i="3" s="1"/>
  <c r="AM408" i="3"/>
  <c r="AN408" i="3" s="1"/>
  <c r="AM444" i="3"/>
  <c r="AN444" i="3" s="1"/>
  <c r="AM532" i="3"/>
  <c r="AN532" i="3" s="1"/>
  <c r="AM540" i="3"/>
  <c r="AN540" i="3" s="1"/>
  <c r="AM548" i="3"/>
  <c r="AN548" i="3" s="1"/>
  <c r="AM556" i="3"/>
  <c r="AN556" i="3" s="1"/>
  <c r="AM564" i="3"/>
  <c r="AN564" i="3" s="1"/>
  <c r="AM572" i="3"/>
  <c r="AN572" i="3" s="1"/>
  <c r="AM580" i="3"/>
  <c r="AN580" i="3" s="1"/>
  <c r="AM588" i="3"/>
  <c r="AN588" i="3" s="1"/>
  <c r="AM596" i="3"/>
  <c r="AN596" i="3" s="1"/>
  <c r="AM604" i="3"/>
  <c r="AN604" i="3" s="1"/>
  <c r="AM612" i="3"/>
  <c r="AN612" i="3" s="1"/>
  <c r="AM620" i="3"/>
  <c r="AN620" i="3" s="1"/>
  <c r="AM628" i="3"/>
  <c r="AN628" i="3" s="1"/>
  <c r="AM656" i="3"/>
  <c r="AN656" i="3" s="1"/>
  <c r="AM664" i="3"/>
  <c r="AN664" i="3" s="1"/>
  <c r="G82" i="1"/>
  <c r="AM674" i="3"/>
  <c r="AN674" i="3" s="1"/>
  <c r="AM190" i="3"/>
  <c r="AN190" i="3" s="1"/>
  <c r="AM344" i="3"/>
  <c r="AN344" i="3" s="1"/>
  <c r="AM531" i="3"/>
  <c r="AN531" i="3" s="1"/>
  <c r="AM563" i="3"/>
  <c r="AN563" i="3" s="1"/>
  <c r="AM579" i="3"/>
  <c r="AN579" i="3" s="1"/>
  <c r="AM611" i="3"/>
  <c r="AN611" i="3" s="1"/>
  <c r="AM14" i="3"/>
  <c r="AN14" i="3" s="1"/>
  <c r="AM99" i="3"/>
  <c r="AN99" i="3" s="1"/>
  <c r="AM241" i="3"/>
  <c r="AN241" i="3" s="1"/>
  <c r="AM511" i="3"/>
  <c r="AN511" i="3" s="1"/>
  <c r="AM533" i="3"/>
  <c r="AN533" i="3" s="1"/>
  <c r="AM565" i="3"/>
  <c r="AN565" i="3" s="1"/>
  <c r="AM589" i="3"/>
  <c r="AN589" i="3" s="1"/>
  <c r="AM613" i="3"/>
  <c r="AN613" i="3" s="1"/>
  <c r="AM149" i="3"/>
  <c r="AN149" i="3" s="1"/>
  <c r="AM550" i="3"/>
  <c r="AN550" i="3" s="1"/>
  <c r="AM32" i="3"/>
  <c r="AN32" i="3" s="1"/>
  <c r="AM42" i="3"/>
  <c r="AN42" i="3" s="1"/>
  <c r="AM327" i="3"/>
  <c r="AN327" i="3" s="1"/>
  <c r="AM447" i="3"/>
  <c r="AN447" i="3" s="1"/>
  <c r="AM455" i="3"/>
  <c r="AN455" i="3" s="1"/>
  <c r="AM513" i="3"/>
  <c r="AN513" i="3" s="1"/>
  <c r="AM535" i="3"/>
  <c r="AN535" i="3" s="1"/>
  <c r="AM543" i="3"/>
  <c r="AN543" i="3" s="1"/>
  <c r="AM551" i="3"/>
  <c r="AN551" i="3" s="1"/>
  <c r="AM559" i="3"/>
  <c r="AN559" i="3" s="1"/>
  <c r="AM567" i="3"/>
  <c r="AN567" i="3" s="1"/>
  <c r="AM575" i="3"/>
  <c r="AN575" i="3" s="1"/>
  <c r="AM583" i="3"/>
  <c r="AN583" i="3" s="1"/>
  <c r="AM591" i="3"/>
  <c r="AN591" i="3" s="1"/>
  <c r="AM599" i="3"/>
  <c r="AN599" i="3" s="1"/>
  <c r="AM607" i="3"/>
  <c r="AN607" i="3" s="1"/>
  <c r="AM615" i="3"/>
  <c r="AN615" i="3" s="1"/>
  <c r="AM623" i="3"/>
  <c r="AN623" i="3" s="1"/>
  <c r="AM631" i="3"/>
  <c r="AN631" i="3" s="1"/>
  <c r="AM667" i="3"/>
  <c r="AN667" i="3" s="1"/>
  <c r="AM686" i="3"/>
  <c r="AN686" i="3" s="1"/>
  <c r="AM997" i="3"/>
  <c r="AN997" i="3" s="1"/>
  <c r="AM12" i="3"/>
  <c r="AN12" i="3" s="1"/>
  <c r="AM131" i="3"/>
  <c r="AN131" i="3" s="1"/>
  <c r="AM367" i="3"/>
  <c r="AN367" i="3" s="1"/>
  <c r="AM547" i="3"/>
  <c r="AN547" i="3" s="1"/>
  <c r="AM595" i="3"/>
  <c r="AN595" i="3" s="1"/>
  <c r="AM619" i="3"/>
  <c r="AN619" i="3" s="1"/>
  <c r="AM655" i="3"/>
  <c r="AN655" i="3" s="1"/>
  <c r="AM968" i="3"/>
  <c r="AN968" i="3" s="1"/>
  <c r="AM346" i="3"/>
  <c r="AN346" i="3" s="1"/>
  <c r="AM581" i="3"/>
  <c r="AN581" i="3" s="1"/>
  <c r="AM605" i="3"/>
  <c r="AN605" i="3" s="1"/>
  <c r="AM629" i="3"/>
  <c r="AN629" i="3" s="1"/>
  <c r="AM665" i="3"/>
  <c r="AN665" i="3" s="1"/>
  <c r="AM15" i="3"/>
  <c r="AN15" i="3" s="1"/>
  <c r="AM271" i="3"/>
  <c r="AN271" i="3" s="1"/>
  <c r="AM411" i="3"/>
  <c r="AN411" i="3" s="1"/>
  <c r="AM446" i="3"/>
  <c r="AN446" i="3" s="1"/>
  <c r="AM520" i="3"/>
  <c r="AN520" i="3" s="1"/>
  <c r="AM534" i="3"/>
  <c r="AN534" i="3" s="1"/>
  <c r="AM566" i="3"/>
  <c r="AN566" i="3" s="1"/>
  <c r="AM582" i="3"/>
  <c r="AN582" i="3" s="1"/>
  <c r="AM606" i="3"/>
  <c r="AN606" i="3" s="1"/>
  <c r="AM614" i="3"/>
  <c r="AN614" i="3" s="1"/>
  <c r="AM33" i="3"/>
  <c r="AN33" i="3" s="1"/>
  <c r="AM43" i="3"/>
  <c r="AN43" i="3" s="1"/>
  <c r="AM103" i="3"/>
  <c r="AN103" i="3" s="1"/>
  <c r="AM349" i="3"/>
  <c r="AN349" i="3" s="1"/>
  <c r="AM388" i="3"/>
  <c r="AN388" i="3" s="1"/>
  <c r="AM413" i="3"/>
  <c r="AN413" i="3" s="1"/>
  <c r="AM436" i="3"/>
  <c r="AN436" i="3" s="1"/>
  <c r="AM536" i="3"/>
  <c r="AN536" i="3" s="1"/>
  <c r="AM544" i="3"/>
  <c r="AN544" i="3" s="1"/>
  <c r="AM552" i="3"/>
  <c r="AN552" i="3" s="1"/>
  <c r="AM560" i="3"/>
  <c r="AN560" i="3" s="1"/>
  <c r="AM568" i="3"/>
  <c r="AN568" i="3" s="1"/>
  <c r="AM576" i="3"/>
  <c r="AN576" i="3" s="1"/>
  <c r="AM584" i="3"/>
  <c r="AN584" i="3" s="1"/>
  <c r="AM592" i="3"/>
  <c r="AN592" i="3" s="1"/>
  <c r="AM600" i="3"/>
  <c r="AN600" i="3" s="1"/>
  <c r="AM608" i="3"/>
  <c r="AN608" i="3" s="1"/>
  <c r="AM616" i="3"/>
  <c r="AN616" i="3" s="1"/>
  <c r="AM624" i="3"/>
  <c r="AN624" i="3" s="1"/>
  <c r="AM632" i="3"/>
  <c r="AN632" i="3" s="1"/>
  <c r="AM668" i="3"/>
  <c r="AN668" i="3" s="1"/>
  <c r="AM989" i="3"/>
  <c r="AN989" i="3" s="1"/>
  <c r="AM998" i="3"/>
  <c r="AN998" i="3" s="1"/>
  <c r="AM46" i="3"/>
  <c r="AN46" i="3" s="1"/>
  <c r="AM416" i="3"/>
  <c r="AN416" i="3" s="1"/>
  <c r="AM555" i="3"/>
  <c r="AN555" i="3" s="1"/>
  <c r="AM587" i="3"/>
  <c r="AN587" i="3" s="1"/>
  <c r="AM603" i="3"/>
  <c r="AN603" i="3" s="1"/>
  <c r="AM627" i="3"/>
  <c r="AN627" i="3" s="1"/>
  <c r="AM1054" i="3"/>
  <c r="AN1054" i="3" s="1"/>
  <c r="AM40" i="3"/>
  <c r="AN40" i="3" s="1"/>
  <c r="AM133" i="3"/>
  <c r="AN133" i="3" s="1"/>
  <c r="AM269" i="3"/>
  <c r="AN269" i="3" s="1"/>
  <c r="AM410" i="3"/>
  <c r="AN410" i="3" s="1"/>
  <c r="AM557" i="3"/>
  <c r="AN557" i="3" s="1"/>
  <c r="AM597" i="3"/>
  <c r="AN597" i="3" s="1"/>
  <c r="AM621" i="3"/>
  <c r="AN621" i="3" s="1"/>
  <c r="AM995" i="3"/>
  <c r="AN995" i="3" s="1"/>
  <c r="AM574" i="3"/>
  <c r="AN574" i="3" s="1"/>
  <c r="AM598" i="3"/>
  <c r="AN598" i="3" s="1"/>
  <c r="AM630" i="3"/>
  <c r="AN630" i="3" s="1"/>
  <c r="AM7" i="3"/>
  <c r="AN7" i="3" s="1"/>
  <c r="AM35" i="3"/>
  <c r="AN35" i="3" s="1"/>
  <c r="AM44" i="3"/>
  <c r="AN44" i="3" s="1"/>
  <c r="AM236" i="3"/>
  <c r="AN236" i="3" s="1"/>
  <c r="AM365" i="3"/>
  <c r="AN365" i="3" s="1"/>
  <c r="AM389" i="3"/>
  <c r="AN389" i="3" s="1"/>
  <c r="AM414" i="3"/>
  <c r="AN414" i="3" s="1"/>
  <c r="AM483" i="3"/>
  <c r="AN483" i="3" s="1"/>
  <c r="AM528" i="3"/>
  <c r="AN528" i="3" s="1"/>
  <c r="AM537" i="3"/>
  <c r="AN537" i="3" s="1"/>
  <c r="AM545" i="3"/>
  <c r="AN545" i="3" s="1"/>
  <c r="AM553" i="3"/>
  <c r="AN553" i="3" s="1"/>
  <c r="AM561" i="3"/>
  <c r="AN561" i="3" s="1"/>
  <c r="AM569" i="3"/>
  <c r="AN569" i="3" s="1"/>
  <c r="AM577" i="3"/>
  <c r="AN577" i="3" s="1"/>
  <c r="AM585" i="3"/>
  <c r="AN585" i="3" s="1"/>
  <c r="AM593" i="3"/>
  <c r="AN593" i="3" s="1"/>
  <c r="AM601" i="3"/>
  <c r="AN601" i="3" s="1"/>
  <c r="AM609" i="3"/>
  <c r="AN609" i="3" s="1"/>
  <c r="AM617" i="3"/>
  <c r="AN617" i="3" s="1"/>
  <c r="AM625" i="3"/>
  <c r="AN625" i="3" s="1"/>
  <c r="AM653" i="3"/>
  <c r="AN653" i="3" s="1"/>
  <c r="AM990" i="3"/>
  <c r="AN990" i="3" s="1"/>
  <c r="AM38" i="3"/>
  <c r="AN38" i="3" s="1"/>
  <c r="AM294" i="3"/>
  <c r="AN294" i="3" s="1"/>
  <c r="AM391" i="3"/>
  <c r="AN391" i="3" s="1"/>
  <c r="AM443" i="3"/>
  <c r="AN443" i="3" s="1"/>
  <c r="AM571" i="3"/>
  <c r="AN571" i="3" s="1"/>
  <c r="AM48" i="3"/>
  <c r="AN48" i="3" s="1"/>
  <c r="AM212" i="3"/>
  <c r="AN212" i="3" s="1"/>
  <c r="AM317" i="3"/>
  <c r="AN317" i="3" s="1"/>
  <c r="AM373" i="3"/>
  <c r="AN373" i="3" s="1"/>
  <c r="AM445" i="3"/>
  <c r="AN445" i="3" s="1"/>
  <c r="AM541" i="3"/>
  <c r="AN541" i="3" s="1"/>
  <c r="AM573" i="3"/>
  <c r="AN573" i="3" s="1"/>
  <c r="AM101" i="3"/>
  <c r="AN101" i="3" s="1"/>
  <c r="AM242" i="3"/>
  <c r="AN242" i="3" s="1"/>
  <c r="AM385" i="3"/>
  <c r="AN385" i="3" s="1"/>
  <c r="AM542" i="3"/>
  <c r="AN542" i="3" s="1"/>
  <c r="AM622" i="3"/>
  <c r="AN622" i="3" s="1"/>
  <c r="AM10" i="3"/>
  <c r="AN10" i="3" s="1"/>
  <c r="AM37" i="3"/>
  <c r="AN37" i="3" s="1"/>
  <c r="AM178" i="3"/>
  <c r="AN178" i="3" s="1"/>
  <c r="AM333" i="3"/>
  <c r="AN333" i="3" s="1"/>
  <c r="AM390" i="3"/>
  <c r="AN390" i="3" s="1"/>
  <c r="AM442" i="3"/>
  <c r="AN442" i="3" s="1"/>
  <c r="AM484" i="3"/>
  <c r="AN484" i="3" s="1"/>
  <c r="AM538" i="3"/>
  <c r="AN538" i="3" s="1"/>
  <c r="AM546" i="3"/>
  <c r="AN546" i="3" s="1"/>
  <c r="AM554" i="3"/>
  <c r="AN554" i="3" s="1"/>
  <c r="AM562" i="3"/>
  <c r="AN562" i="3" s="1"/>
  <c r="AM570" i="3"/>
  <c r="AN570" i="3" s="1"/>
  <c r="AM578" i="3"/>
  <c r="AN578" i="3" s="1"/>
  <c r="AM586" i="3"/>
  <c r="AN586" i="3" s="1"/>
  <c r="AM602" i="3"/>
  <c r="AN602" i="3" s="1"/>
  <c r="AM618" i="3"/>
  <c r="AN618" i="3" s="1"/>
  <c r="AM654" i="3"/>
  <c r="AN654" i="3" s="1"/>
  <c r="AM666" i="3"/>
  <c r="AN666" i="3" s="1"/>
  <c r="I82" i="1" s="1"/>
  <c r="AL524" i="3"/>
  <c r="AP524" i="3" s="1"/>
  <c r="C9" i="11" l="1"/>
  <c r="AM1090" i="3" s="1"/>
  <c r="D9" i="11"/>
  <c r="AN1090" i="3" s="1"/>
  <c r="H82" i="1"/>
  <c r="AM524" i="3"/>
  <c r="AK179" i="3"/>
  <c r="AK177" i="3"/>
  <c r="AK176" i="3"/>
  <c r="AK175" i="3"/>
  <c r="AK174" i="3"/>
  <c r="AK173" i="3"/>
  <c r="AP173" i="3" s="1"/>
  <c r="AK172" i="3"/>
  <c r="AK169" i="3"/>
  <c r="AK527" i="3"/>
  <c r="AK526" i="3"/>
  <c r="AK525" i="3"/>
  <c r="AL523" i="3"/>
  <c r="AP523" i="3" s="1"/>
  <c r="AL30" i="3" l="1"/>
  <c r="AL168" i="3"/>
  <c r="AL848" i="3"/>
  <c r="AL29" i="3"/>
  <c r="AL712" i="3"/>
  <c r="AL407" i="3"/>
  <c r="AL1029" i="3"/>
  <c r="AL988" i="3"/>
  <c r="AL435" i="3"/>
  <c r="AL188" i="3"/>
  <c r="AL234" i="3"/>
  <c r="AL343" i="3"/>
  <c r="AL961" i="3"/>
  <c r="AL147" i="3"/>
  <c r="AL1050" i="3"/>
  <c r="AL801" i="3"/>
  <c r="AL501" i="3"/>
  <c r="AL651" i="3"/>
  <c r="AL650" i="3"/>
  <c r="AL233" i="3"/>
  <c r="AL684" i="3"/>
  <c r="AL292" i="3"/>
  <c r="AL987" i="3"/>
  <c r="AL293" i="3"/>
  <c r="AL803" i="3"/>
  <c r="AL986" i="3"/>
  <c r="AL314" i="3"/>
  <c r="AL341" i="3"/>
  <c r="AL683" i="3"/>
  <c r="AL806" i="3"/>
  <c r="AL187" i="3"/>
  <c r="AL166" i="3"/>
  <c r="AL433" i="3"/>
  <c r="AL382" i="3"/>
  <c r="AL148" i="3"/>
  <c r="AL1051" i="3"/>
  <c r="AL405" i="3"/>
  <c r="AL316" i="3"/>
  <c r="AL1015" i="3"/>
  <c r="AL711" i="3"/>
  <c r="AL114" i="3"/>
  <c r="AL315" i="3"/>
  <c r="AL739" i="3"/>
  <c r="AL685" i="3"/>
  <c r="AL499" i="3"/>
  <c r="AL128" i="3"/>
  <c r="AL1030" i="3"/>
  <c r="AL883" i="3"/>
  <c r="AL97" i="3"/>
  <c r="AL69" i="3"/>
  <c r="AL434" i="3"/>
  <c r="AL189" i="3"/>
  <c r="AL112" i="3"/>
  <c r="AL649" i="3"/>
  <c r="AL291" i="3"/>
  <c r="AL710" i="3"/>
  <c r="AL737" i="3"/>
  <c r="AL146" i="3"/>
  <c r="AL948" i="3"/>
  <c r="AL1014" i="3"/>
  <c r="AL847" i="3"/>
  <c r="AL1028" i="3"/>
  <c r="AL881" i="3"/>
  <c r="AL268" i="3"/>
  <c r="AL1052" i="3"/>
  <c r="AL126" i="3"/>
  <c r="AL68" i="3"/>
  <c r="AL209" i="3"/>
  <c r="AL472" i="3"/>
  <c r="AL363" i="3"/>
  <c r="AL846" i="3"/>
  <c r="AL210" i="3"/>
  <c r="AL804" i="3"/>
  <c r="AL383" i="3"/>
  <c r="AL802" i="3"/>
  <c r="AL113" i="3"/>
  <c r="AL947" i="3"/>
  <c r="AL962" i="3"/>
  <c r="AL208" i="3"/>
  <c r="AL266" i="3"/>
  <c r="AL406" i="3"/>
  <c r="AL167" i="3"/>
  <c r="AL474" i="3"/>
  <c r="AL882" i="3"/>
  <c r="AL70" i="3"/>
  <c r="AL384" i="3"/>
  <c r="AL1013" i="3"/>
  <c r="AL805" i="3"/>
  <c r="AL95" i="3"/>
  <c r="AL364" i="3"/>
  <c r="AL500" i="3"/>
  <c r="AL738" i="3"/>
  <c r="AL946" i="3"/>
  <c r="AL473" i="3"/>
  <c r="AL235" i="3"/>
  <c r="AL362" i="3"/>
  <c r="AL31" i="3"/>
  <c r="AL3" i="3"/>
  <c r="AL127" i="3"/>
  <c r="AL96" i="3"/>
  <c r="AL342" i="3"/>
  <c r="AL963" i="3"/>
  <c r="AL267" i="3"/>
  <c r="AM523" i="3"/>
  <c r="AN523" i="3" s="1"/>
  <c r="AL527" i="3"/>
  <c r="AM527" i="3" s="1"/>
  <c r="AN527" i="3" s="1"/>
  <c r="AL525" i="3"/>
  <c r="AM525" i="3" s="1"/>
  <c r="AN525" i="3" s="1"/>
  <c r="AL174" i="3"/>
  <c r="AM174" i="3" s="1"/>
  <c r="AN174" i="3" s="1"/>
  <c r="AL176" i="3"/>
  <c r="AM176" i="3" s="1"/>
  <c r="AN176" i="3" s="1"/>
  <c r="AL526" i="3"/>
  <c r="AM526" i="3" s="1"/>
  <c r="AN526" i="3" s="1"/>
  <c r="AL175" i="3"/>
  <c r="AM175" i="3" s="1"/>
  <c r="AN175" i="3" s="1"/>
  <c r="AL177" i="3"/>
  <c r="AM177" i="3" s="1"/>
  <c r="AN177" i="3" s="1"/>
  <c r="AL170" i="3"/>
  <c r="AM170" i="3" s="1"/>
  <c r="AN170" i="3" s="1"/>
  <c r="AL172" i="3"/>
  <c r="AM172" i="3" s="1"/>
  <c r="AN172" i="3" s="1"/>
  <c r="AK1086" i="3"/>
  <c r="AL169" i="3"/>
  <c r="AP169" i="3" s="1"/>
  <c r="AN524" i="3"/>
  <c r="AQ33" i="3"/>
  <c r="AQ664" i="3"/>
  <c r="I196" i="1"/>
  <c r="I124" i="1"/>
  <c r="H124" i="1"/>
  <c r="G124" i="1"/>
  <c r="I112" i="1"/>
  <c r="H112" i="1"/>
  <c r="G112" i="1"/>
  <c r="AM113" i="3" l="1"/>
  <c r="AN113" i="3" s="1"/>
  <c r="AP113" i="3"/>
  <c r="AM846" i="3"/>
  <c r="AN846" i="3" s="1"/>
  <c r="AP846" i="3"/>
  <c r="AM1030" i="3"/>
  <c r="AN1030" i="3" s="1"/>
  <c r="AP1030" i="3"/>
  <c r="AM1015" i="3"/>
  <c r="AN1015" i="3" s="1"/>
  <c r="AP1015" i="3"/>
  <c r="AM187" i="3"/>
  <c r="AN187" i="3" s="1"/>
  <c r="AP187" i="3"/>
  <c r="AM987" i="3"/>
  <c r="AN987" i="3" s="1"/>
  <c r="AP987" i="3"/>
  <c r="AM1050" i="3"/>
  <c r="AN1050" i="3" s="1"/>
  <c r="AP1050" i="3"/>
  <c r="AM1029" i="3"/>
  <c r="AN1029" i="3" s="1"/>
  <c r="AP1029" i="3"/>
  <c r="AM406" i="3"/>
  <c r="AN406" i="3" s="1"/>
  <c r="AP406" i="3"/>
  <c r="AM737" i="3"/>
  <c r="AN737" i="3" s="1"/>
  <c r="AP737" i="3"/>
  <c r="AM114" i="3"/>
  <c r="AN114" i="3" s="1"/>
  <c r="AP114" i="3"/>
  <c r="AM433" i="3"/>
  <c r="AN433" i="3" s="1"/>
  <c r="AP433" i="3"/>
  <c r="AM881" i="3"/>
  <c r="AN881" i="3" s="1"/>
  <c r="AP881" i="3"/>
  <c r="AM473" i="3"/>
  <c r="AN473" i="3" s="1"/>
  <c r="AP473" i="3"/>
  <c r="AM962" i="3"/>
  <c r="AN962" i="3" s="1"/>
  <c r="AP962" i="3"/>
  <c r="AM363" i="3"/>
  <c r="AN363" i="3" s="1"/>
  <c r="AP363" i="3"/>
  <c r="AM1028" i="3"/>
  <c r="AN1028" i="3" s="1"/>
  <c r="AP1028" i="3"/>
  <c r="AM649" i="3"/>
  <c r="AN649" i="3" s="1"/>
  <c r="AP649" i="3"/>
  <c r="AM128" i="3"/>
  <c r="AN128" i="3" s="1"/>
  <c r="AP128" i="3"/>
  <c r="AM316" i="3"/>
  <c r="AN316" i="3" s="1"/>
  <c r="AP316" i="3"/>
  <c r="AM806" i="3"/>
  <c r="AN806" i="3" s="1"/>
  <c r="AP806" i="3"/>
  <c r="AM292" i="3"/>
  <c r="AN292" i="3" s="1"/>
  <c r="AP292" i="3"/>
  <c r="AM147" i="3"/>
  <c r="AN147" i="3" s="1"/>
  <c r="AP147" i="3"/>
  <c r="AM407" i="3"/>
  <c r="AN407" i="3" s="1"/>
  <c r="AP407" i="3"/>
  <c r="AM882" i="3"/>
  <c r="AN882" i="3" s="1"/>
  <c r="AP882" i="3"/>
  <c r="AM804" i="3"/>
  <c r="AN804" i="3" s="1"/>
  <c r="AP804" i="3"/>
  <c r="AM97" i="3"/>
  <c r="AN97" i="3" s="1"/>
  <c r="AP97" i="3"/>
  <c r="AM267" i="3"/>
  <c r="AN267" i="3" s="1"/>
  <c r="AP267" i="3"/>
  <c r="AM235" i="3"/>
  <c r="AN235" i="3" s="1"/>
  <c r="AP235" i="3"/>
  <c r="AM1013" i="3"/>
  <c r="AN1013" i="3" s="1"/>
  <c r="AP1013" i="3"/>
  <c r="AM208" i="3"/>
  <c r="AN208" i="3" s="1"/>
  <c r="AP208" i="3"/>
  <c r="AM291" i="3"/>
  <c r="AN291" i="3" s="1"/>
  <c r="AP291" i="3"/>
  <c r="AM963" i="3"/>
  <c r="AN963" i="3" s="1"/>
  <c r="AP963" i="3"/>
  <c r="AM384" i="3"/>
  <c r="AN384" i="3" s="1"/>
  <c r="AP384" i="3"/>
  <c r="AM342" i="3"/>
  <c r="AN342" i="3" s="1"/>
  <c r="AP342" i="3"/>
  <c r="AM946" i="3"/>
  <c r="AN946" i="3" s="1"/>
  <c r="AP946" i="3"/>
  <c r="AM70" i="3"/>
  <c r="AN70" i="3" s="1"/>
  <c r="AP70" i="3"/>
  <c r="AM947" i="3"/>
  <c r="AN947" i="3" s="1"/>
  <c r="AP947" i="3"/>
  <c r="AM472" i="3"/>
  <c r="AN472" i="3" s="1"/>
  <c r="AP472" i="3"/>
  <c r="AM847" i="3"/>
  <c r="AN847" i="3" s="1"/>
  <c r="AP847" i="3"/>
  <c r="AM112" i="3"/>
  <c r="AN112" i="3" s="1"/>
  <c r="AP112" i="3"/>
  <c r="AM499" i="3"/>
  <c r="AN499" i="3" s="1"/>
  <c r="AP499" i="3"/>
  <c r="AM405" i="3"/>
  <c r="AN405" i="3" s="1"/>
  <c r="AP405" i="3"/>
  <c r="AM683" i="3"/>
  <c r="AN683" i="3" s="1"/>
  <c r="AP683" i="3"/>
  <c r="AM684" i="3"/>
  <c r="AN684" i="3" s="1"/>
  <c r="AP684" i="3"/>
  <c r="AM961" i="3"/>
  <c r="AN961" i="3" s="1"/>
  <c r="AP961" i="3"/>
  <c r="AM712" i="3"/>
  <c r="AN712" i="3" s="1"/>
  <c r="AP712" i="3"/>
  <c r="AM96" i="3"/>
  <c r="AN96" i="3" s="1"/>
  <c r="AP96" i="3"/>
  <c r="AM1014" i="3"/>
  <c r="AN1014" i="3" s="1"/>
  <c r="AP1014" i="3"/>
  <c r="AM189" i="3"/>
  <c r="AN189" i="3" s="1"/>
  <c r="AP189" i="3"/>
  <c r="AM685" i="3"/>
  <c r="AN685" i="3" s="1"/>
  <c r="AP685" i="3"/>
  <c r="AM1051" i="3"/>
  <c r="AN1051" i="3" s="1"/>
  <c r="AP1051" i="3"/>
  <c r="AM341" i="3"/>
  <c r="AN341" i="3" s="1"/>
  <c r="AP341" i="3"/>
  <c r="AM233" i="3"/>
  <c r="AN233" i="3" s="1"/>
  <c r="AP233" i="3"/>
  <c r="AM343" i="3"/>
  <c r="AN343" i="3" s="1"/>
  <c r="AP343" i="3"/>
  <c r="AM29" i="3"/>
  <c r="AN29" i="3" s="1"/>
  <c r="AP29" i="3"/>
  <c r="M736" i="9"/>
  <c r="O736" i="9" s="1"/>
  <c r="X771" i="19"/>
  <c r="Y771" i="19" s="1"/>
  <c r="AM738" i="3"/>
  <c r="AN738" i="3" s="1"/>
  <c r="AP738" i="3"/>
  <c r="AM500" i="3"/>
  <c r="AN500" i="3" s="1"/>
  <c r="AP500" i="3"/>
  <c r="AM474" i="3"/>
  <c r="AN474" i="3" s="1"/>
  <c r="AP474" i="3"/>
  <c r="AM802" i="3"/>
  <c r="AN802" i="3" s="1"/>
  <c r="AP802" i="3"/>
  <c r="AM68" i="3"/>
  <c r="AN68" i="3" s="1"/>
  <c r="AP68" i="3"/>
  <c r="AM948" i="3"/>
  <c r="AN948" i="3" s="1"/>
  <c r="AP948" i="3"/>
  <c r="AM650" i="3"/>
  <c r="AN650" i="3" s="1"/>
  <c r="AP650" i="3"/>
  <c r="AM234" i="3"/>
  <c r="AN234" i="3" s="1"/>
  <c r="AP234" i="3"/>
  <c r="AM848" i="3"/>
  <c r="AN848" i="3" s="1"/>
  <c r="AP848" i="3"/>
  <c r="AM127" i="3"/>
  <c r="AN127" i="3" s="1"/>
  <c r="AP127" i="3"/>
  <c r="AM434" i="3"/>
  <c r="AN434" i="3" s="1"/>
  <c r="AP434" i="3"/>
  <c r="AM739" i="3"/>
  <c r="AN739" i="3" s="1"/>
  <c r="AP739" i="3"/>
  <c r="AM148" i="3"/>
  <c r="AN148" i="3" s="1"/>
  <c r="AP148" i="3"/>
  <c r="AM314" i="3"/>
  <c r="AN314" i="3" s="1"/>
  <c r="AP314" i="3"/>
  <c r="AM3" i="3"/>
  <c r="AN3" i="3" s="1"/>
  <c r="X768" i="19"/>
  <c r="Y768" i="19" s="1"/>
  <c r="M733" i="9"/>
  <c r="O733" i="9" s="1"/>
  <c r="AM364" i="3"/>
  <c r="AN364" i="3" s="1"/>
  <c r="AP364" i="3"/>
  <c r="AM167" i="3"/>
  <c r="AN167" i="3" s="1"/>
  <c r="AP167" i="3"/>
  <c r="AM383" i="3"/>
  <c r="AN383" i="3" s="1"/>
  <c r="AP383" i="3"/>
  <c r="AM126" i="3"/>
  <c r="AN126" i="3" s="1"/>
  <c r="AP126" i="3"/>
  <c r="AM146" i="3"/>
  <c r="AN146" i="3" s="1"/>
  <c r="AP146" i="3"/>
  <c r="AM69" i="3"/>
  <c r="AN69" i="3" s="1"/>
  <c r="AP69" i="3"/>
  <c r="AM315" i="3"/>
  <c r="AN315" i="3" s="1"/>
  <c r="AP315" i="3"/>
  <c r="AM382" i="3"/>
  <c r="AN382" i="3" s="1"/>
  <c r="AP382" i="3"/>
  <c r="AM986" i="3"/>
  <c r="AN986" i="3" s="1"/>
  <c r="AP986" i="3"/>
  <c r="AM651" i="3"/>
  <c r="AN651" i="3" s="1"/>
  <c r="AP651" i="3"/>
  <c r="AM188" i="3"/>
  <c r="AN188" i="3" s="1"/>
  <c r="AP188" i="3"/>
  <c r="AM168" i="3"/>
  <c r="AN168" i="3" s="1"/>
  <c r="AP168" i="3"/>
  <c r="AM30" i="3"/>
  <c r="AN30" i="3" s="1"/>
  <c r="AP30" i="3"/>
  <c r="X772" i="19"/>
  <c r="Y772" i="19" s="1"/>
  <c r="M737" i="9"/>
  <c r="O737" i="9" s="1"/>
  <c r="AM209" i="3"/>
  <c r="AN209" i="3" s="1"/>
  <c r="AP209" i="3"/>
  <c r="AM31" i="3"/>
  <c r="AN31" i="3" s="1"/>
  <c r="AP31" i="3"/>
  <c r="AM95" i="3"/>
  <c r="AN95" i="3" s="1"/>
  <c r="AP95" i="3"/>
  <c r="AM1052" i="3"/>
  <c r="AN1052" i="3" s="1"/>
  <c r="AP1052" i="3"/>
  <c r="AM803" i="3"/>
  <c r="AN803" i="3" s="1"/>
  <c r="AP803" i="3"/>
  <c r="AM501" i="3"/>
  <c r="AN501" i="3" s="1"/>
  <c r="AP501" i="3"/>
  <c r="AM435" i="3"/>
  <c r="AN435" i="3" s="1"/>
  <c r="AP435" i="3"/>
  <c r="AM362" i="3"/>
  <c r="AN362" i="3" s="1"/>
  <c r="AP362" i="3"/>
  <c r="AM805" i="3"/>
  <c r="AN805" i="3" s="1"/>
  <c r="AP805" i="3"/>
  <c r="AM266" i="3"/>
  <c r="AN266" i="3" s="1"/>
  <c r="AP266" i="3"/>
  <c r="AM210" i="3"/>
  <c r="AN210" i="3" s="1"/>
  <c r="AP210" i="3"/>
  <c r="AM268" i="3"/>
  <c r="AN268" i="3" s="1"/>
  <c r="AP268" i="3"/>
  <c r="AM710" i="3"/>
  <c r="AN710" i="3" s="1"/>
  <c r="AP710" i="3"/>
  <c r="AM883" i="3"/>
  <c r="AN883" i="3" s="1"/>
  <c r="AP883" i="3"/>
  <c r="AM711" i="3"/>
  <c r="AN711" i="3" s="1"/>
  <c r="AP711" i="3"/>
  <c r="AM166" i="3"/>
  <c r="AN166" i="3" s="1"/>
  <c r="AP166" i="3"/>
  <c r="AM293" i="3"/>
  <c r="AN293" i="3" s="1"/>
  <c r="AP293" i="3"/>
  <c r="AM801" i="3"/>
  <c r="AN801" i="3" s="1"/>
  <c r="AP801" i="3"/>
  <c r="AM988" i="3"/>
  <c r="AN988" i="3" s="1"/>
  <c r="AP988" i="3"/>
  <c r="AP174" i="3"/>
  <c r="AP527" i="3"/>
  <c r="AP172" i="3"/>
  <c r="AP170" i="3"/>
  <c r="AP177" i="3"/>
  <c r="AP176" i="3"/>
  <c r="AP175" i="3"/>
  <c r="AP526" i="3"/>
  <c r="AP525" i="3"/>
  <c r="AM169" i="3"/>
  <c r="I125" i="1"/>
  <c r="I126" i="1"/>
  <c r="AN169" i="3" l="1"/>
  <c r="G111" i="1"/>
  <c r="G120" i="1"/>
  <c r="G118" i="1"/>
  <c r="G149" i="1"/>
  <c r="G110" i="1"/>
  <c r="G116" i="1"/>
  <c r="G115" i="1"/>
  <c r="G114" i="1"/>
  <c r="G109" i="1"/>
  <c r="G119" i="1"/>
  <c r="G123" i="1"/>
  <c r="G126" i="1"/>
  <c r="G125" i="1"/>
  <c r="H126" i="1"/>
  <c r="H125" i="1"/>
  <c r="I119" i="1" l="1"/>
  <c r="H119" i="1"/>
  <c r="I114" i="1"/>
  <c r="H114" i="1"/>
  <c r="I116" i="1"/>
  <c r="H116" i="1"/>
  <c r="I110" i="1"/>
  <c r="H110" i="1"/>
  <c r="I118" i="1"/>
  <c r="H118" i="1"/>
  <c r="I111" i="1"/>
  <c r="H111" i="1"/>
  <c r="I123" i="1"/>
  <c r="H123" i="1"/>
  <c r="I109" i="1"/>
  <c r="H109" i="1"/>
  <c r="I115" i="1"/>
  <c r="H115" i="1"/>
  <c r="I149" i="1"/>
  <c r="H149" i="1"/>
  <c r="I120" i="1"/>
  <c r="H120" i="1"/>
  <c r="E108" i="1"/>
  <c r="E122" i="1" l="1"/>
  <c r="E107" i="1" s="1"/>
  <c r="G38" i="1" l="1"/>
  <c r="H38" i="1" l="1"/>
  <c r="E101" i="1"/>
  <c r="I38" i="1" l="1"/>
  <c r="G95" i="1"/>
  <c r="G104" i="1"/>
  <c r="H95" i="1" l="1"/>
  <c r="H104" i="1"/>
  <c r="I104" i="1" l="1"/>
  <c r="I95" i="1"/>
  <c r="G113" i="1" l="1"/>
  <c r="G203" i="1"/>
  <c r="G186" i="1"/>
  <c r="G194" i="1" l="1"/>
  <c r="G208" i="1"/>
  <c r="G190" i="1"/>
  <c r="G187" i="1"/>
  <c r="G189" i="1"/>
  <c r="G188" i="1"/>
  <c r="H186" i="1"/>
  <c r="H113" i="1"/>
  <c r="H203" i="1"/>
  <c r="G200" i="1"/>
  <c r="G142" i="1"/>
  <c r="G217" i="1"/>
  <c r="G83" i="1"/>
  <c r="G165" i="1"/>
  <c r="G199" i="1"/>
  <c r="G88" i="1" l="1"/>
  <c r="G102" i="1"/>
  <c r="G80" i="1"/>
  <c r="G97" i="1"/>
  <c r="G103" i="1"/>
  <c r="G98" i="1"/>
  <c r="G100" i="1"/>
  <c r="G99" i="1"/>
  <c r="G77" i="1"/>
  <c r="H80" i="1"/>
  <c r="G78" i="1"/>
  <c r="G167" i="1"/>
  <c r="I194" i="1"/>
  <c r="H194" i="1"/>
  <c r="G156" i="1"/>
  <c r="G148" i="1"/>
  <c r="G133" i="1"/>
  <c r="G117" i="1"/>
  <c r="G196" i="1"/>
  <c r="G166" i="1"/>
  <c r="G137" i="1"/>
  <c r="G132" i="1"/>
  <c r="G157" i="1"/>
  <c r="I208" i="1"/>
  <c r="H208" i="1"/>
  <c r="H78" i="1"/>
  <c r="G191" i="1"/>
  <c r="I190" i="1"/>
  <c r="H190" i="1"/>
  <c r="I189" i="1"/>
  <c r="H189" i="1"/>
  <c r="I188" i="1"/>
  <c r="H188" i="1"/>
  <c r="I187" i="1"/>
  <c r="H187" i="1"/>
  <c r="I186" i="1"/>
  <c r="I113" i="1"/>
  <c r="H142" i="1"/>
  <c r="H77" i="1"/>
  <c r="H157" i="1"/>
  <c r="H200" i="1"/>
  <c r="H199" i="1"/>
  <c r="H83" i="1"/>
  <c r="H102" i="1"/>
  <c r="H165" i="1"/>
  <c r="H217" i="1"/>
  <c r="I203" i="1"/>
  <c r="I80" i="1"/>
  <c r="H88" i="1"/>
  <c r="G79" i="1"/>
  <c r="G68" i="1"/>
  <c r="G138" i="1"/>
  <c r="C223" i="1"/>
  <c r="C221" i="1"/>
  <c r="C220" i="1"/>
  <c r="C219" i="1"/>
  <c r="C218" i="1"/>
  <c r="C216" i="1"/>
  <c r="C215" i="1"/>
  <c r="C214" i="1"/>
  <c r="C213" i="1"/>
  <c r="C212" i="1"/>
  <c r="C211" i="1"/>
  <c r="C209" i="1"/>
  <c r="C207" i="1"/>
  <c r="C205" i="1"/>
  <c r="C204" i="1"/>
  <c r="C202" i="1"/>
  <c r="C201" i="1"/>
  <c r="C198" i="1"/>
  <c r="C195" i="1"/>
  <c r="C193" i="1"/>
  <c r="C192" i="1"/>
  <c r="C191" i="1"/>
  <c r="C190" i="1"/>
  <c r="F190" i="1" s="1"/>
  <c r="C189" i="1"/>
  <c r="F189" i="1" s="1"/>
  <c r="C188" i="1"/>
  <c r="F188" i="1" s="1"/>
  <c r="C187" i="1"/>
  <c r="F187" i="1" s="1"/>
  <c r="C186" i="1"/>
  <c r="F186" i="1" s="1"/>
  <c r="C185" i="1"/>
  <c r="C184" i="1"/>
  <c r="C183" i="1"/>
  <c r="C182" i="1"/>
  <c r="C181" i="1"/>
  <c r="C180" i="1"/>
  <c r="C179" i="1"/>
  <c r="C178" i="1"/>
  <c r="E155" i="1"/>
  <c r="C147" i="1"/>
  <c r="C146" i="1"/>
  <c r="C145" i="1"/>
  <c r="C144" i="1"/>
  <c r="C141" i="1"/>
  <c r="C140" i="1"/>
  <c r="C136" i="1"/>
  <c r="C135" i="1"/>
  <c r="C131" i="1"/>
  <c r="I122" i="1"/>
  <c r="C89" i="1"/>
  <c r="C87" i="1"/>
  <c r="C86" i="1"/>
  <c r="C84" i="1"/>
  <c r="C81" i="1"/>
  <c r="C74" i="1"/>
  <c r="C73" i="1"/>
  <c r="C72" i="1"/>
  <c r="C71" i="1"/>
  <c r="C70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49" i="1"/>
  <c r="C48" i="1"/>
  <c r="C47" i="1"/>
  <c r="C45" i="1"/>
  <c r="C44" i="1"/>
  <c r="C43" i="1"/>
  <c r="C42" i="1"/>
  <c r="C40" i="1"/>
  <c r="C39" i="1"/>
  <c r="C36" i="1"/>
  <c r="C35" i="1"/>
  <c r="C34" i="1"/>
  <c r="C33" i="1"/>
  <c r="C31" i="1"/>
  <c r="C30" i="1"/>
  <c r="C29" i="1"/>
  <c r="C27" i="1"/>
  <c r="C26" i="1"/>
  <c r="C25" i="1"/>
  <c r="C24" i="1"/>
  <c r="K23" i="1"/>
  <c r="C23" i="1"/>
  <c r="C22" i="1"/>
  <c r="C20" i="1"/>
  <c r="C19" i="1"/>
  <c r="C18" i="1"/>
  <c r="C17" i="1"/>
  <c r="C16" i="1"/>
  <c r="C15" i="1"/>
  <c r="C12" i="1"/>
  <c r="C11" i="1"/>
  <c r="C10" i="1"/>
  <c r="F81" i="1" l="1"/>
  <c r="E81" i="1"/>
  <c r="F84" i="1"/>
  <c r="E84" i="1"/>
  <c r="E212" i="1"/>
  <c r="F212" i="1"/>
  <c r="F223" i="1"/>
  <c r="E223" i="1"/>
  <c r="E222" i="1" s="1"/>
  <c r="E207" i="1"/>
  <c r="F207" i="1"/>
  <c r="F209" i="1"/>
  <c r="E209" i="1"/>
  <c r="F219" i="1"/>
  <c r="E219" i="1"/>
  <c r="F220" i="1"/>
  <c r="E220" i="1"/>
  <c r="E221" i="1"/>
  <c r="F221" i="1"/>
  <c r="E213" i="1"/>
  <c r="F213" i="1"/>
  <c r="F214" i="1"/>
  <c r="E214" i="1"/>
  <c r="F215" i="1"/>
  <c r="E215" i="1"/>
  <c r="F216" i="1"/>
  <c r="E216" i="1"/>
  <c r="F211" i="1"/>
  <c r="E211" i="1"/>
  <c r="F218" i="1"/>
  <c r="E218" i="1"/>
  <c r="F198" i="1"/>
  <c r="E198" i="1"/>
  <c r="F201" i="1"/>
  <c r="E201" i="1"/>
  <c r="F202" i="1"/>
  <c r="E202" i="1"/>
  <c r="F204" i="1"/>
  <c r="E204" i="1"/>
  <c r="F205" i="1"/>
  <c r="E205" i="1"/>
  <c r="E185" i="1"/>
  <c r="F185" i="1"/>
  <c r="F193" i="1"/>
  <c r="E193" i="1"/>
  <c r="F178" i="1"/>
  <c r="E178" i="1"/>
  <c r="F180" i="1"/>
  <c r="E180" i="1"/>
  <c r="E181" i="1"/>
  <c r="F181" i="1"/>
  <c r="E183" i="1"/>
  <c r="F183" i="1"/>
  <c r="E179" i="1"/>
  <c r="F179" i="1"/>
  <c r="F182" i="1"/>
  <c r="E182" i="1"/>
  <c r="F184" i="1"/>
  <c r="E184" i="1"/>
  <c r="F192" i="1"/>
  <c r="E192" i="1"/>
  <c r="F147" i="1"/>
  <c r="E147" i="1"/>
  <c r="F144" i="1"/>
  <c r="E144" i="1"/>
  <c r="F146" i="1"/>
  <c r="E146" i="1"/>
  <c r="F136" i="1"/>
  <c r="E136" i="1"/>
  <c r="E141" i="1"/>
  <c r="F141" i="1"/>
  <c r="E135" i="1"/>
  <c r="F135" i="1"/>
  <c r="E195" i="1"/>
  <c r="F195" i="1"/>
  <c r="E145" i="1"/>
  <c r="F145" i="1"/>
  <c r="E140" i="1"/>
  <c r="F140" i="1"/>
  <c r="F131" i="1"/>
  <c r="E131" i="1"/>
  <c r="F89" i="1"/>
  <c r="E89" i="1"/>
  <c r="E87" i="1"/>
  <c r="F87" i="1"/>
  <c r="F86" i="1"/>
  <c r="E86" i="1"/>
  <c r="F60" i="1"/>
  <c r="E60" i="1"/>
  <c r="F70" i="1"/>
  <c r="E70" i="1"/>
  <c r="E56" i="1"/>
  <c r="F56" i="1"/>
  <c r="F64" i="1"/>
  <c r="E64" i="1"/>
  <c r="F74" i="1"/>
  <c r="E74" i="1"/>
  <c r="F57" i="1"/>
  <c r="E57" i="1"/>
  <c r="F65" i="1"/>
  <c r="E65" i="1"/>
  <c r="F58" i="1"/>
  <c r="E58" i="1"/>
  <c r="F66" i="1"/>
  <c r="E66" i="1"/>
  <c r="F52" i="1"/>
  <c r="E52" i="1"/>
  <c r="E59" i="1"/>
  <c r="F59" i="1"/>
  <c r="E67" i="1"/>
  <c r="F67" i="1"/>
  <c r="F53" i="1"/>
  <c r="E53" i="1"/>
  <c r="F61" i="1"/>
  <c r="E61" i="1"/>
  <c r="F71" i="1"/>
  <c r="E71" i="1"/>
  <c r="F54" i="1"/>
  <c r="E54" i="1"/>
  <c r="F62" i="1"/>
  <c r="E62" i="1"/>
  <c r="E72" i="1"/>
  <c r="F72" i="1"/>
  <c r="E55" i="1"/>
  <c r="F55" i="1"/>
  <c r="E63" i="1"/>
  <c r="F63" i="1"/>
  <c r="F73" i="1"/>
  <c r="E73" i="1"/>
  <c r="F47" i="1"/>
  <c r="E47" i="1"/>
  <c r="F49" i="1"/>
  <c r="E49" i="1"/>
  <c r="F48" i="1"/>
  <c r="E48" i="1"/>
  <c r="F45" i="1"/>
  <c r="E45" i="1"/>
  <c r="F44" i="1"/>
  <c r="E44" i="1"/>
  <c r="E42" i="1"/>
  <c r="F42" i="1"/>
  <c r="F43" i="1"/>
  <c r="E43" i="1"/>
  <c r="E39" i="1"/>
  <c r="F39" i="1"/>
  <c r="F40" i="1"/>
  <c r="E40" i="1"/>
  <c r="E35" i="1"/>
  <c r="F35" i="1"/>
  <c r="F34" i="1"/>
  <c r="E34" i="1"/>
  <c r="F36" i="1"/>
  <c r="E36" i="1"/>
  <c r="F33" i="1"/>
  <c r="E33" i="1"/>
  <c r="E31" i="1"/>
  <c r="F31" i="1"/>
  <c r="F29" i="1"/>
  <c r="E29" i="1"/>
  <c r="F30" i="1"/>
  <c r="E30" i="1"/>
  <c r="F25" i="1"/>
  <c r="E25" i="1"/>
  <c r="F27" i="1"/>
  <c r="E27" i="1"/>
  <c r="F26" i="1"/>
  <c r="E26" i="1"/>
  <c r="F22" i="1"/>
  <c r="E22" i="1"/>
  <c r="F23" i="1"/>
  <c r="E23" i="1"/>
  <c r="F24" i="1"/>
  <c r="E24" i="1"/>
  <c r="F18" i="1"/>
  <c r="E18" i="1"/>
  <c r="F19" i="1"/>
  <c r="E19" i="1"/>
  <c r="F20" i="1"/>
  <c r="E20" i="1"/>
  <c r="F16" i="1"/>
  <c r="E16" i="1"/>
  <c r="F17" i="1"/>
  <c r="E17" i="1"/>
  <c r="E15" i="1"/>
  <c r="F15" i="1"/>
  <c r="E11" i="1"/>
  <c r="F11" i="1"/>
  <c r="F10" i="1"/>
  <c r="E10" i="1"/>
  <c r="E12" i="1"/>
  <c r="F12" i="1"/>
  <c r="G57" i="1"/>
  <c r="I61" i="1"/>
  <c r="G65" i="1"/>
  <c r="I71" i="1"/>
  <c r="H81" i="1"/>
  <c r="G89" i="1"/>
  <c r="I193" i="1"/>
  <c r="I202" i="1"/>
  <c r="I214" i="1"/>
  <c r="I219" i="1"/>
  <c r="G11" i="1"/>
  <c r="G17" i="1"/>
  <c r="G22" i="1"/>
  <c r="G25" i="1"/>
  <c r="G30" i="1"/>
  <c r="G35" i="1"/>
  <c r="G42" i="1"/>
  <c r="G47" i="1"/>
  <c r="G53" i="1"/>
  <c r="G12" i="1"/>
  <c r="G18" i="1"/>
  <c r="G23" i="1"/>
  <c r="G26" i="1"/>
  <c r="G31" i="1"/>
  <c r="G36" i="1"/>
  <c r="G43" i="1"/>
  <c r="G48" i="1"/>
  <c r="H54" i="1"/>
  <c r="G58" i="1"/>
  <c r="G62" i="1"/>
  <c r="I66" i="1"/>
  <c r="G72" i="1"/>
  <c r="I204" i="1"/>
  <c r="G10" i="1"/>
  <c r="G16" i="1"/>
  <c r="G20" i="1"/>
  <c r="G24" i="1"/>
  <c r="G29" i="1"/>
  <c r="G34" i="1"/>
  <c r="G40" i="1"/>
  <c r="G45" i="1"/>
  <c r="G56" i="1"/>
  <c r="G60" i="1"/>
  <c r="G70" i="1"/>
  <c r="G74" i="1"/>
  <c r="G15" i="1"/>
  <c r="G19" i="1"/>
  <c r="G27" i="1"/>
  <c r="G33" i="1"/>
  <c r="G39" i="1"/>
  <c r="G44" i="1"/>
  <c r="G49" i="1"/>
  <c r="G55" i="1"/>
  <c r="H59" i="1"/>
  <c r="G63" i="1"/>
  <c r="G67" i="1"/>
  <c r="I73" i="1"/>
  <c r="I205" i="1"/>
  <c r="I212" i="1"/>
  <c r="I216" i="1"/>
  <c r="I221" i="1"/>
  <c r="H213" i="1"/>
  <c r="I16" i="1"/>
  <c r="G87" i="1"/>
  <c r="H87" i="1"/>
  <c r="G192" i="1"/>
  <c r="H192" i="1"/>
  <c r="G201" i="1"/>
  <c r="H201" i="1"/>
  <c r="G207" i="1"/>
  <c r="H207" i="1"/>
  <c r="G213" i="1"/>
  <c r="G218" i="1"/>
  <c r="H218" i="1"/>
  <c r="G223" i="1"/>
  <c r="G222" i="1" s="1"/>
  <c r="H223" i="1"/>
  <c r="H222" i="1" s="1"/>
  <c r="I87" i="1"/>
  <c r="I223" i="1"/>
  <c r="I222" i="1" s="1"/>
  <c r="H10" i="1"/>
  <c r="G215" i="1"/>
  <c r="I54" i="1"/>
  <c r="I57" i="1"/>
  <c r="I20" i="1"/>
  <c r="G73" i="1"/>
  <c r="H33" i="1"/>
  <c r="I65" i="1"/>
  <c r="I55" i="1"/>
  <c r="I48" i="1"/>
  <c r="I59" i="1"/>
  <c r="I35" i="1"/>
  <c r="H30" i="1"/>
  <c r="H66" i="1"/>
  <c r="I53" i="1"/>
  <c r="I29" i="1"/>
  <c r="I45" i="1"/>
  <c r="I40" i="1"/>
  <c r="G193" i="1"/>
  <c r="H193" i="1"/>
  <c r="G202" i="1"/>
  <c r="H202" i="1"/>
  <c r="G209" i="1"/>
  <c r="H209" i="1"/>
  <c r="G214" i="1"/>
  <c r="H214" i="1"/>
  <c r="G219" i="1"/>
  <c r="H219" i="1"/>
  <c r="H89" i="1"/>
  <c r="I81" i="1"/>
  <c r="I201" i="1"/>
  <c r="H220" i="1"/>
  <c r="H215" i="1"/>
  <c r="H16" i="1"/>
  <c r="G66" i="1"/>
  <c r="I33" i="1"/>
  <c r="G54" i="1"/>
  <c r="H27" i="1"/>
  <c r="H43" i="1"/>
  <c r="G81" i="1"/>
  <c r="H23" i="1"/>
  <c r="H42" i="1"/>
  <c r="I30" i="1"/>
  <c r="G59" i="1"/>
  <c r="H22" i="1"/>
  <c r="H34" i="1"/>
  <c r="H18" i="1"/>
  <c r="H61" i="1"/>
  <c r="H11" i="1"/>
  <c r="H44" i="1"/>
  <c r="I27" i="1"/>
  <c r="I43" i="1"/>
  <c r="G61" i="1"/>
  <c r="I23" i="1"/>
  <c r="I42" i="1"/>
  <c r="H71" i="1"/>
  <c r="H73" i="1"/>
  <c r="H25" i="1"/>
  <c r="G71" i="1"/>
  <c r="I22" i="1"/>
  <c r="I34" i="1"/>
  <c r="I18" i="1"/>
  <c r="G84" i="1"/>
  <c r="H84" i="1"/>
  <c r="I84" i="1"/>
  <c r="G195" i="1"/>
  <c r="H195" i="1"/>
  <c r="I195" i="1"/>
  <c r="G204" i="1"/>
  <c r="H204" i="1"/>
  <c r="G211" i="1"/>
  <c r="H211" i="1"/>
  <c r="I211" i="1"/>
  <c r="G220" i="1"/>
  <c r="G86" i="1"/>
  <c r="H86" i="1"/>
  <c r="I86" i="1"/>
  <c r="G198" i="1"/>
  <c r="H198" i="1"/>
  <c r="I198" i="1"/>
  <c r="G205" i="1"/>
  <c r="H205" i="1"/>
  <c r="G212" i="1"/>
  <c r="H212" i="1"/>
  <c r="G216" i="1"/>
  <c r="H216" i="1"/>
  <c r="G221" i="1"/>
  <c r="H221" i="1"/>
  <c r="I207" i="1"/>
  <c r="I215" i="1"/>
  <c r="I218" i="1"/>
  <c r="I192" i="1"/>
  <c r="I209" i="1"/>
  <c r="H57" i="1"/>
  <c r="H20" i="1"/>
  <c r="I11" i="1"/>
  <c r="I44" i="1"/>
  <c r="H65" i="1"/>
  <c r="H55" i="1"/>
  <c r="H48" i="1"/>
  <c r="H35" i="1"/>
  <c r="I25" i="1"/>
  <c r="H53" i="1"/>
  <c r="H29" i="1"/>
  <c r="H45" i="1"/>
  <c r="H40" i="1"/>
  <c r="I49" i="1"/>
  <c r="H49" i="1"/>
  <c r="H36" i="1"/>
  <c r="H31" i="1"/>
  <c r="I39" i="1"/>
  <c r="H39" i="1"/>
  <c r="I70" i="1"/>
  <c r="H70" i="1"/>
  <c r="I74" i="1"/>
  <c r="H74" i="1"/>
  <c r="I26" i="1"/>
  <c r="H26" i="1"/>
  <c r="I17" i="1"/>
  <c r="H17" i="1"/>
  <c r="I67" i="1"/>
  <c r="H67" i="1"/>
  <c r="I60" i="1"/>
  <c r="H60" i="1"/>
  <c r="I47" i="1"/>
  <c r="H47" i="1"/>
  <c r="H103" i="1"/>
  <c r="H98" i="1"/>
  <c r="H99" i="1"/>
  <c r="H97" i="1"/>
  <c r="H100" i="1"/>
  <c r="I19" i="1"/>
  <c r="H19" i="1"/>
  <c r="I15" i="1"/>
  <c r="H15" i="1"/>
  <c r="I12" i="1"/>
  <c r="H12" i="1"/>
  <c r="I63" i="1"/>
  <c r="H63" i="1"/>
  <c r="I56" i="1"/>
  <c r="H56" i="1"/>
  <c r="I62" i="1"/>
  <c r="H62" i="1"/>
  <c r="I72" i="1"/>
  <c r="H72" i="1"/>
  <c r="I58" i="1"/>
  <c r="H58" i="1"/>
  <c r="I24" i="1"/>
  <c r="H24" i="1"/>
  <c r="I156" i="1"/>
  <c r="H156" i="1"/>
  <c r="H155" i="1" s="1"/>
  <c r="H167" i="1"/>
  <c r="H196" i="1"/>
  <c r="H166" i="1"/>
  <c r="H137" i="1"/>
  <c r="H132" i="1"/>
  <c r="H148" i="1"/>
  <c r="H133" i="1"/>
  <c r="H117" i="1"/>
  <c r="H140" i="1"/>
  <c r="G140" i="1"/>
  <c r="I146" i="1"/>
  <c r="H146" i="1"/>
  <c r="G146" i="1"/>
  <c r="I178" i="1"/>
  <c r="H178" i="1"/>
  <c r="G178" i="1"/>
  <c r="I182" i="1"/>
  <c r="H182" i="1"/>
  <c r="G182" i="1"/>
  <c r="I131" i="1"/>
  <c r="H131" i="1"/>
  <c r="G131" i="1"/>
  <c r="G130" i="1" s="1"/>
  <c r="I141" i="1"/>
  <c r="H141" i="1"/>
  <c r="G141" i="1"/>
  <c r="H147" i="1"/>
  <c r="G147" i="1"/>
  <c r="G179" i="1"/>
  <c r="I179" i="1"/>
  <c r="H179" i="1"/>
  <c r="G183" i="1"/>
  <c r="I183" i="1"/>
  <c r="H183" i="1"/>
  <c r="H135" i="1"/>
  <c r="G135" i="1"/>
  <c r="G144" i="1"/>
  <c r="I144" i="1"/>
  <c r="H144" i="1"/>
  <c r="H180" i="1"/>
  <c r="G180" i="1"/>
  <c r="I180" i="1"/>
  <c r="H184" i="1"/>
  <c r="G184" i="1"/>
  <c r="I184" i="1"/>
  <c r="I136" i="1"/>
  <c r="H136" i="1"/>
  <c r="G136" i="1"/>
  <c r="H145" i="1"/>
  <c r="G145" i="1"/>
  <c r="I145" i="1"/>
  <c r="I181" i="1"/>
  <c r="H181" i="1"/>
  <c r="G181" i="1"/>
  <c r="I185" i="1"/>
  <c r="H185" i="1"/>
  <c r="G185" i="1"/>
  <c r="I10" i="1"/>
  <c r="H68" i="1"/>
  <c r="I78" i="1"/>
  <c r="I191" i="1"/>
  <c r="H191" i="1"/>
  <c r="I157" i="1"/>
  <c r="I220" i="1"/>
  <c r="I147" i="1"/>
  <c r="I83" i="1"/>
  <c r="H79" i="1"/>
  <c r="G76" i="1"/>
  <c r="I217" i="1"/>
  <c r="H138" i="1"/>
  <c r="I102" i="1"/>
  <c r="I199" i="1"/>
  <c r="I200" i="1"/>
  <c r="I140" i="1"/>
  <c r="G108" i="1"/>
  <c r="K112" i="1" s="1"/>
  <c r="I165" i="1"/>
  <c r="I213" i="1"/>
  <c r="I142" i="1"/>
  <c r="I135" i="1"/>
  <c r="I88" i="1"/>
  <c r="I89" i="1"/>
  <c r="G101" i="1"/>
  <c r="G155" i="1"/>
  <c r="G96" i="1"/>
  <c r="E168" i="1"/>
  <c r="E76" i="1"/>
  <c r="H122" i="1"/>
  <c r="G122" i="1"/>
  <c r="G168" i="1"/>
  <c r="V770" i="19" l="1"/>
  <c r="Z770" i="19" s="1"/>
  <c r="V771" i="19"/>
  <c r="Z771" i="19" s="1"/>
  <c r="V768" i="19"/>
  <c r="Z768" i="19" s="1"/>
  <c r="V766" i="19"/>
  <c r="Z766" i="19" s="1"/>
  <c r="V765" i="19"/>
  <c r="Z765" i="19" s="1"/>
  <c r="V772" i="19"/>
  <c r="Z772" i="19" s="1"/>
  <c r="V769" i="19"/>
  <c r="Z769" i="19" s="1"/>
  <c r="V764" i="19"/>
  <c r="Z764" i="19" s="1"/>
  <c r="E177" i="1"/>
  <c r="K736" i="9"/>
  <c r="K729" i="9"/>
  <c r="K737" i="9"/>
  <c r="K733" i="9"/>
  <c r="K734" i="9"/>
  <c r="K735" i="9"/>
  <c r="K731" i="9"/>
  <c r="K730" i="9"/>
  <c r="F69" i="1"/>
  <c r="F32" i="1"/>
  <c r="F85" i="1"/>
  <c r="F51" i="1"/>
  <c r="F9" i="1"/>
  <c r="F46" i="1"/>
  <c r="F14" i="1"/>
  <c r="F21" i="1"/>
  <c r="F28" i="1"/>
  <c r="F41" i="1"/>
  <c r="F37" i="1"/>
  <c r="H37" i="1"/>
  <c r="H41" i="1"/>
  <c r="I99" i="1"/>
  <c r="I100" i="1"/>
  <c r="I97" i="1"/>
  <c r="I103" i="1"/>
  <c r="I98" i="1"/>
  <c r="I31" i="1"/>
  <c r="I28" i="1" s="1"/>
  <c r="I36" i="1"/>
  <c r="I32" i="1" s="1"/>
  <c r="I77" i="1"/>
  <c r="I132" i="1"/>
  <c r="I148" i="1"/>
  <c r="I143" i="1" s="1"/>
  <c r="I133" i="1"/>
  <c r="I117" i="1"/>
  <c r="I166" i="1"/>
  <c r="I137" i="1"/>
  <c r="I9" i="1"/>
  <c r="I167" i="1"/>
  <c r="I155" i="1"/>
  <c r="I68" i="1"/>
  <c r="G139" i="1"/>
  <c r="E85" i="1"/>
  <c r="H197" i="1"/>
  <c r="H108" i="1"/>
  <c r="H107" i="1" s="1"/>
  <c r="I138" i="1"/>
  <c r="H134" i="1"/>
  <c r="I79" i="1"/>
  <c r="H76" i="1"/>
  <c r="H9" i="1"/>
  <c r="G85" i="1"/>
  <c r="I139" i="1"/>
  <c r="H46" i="1"/>
  <c r="H206" i="1"/>
  <c r="H130" i="1"/>
  <c r="E69" i="1"/>
  <c r="H168" i="1"/>
  <c r="H96" i="1"/>
  <c r="I197" i="1"/>
  <c r="H85" i="1"/>
  <c r="E9" i="1"/>
  <c r="E51" i="1"/>
  <c r="H177" i="1"/>
  <c r="E28" i="1"/>
  <c r="G197" i="1"/>
  <c r="G9" i="1"/>
  <c r="E197" i="1"/>
  <c r="G21" i="1"/>
  <c r="H28" i="1"/>
  <c r="E32" i="1"/>
  <c r="E37" i="1"/>
  <c r="G37" i="1"/>
  <c r="G28" i="1"/>
  <c r="H32" i="1"/>
  <c r="E46" i="1"/>
  <c r="I37" i="1"/>
  <c r="I41" i="1"/>
  <c r="H101" i="1"/>
  <c r="G94" i="1"/>
  <c r="E210" i="1"/>
  <c r="G206" i="1"/>
  <c r="G177" i="1"/>
  <c r="E94" i="1"/>
  <c r="G46" i="1"/>
  <c r="E41" i="1"/>
  <c r="G32" i="1"/>
  <c r="H14" i="1"/>
  <c r="G14" i="1"/>
  <c r="I14" i="1"/>
  <c r="G41" i="1"/>
  <c r="E134" i="1"/>
  <c r="E14" i="1"/>
  <c r="I46" i="1"/>
  <c r="G134" i="1"/>
  <c r="E143" i="1"/>
  <c r="E206" i="1"/>
  <c r="G107" i="1"/>
  <c r="I210" i="1"/>
  <c r="I206" i="1"/>
  <c r="E130" i="1"/>
  <c r="H143" i="1"/>
  <c r="H139" i="1"/>
  <c r="H21" i="1"/>
  <c r="E21" i="1"/>
  <c r="H210" i="1"/>
  <c r="G210" i="1"/>
  <c r="E139" i="1"/>
  <c r="I85" i="1"/>
  <c r="I21" i="1"/>
  <c r="G143" i="1"/>
  <c r="F13" i="1" l="1"/>
  <c r="F8" i="1" s="1"/>
  <c r="F90" i="1" s="1"/>
  <c r="I76" i="1"/>
  <c r="I134" i="1"/>
  <c r="I108" i="1"/>
  <c r="I107" i="1" s="1"/>
  <c r="I177" i="1"/>
  <c r="I176" i="1" s="1"/>
  <c r="I168" i="1"/>
  <c r="H176" i="1"/>
  <c r="E239" i="1"/>
  <c r="H94" i="1"/>
  <c r="I101" i="1"/>
  <c r="I130" i="1"/>
  <c r="I96" i="1"/>
  <c r="E176" i="1"/>
  <c r="E173" i="1" s="1"/>
  <c r="H13" i="1"/>
  <c r="G13" i="1"/>
  <c r="G176" i="1"/>
  <c r="G106" i="1"/>
  <c r="G151" i="1" s="1"/>
  <c r="G152" i="1" s="1"/>
  <c r="I13" i="1"/>
  <c r="H106" i="1"/>
  <c r="E106" i="1"/>
  <c r="E151" i="1" s="1"/>
  <c r="E13" i="1"/>
  <c r="E8" i="1" s="1"/>
  <c r="E90" i="1" s="1"/>
  <c r="I106" i="1" l="1"/>
  <c r="H151" i="1"/>
  <c r="H152" i="1" s="1"/>
  <c r="I94" i="1"/>
  <c r="E161" i="1"/>
  <c r="E172" i="1" s="1"/>
  <c r="E229" i="1" s="1"/>
  <c r="I151" i="1" l="1"/>
  <c r="I152" i="1" s="1"/>
  <c r="G69" i="1"/>
  <c r="H69" i="1" l="1"/>
  <c r="I69" i="1" l="1"/>
  <c r="F155" i="1" l="1"/>
  <c r="F108" i="1"/>
  <c r="F139" i="1"/>
  <c r="F134" i="1"/>
  <c r="F143" i="1"/>
  <c r="F130" i="1"/>
  <c r="F206" i="1"/>
  <c r="F168" i="1"/>
  <c r="F122" i="1"/>
  <c r="F101" i="1"/>
  <c r="F94" i="1" s="1"/>
  <c r="F210" i="1"/>
  <c r="F177" i="1" l="1"/>
  <c r="F197" i="1"/>
  <c r="F107" i="1"/>
  <c r="F106" i="1" s="1"/>
  <c r="F151" i="1" s="1"/>
  <c r="F152" i="1" s="1"/>
  <c r="F222" i="1"/>
  <c r="F161" i="1" l="1"/>
  <c r="F172" i="1" s="1"/>
  <c r="F176" i="1"/>
  <c r="F229" i="1" l="1"/>
  <c r="F330" i="1" s="1"/>
  <c r="AP82" i="3"/>
  <c r="AP953" i="3"/>
  <c r="AP634" i="3"/>
  <c r="AP392" i="3"/>
  <c r="AP138" i="3"/>
  <c r="AP1016" i="3"/>
  <c r="AP334" i="3"/>
  <c r="AP866" i="3"/>
  <c r="AP117" i="3"/>
  <c r="AP1006" i="3"/>
  <c r="AP722" i="3"/>
  <c r="AP973" i="3"/>
  <c r="AP776" i="3"/>
  <c r="AP353" i="3"/>
  <c r="AP106" i="3"/>
  <c r="AL1089" i="3" l="1"/>
  <c r="AL1091" i="3" s="1"/>
  <c r="X763" i="19"/>
  <c r="X773" i="19" s="1"/>
  <c r="AP777" i="3"/>
  <c r="AP55" i="3"/>
  <c r="AP421" i="3"/>
  <c r="AP1037" i="3"/>
  <c r="AP485" i="3"/>
  <c r="AP300" i="3"/>
  <c r="AP934" i="3"/>
  <c r="AP675" i="3"/>
  <c r="AP200" i="3"/>
  <c r="AP258" i="3"/>
  <c r="AP831" i="3"/>
  <c r="AP282" i="3"/>
  <c r="AP460" i="3"/>
  <c r="AP225" i="3"/>
  <c r="AP179" i="3"/>
  <c r="AP154" i="3"/>
  <c r="AP374" i="3"/>
  <c r="AP698" i="3"/>
  <c r="M728" i="9"/>
  <c r="O728" i="9" s="1"/>
  <c r="G52" i="1"/>
  <c r="AP19" i="3"/>
  <c r="V763" i="19" l="1"/>
  <c r="Z763" i="19" s="1"/>
  <c r="Y763" i="19"/>
  <c r="Y773" i="19" s="1"/>
  <c r="H52" i="1"/>
  <c r="K728" i="9"/>
  <c r="I52" i="1" l="1"/>
  <c r="M732" i="9" l="1"/>
  <c r="G64" i="1"/>
  <c r="AP26" i="3"/>
  <c r="AM1089" i="3"/>
  <c r="AM1091" i="3" s="1"/>
  <c r="AL1086" i="3"/>
  <c r="V767" i="19" l="1"/>
  <c r="Z767" i="19" s="1"/>
  <c r="O732" i="9"/>
  <c r="O738" i="9" s="1"/>
  <c r="M738" i="9"/>
  <c r="H64" i="1"/>
  <c r="H51" i="1" s="1"/>
  <c r="H8" i="1" s="1"/>
  <c r="AM1086" i="3"/>
  <c r="AN1089" i="3"/>
  <c r="AN1091" i="3" s="1"/>
  <c r="K732" i="9"/>
  <c r="G51" i="1"/>
  <c r="G8" i="1" s="1"/>
  <c r="V773" i="19" l="1"/>
  <c r="G90" i="1"/>
  <c r="G161" i="1" s="1"/>
  <c r="G172" i="1" s="1"/>
  <c r="G229" i="1" s="1"/>
  <c r="K738" i="9"/>
  <c r="AN1086" i="3"/>
  <c r="I64" i="1"/>
  <c r="I51" i="1" s="1"/>
  <c r="I8" i="1" s="1"/>
  <c r="H90" i="1"/>
  <c r="H161" i="1" s="1"/>
  <c r="H172" i="1" s="1"/>
  <c r="H229" i="1" s="1"/>
  <c r="I90" i="1" l="1"/>
  <c r="I161" i="1" s="1"/>
  <c r="I172" i="1" s="1"/>
  <c r="I229" i="1" s="1"/>
  <c r="G231" i="1"/>
  <c r="G23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tc={4B4F8E6A-1981-4B31-8594-8122C854A83C}</author>
  </authors>
  <commentList>
    <comment ref="R171" authorId="0" shapeId="0" xr:uid="{4B4F8E6A-1981-4B31-8594-8122C854A83C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be removed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E27722-90EE-4313-85C9-63FAEBD74575}" name="Connection1" type="4" refreshedVersion="8" background="1" saveData="1">
    <webPr sourceData="1" parsePre="1" consecutive="1" xl2000="1" url="file:///C:/Payday/datafiles/PREVIEWM520.HTML"/>
  </connection>
  <connection id="2" xr16:uid="{E4FEADBB-5A60-451F-9D9A-F821263C3DB2}" name="Connection11" type="4" refreshedVersion="8" background="1" saveData="1">
    <webPr sourceData="1" parsePre="1" consecutive="1" xl2000="1" url="file:///C:/Payday/datafiles/PREVIEWM520.HTML"/>
  </connection>
  <connection id="3" xr16:uid="{820D7767-BD00-4117-BDA4-D626B42E0B76}" name="Connection111" type="4" refreshedVersion="8" background="1" saveData="1">
    <webPr sourceData="1" parsePre="1" consecutive="1" xl2000="1" url="file:///C:/Payday/datafiles/PREVIEWM520.HTML"/>
  </connection>
</connections>
</file>

<file path=xl/sharedStrings.xml><?xml version="1.0" encoding="utf-8"?>
<sst xmlns="http://schemas.openxmlformats.org/spreadsheetml/2006/main" count="30641" uniqueCount="3512">
  <si>
    <t>CENTLEC (SOC) LTD</t>
  </si>
  <si>
    <t>MTREF 2019-22 MSCOA FRAMEWORK</t>
  </si>
  <si>
    <t>STATEMENT OF FINANCIAL PERFORMANCE - CENTLEC (ENTITY)</t>
  </si>
  <si>
    <t>EXPENDITURE PER TYPE</t>
  </si>
  <si>
    <t>PROPOSSED ADJUSTMENT 2021-22</t>
  </si>
  <si>
    <t>MTREF 2023-24</t>
  </si>
  <si>
    <t>MTREF 2024-25</t>
  </si>
  <si>
    <t>EMPLOYEE SALARIES AND WAGES</t>
  </si>
  <si>
    <t>REMUNERATION OF DIRECTORS</t>
  </si>
  <si>
    <t>BM D01: SAL &amp; ALL - BASIC SALARY</t>
  </si>
  <si>
    <t>BM D02: SAL &amp; ALL - BASIC SALARY</t>
  </si>
  <si>
    <t>BM D03: SAL &amp; ALL - BASIC SALARY</t>
  </si>
  <si>
    <t>SM - SALARIES ALLOWANCES AND SERVICES BENEFITS</t>
  </si>
  <si>
    <t>SMSAL</t>
  </si>
  <si>
    <t>CEO - SALARIES ALLOWANCES AND SERVICES BENEFITS</t>
  </si>
  <si>
    <t>SM CEO: SAL &amp; ALL -  BASIC SALARY</t>
  </si>
  <si>
    <t>SM CEO: ALLOW - CELLULAR &amp; TELEPHONE</t>
  </si>
  <si>
    <t>SM CEO: SOC CONTR: MEDICAL</t>
  </si>
  <si>
    <t>SM CEO: SOC CONTR: PENSION FUNDS</t>
  </si>
  <si>
    <t>SM CEO: SOC CONTR: UIF</t>
  </si>
  <si>
    <t>SM CEO: SOC CONTR: BARGAINING COUNCIL</t>
  </si>
  <si>
    <t>CFO - SALARIES ALLOWANCES AND SERVICES BENEFITS</t>
  </si>
  <si>
    <t>SM CFO: SAL &amp; ALL -  BASIC SALARY</t>
  </si>
  <si>
    <t>SM CFO: ALLOW - CELLULAR &amp; TELEPHONE</t>
  </si>
  <si>
    <t>SM CFO: ALLOW - TRAVEL OR MOTOR VEHICLE</t>
  </si>
  <si>
    <t>SM MM: SOC CONTR: UIF</t>
  </si>
  <si>
    <t>SM CFO: SOC CONTR: MEDICAL</t>
  </si>
  <si>
    <t>SM CFO: SOC CONTR: PENSION FUNDS</t>
  </si>
  <si>
    <t>EMHR - SALARIES ALLOW AND SERV BENEFITS</t>
  </si>
  <si>
    <t>SM D11: SAL &amp; ALL -  BASIC SALARY</t>
  </si>
  <si>
    <t>SM D11: ALLOW - CELLULAR &amp; TELEPHONE</t>
  </si>
  <si>
    <t>SM D11: SOC CONTR: UIF</t>
  </si>
  <si>
    <t>EMR - SALARIES ALLOW AND SERV BENEFITS</t>
  </si>
  <si>
    <t>SM D12: SAL &amp; ALL -  BASIC SALARY</t>
  </si>
  <si>
    <t>SM D12: ALLOW - CELLULAR &amp; TELEPHONE</t>
  </si>
  <si>
    <t>SM D12: ALLOW - TRAVEL OR MOTOR VEHICLE</t>
  </si>
  <si>
    <t>EMW - SALARIES ALLOW AND SERV BENEFITS</t>
  </si>
  <si>
    <t>P1441203485</t>
  </si>
  <si>
    <t>SM D13: ALLOW - CELLULAR &amp; TELEPHONE</t>
  </si>
  <si>
    <t>SM D13: SOC CONTR: UIF</t>
  </si>
  <si>
    <t>EMCP - SALARIES ALLOW AND SERV BENEFITS</t>
  </si>
  <si>
    <t>SM D14: SAL &amp; ALL -  BASIC SALARY</t>
  </si>
  <si>
    <t>SM D14: ALLOW - CELLULAR &amp; TELEPHONE</t>
  </si>
  <si>
    <t>SM D14: ALLOW - TRAVEL OR MOTOR VEHICLE</t>
  </si>
  <si>
    <t>SM D14: SOC CONTR: UIF</t>
  </si>
  <si>
    <t>COMSEC - SALARIES ALLOW AND SERV BENEFITS</t>
  </si>
  <si>
    <t>SM D10: SAL &amp; ALL -  BASIC SALARY</t>
  </si>
  <si>
    <t>SM D10: ALLOW - CELLULAR &amp; TELEPHONE</t>
  </si>
  <si>
    <t>SM D10: SOC CONTR: UIF</t>
  </si>
  <si>
    <t>MS - SALARIES ALLOWANCES AND SERVICES BENEFITS</t>
  </si>
  <si>
    <t>MS: SAL &amp; ALL: BASIC SALARY &amp; WAGES</t>
  </si>
  <si>
    <t>MS: ALL - ACCOMMODATION/TRVL/INCIDENTAL</t>
  </si>
  <si>
    <t>MS: ALL - CELLULAR &amp; TELEPHONE</t>
  </si>
  <si>
    <t>MS: HB &amp; INC: ESSENTIAL USER</t>
  </si>
  <si>
    <t>MS: HB &amp; INC: HOUSING BENEFITS</t>
  </si>
  <si>
    <t>MS: ALL - LEAVE PAY</t>
  </si>
  <si>
    <t>MS: ALL - TRAVEL OR MOTOR VEHICLE (SUBS</t>
  </si>
  <si>
    <t>MS: OVERTIME - STRUCTURED</t>
  </si>
  <si>
    <t>MS: OVERTIME - NON STRUCTURED</t>
  </si>
  <si>
    <t>MS: PAYMENTS - SHIFT ADD REMUNERATION</t>
  </si>
  <si>
    <t>MS: OVERTIME - NIGHT SHIFT</t>
  </si>
  <si>
    <t>MS: SRB - ACTING ALLOWANCE</t>
  </si>
  <si>
    <t>MS: SRB - ANNUAL BONUS</t>
  </si>
  <si>
    <t>MS: SRB - LONG SERVICE AWARD</t>
  </si>
  <si>
    <t>MS: SRB - STANDBY ALLOWANCE</t>
  </si>
  <si>
    <t>MS: SRB - TOOLS ALLOWANCE</t>
  </si>
  <si>
    <t>MS: SRB - UNIFORM/SPEC/PROTEC CLOTHING</t>
  </si>
  <si>
    <t>P211060</t>
  </si>
  <si>
    <t>MS - SOCIAL CONTRIBUTIONS</t>
  </si>
  <si>
    <t>MS: SOC CONTR - BARGAINING COUNCIL</t>
  </si>
  <si>
    <t>MS: SOC CONTR - GROUP LIFE INSURANCE</t>
  </si>
  <si>
    <t>MS: SOC CONTR - MEDICAL</t>
  </si>
  <si>
    <t>MS: SOC CONTR - PENSION</t>
  </si>
  <si>
    <t>MS: SOC CONTR - UNEMPLOYMENT INSUR FUND</t>
  </si>
  <si>
    <t>CONTRACTED SERVICES</t>
  </si>
  <si>
    <t>OUTSOURCE SERVICES</t>
  </si>
  <si>
    <t>P226060</t>
  </si>
  <si>
    <t>CONSULTANTS AND PROFESSIONAL SERVICES</t>
  </si>
  <si>
    <t>P227334</t>
  </si>
  <si>
    <t>CONTRACTORS</t>
  </si>
  <si>
    <t>P228361</t>
  </si>
  <si>
    <t>OPERATIONAL COST</t>
  </si>
  <si>
    <t>P230452</t>
  </si>
  <si>
    <t>INVENTORY - MATERIALS &amp; SUPPLIES(PRINT&amp;</t>
  </si>
  <si>
    <t>INVENTORY - MATERIALS &amp; SUPPLIES</t>
  </si>
  <si>
    <t>BULK PURCHASES</t>
  </si>
  <si>
    <t>P234001</t>
  </si>
  <si>
    <t xml:space="preserve">   FINANCE LEASES</t>
  </si>
  <si>
    <t>P236254</t>
  </si>
  <si>
    <t>INTEREST ON FINANCE LEASES</t>
  </si>
  <si>
    <t>DIVIDENDS PAID</t>
  </si>
  <si>
    <t>OPERATING LEASES</t>
  </si>
  <si>
    <t>OPR LEASES: MACHINERY &amp; EQUIPMENT</t>
  </si>
  <si>
    <t>OPR LEASES: FURNITURE &amp; OFFICE EQUIPMENT</t>
  </si>
  <si>
    <t>DEPRECIATION AND AMORTISATION</t>
  </si>
  <si>
    <t>P272150</t>
  </si>
  <si>
    <t>BAD DEBTS WRITTEN OFF</t>
  </si>
  <si>
    <t xml:space="preserve">TOTAL EXPENDITURE </t>
  </si>
  <si>
    <t>REVENUE PER TYPE</t>
  </si>
  <si>
    <t>NON -EXCHANGE REVENUE</t>
  </si>
  <si>
    <t>FINES AND PENALTIES</t>
  </si>
  <si>
    <t>P104002</t>
  </si>
  <si>
    <t>CAPITAL:MONETARY</t>
  </si>
  <si>
    <t>CAPITAL: IN KIND</t>
  </si>
  <si>
    <t>TRANSFERS AND SUBSIDIES</t>
  </si>
  <si>
    <t>OPERATIONAL : ALLOCATIONS IN KIND</t>
  </si>
  <si>
    <t>OPERATIONAL : MONETARY (DSM)</t>
  </si>
  <si>
    <t>CAPITAL : ALLOCATIONS IN KIND</t>
  </si>
  <si>
    <t>CAPITAL : MONETARY</t>
  </si>
  <si>
    <t>PUBLIC CONTRIBUTIONS</t>
  </si>
  <si>
    <t>P125940</t>
  </si>
  <si>
    <t>INTEGRATED NATIONAL DEVELOPMENT GRANT</t>
  </si>
  <si>
    <t>URBAN SETTLE DEVELOPMENT GRANT</t>
  </si>
  <si>
    <t>P125902</t>
  </si>
  <si>
    <t>URBAN SETTLEMENT DEVELOPMENT GRANT</t>
  </si>
  <si>
    <t>EXCHANGE REVENUE</t>
  </si>
  <si>
    <t>SERVICE CHARGES</t>
  </si>
  <si>
    <t>SALE OF ELECTRICITY - CONVENTIONAL</t>
  </si>
  <si>
    <t>MMM ROTAR BUS HIGH DEM FLAT RATE EL0005</t>
  </si>
  <si>
    <t>P132112</t>
  </si>
  <si>
    <t>MMM CFLEX - 1 PHASE</t>
  </si>
  <si>
    <t>MMM COMFLEX HIGH DEM PEAK 3 PH ELCHDP</t>
  </si>
  <si>
    <t>P132113</t>
  </si>
  <si>
    <t>MMM CFLEX - 3 PHASE</t>
  </si>
  <si>
    <t>MMM DOM HIGH SUMMER ELSM01</t>
  </si>
  <si>
    <t>P132118</t>
  </si>
  <si>
    <t>MMM IBT DOMESTIC</t>
  </si>
  <si>
    <t>MMM CFLEX - 3 PHASE WINTER STANDA ELCHDS</t>
  </si>
  <si>
    <t>P132121</t>
  </si>
  <si>
    <t>MMM DEPARTMENTAL FLAT RATE</t>
  </si>
  <si>
    <t>MMM INDIGENT HIGH DEMAND IBT</t>
  </si>
  <si>
    <t>P132124H</t>
  </si>
  <si>
    <t xml:space="preserve">MMM HFLEX </t>
  </si>
  <si>
    <t>MMM ELFLEX 3 - BASIC CHARGE</t>
  </si>
  <si>
    <t>P132124</t>
  </si>
  <si>
    <t>MMM BULK RES</t>
  </si>
  <si>
    <t>MMM DOM HIGH WINTER EL0001</t>
  </si>
  <si>
    <t>P132126</t>
  </si>
  <si>
    <t>MMM HOMEF HIGH DEM PEAK 3 PH ELRHDP</t>
  </si>
  <si>
    <t>P132128</t>
  </si>
  <si>
    <t>CEN DEPART TOU ENERGY</t>
  </si>
  <si>
    <t>MMM ELECFLEX  HIGH D</t>
  </si>
  <si>
    <t>P132131</t>
  </si>
  <si>
    <t>MMM SPORTS STAD</t>
  </si>
  <si>
    <t xml:space="preserve">MMM ELECFLEX </t>
  </si>
  <si>
    <t>P132132</t>
  </si>
  <si>
    <t>MANGAUNG STREETLIGHTS ELSLC1</t>
  </si>
  <si>
    <t xml:space="preserve">SALE OF ELECTRICITY - PREPAID </t>
  </si>
  <si>
    <t>P132119W</t>
  </si>
  <si>
    <t>ELEC SALES: DOMESTIC LOW:  PREPAID</t>
  </si>
  <si>
    <t>MMM HIGH DEMAND DOMESTIC PREPAID</t>
  </si>
  <si>
    <t>SALE OF ELECTRICITY -  STREET LIGHTS</t>
  </si>
  <si>
    <t>RECONNECTION TEST AND REMOVAL - METERS</t>
  </si>
  <si>
    <t>ELEC: CONNEC/RECON DISCONN/RECONN FEES</t>
  </si>
  <si>
    <t>ELEC: METER COMPLIANCE TESTING</t>
  </si>
  <si>
    <t>STREET LIGHT MAINTENANCE INCOME</t>
  </si>
  <si>
    <t>INTEREST EARNED</t>
  </si>
  <si>
    <t>INTER: SHORT TERM INVEST &amp; CALL ACCOUNTS</t>
  </si>
  <si>
    <t>INTER: BANK ACCOUNTS</t>
  </si>
  <si>
    <t>INTEREST EARNED SHAREHOLDERS LOAN</t>
  </si>
  <si>
    <t>INTEREST EARNED OUTSTANDING DEBTORS</t>
  </si>
  <si>
    <t>P134101</t>
  </si>
  <si>
    <t>OPERATIONAL REVENUE</t>
  </si>
  <si>
    <t>COLLECTION CHARGES (SUMMONSES)</t>
  </si>
  <si>
    <t>COMMISSION: INSURANCE</t>
  </si>
  <si>
    <t>SERVICES RENDERED TO OTHER MUNICIPALITIES</t>
  </si>
  <si>
    <t>P142360</t>
  </si>
  <si>
    <t>SALES OF GOODS AND RENDERING OF SERVICES</t>
  </si>
  <si>
    <t>PLAN &amp; DEV: CLEARANCE CERTIFICATES</t>
  </si>
  <si>
    <t>SALE OF: PUBLICATION - TENDER DOCUMENTS</t>
  </si>
  <si>
    <t>ACADDEMIC SERVICES: FORMAL TRAINING</t>
  </si>
  <si>
    <t>ADVERTISEMENTS</t>
  </si>
  <si>
    <t>COST OF FREE BASIC SERVICES</t>
  </si>
  <si>
    <t>P132125</t>
  </si>
  <si>
    <t>P07132119</t>
  </si>
  <si>
    <t>SALES OF ELECTRICITY REVENUE FORGONE - OWN CONSUMPTION</t>
  </si>
  <si>
    <t>TOTAL INCOME</t>
  </si>
  <si>
    <t>STATEMENT OF FINANCIAL PERFORMANCE -CENTLEC (ENTITY)</t>
  </si>
  <si>
    <t>GAINS AND LOSSES PER SOURCE</t>
  </si>
  <si>
    <t>GAINS AND LOSSES</t>
  </si>
  <si>
    <t>DISPOSAL OF FIXED AND INTANGIBLE ASSETS - GAINS</t>
  </si>
  <si>
    <t>P320085</t>
  </si>
  <si>
    <t>DISPOSAL OF ASSETS LOSS/(GAINS)</t>
  </si>
  <si>
    <t>DISPOSAL OF FIXED AND INTANGIBLE ASSETS</t>
  </si>
  <si>
    <t>P370020</t>
  </si>
  <si>
    <t>IMPAIRMENT LOSS/(GAINS)</t>
  </si>
  <si>
    <t>NETT SURPLUS BEFORE CAPITAL GRANTS &amp; SUBSIDIES</t>
  </si>
  <si>
    <t>CAPITAL GRANTS AND SUBSIDIES</t>
  </si>
  <si>
    <t>SURPLUS BEFORE CAPITAL GRANTS AND SUBSIDIES</t>
  </si>
  <si>
    <t>GRANT &amp; SUBSIDY FUNDED CAPITAL PROJECTS</t>
  </si>
  <si>
    <t>CAPITAL CONDTIONAL GRANTS &amp; SUBSIDIES (USDG)</t>
  </si>
  <si>
    <t>P643302P16</t>
  </si>
  <si>
    <t>CAPITAL CONDTIONAL GRANTS &amp; SUBSIDIES (INEP)</t>
  </si>
  <si>
    <t>PUBLIC ELECTRICITY CONNECTIONS</t>
  </si>
  <si>
    <t>TOTAL GRANT &amp; SUBSIDY FUNDED CAPITAL PROJECTS</t>
  </si>
  <si>
    <t>NETT SURPLUS AFTER GRANT &amp; SUBSIDY FUNDED CAPITAL PROJECTS</t>
  </si>
  <si>
    <t>SURPLUS AFTER CAPITAL GRANTS AND SUBSIDIES</t>
  </si>
  <si>
    <t>SURPLUS AFTER GRANT &amp; SUBSIDY FUNDED CAPITAL PROJECTS</t>
  </si>
  <si>
    <t>INTERNAL FUNDED CAPITAL PROJECTS</t>
  </si>
  <si>
    <t>INTERNAL FUNDING PROJECTS OUT OF SURPLUS</t>
  </si>
  <si>
    <t>SUPPORT PROJECTS:</t>
  </si>
  <si>
    <t>VENDING BACK OFFICE</t>
  </si>
  <si>
    <t>TRAINING &amp; DEVELOPMENT</t>
  </si>
  <si>
    <t>DIGITAL RADIO SYSTEM</t>
  </si>
  <si>
    <t>IMPLEM BUSINESS CONT DISASTER RECOV INF</t>
  </si>
  <si>
    <t>UPGRADE &amp; REFURB  COMPUTER NETWORK</t>
  </si>
  <si>
    <t>BULK SMART METER INSTALLATION</t>
  </si>
  <si>
    <t>VEHICLES</t>
  </si>
  <si>
    <t>FURNITURE AND OFFICE EQUIPMENT</t>
  </si>
  <si>
    <t>BOTSH-E: EST NEW 33/11KV 10MVA FIRM CAP</t>
  </si>
  <si>
    <t>BOTSH: UPG SUB T (2ND TRANS SCADA EQUI</t>
  </si>
  <si>
    <t>BOTSH: UPG SUB W (C/WORK B/W 2ND TRA S/D</t>
  </si>
  <si>
    <t>BLOEM: C/Y-EST 33/11KV 20MVA FIRM SUPDC</t>
  </si>
  <si>
    <t>BLOEM: N/STAD-UPG 132/11KV 20MVA FIRM DC</t>
  </si>
  <si>
    <t>INFRA CATALYST PROJECTS</t>
  </si>
  <si>
    <t>SECURITY EQUIPMENT</t>
  </si>
  <si>
    <t>OFFICE BUILDING</t>
  </si>
  <si>
    <t>PROTECTION TEST EQUIPMENT</t>
  </si>
  <si>
    <t>P642142QH8</t>
  </si>
  <si>
    <t>COMPUTER EQUIPMENT (COVID-19)</t>
  </si>
  <si>
    <t>MARKETING &amp; COMMUNICATION</t>
  </si>
  <si>
    <t>SERVICE DELIVERY PROJECTS:</t>
  </si>
  <si>
    <t>METER REPLACEMENT PROJECT</t>
  </si>
  <si>
    <t>EXTENSION AND UPGRADING OF THE 11KV NETW</t>
  </si>
  <si>
    <t>P652242P53</t>
  </si>
  <si>
    <t>SERVITUDES  LAND (INCL INVEST REMUNE REG</t>
  </si>
  <si>
    <t>P652302P29</t>
  </si>
  <si>
    <t>INSTALLATION OF PUBLIC LIGHTING</t>
  </si>
  <si>
    <t>INSTALL PREPAID METERS (INDIGENT)</t>
  </si>
  <si>
    <t>UPGRADING AND EXTENTION OF LV NETWORK</t>
  </si>
  <si>
    <t>P652302P26</t>
  </si>
  <si>
    <t>SHIFTING OF CONNECTION AND REPLACEMENT S</t>
  </si>
  <si>
    <t>REFURBISHMENT OF HIGH MAST LIGHTS</t>
  </si>
  <si>
    <t>REPAIRS AND MAINTENANCE PROJECTS:</t>
  </si>
  <si>
    <t>BOTSHABELO: ESTABLISHMENT OF 132KV (INDU</t>
  </si>
  <si>
    <t>INSTALLATION OF HIGH VOLTAGE TEST EQUIPMENT</t>
  </si>
  <si>
    <t>TRANSFORMER REPLACE &amp; OTHER RELATED EQUI</t>
  </si>
  <si>
    <t>REFURBISHMENT PROJECTS (renewal)</t>
  </si>
  <si>
    <t>REP LOW VOLT DECREPIT 2/4/8 WAY BOXES</t>
  </si>
  <si>
    <t>REP BRITTLE OVERHEAD CONNECTIONS</t>
  </si>
  <si>
    <t>S/LIGHTS REPLACE POLE TRNS POLES SECTION</t>
  </si>
  <si>
    <t>REPLACEMENT OF 110V BATTERIES</t>
  </si>
  <si>
    <t>REPLACEMENT OF 11KV SWITCHGEARS</t>
  </si>
  <si>
    <t>REPLACEMENT OF OIL PLANT</t>
  </si>
  <si>
    <t>REPLACEMENT OF 32V BATTERIES</t>
  </si>
  <si>
    <t>P652142P61</t>
  </si>
  <si>
    <t>REFUR PROTEC &amp; SCADA SYSTEMS  DIST CENTR</t>
  </si>
  <si>
    <t>REPAIR MMM DIST DIST CENTRE</t>
  </si>
  <si>
    <t>REPAIR VISTA DIST DIST CENTRE</t>
  </si>
  <si>
    <t>REMEDIAL WORK 132KV SOUTHERN  LINES</t>
  </si>
  <si>
    <t>INTERNAL ELECTRIFICATION PROJECTS:</t>
  </si>
  <si>
    <t>ELECTRIFICATION INTERNAL PROJECTS</t>
  </si>
  <si>
    <t>KHAYELISHA ELECTRIFICATION</t>
  </si>
  <si>
    <t>NETT SURPLUS AFTER GRANT, SUBSIDY &amp; INTERNAL FUNDED CAPITAL PROJECTS</t>
  </si>
  <si>
    <t>(SURPLUS) / DEFICIT AFTER INTERNAL FUNDING PROJECTS</t>
  </si>
  <si>
    <t>(SURPLUS) / DEFICIT FOR THE YEAR</t>
  </si>
  <si>
    <t>Initial Surplus to be maintain</t>
  </si>
  <si>
    <t>extra funds</t>
  </si>
  <si>
    <t>APPROVAL PROCESS BY CFO AND CEO:</t>
  </si>
  <si>
    <t>SUPPORTED BY:</t>
  </si>
  <si>
    <t>_______________________</t>
  </si>
  <si>
    <t>MM MATSIMELA</t>
  </si>
  <si>
    <t xml:space="preserve">CHIEF FINANCIAL OFFICER </t>
  </si>
  <si>
    <t>BUDGET OFFICE IMPLEMENTATION ON FINANCIAL SYSTEM:</t>
  </si>
  <si>
    <t>CAPTURED BY:</t>
  </si>
  <si>
    <t>Z RADEBE</t>
  </si>
  <si>
    <t>ACCOUNTANT:BUDGET</t>
  </si>
  <si>
    <t>AUTHORIZED  ON THE SYSTEM BY:</t>
  </si>
  <si>
    <t>________________________</t>
  </si>
  <si>
    <t xml:space="preserve">Z WILLIAMS </t>
  </si>
  <si>
    <t xml:space="preserve">ACTING GM: FINANCIAL MANAGEMENT &amp; SUPPORT </t>
  </si>
  <si>
    <t>OPEX</t>
  </si>
  <si>
    <t>CAPEX</t>
  </si>
  <si>
    <t>TOTAL REPAIRS AND MAINTENANCE</t>
  </si>
  <si>
    <t>NEW PROJECTS</t>
  </si>
  <si>
    <t xml:space="preserve">internal funding </t>
  </si>
  <si>
    <t>SUPPORT PROJECTS</t>
  </si>
  <si>
    <t>INTERNAL FUNDING</t>
  </si>
  <si>
    <t>TOTAL CAPEX</t>
  </si>
  <si>
    <t>TOTAL OPEX CUT</t>
  </si>
  <si>
    <t>TOTAL CAPEX CUT</t>
  </si>
  <si>
    <t>TOTAL REV LOSS</t>
  </si>
  <si>
    <t>NETT (SURPLUS) / DEFICIT</t>
  </si>
  <si>
    <t>COLLECTABLE REV (92%) COLLECTION RATE</t>
  </si>
  <si>
    <t>TOTAL EXPENSES AFTER CUTTING</t>
  </si>
  <si>
    <t>DID NOT MEET THE CUTTING PROCESS WITH</t>
  </si>
  <si>
    <t>Votenumber</t>
  </si>
  <si>
    <t>Unique ID Per Catergory</t>
  </si>
  <si>
    <t>Description</t>
  </si>
  <si>
    <t>Unique ID Per Departments</t>
  </si>
  <si>
    <t>DIRECTORATE</t>
  </si>
  <si>
    <t>COST CENTRE</t>
  </si>
  <si>
    <t>TYPE</t>
  </si>
  <si>
    <t>CATEGORY</t>
  </si>
  <si>
    <t>ITEM</t>
  </si>
  <si>
    <t>SUB-ITEM</t>
  </si>
  <si>
    <t>FUND</t>
  </si>
  <si>
    <t>PROJECT</t>
  </si>
  <si>
    <t>COST</t>
  </si>
  <si>
    <t>REGION</t>
  </si>
  <si>
    <t>REF</t>
  </si>
  <si>
    <t>1001211001018MRCZZ11</t>
  </si>
  <si>
    <t>P211001</t>
  </si>
  <si>
    <t>01</t>
  </si>
  <si>
    <t>MRC</t>
  </si>
  <si>
    <t>ZZ</t>
  </si>
  <si>
    <t>1001213040018MRCZZ11</t>
  </si>
  <si>
    <t>P213040</t>
  </si>
  <si>
    <t>10</t>
  </si>
  <si>
    <t>2</t>
  </si>
  <si>
    <t>13</t>
  </si>
  <si>
    <t>040</t>
  </si>
  <si>
    <t>0</t>
  </si>
  <si>
    <t>1001216005018MRCZZ11</t>
  </si>
  <si>
    <t>P216005</t>
  </si>
  <si>
    <t>16</t>
  </si>
  <si>
    <t>005</t>
  </si>
  <si>
    <t>1001216045018MRCZZ11</t>
  </si>
  <si>
    <t>P216045</t>
  </si>
  <si>
    <t>045</t>
  </si>
  <si>
    <t>1001216085018MRCZZ11</t>
  </si>
  <si>
    <t>P216085</t>
  </si>
  <si>
    <t>085</t>
  </si>
  <si>
    <t>1001226060H18MRCZZ11</t>
  </si>
  <si>
    <t>OS: CATERING SERVICES(REFRESHMENTS)</t>
  </si>
  <si>
    <t>26</t>
  </si>
  <si>
    <t>060</t>
  </si>
  <si>
    <t>H</t>
  </si>
  <si>
    <t>1001227334018MRCZZ11</t>
  </si>
  <si>
    <t>C&amp;PS: LEGAL COST ADVICE &amp; LITIGATION</t>
  </si>
  <si>
    <t>27</t>
  </si>
  <si>
    <t>334</t>
  </si>
  <si>
    <t>1001230452018MRCZZ11</t>
  </si>
  <si>
    <t>OC: PROFESSIONAL BODIES M/SHIP &amp; SUBS</t>
  </si>
  <si>
    <t>30</t>
  </si>
  <si>
    <t>452</t>
  </si>
  <si>
    <t>1001230511018MRCZZ11</t>
  </si>
  <si>
    <t>OC: REG FEES NATIONAL</t>
  </si>
  <si>
    <t>P230511</t>
  </si>
  <si>
    <t>511</t>
  </si>
  <si>
    <t>1001230541018MRCZZ11</t>
  </si>
  <si>
    <t>OC: SKILLS DEVELOPMENT FUND LEVY</t>
  </si>
  <si>
    <t>P230541</t>
  </si>
  <si>
    <t>541</t>
  </si>
  <si>
    <t>1001230576018MRCZZ11</t>
  </si>
  <si>
    <t>OC: T&amp;S DOM - ACCOMMODATION</t>
  </si>
  <si>
    <t>P230576</t>
  </si>
  <si>
    <t>576</t>
  </si>
  <si>
    <t>1001230577018MRCZZ11</t>
  </si>
  <si>
    <t>OC: T&amp;S DOM - DAILY ALLOWANCE</t>
  </si>
  <si>
    <t>P230577</t>
  </si>
  <si>
    <t>577</t>
  </si>
  <si>
    <t>1001230580018MRCZZ11</t>
  </si>
  <si>
    <t>OC: T&amp;S DOM TRP - WITHOUT OPR CAR RENTAL</t>
  </si>
  <si>
    <t>P230580</t>
  </si>
  <si>
    <t>580</t>
  </si>
  <si>
    <t>1001230583018MRCZZ11</t>
  </si>
  <si>
    <t>OC: T&amp;S DOM PUB TRP - AIR TRANSPORT</t>
  </si>
  <si>
    <t>P230583</t>
  </si>
  <si>
    <t>583</t>
  </si>
  <si>
    <t>1002203445018MRCZZ11</t>
  </si>
  <si>
    <t>P1002203445</t>
  </si>
  <si>
    <t>02</t>
  </si>
  <si>
    <t>03</t>
  </si>
  <si>
    <t>445</t>
  </si>
  <si>
    <t>1002203447018MRCZZ11</t>
  </si>
  <si>
    <t>P1002203447</t>
  </si>
  <si>
    <t>447</t>
  </si>
  <si>
    <t>1002205463018MRCZZ11</t>
  </si>
  <si>
    <t>P1002205463</t>
  </si>
  <si>
    <t>05</t>
  </si>
  <si>
    <t>463</t>
  </si>
  <si>
    <t>1002211001018MRCZZ11</t>
  </si>
  <si>
    <t>11</t>
  </si>
  <si>
    <t>001</t>
  </si>
  <si>
    <t>1002211022018MRCZZ11</t>
  </si>
  <si>
    <t>P211022</t>
  </si>
  <si>
    <t>022</t>
  </si>
  <si>
    <t>1002211026018MRCZZ11</t>
  </si>
  <si>
    <t>P211026</t>
  </si>
  <si>
    <t>026</t>
  </si>
  <si>
    <t>1002211032018MRCZZ11</t>
  </si>
  <si>
    <t>P211032</t>
  </si>
  <si>
    <t>032</t>
  </si>
  <si>
    <t>1002211034118MRCZZ11</t>
  </si>
  <si>
    <t>P211034</t>
  </si>
  <si>
    <t>034</t>
  </si>
  <si>
    <t>1</t>
  </si>
  <si>
    <t>1002211038018MRCZZ11</t>
  </si>
  <si>
    <t>P211038</t>
  </si>
  <si>
    <t>038</t>
  </si>
  <si>
    <t>1002211042018MRCZZ11</t>
  </si>
  <si>
    <t>P211042</t>
  </si>
  <si>
    <t>042</t>
  </si>
  <si>
    <t>1002211046018MRCZZ11</t>
  </si>
  <si>
    <t>P211046</t>
  </si>
  <si>
    <t>046</t>
  </si>
  <si>
    <t>1002213001018MRCZZ11</t>
  </si>
  <si>
    <t>P213001</t>
  </si>
  <si>
    <t>1002213010018MRCZZ11</t>
  </si>
  <si>
    <t>P213010</t>
  </si>
  <si>
    <t>010</t>
  </si>
  <si>
    <t>1002213020018MRCZZ11</t>
  </si>
  <si>
    <t>P213020</t>
  </si>
  <si>
    <t>020</t>
  </si>
  <si>
    <t>1002213030018MRCZZ11</t>
  </si>
  <si>
    <t>P213030</t>
  </si>
  <si>
    <t>030</t>
  </si>
  <si>
    <t>1002213040018MRCZZ11</t>
  </si>
  <si>
    <t>1002226060H18MRCZZ11</t>
  </si>
  <si>
    <t>1002227334018MRCZZ11</t>
  </si>
  <si>
    <t>1002228361018NSPZZ11</t>
  </si>
  <si>
    <t>CONTR: MAINTENANCE OF EQUIPMENT</t>
  </si>
  <si>
    <t>28</t>
  </si>
  <si>
    <t>361</t>
  </si>
  <si>
    <t>NSP</t>
  </si>
  <si>
    <t>1002230511018MRCZZ11</t>
  </si>
  <si>
    <t>1002230541018MRCZZ11</t>
  </si>
  <si>
    <t>1002230576018MRCZZ11</t>
  </si>
  <si>
    <t>1002230577018MRCZZ11</t>
  </si>
  <si>
    <t>1002230580018MRCZZ11</t>
  </si>
  <si>
    <t>1002230583018MRCZZ11</t>
  </si>
  <si>
    <t>1002232360D18MRCZZ11</t>
  </si>
  <si>
    <t>P232360</t>
  </si>
  <si>
    <t>32</t>
  </si>
  <si>
    <t>360</t>
  </si>
  <si>
    <t>D</t>
  </si>
  <si>
    <t>1003226060H18MRCZZ11</t>
  </si>
  <si>
    <t>1003227033018MRCZZ11</t>
  </si>
  <si>
    <t>P227033</t>
  </si>
  <si>
    <t>033</t>
  </si>
  <si>
    <t>1003230511018MRCZZ11</t>
  </si>
  <si>
    <t>1003230576018MRCZZ11</t>
  </si>
  <si>
    <t>1003230577018MRCZZ11</t>
  </si>
  <si>
    <t>1003230580018MRCZZ11</t>
  </si>
  <si>
    <t>1003230583018MRCZZ11</t>
  </si>
  <si>
    <t>1101203005018MRCZZ11</t>
  </si>
  <si>
    <t>P1101203005</t>
  </si>
  <si>
    <t>1101203007018MRCZZ11</t>
  </si>
  <si>
    <t>P1101203007</t>
  </si>
  <si>
    <t>007</t>
  </si>
  <si>
    <t>1101205021018MRCZZ11</t>
  </si>
  <si>
    <t>P1101205021</t>
  </si>
  <si>
    <t>021</t>
  </si>
  <si>
    <t>1101205022018MRCZZ11</t>
  </si>
  <si>
    <t>P1101205022</t>
  </si>
  <si>
    <t>1101205023018MRCZZ11</t>
  </si>
  <si>
    <t>P1101205023</t>
  </si>
  <si>
    <t>023</t>
  </si>
  <si>
    <t>1101205024018MRCZZ11</t>
  </si>
  <si>
    <t>P1101205024</t>
  </si>
  <si>
    <t>024</t>
  </si>
  <si>
    <t>1101211001018MRCZZ11</t>
  </si>
  <si>
    <t>1101211022018MRCZZ11</t>
  </si>
  <si>
    <t>1101211026018MRCZZ11</t>
  </si>
  <si>
    <t>1101211032018MRCZZ11</t>
  </si>
  <si>
    <t>1101211034118MRCZZ11</t>
  </si>
  <si>
    <t>1101211038018MRCZZ11</t>
  </si>
  <si>
    <t>1101211042018MRCZZ11</t>
  </si>
  <si>
    <t>1101211044018MRCZZ11</t>
  </si>
  <si>
    <t>P211044</t>
  </si>
  <si>
    <t>044</t>
  </si>
  <si>
    <t>1101211046018MRCZZ11</t>
  </si>
  <si>
    <t>1101211056018MRCZZ11</t>
  </si>
  <si>
    <t>P211056</t>
  </si>
  <si>
    <t>056</t>
  </si>
  <si>
    <t>1101211058018MRCZZ11</t>
  </si>
  <si>
    <t>P211058</t>
  </si>
  <si>
    <t>058</t>
  </si>
  <si>
    <t>1101213001018MRCZZ11</t>
  </si>
  <si>
    <t>1101213010018MRCZZ11</t>
  </si>
  <si>
    <t>1101213020018MRCZZ11</t>
  </si>
  <si>
    <t>1101213030018MRCZZ11</t>
  </si>
  <si>
    <t>1101213040018MRCZZ11</t>
  </si>
  <si>
    <t>1101226060H18MRCZZ11</t>
  </si>
  <si>
    <t>P1101226060</t>
  </si>
  <si>
    <t>1101227041018MRCZZ11</t>
  </si>
  <si>
    <t>C&amp;PS: B&amp;A PROJECT MANAGEMENT</t>
  </si>
  <si>
    <t>P1101227041</t>
  </si>
  <si>
    <t>041</t>
  </si>
  <si>
    <t>1101230012018MRCZZ11</t>
  </si>
  <si>
    <t>OC: ADV/PUB/MARK - CORP &amp; MUN ACTIVITIES</t>
  </si>
  <si>
    <t>P1101230012</t>
  </si>
  <si>
    <t>012</t>
  </si>
  <si>
    <t>1101230511018MRCZZ11</t>
  </si>
  <si>
    <t>P1101230511</t>
  </si>
  <si>
    <t>1101230541018MRCZZ11</t>
  </si>
  <si>
    <t>P1101230541</t>
  </si>
  <si>
    <t>1101230576018MRCZZ11</t>
  </si>
  <si>
    <t>P1101230576</t>
  </si>
  <si>
    <t>1101230577018MRCZZ11</t>
  </si>
  <si>
    <t>P1101230577</t>
  </si>
  <si>
    <t>1101230580018MRCZZ11</t>
  </si>
  <si>
    <t>P1101230580</t>
  </si>
  <si>
    <t>1101230583018MRCZZ11</t>
  </si>
  <si>
    <t>P1101230583</t>
  </si>
  <si>
    <t>1101232360D18MRCZZ11</t>
  </si>
  <si>
    <t>P1101232360</t>
  </si>
  <si>
    <t>1101272150018MRCZZ11</t>
  </si>
  <si>
    <t>DEPRECIATION FURNITURE &amp; OFFICE EQUIPM</t>
  </si>
  <si>
    <t>P1101272150</t>
  </si>
  <si>
    <t>72</t>
  </si>
  <si>
    <t>150</t>
  </si>
  <si>
    <t>1103211001018MRCZZ11</t>
  </si>
  <si>
    <t>1103211022018MRCZZ11</t>
  </si>
  <si>
    <t>1103211026018MRCZZ11</t>
  </si>
  <si>
    <t>1103211032018MRCZZ11</t>
  </si>
  <si>
    <t>1103211034018MRCZZ11</t>
  </si>
  <si>
    <t>MS: ALL - TRAVEL OR MOTOR VEHICLE</t>
  </si>
  <si>
    <t>1103211034118MRCZZ11</t>
  </si>
  <si>
    <t>1103211038018MRCZZ11</t>
  </si>
  <si>
    <t>1103211042018MRCZZ11</t>
  </si>
  <si>
    <t>1103211044018MRCZZ11</t>
  </si>
  <si>
    <t>1103211046018MRCZZ11</t>
  </si>
  <si>
    <t>1103211056018MRCZZ11</t>
  </si>
  <si>
    <t>1103213001018MRCZZ11</t>
  </si>
  <si>
    <t>1103213010018MRCZZ11</t>
  </si>
  <si>
    <t>1103213020018MRCZZ11</t>
  </si>
  <si>
    <t>1103213030018MRCZZ11</t>
  </si>
  <si>
    <t>1103213040018MRCZZ11</t>
  </si>
  <si>
    <t>1103227041018MRCZZ11</t>
  </si>
  <si>
    <t>P1103227041</t>
  </si>
  <si>
    <t>1103230511018MRCZZ11</t>
  </si>
  <si>
    <t>P1103230511</t>
  </si>
  <si>
    <t>1103230541018MRCZZ11</t>
  </si>
  <si>
    <t>P1103230541</t>
  </si>
  <si>
    <t>1103230610018MRCZZ11</t>
  </si>
  <si>
    <t>OC: UNIFORM &amp; PROTECTIVE CLOTHING</t>
  </si>
  <si>
    <t>P1103230610</t>
  </si>
  <si>
    <t>610</t>
  </si>
  <si>
    <t>1103230662018MRCZZ11</t>
  </si>
  <si>
    <t>OC: WORKMEN'S COMPENSATION FUND</t>
  </si>
  <si>
    <t>P1103230662</t>
  </si>
  <si>
    <t>662</t>
  </si>
  <si>
    <t>1103232360D18MRCZZ11</t>
  </si>
  <si>
    <t>P1103232360</t>
  </si>
  <si>
    <t>1103232360R18MRCZZ11</t>
  </si>
  <si>
    <t>INVENTORY - MATERIALS &amp; SUPPLIES(STOCK &amp;</t>
  </si>
  <si>
    <t>R</t>
  </si>
  <si>
    <t>1103272150018MRCZZ11</t>
  </si>
  <si>
    <t>P1103272150</t>
  </si>
  <si>
    <t>1104211001018MRCZZ11</t>
  </si>
  <si>
    <t>04</t>
  </si>
  <si>
    <t>1104211022018MRCZZ11</t>
  </si>
  <si>
    <t>1104211026018MRCZZ11</t>
  </si>
  <si>
    <t>1104211034118MRCZZ11</t>
  </si>
  <si>
    <t>1104211046018MRCZZ11</t>
  </si>
  <si>
    <t>1104213001018MRCZZ11</t>
  </si>
  <si>
    <t>1104213020018MRCZZ11</t>
  </si>
  <si>
    <t>1104213030018MRCZZ11</t>
  </si>
  <si>
    <t>1104213040018MRCZZ11</t>
  </si>
  <si>
    <t>1104230541018MRCZZ11</t>
  </si>
  <si>
    <t>1105142008029ZZZZZ11</t>
  </si>
  <si>
    <t>P142008</t>
  </si>
  <si>
    <t>42</t>
  </si>
  <si>
    <t>008</t>
  </si>
  <si>
    <t>ZZZ</t>
  </si>
  <si>
    <t>1105211001018MRCZZ11</t>
  </si>
  <si>
    <t>1105211022018MRCZZ11</t>
  </si>
  <si>
    <t>1105211026018MRCZZ11</t>
  </si>
  <si>
    <t>1105211034018MRCZZ11</t>
  </si>
  <si>
    <t>1105211034118MRCZZ11</t>
  </si>
  <si>
    <t>1105211044018MRCZZ11</t>
  </si>
  <si>
    <t>1105211046018MRCZZ11</t>
  </si>
  <si>
    <t>1105213001018MRCZZ11</t>
  </si>
  <si>
    <t>1105213010018MRCZZ11</t>
  </si>
  <si>
    <t>1105213020018MRCZZ11</t>
  </si>
  <si>
    <t>1105213030018MRCZZ11</t>
  </si>
  <si>
    <t>1105213040018MRCZZ11</t>
  </si>
  <si>
    <t>1105226060H18MRCZZ11</t>
  </si>
  <si>
    <t>1105226570118MRCZZ11</t>
  </si>
  <si>
    <t>OS: TRANSLATORS &amp; INTERPRETERS</t>
  </si>
  <si>
    <t>P226570</t>
  </si>
  <si>
    <t>570</t>
  </si>
  <si>
    <t>1105230012118MRCZZ11</t>
  </si>
  <si>
    <t>OC:ADV/PUB/MARK - CORP &amp; MUN ACT ( GEN A</t>
  </si>
  <si>
    <t>P230012</t>
  </si>
  <si>
    <t>1105230012218MRCZZ11</t>
  </si>
  <si>
    <t>1105230451318MRCZZ11</t>
  </si>
  <si>
    <t>OC: PRINTING &amp; PUBLICATIONS (OTHER)</t>
  </si>
  <si>
    <t>P230451</t>
  </si>
  <si>
    <t>451</t>
  </si>
  <si>
    <t>3</t>
  </si>
  <si>
    <t>1105230541018MRCZZ11</t>
  </si>
  <si>
    <t>1105230610018MRCZZ11</t>
  </si>
  <si>
    <t>P230610</t>
  </si>
  <si>
    <t>1105232360D18MRCZZ11</t>
  </si>
  <si>
    <t>1105232360R18MRCZZ11</t>
  </si>
  <si>
    <t>1107211001018MRCZZ11</t>
  </si>
  <si>
    <t>07</t>
  </si>
  <si>
    <t>1107211022018MRCZZ11</t>
  </si>
  <si>
    <t>1107211026018MRCZZ11</t>
  </si>
  <si>
    <t>1107211034118MRCZZ11</t>
  </si>
  <si>
    <t>1107211036018MRCZZ11</t>
  </si>
  <si>
    <t>P211036</t>
  </si>
  <si>
    <t>036</t>
  </si>
  <si>
    <t>1107211046018MRCZZ11</t>
  </si>
  <si>
    <t>1107213001018MRCZZ11</t>
  </si>
  <si>
    <t>1107213010018MRCZZ11</t>
  </si>
  <si>
    <t>1107213020018MRCZZ11</t>
  </si>
  <si>
    <t>1107213030018MRCZZ11</t>
  </si>
  <si>
    <t>1107213040018MRCZZ11</t>
  </si>
  <si>
    <t>1107226240018MRCZZ11</t>
  </si>
  <si>
    <t>OS: INTERNAL AUDITORS</t>
  </si>
  <si>
    <t>P226240</t>
  </si>
  <si>
    <t>240</t>
  </si>
  <si>
    <t>1107230511018MRCZZ11</t>
  </si>
  <si>
    <t>1107230541018MRCZZ11</t>
  </si>
  <si>
    <t>1107232360D18MRCZZ11</t>
  </si>
  <si>
    <t>1107232360R18MRCZZ11</t>
  </si>
  <si>
    <t>1108211001018MRCZZ11</t>
  </si>
  <si>
    <t>08</t>
  </si>
  <si>
    <t>1108211022018MRCZZ11</t>
  </si>
  <si>
    <t>1108211026018MRCZZ11</t>
  </si>
  <si>
    <t>1108211032018MRCZZ11</t>
  </si>
  <si>
    <t>1108211034018MRCZZ11</t>
  </si>
  <si>
    <t>1108211034118MRCZZ11</t>
  </si>
  <si>
    <t>1108211038018MRCZZ11</t>
  </si>
  <si>
    <t>1108211042018MRCZZ11</t>
  </si>
  <si>
    <t>1108211046018MRCZZ11</t>
  </si>
  <si>
    <t>1108211056018MRCZZ11</t>
  </si>
  <si>
    <t>1108213001018MRCZZ11</t>
  </si>
  <si>
    <t>1108213010018MRCZZ11</t>
  </si>
  <si>
    <t>1108213020018MRCZZ11</t>
  </si>
  <si>
    <t>1108213030018MRCZZ11</t>
  </si>
  <si>
    <t>1108213040018MRCZZ11</t>
  </si>
  <si>
    <t>1108230117018MRCZZ11</t>
  </si>
  <si>
    <t>OC: COMM - PHONE FAX TELEGRAPH &amp; TELEX</t>
  </si>
  <si>
    <t>P230117</t>
  </si>
  <si>
    <t>117</t>
  </si>
  <si>
    <t>1108230173218MRCZZ11</t>
  </si>
  <si>
    <t>OC: EXT COM SERV PROV - INTERNET CHAR (O</t>
  </si>
  <si>
    <t>P230173</t>
  </si>
  <si>
    <t>173</t>
  </si>
  <si>
    <t>1108230178018MRCZZ11</t>
  </si>
  <si>
    <t>OC: EXT COM SERV PROV - S/WARE LICENCES</t>
  </si>
  <si>
    <t>P230178</t>
  </si>
  <si>
    <t>178</t>
  </si>
  <si>
    <t>1108230178118MRCZZ11</t>
  </si>
  <si>
    <t>1108230541018MRCZZ11</t>
  </si>
  <si>
    <t>1108230576018MRCZZ11</t>
  </si>
  <si>
    <t>1108230577018MRCZZ11</t>
  </si>
  <si>
    <t>1108230580018MRCZZ11</t>
  </si>
  <si>
    <t>1108230583018MRCZZ11</t>
  </si>
  <si>
    <t>1108238360018MRCZZ11</t>
  </si>
  <si>
    <t>P238360</t>
  </si>
  <si>
    <t>38</t>
  </si>
  <si>
    <t>1109211001018MRCZZ11</t>
  </si>
  <si>
    <t>09</t>
  </si>
  <si>
    <t>1109211022018MRCZZ11</t>
  </si>
  <si>
    <t>1109211026018MRCZZ11</t>
  </si>
  <si>
    <t>1109211034118MRCZZ11</t>
  </si>
  <si>
    <t>1109211044018MRCZZ11</t>
  </si>
  <si>
    <t>1109211046018MRCZZ11</t>
  </si>
  <si>
    <t>1109213001018MRCZZ11</t>
  </si>
  <si>
    <t>1109213010018MRCZZ11</t>
  </si>
  <si>
    <t>1109213020018MRCZZ11</t>
  </si>
  <si>
    <t>1109213030018MRCZZ11</t>
  </si>
  <si>
    <t>1109213040018MRCZZ11</t>
  </si>
  <si>
    <t>1109227334018MRCZZ11</t>
  </si>
  <si>
    <t>1109227334118MRCZZ11</t>
  </si>
  <si>
    <t>C&amp;PS: LEGAL COST ADVICE &amp; LITIGATION(OTH</t>
  </si>
  <si>
    <t>1109230541018MRCZZ11</t>
  </si>
  <si>
    <t>1109232360D18MRCZZ11</t>
  </si>
  <si>
    <t>1202203045018MRCZZ11</t>
  </si>
  <si>
    <t>P1202203045</t>
  </si>
  <si>
    <t>12</t>
  </si>
  <si>
    <t>1202203047018MRCZZ11</t>
  </si>
  <si>
    <t>P1202203047</t>
  </si>
  <si>
    <t>047</t>
  </si>
  <si>
    <t>1202203049018MRCZZ11</t>
  </si>
  <si>
    <t>P1202203049</t>
  </si>
  <si>
    <t>049</t>
  </si>
  <si>
    <t>1202205023018MRCZZ11</t>
  </si>
  <si>
    <t>P1202205023</t>
  </si>
  <si>
    <t>1202205061018MRCZZ11</t>
  </si>
  <si>
    <t>P1202205061</t>
  </si>
  <si>
    <t>061</t>
  </si>
  <si>
    <t>1202205062018MRCZZ11</t>
  </si>
  <si>
    <t>P1202205062</t>
  </si>
  <si>
    <t>062</t>
  </si>
  <si>
    <t>1202211001018MRCZZ11</t>
  </si>
  <si>
    <t>1202211022018MRCZZ11</t>
  </si>
  <si>
    <t>1202211026018MRCZZ11</t>
  </si>
  <si>
    <t>1202211034118MRCZZ11</t>
  </si>
  <si>
    <t>1202211044018MRCZZ11</t>
  </si>
  <si>
    <t>1202211046018MRCZZ11</t>
  </si>
  <si>
    <t>1202213001018MRCZZ11</t>
  </si>
  <si>
    <t>1202213010018MRCZZ11</t>
  </si>
  <si>
    <t>1202213020018MRCZZ11</t>
  </si>
  <si>
    <t>1202213030018MRCZZ11</t>
  </si>
  <si>
    <t>1202213040018MRCZZ11</t>
  </si>
  <si>
    <t>1202226060H18MRCZZ11</t>
  </si>
  <si>
    <t>1202227030018MRCZZ11</t>
  </si>
  <si>
    <t>C&amp;PS: B&amp;A ACCOUNTANTS &amp; AUDITORS</t>
  </si>
  <si>
    <t>P227030</t>
  </si>
  <si>
    <t>1202227030118MRCZZ11</t>
  </si>
  <si>
    <t>C&amp;PS: B&amp;A ACCOUNTANTS &amp; AUDITORS ( AUDIT</t>
  </si>
  <si>
    <t>1202227041018MRCZZ11</t>
  </si>
  <si>
    <t>P227041</t>
  </si>
  <si>
    <t>1202227041118MRCZZ11</t>
  </si>
  <si>
    <t>1202230511018MRCZZ11</t>
  </si>
  <si>
    <t>1202230541018MRCZZ11</t>
  </si>
  <si>
    <t>1202230576018MRCZZ11</t>
  </si>
  <si>
    <t>1202230577018MRCZZ11</t>
  </si>
  <si>
    <t>1202230580018MRCZZ11</t>
  </si>
  <si>
    <t>1202230583018MRCZZ11</t>
  </si>
  <si>
    <t>1202232360D18MRCZZ11</t>
  </si>
  <si>
    <t>1202272150018MRCZZ11</t>
  </si>
  <si>
    <t>1203138001428ZZZZZ11</t>
  </si>
  <si>
    <t>ADMINISTRATIVE HANDLING FEES (SALARIES)</t>
  </si>
  <si>
    <t>4</t>
  </si>
  <si>
    <t>1203211001018MRCZZ11</t>
  </si>
  <si>
    <t>1203211022018MRCZZ11</t>
  </si>
  <si>
    <t>1203211026018MRCZZ11</t>
  </si>
  <si>
    <t>1203211034118MRCZZ11</t>
  </si>
  <si>
    <t>1203211044018MRCZZ11</t>
  </si>
  <si>
    <t>1203211046018MRCZZ11</t>
  </si>
  <si>
    <t>1203213001018MRCZZ11</t>
  </si>
  <si>
    <t>1203213010018MRCZZ11</t>
  </si>
  <si>
    <t>1203213020018MRCZZ11</t>
  </si>
  <si>
    <t>1203213030018MRCZZ11</t>
  </si>
  <si>
    <t>1203213040018MRCZZ11</t>
  </si>
  <si>
    <t>1203226060H18MRCZZ11</t>
  </si>
  <si>
    <t>1203230040018MRCZZ11</t>
  </si>
  <si>
    <t>OC: BC/FAC/C FEES - BANK ACCOUNTS</t>
  </si>
  <si>
    <t>P230040</t>
  </si>
  <si>
    <t>1203230541018MRCZZ11</t>
  </si>
  <si>
    <t>1203232360D18MRCZZ11</t>
  </si>
  <si>
    <t>1203232360L18MRCZZ11</t>
  </si>
  <si>
    <t>INVENTORY - MATERIALS &amp; SUPPLIES(FESTIVA</t>
  </si>
  <si>
    <t>L</t>
  </si>
  <si>
    <t>1203232360R18MRCZZ11</t>
  </si>
  <si>
    <t>1204125902081ZZZZZ11</t>
  </si>
  <si>
    <t>TS_C_M_NG_URBAN SETTLEMENTS DEV GRANT</t>
  </si>
  <si>
    <t>25</t>
  </si>
  <si>
    <t>902</t>
  </si>
  <si>
    <t>1204125940017ZZZZZ11</t>
  </si>
  <si>
    <t>PRIV ENT: OTH TRF -DEVELOPERS CONTRIB</t>
  </si>
  <si>
    <t>940</t>
  </si>
  <si>
    <t>1204125940117ZZZZZ11</t>
  </si>
  <si>
    <t>PUBLIC CONNECTIONS</t>
  </si>
  <si>
    <t>1204125940153ZZZZZ11</t>
  </si>
  <si>
    <t>1204134101211ZZZZZ11</t>
  </si>
  <si>
    <t>INTER: RECEIV - ELECTRICITY(LONG TERM DE</t>
  </si>
  <si>
    <t>34</t>
  </si>
  <si>
    <t>101</t>
  </si>
  <si>
    <t>1204134101411ZZZZZ11</t>
  </si>
  <si>
    <t>1204134101711ZZZZZ11</t>
  </si>
  <si>
    <t>INTER: RECEIV - ELECTRICITY(SFS)</t>
  </si>
  <si>
    <t>7</t>
  </si>
  <si>
    <t>1204134115010ZZZZZ11</t>
  </si>
  <si>
    <t>P134115</t>
  </si>
  <si>
    <t>115</t>
  </si>
  <si>
    <t>1204134117010ZZZZZ11</t>
  </si>
  <si>
    <t>P134117</t>
  </si>
  <si>
    <t>1204138060028ZZZZZ11</t>
  </si>
  <si>
    <t>P138060</t>
  </si>
  <si>
    <t>COLLECTION CHARGES</t>
  </si>
  <si>
    <t>1204138060128ZZZZZ11</t>
  </si>
  <si>
    <t>1204138526028ZZZZZ11</t>
  </si>
  <si>
    <t>P138526</t>
  </si>
  <si>
    <t>MERCHANDISING JOBBING &amp; CONTRACTS</t>
  </si>
  <si>
    <t>526</t>
  </si>
  <si>
    <t>1204142360029ZZZZZ11</t>
  </si>
  <si>
    <t>MANAGEMENT FEES</t>
  </si>
  <si>
    <t>1204142456029ZZZZZ11</t>
  </si>
  <si>
    <t>P142456</t>
  </si>
  <si>
    <t>456</t>
  </si>
  <si>
    <t>1204142551029ZZZZZ11</t>
  </si>
  <si>
    <t>P142551</t>
  </si>
  <si>
    <t>551</t>
  </si>
  <si>
    <t>1204144005B59ZZZZZ11</t>
  </si>
  <si>
    <t>P144005</t>
  </si>
  <si>
    <t>INTER COMPANY - INTEGRATED NAT. ELEC PR</t>
  </si>
  <si>
    <t>44</t>
  </si>
  <si>
    <t>B</t>
  </si>
  <si>
    <t>1204211001018MRCZZ11</t>
  </si>
  <si>
    <t>1204211022018MRCZZ11</t>
  </si>
  <si>
    <t>1204211026018MRCZZ11</t>
  </si>
  <si>
    <t>1204211034118MRCZZ11</t>
  </si>
  <si>
    <t>1204211044018MRCZZ11</t>
  </si>
  <si>
    <t>1204211046018MRCZZ11</t>
  </si>
  <si>
    <t>1204213001018MRCZZ11</t>
  </si>
  <si>
    <t>1204213010018MRCZZ11</t>
  </si>
  <si>
    <t>1204213020018MRCZZ11</t>
  </si>
  <si>
    <t>1204213030018MRCZZ11</t>
  </si>
  <si>
    <t>1204213040018MRCZZ11</t>
  </si>
  <si>
    <t>1204226060H18MRCZZ11</t>
  </si>
  <si>
    <t>1204226361018MRCZZ11</t>
  </si>
  <si>
    <t>OS: METER MANAGEMENT</t>
  </si>
  <si>
    <t>P226361</t>
  </si>
  <si>
    <t>1204228570018MRCZZ11</t>
  </si>
  <si>
    <t>CONTR: TRACING AGENTS &amp; DEBT COLLECTORS</t>
  </si>
  <si>
    <t>P228570</t>
  </si>
  <si>
    <t>1204230541018MRCZZ11</t>
  </si>
  <si>
    <t>1204232360D18MRCZZ11</t>
  </si>
  <si>
    <t>1204232360L18MRCZZ11</t>
  </si>
  <si>
    <t>1204232360R18MRCZZ11</t>
  </si>
  <si>
    <t>1204240001018MRCZZ11</t>
  </si>
  <si>
    <t>P240001</t>
  </si>
  <si>
    <t>40</t>
  </si>
  <si>
    <t>1204320165018MRCZZ11</t>
  </si>
  <si>
    <t>P320165</t>
  </si>
  <si>
    <t>PPE MACHINERY &amp; EQUIPMENT - GAINS</t>
  </si>
  <si>
    <t>20</t>
  </si>
  <si>
    <t>165</t>
  </si>
  <si>
    <t>12043930050ZZZZZ8X11</t>
  </si>
  <si>
    <t>RECOVER:INT BILL:ELECTRICITY CONSUMPTION</t>
  </si>
  <si>
    <t>93</t>
  </si>
  <si>
    <t>8X</t>
  </si>
  <si>
    <t>12043930060ZZZZZ8Y11</t>
  </si>
  <si>
    <t>RECOVER:INT BILL:ELECTRICITY STREETLIGHT</t>
  </si>
  <si>
    <t>006</t>
  </si>
  <si>
    <t>8Y</t>
  </si>
  <si>
    <t>12043960050ZZZZZ4511</t>
  </si>
  <si>
    <t>CHG INT BILL:ELECTRICITY CONSUMP</t>
  </si>
  <si>
    <t>96</t>
  </si>
  <si>
    <t>12043960060ZZZZZ4611</t>
  </si>
  <si>
    <t>CHG INT BILL:ELEC STREETLIGHTS</t>
  </si>
  <si>
    <t>1205211001018MRCZZ11</t>
  </si>
  <si>
    <t>1205211020018MRCZZ11</t>
  </si>
  <si>
    <t>P211020</t>
  </si>
  <si>
    <t>1205211022018MRCZZ11</t>
  </si>
  <si>
    <t>1205211026018MRCZZ11</t>
  </si>
  <si>
    <t>1205211034118MRCZZ11</t>
  </si>
  <si>
    <t>1205211044018MRCZZ11</t>
  </si>
  <si>
    <t>1205211046018MRCZZ11</t>
  </si>
  <si>
    <t>1205213001018MRCZZ11</t>
  </si>
  <si>
    <t>1205213010018MRCZZ11</t>
  </si>
  <si>
    <t>1205213020018MRCZZ11</t>
  </si>
  <si>
    <t>1205213030018MRCZZ11</t>
  </si>
  <si>
    <t>1205213040018MRCZZ11</t>
  </si>
  <si>
    <t>1205226060H18MRCZZ11</t>
  </si>
  <si>
    <t>1205230361018MRCZZ11</t>
  </si>
  <si>
    <t>OC: MUNICIPAL SERVICES</t>
  </si>
  <si>
    <t>P230361</t>
  </si>
  <si>
    <t>1205230541018MRCZZ11</t>
  </si>
  <si>
    <t>1205230701018MRCZZ11</t>
  </si>
  <si>
    <t>OC: INTERCOMPANY/PARENT-SUBSIDIARY TRANS</t>
  </si>
  <si>
    <t>P230701</t>
  </si>
  <si>
    <t>701</t>
  </si>
  <si>
    <t>1205232360D18MRCZZ11</t>
  </si>
  <si>
    <t>1205236090018MRCZZ11</t>
  </si>
  <si>
    <t>P236090</t>
  </si>
  <si>
    <t>36</t>
  </si>
  <si>
    <t>090</t>
  </si>
  <si>
    <t>1206211001018MRCZZ11</t>
  </si>
  <si>
    <t>06</t>
  </si>
  <si>
    <t>1206211022018MRCZZ11</t>
  </si>
  <si>
    <t>1206211026018MRCZZ11</t>
  </si>
  <si>
    <t>1206211032018MRCZZ11</t>
  </si>
  <si>
    <t>1206211034118MRCZZ11</t>
  </si>
  <si>
    <t>1206211038018MRCZZ11</t>
  </si>
  <si>
    <t>1206211040018MRCZZ11</t>
  </si>
  <si>
    <t>P211040</t>
  </si>
  <si>
    <t>1206211042018MRCZZ11</t>
  </si>
  <si>
    <t>1206211044018MRCZZ11</t>
  </si>
  <si>
    <t>1206211046018MRCZZ11</t>
  </si>
  <si>
    <t>1206211050018MRCZZ11</t>
  </si>
  <si>
    <t>P211050</t>
  </si>
  <si>
    <t>050</t>
  </si>
  <si>
    <t>1206211056018MRCZZ11</t>
  </si>
  <si>
    <t>1206213001018MRCZZ11</t>
  </si>
  <si>
    <t>1206213010018MRCZZ11</t>
  </si>
  <si>
    <t>1206213020018MRCZZ11</t>
  </si>
  <si>
    <t>1206213030018MRCZZ11</t>
  </si>
  <si>
    <t>1206213040018MRCZZ11</t>
  </si>
  <si>
    <t>1206226060H18MRCZZ11</t>
  </si>
  <si>
    <t>1206228004018MRCZZ11</t>
  </si>
  <si>
    <t>CONTR: AUCTIONEERS</t>
  </si>
  <si>
    <t>P228004</t>
  </si>
  <si>
    <t>004</t>
  </si>
  <si>
    <t>1206228450C18CV5ZZ11</t>
  </si>
  <si>
    <t>CONTR: PEST CONT &amp; FUMIGATION (COVID-19)</t>
  </si>
  <si>
    <t>450</t>
  </si>
  <si>
    <t>C</t>
  </si>
  <si>
    <t>CV5</t>
  </si>
  <si>
    <t>1206228450C18CVJCV11</t>
  </si>
  <si>
    <t>CVJ</t>
  </si>
  <si>
    <t>CV</t>
  </si>
  <si>
    <t>1206230012118MRCZZ11</t>
  </si>
  <si>
    <t>1206230019218MRCZZ11</t>
  </si>
  <si>
    <t>OC: ASSETS LESS THAN CAP THRESHOLD(TOOL</t>
  </si>
  <si>
    <t>P230019</t>
  </si>
  <si>
    <t>019</t>
  </si>
  <si>
    <t>1206230541018MRCZZ11</t>
  </si>
  <si>
    <t>1206230547018MRCZZ11</t>
  </si>
  <si>
    <t>OC: SMALL DIFFERENCES TOLERANCES</t>
  </si>
  <si>
    <t>P230547</t>
  </si>
  <si>
    <t>547</t>
  </si>
  <si>
    <t>1206230610018MRCZZ11</t>
  </si>
  <si>
    <t>1206232360A18CV5ZZ11</t>
  </si>
  <si>
    <t>INVENTORY - MATERIALS &amp; SUPP (COVID-19)</t>
  </si>
  <si>
    <t>A</t>
  </si>
  <si>
    <t>1206232360D18MRCZZ11</t>
  </si>
  <si>
    <t>1206232360J18MRCZZ11</t>
  </si>
  <si>
    <t>INVENTORY - MATERIALS &amp; SUPPLIES(R&amp;M)</t>
  </si>
  <si>
    <t>J</t>
  </si>
  <si>
    <t>1206232360R18MRCZZ11</t>
  </si>
  <si>
    <t>1206272150018MRCZZ11</t>
  </si>
  <si>
    <t>1206370015006MRCZZ11</t>
  </si>
  <si>
    <t>INV - PHYSICAL &amp; NET-REL VALUE GAINS</t>
  </si>
  <si>
    <t>P370015</t>
  </si>
  <si>
    <t>70</t>
  </si>
  <si>
    <t>015</t>
  </si>
  <si>
    <t>1206370020006MRCZZ11</t>
  </si>
  <si>
    <t>INV - PHYSICAL &amp; NET-REL VALUE LOSSES</t>
  </si>
  <si>
    <t>1208138061028ZZZZZ11</t>
  </si>
  <si>
    <t>P138061</t>
  </si>
  <si>
    <t>1208211001018MRCZZ11</t>
  </si>
  <si>
    <t>1208211022018MRCZZ11</t>
  </si>
  <si>
    <t>1208211026018MRCZZ11</t>
  </si>
  <si>
    <t>1208211034118MRCZZ11</t>
  </si>
  <si>
    <t>1208211046018MRCZZ11</t>
  </si>
  <si>
    <t>1208213001018MRCZZ11</t>
  </si>
  <si>
    <t>1208213010018MRCZZ11</t>
  </si>
  <si>
    <t>1208213020018MRCZZ11</t>
  </si>
  <si>
    <t>1208213030018MRCZZ11</t>
  </si>
  <si>
    <t>1208213040018MRCZZ11</t>
  </si>
  <si>
    <t>1208226060H18MRCZZ11</t>
  </si>
  <si>
    <t>1208227041018MRCZZ11</t>
  </si>
  <si>
    <t>1208230246118MRCZZ11</t>
  </si>
  <si>
    <t>OC: INSUR UNDER - PREMIUMS</t>
  </si>
  <si>
    <t>P230246</t>
  </si>
  <si>
    <t>246</t>
  </si>
  <si>
    <t>1208232360D18MRCZZ11</t>
  </si>
  <si>
    <t>1208236254018MRCZZ11</t>
  </si>
  <si>
    <t>INT PAID: FINANCE LEASES</t>
  </si>
  <si>
    <t>254</t>
  </si>
  <si>
    <t>1208272570018MRCZZ11</t>
  </si>
  <si>
    <t>DEPRECIATION  TRANSPORT ASSETS</t>
  </si>
  <si>
    <t>P272570</t>
  </si>
  <si>
    <t>1302203485018MRCZZ11</t>
  </si>
  <si>
    <t>P1302203485</t>
  </si>
  <si>
    <t>485</t>
  </si>
  <si>
    <t>1302203487018MRCZZ11</t>
  </si>
  <si>
    <t>P1302203487</t>
  </si>
  <si>
    <t>487</t>
  </si>
  <si>
    <t>1302205503018MRCZZ11</t>
  </si>
  <si>
    <t>P1302205503</t>
  </si>
  <si>
    <t>503</t>
  </si>
  <si>
    <t>1302211001018MRCZZ11</t>
  </si>
  <si>
    <t>1302211022018MRCZZ11</t>
  </si>
  <si>
    <t>1302211026018MRCZZ11</t>
  </si>
  <si>
    <t>1302211024018MRCZZ11</t>
  </si>
  <si>
    <t>P211024</t>
  </si>
  <si>
    <t>1302211034118MRCZZ11</t>
  </si>
  <si>
    <t>1302211038018MRCZZ11</t>
  </si>
  <si>
    <t>1302211046018MRCZZ11</t>
  </si>
  <si>
    <t>1302213001018MRCZZ11</t>
  </si>
  <si>
    <t>1302213010018MRCZZ11</t>
  </si>
  <si>
    <t>1302213020018MRCZZ11</t>
  </si>
  <si>
    <t>1302213030018MRCZZ11</t>
  </si>
  <si>
    <t>1302213040018MRCZZ11</t>
  </si>
  <si>
    <t>1302226060H18MRCZZ11</t>
  </si>
  <si>
    <t>1302227041018MRCZZ11</t>
  </si>
  <si>
    <t>1302230511018MRCZZ11</t>
  </si>
  <si>
    <t>1302230541018MRCZZ11</t>
  </si>
  <si>
    <t>1302230576018MRCZZ11</t>
  </si>
  <si>
    <t>1302230577018MRCZZ11</t>
  </si>
  <si>
    <t>1302230580018MRCZZ11</t>
  </si>
  <si>
    <t>1302230583018MRCZZ11</t>
  </si>
  <si>
    <t>1302232360D18MRCZZ11</t>
  </si>
  <si>
    <t>1303211001018MRCZZ11</t>
  </si>
  <si>
    <t>1303211022018MRCZZ11</t>
  </si>
  <si>
    <t>1303211026018MRCZZ11</t>
  </si>
  <si>
    <t>1303211034118MRCZZ11</t>
  </si>
  <si>
    <t>1303211044018MRCZZ11</t>
  </si>
  <si>
    <t>1303211046018MRCZZ11</t>
  </si>
  <si>
    <t>1303213001018MRCZZ11</t>
  </si>
  <si>
    <t>1303213010018MRCZZ11</t>
  </si>
  <si>
    <t>1303213020018MRCZZ11</t>
  </si>
  <si>
    <t>1303213030018MRCZZ11</t>
  </si>
  <si>
    <t>1303213040018MRCZZ11</t>
  </si>
  <si>
    <t>1303226060H18MRCZZ11</t>
  </si>
  <si>
    <t>1303230541018MRCZZ11</t>
  </si>
  <si>
    <t>1303230576018MRCZZ11</t>
  </si>
  <si>
    <t>1303230577018MRCZZ11</t>
  </si>
  <si>
    <t>1303230580018MRCZZ11</t>
  </si>
  <si>
    <t>1303230583018MRCZZ11</t>
  </si>
  <si>
    <t>1303232360D18MRCZZ11</t>
  </si>
  <si>
    <t>1304211001018MRCZZ11</t>
  </si>
  <si>
    <t>1304211022018MRCZZ11</t>
  </si>
  <si>
    <t>1304211026018MRCZZ11</t>
  </si>
  <si>
    <t>1304211032018MRCZZ11</t>
  </si>
  <si>
    <t>1304211034118MRCZZ11</t>
  </si>
  <si>
    <t>1304211038018MRCZZ11</t>
  </si>
  <si>
    <t>1304211042018MRCZZ11</t>
  </si>
  <si>
    <t>1304211044018MRCZZ11</t>
  </si>
  <si>
    <t>1304211046018MRCZZ11</t>
  </si>
  <si>
    <t>1304211056018MRCZZ11</t>
  </si>
  <si>
    <t>1304211058018MRCZZ11</t>
  </si>
  <si>
    <t>1304213001018MRCZZ11</t>
  </si>
  <si>
    <t>1304213010018MRCZZ11</t>
  </si>
  <si>
    <t>1304213020018MRCZZ11</t>
  </si>
  <si>
    <t>1304213030018MRCZZ11</t>
  </si>
  <si>
    <t>1304213040018MRCZZ11</t>
  </si>
  <si>
    <t>1304226060H18MRCZZ11</t>
  </si>
  <si>
    <t>1304227037018414ZZ11</t>
  </si>
  <si>
    <t>C&amp;PS: B&amp;A HUMAN RESOURCES</t>
  </si>
  <si>
    <t>P227037</t>
  </si>
  <si>
    <t>037</t>
  </si>
  <si>
    <t>1304228121018417ZZ11</t>
  </si>
  <si>
    <t>CONTR: EMPLOYEE WELLNESS</t>
  </si>
  <si>
    <t>P228121</t>
  </si>
  <si>
    <t>121</t>
  </si>
  <si>
    <t>1304230049018MRCZZ11</t>
  </si>
  <si>
    <t>OC: BURSARIES (EMPLOYEES)</t>
  </si>
  <si>
    <t>P230049</t>
  </si>
  <si>
    <t>1304230333018MRCZZ11</t>
  </si>
  <si>
    <t>OC: LIC - VEHICLE LIC &amp; REGISTRATIONS</t>
  </si>
  <si>
    <t>P230333</t>
  </si>
  <si>
    <t>333</t>
  </si>
  <si>
    <t>1304230452018MRCZZ11</t>
  </si>
  <si>
    <t>1304230511018MRCZZ11</t>
  </si>
  <si>
    <t>1304230541018MRCZZ11</t>
  </si>
  <si>
    <t>1304232360D18MRCZZ11</t>
  </si>
  <si>
    <t>1304272150018MRCZZ11</t>
  </si>
  <si>
    <t>1304272570018MRCZZ11</t>
  </si>
  <si>
    <t>1305142002029ZZZZZ11</t>
  </si>
  <si>
    <t>P142002</t>
  </si>
  <si>
    <t>002</t>
  </si>
  <si>
    <t>1305142002129ZZZZZ11</t>
  </si>
  <si>
    <t>ACADEMIC SERVICES: FORMAL TRAINING(COST</t>
  </si>
  <si>
    <t>1305211001018MRCZZ11</t>
  </si>
  <si>
    <t>1305211022018MRCZZ11</t>
  </si>
  <si>
    <t>1305211026018MRCZZ11</t>
  </si>
  <si>
    <t>1305211032018MRCZZ11</t>
  </si>
  <si>
    <t>1305211034118MRCZZ11</t>
  </si>
  <si>
    <t>1305211038018MRCZZ11</t>
  </si>
  <si>
    <t>1305211042018MRCZZ11</t>
  </si>
  <si>
    <t>1305211044018MRCZZ11</t>
  </si>
  <si>
    <t>1305211046018MRCZZ11</t>
  </si>
  <si>
    <t>1305211056018MRCZZ11</t>
  </si>
  <si>
    <t>1305213001018MRCZZ11</t>
  </si>
  <si>
    <t>1305213010018MRCZZ11</t>
  </si>
  <si>
    <t>1305213020018MRCZZ11</t>
  </si>
  <si>
    <t>1305213030018MRCZZ11</t>
  </si>
  <si>
    <t>1305213040018MRCZZ11</t>
  </si>
  <si>
    <t>1305226060H18MRCZZ11</t>
  </si>
  <si>
    <t>1305227037018414ZZ11</t>
  </si>
  <si>
    <t>1305227037029MRCZZ11</t>
  </si>
  <si>
    <t>1305230019018MRCZZ11</t>
  </si>
  <si>
    <t>OC: ASSETS LESS THAN CAPITAL THRESHOLD</t>
  </si>
  <si>
    <t>1305230361018MRCZZ11</t>
  </si>
  <si>
    <t>1305230541018MRCZZ11</t>
  </si>
  <si>
    <t>1305230576018MRCZZ11</t>
  </si>
  <si>
    <t>1305230577018MRCZZ11</t>
  </si>
  <si>
    <t>1305230580018MRCZZ11</t>
  </si>
  <si>
    <t>1305230583018MRCZZ11</t>
  </si>
  <si>
    <t>1305230610018MRCZZ11</t>
  </si>
  <si>
    <t>1305232360D18MRCZZ11</t>
  </si>
  <si>
    <t>1305232360R18MRCZZ11</t>
  </si>
  <si>
    <t>1305272150018MRCZZ11</t>
  </si>
  <si>
    <t>1305272880018MRCZZ11</t>
  </si>
  <si>
    <t>DEPRECIATION COMMUNITY HALLS</t>
  </si>
  <si>
    <t>P272880</t>
  </si>
  <si>
    <t>880</t>
  </si>
  <si>
    <t>1305320280018MRCZZ11</t>
  </si>
  <si>
    <t>PPE COMMUNITY ASSETS - GAINS</t>
  </si>
  <si>
    <t>P320280</t>
  </si>
  <si>
    <t>280</t>
  </si>
  <si>
    <t>1305320285018MRCZZ11</t>
  </si>
  <si>
    <t>P320285</t>
  </si>
  <si>
    <t>PPE COMMUNITY ASSETS - LOSSES</t>
  </si>
  <si>
    <t>285</t>
  </si>
  <si>
    <t>1305320300018MRCZZ11</t>
  </si>
  <si>
    <t>P320300</t>
  </si>
  <si>
    <t>PPE OTHER - ASSETS - LOSSES</t>
  </si>
  <si>
    <t>300</t>
  </si>
  <si>
    <t>1305350110018MRCZZ11</t>
  </si>
  <si>
    <t>P350110</t>
  </si>
  <si>
    <t>IL: NON SPECIFIC ACCOUNTS</t>
  </si>
  <si>
    <t>50</t>
  </si>
  <si>
    <t>110</t>
  </si>
  <si>
    <t>13056473520CFQX3ZZ11</t>
  </si>
  <si>
    <t>P647352QX3</t>
  </si>
  <si>
    <t>6</t>
  </si>
  <si>
    <t>47</t>
  </si>
  <si>
    <t>352</t>
  </si>
  <si>
    <t>CF</t>
  </si>
  <si>
    <t>QX3</t>
  </si>
  <si>
    <t>1405203525018MRCZZ11</t>
  </si>
  <si>
    <t>P1405203525</t>
  </si>
  <si>
    <t>14</t>
  </si>
  <si>
    <t>525</t>
  </si>
  <si>
    <t>1405203527018MRCZZ11</t>
  </si>
  <si>
    <t>P1405203527</t>
  </si>
  <si>
    <t>527</t>
  </si>
  <si>
    <t>1405203529018MRCZZ11</t>
  </si>
  <si>
    <t>P1405203529</t>
  </si>
  <si>
    <t>529</t>
  </si>
  <si>
    <t>1405205503018MRCZZ11</t>
  </si>
  <si>
    <t>P1405205503</t>
  </si>
  <si>
    <t>1405211001018MRCZZ11</t>
  </si>
  <si>
    <t>1405211022018MRCZZ11</t>
  </si>
  <si>
    <t>1405211026018MRCZZ11</t>
  </si>
  <si>
    <t>1405211034118MRCZZ11</t>
  </si>
  <si>
    <t>1405211038018MRCZZ11</t>
  </si>
  <si>
    <t>1405211040018MRCZZ11</t>
  </si>
  <si>
    <t>1405211042018MRCZZ11</t>
  </si>
  <si>
    <t>1405211044018MRCZZ11</t>
  </si>
  <si>
    <t>1405211046018MRCZZ11</t>
  </si>
  <si>
    <t>1405211056018MRCZZ11</t>
  </si>
  <si>
    <t>1405213001018MRCZZ11</t>
  </si>
  <si>
    <t>1405213010018MRCZZ11</t>
  </si>
  <si>
    <t>1405213020018MRCZZ11</t>
  </si>
  <si>
    <t>1405213030018MRCZZ11</t>
  </si>
  <si>
    <t>1405213040018MRCZZ11</t>
  </si>
  <si>
    <t>1405226060H18MRCZZ11</t>
  </si>
  <si>
    <t>1405230511018MRCZZ11</t>
  </si>
  <si>
    <t>1405230541018MRCZZ11</t>
  </si>
  <si>
    <t>1405230576018MRCZZ11</t>
  </si>
  <si>
    <t>1405230577018MRCZZ11</t>
  </si>
  <si>
    <t>1405230580018MRCZZ11</t>
  </si>
  <si>
    <t>1405230583018MRCZZ11</t>
  </si>
  <si>
    <t>1405232360D18MRCZZ11</t>
  </si>
  <si>
    <t>1406104002007ZZZZZ11</t>
  </si>
  <si>
    <t>FINES: ILLEGAL CONNECTIONS - ELECTRICITY</t>
  </si>
  <si>
    <t>1406132104018ZZZZZ11</t>
  </si>
  <si>
    <t>P132104</t>
  </si>
  <si>
    <t>104</t>
  </si>
  <si>
    <t>1406211001018MRCZZ11</t>
  </si>
  <si>
    <t>1406211022018MRCZZ11</t>
  </si>
  <si>
    <t>1406211026018MRCZZ11</t>
  </si>
  <si>
    <t>1406211032018MRCZZ11</t>
  </si>
  <si>
    <t>1406211034118MRCZZ11</t>
  </si>
  <si>
    <t>1406211038018MRCZZ11</t>
  </si>
  <si>
    <t>1406211040018MRCZZ11</t>
  </si>
  <si>
    <t>1406211042018MRCZZ11</t>
  </si>
  <si>
    <t>1406211044018MRCZZ11</t>
  </si>
  <si>
    <t>1406211046018MRCZZ11</t>
  </si>
  <si>
    <t>1406211056018MRCZZ11</t>
  </si>
  <si>
    <t>1406211058018MRCZZ11</t>
  </si>
  <si>
    <t>1406213001018MRCZZ11</t>
  </si>
  <si>
    <t>1406213010018MRCZZ11</t>
  </si>
  <si>
    <t>1406213020018MRCZZ11</t>
  </si>
  <si>
    <t>1406213030018MRCZZ11</t>
  </si>
  <si>
    <t>1406213040018MRCZZ11</t>
  </si>
  <si>
    <t>1406226511018MRCZZ11</t>
  </si>
  <si>
    <t>OS: CONNECT/DIS-CONNECTION: ELECTICITY</t>
  </si>
  <si>
    <t>P226511</t>
  </si>
  <si>
    <t>1406230511018MRCZZ11</t>
  </si>
  <si>
    <t>1406230541018MRCZZ11</t>
  </si>
  <si>
    <t>1406230576018MRCZZ11</t>
  </si>
  <si>
    <t>1406230577018MRCZZ11</t>
  </si>
  <si>
    <t>1406230580018MRCZZ11</t>
  </si>
  <si>
    <t>1406230583018MRCZZ11</t>
  </si>
  <si>
    <t>1406230610018MRCZZ11</t>
  </si>
  <si>
    <t>1406232360D18MRCZZ11</t>
  </si>
  <si>
    <t>1406232360I18MRCZZ11</t>
  </si>
  <si>
    <t>I</t>
  </si>
  <si>
    <t>1406232360L18MRCZZ11</t>
  </si>
  <si>
    <t>1406232360R18MRCZZ11</t>
  </si>
  <si>
    <t>1406272060018MRCZZ11</t>
  </si>
  <si>
    <t>DEPRECIATION COMPUTER EQUIPMENT</t>
  </si>
  <si>
    <t>P272060</t>
  </si>
  <si>
    <t>1406272150018MRCZZ11</t>
  </si>
  <si>
    <t>1406272570018MRCZZ11</t>
  </si>
  <si>
    <t>1406320055018MRCZZ11</t>
  </si>
  <si>
    <t>PPE COMPUTER EQUIPMENT - GAINS</t>
  </si>
  <si>
    <t>P320055</t>
  </si>
  <si>
    <t>055</t>
  </si>
  <si>
    <t>1406320060018MRCZZ11</t>
  </si>
  <si>
    <t>P320060</t>
  </si>
  <si>
    <t>PPE COMPUTER EQUIPMENT - LOSSES</t>
  </si>
  <si>
    <t>1406350030018MRCZZ11</t>
  </si>
  <si>
    <t>P350030</t>
  </si>
  <si>
    <t>IL PPE: COMPUTER EQUIPMENT</t>
  </si>
  <si>
    <t>1406350105018MRCZZ11</t>
  </si>
  <si>
    <t>105</t>
  </si>
  <si>
    <t>1406350110018MRCZZ11</t>
  </si>
  <si>
    <t>1406360030018MRCZZ11</t>
  </si>
  <si>
    <t>P360030</t>
  </si>
  <si>
    <t>RIL PPE: COMPUTER EQUIPMENT</t>
  </si>
  <si>
    <t>60</t>
  </si>
  <si>
    <t>14066456020CFQY4ZZ11</t>
  </si>
  <si>
    <t>P645602QY4</t>
  </si>
  <si>
    <t>45</t>
  </si>
  <si>
    <t>602</t>
  </si>
  <si>
    <t>QY4</t>
  </si>
  <si>
    <t>14066470020CFQX2ZZ11</t>
  </si>
  <si>
    <t>P647002QX2</t>
  </si>
  <si>
    <t>QX2</t>
  </si>
  <si>
    <t>14066470020CFQX6ZZ11</t>
  </si>
  <si>
    <t>P647002QX6</t>
  </si>
  <si>
    <t>QX6</t>
  </si>
  <si>
    <t>14066471020CFQY3ZZ11</t>
  </si>
  <si>
    <t>P647102QY3</t>
  </si>
  <si>
    <t>102</t>
  </si>
  <si>
    <t>QY3</t>
  </si>
  <si>
    <t>14066522420CFP49ZZ11</t>
  </si>
  <si>
    <t>P652242P49</t>
  </si>
  <si>
    <t>52</t>
  </si>
  <si>
    <t>242</t>
  </si>
  <si>
    <t>P49</t>
  </si>
  <si>
    <t>14066523020CFP33ZZ11</t>
  </si>
  <si>
    <t>P652302P33</t>
  </si>
  <si>
    <t>302</t>
  </si>
  <si>
    <t>P33</t>
  </si>
  <si>
    <t>1407132109018ZZZZZ11</t>
  </si>
  <si>
    <t>P132109</t>
  </si>
  <si>
    <t>ELEC: NOTICE REVENUES</t>
  </si>
  <si>
    <t>109</t>
  </si>
  <si>
    <t>1407132112118ZZZZZ11</t>
  </si>
  <si>
    <t>112</t>
  </si>
  <si>
    <t>1407132112218ZZZZZ11</t>
  </si>
  <si>
    <t>1407132112318ZZZZZ11</t>
  </si>
  <si>
    <t>1407132112418ZZZZZ11</t>
  </si>
  <si>
    <t>1407132112518ZZZZZ11</t>
  </si>
  <si>
    <t>5</t>
  </si>
  <si>
    <t>1407132112618ZZZZZ11</t>
  </si>
  <si>
    <t>1407132112718ZZZZZ11</t>
  </si>
  <si>
    <t>1407132112818ZZZZZ11</t>
  </si>
  <si>
    <t>8</t>
  </si>
  <si>
    <t>1407132112918ZZZZZ11</t>
  </si>
  <si>
    <t>9</t>
  </si>
  <si>
    <t>1407132113018ZZZZZ11</t>
  </si>
  <si>
    <t>ELEC SALES: COMMERCIAL CONVEN 3-PHASE</t>
  </si>
  <si>
    <t>113</t>
  </si>
  <si>
    <t>1407132113118ZZZZZ11</t>
  </si>
  <si>
    <t>MMM CFLEX - 3 PHASE WINTER PEAK ELCHDP</t>
  </si>
  <si>
    <t>1407132113218ZZZZZ11</t>
  </si>
  <si>
    <t>MMM CFLEX - 3 PHASE WINTER STD ELCHDS</t>
  </si>
  <si>
    <t>1407132113318ZZZZZ11</t>
  </si>
  <si>
    <t>1407132113418ZZZZZ11</t>
  </si>
  <si>
    <t>1407132113518ZZZZZ11</t>
  </si>
  <si>
    <t>1407132113618ZZZZZ11</t>
  </si>
  <si>
    <t>1407132113718ZZZZZ11</t>
  </si>
  <si>
    <t>MMM CFLEX - 3 PHASE BASIC CHARGE ELCOBC</t>
  </si>
  <si>
    <t>1407132114118ZZZZZ11</t>
  </si>
  <si>
    <t>114</t>
  </si>
  <si>
    <t>1407132114218ZZZZZ11</t>
  </si>
  <si>
    <t>1407132118018ZZZZZ11</t>
  </si>
  <si>
    <t>ELEC SALES: DOMESTI LOW HOME LIGHT 2 60A</t>
  </si>
  <si>
    <t>118</t>
  </si>
  <si>
    <t>1407132118118ZZZZZ11</t>
  </si>
  <si>
    <t>1407132119006FB1ZZ11</t>
  </si>
  <si>
    <t>MMM INDIGENT IBT SUMMER FBE CONV &amp; PP</t>
  </si>
  <si>
    <t>119</t>
  </si>
  <si>
    <t>FB1</t>
  </si>
  <si>
    <t>1407132119018ZZZZZ11</t>
  </si>
  <si>
    <t>1407132119118ZZZZZ11</t>
  </si>
  <si>
    <t>1407132119806FB1ZZ11</t>
  </si>
  <si>
    <t>MMM INDIGENT IBT WINTER FBE CONV &amp; PP</t>
  </si>
  <si>
    <t>1407132120018ZZZZZ11</t>
  </si>
  <si>
    <t>INDIGENT OTHER SUMMER CONV &amp; PP INELSM1</t>
  </si>
  <si>
    <t>P132120</t>
  </si>
  <si>
    <t>120</t>
  </si>
  <si>
    <t>1407132121118ZZZZZ11</t>
  </si>
  <si>
    <t>MMM DEPARTMENTAL FLAT RATE SUMMER</t>
  </si>
  <si>
    <t>1407132121218ZZZZZ11</t>
  </si>
  <si>
    <t>MMM DEPARTMENTAL FLAT RATE WINTER</t>
  </si>
  <si>
    <t>1407132121318ZZZZZ11</t>
  </si>
  <si>
    <t>MMM INDIGENT HIGH DEMAND IBT(WINTER)(INE</t>
  </si>
  <si>
    <t>1407132123118ZZZZZ11</t>
  </si>
  <si>
    <t>P132123</t>
  </si>
  <si>
    <t>123</t>
  </si>
  <si>
    <t>1407132124118ZZZZZ11</t>
  </si>
  <si>
    <t>124</t>
  </si>
  <si>
    <t>1407132124218ZZZZZ11</t>
  </si>
  <si>
    <t>1407132124318ZZZZZ11</t>
  </si>
  <si>
    <t>1407132124418ZZZZZ11</t>
  </si>
  <si>
    <t>MMM HFLEX - 3 PHASE SUMMER PEAK ELRLDP</t>
  </si>
  <si>
    <t>1407132124518ZZZZZ11</t>
  </si>
  <si>
    <t>1407132124618ZZZZZ11</t>
  </si>
  <si>
    <t>1407132124718ZZZZZ11</t>
  </si>
  <si>
    <t>MMM HFLEX - 3 PHASE BASIC CHARGE ELROBC</t>
  </si>
  <si>
    <t>1407132124818ZZZZZ11</t>
  </si>
  <si>
    <t>1407132124918ZZZZZ11</t>
  </si>
  <si>
    <t>1407132124A18ZZZZZ11</t>
  </si>
  <si>
    <t>1407132124B18ZZZZZ11</t>
  </si>
  <si>
    <t>1407132124C18ZZZZZ11</t>
  </si>
  <si>
    <t>1407132124D18ZZZZZ11</t>
  </si>
  <si>
    <t>1407132124E18ZZZZZ11</t>
  </si>
  <si>
    <t>E</t>
  </si>
  <si>
    <t>1407132124F18ZZZZZ11</t>
  </si>
  <si>
    <t>F</t>
  </si>
  <si>
    <t>1407132124G18ZZZZZ11</t>
  </si>
  <si>
    <t>G</t>
  </si>
  <si>
    <t>1407132124H18ZZZZZ11</t>
  </si>
  <si>
    <t>1407132124I18ZZZZZ11</t>
  </si>
  <si>
    <t>1407132124J18ZZZZZ11</t>
  </si>
  <si>
    <t>1407132124K18ZZZZZ11</t>
  </si>
  <si>
    <t>MMM BULK RES 2 - SUMMER OFF PEAK ELO004</t>
  </si>
  <si>
    <t>K</t>
  </si>
  <si>
    <t>1407132124L18ZZZZZ11</t>
  </si>
  <si>
    <t>1407132124M18ZZZZZ11</t>
  </si>
  <si>
    <t>MMM BULK RES 2 - DEMAND CHARGE ELK004</t>
  </si>
  <si>
    <t>M</t>
  </si>
  <si>
    <t>1407132124N18ZZZZZ11</t>
  </si>
  <si>
    <t>MMM BULK RES 3 - WINTER PEAK ELHP05</t>
  </si>
  <si>
    <t>N</t>
  </si>
  <si>
    <t>1407132124O18ZZZZZ11</t>
  </si>
  <si>
    <t>O</t>
  </si>
  <si>
    <t>1407132124P18ZZZZZ11</t>
  </si>
  <si>
    <t>MMM BULK RES 3 - WINTER OFF PEAK ELH005</t>
  </si>
  <si>
    <t>P</t>
  </si>
  <si>
    <t>1407132124Q18ZZZZZ11</t>
  </si>
  <si>
    <t>MMM BULK RES 3 - SUMMER PEAK ELP005</t>
  </si>
  <si>
    <t>Q</t>
  </si>
  <si>
    <t>1407132124R18ZZZZZ11</t>
  </si>
  <si>
    <t>1407132124S18ZZZZZ11</t>
  </si>
  <si>
    <t>S</t>
  </si>
  <si>
    <t>1407132124T18ZZZZZ11</t>
  </si>
  <si>
    <t>T</t>
  </si>
  <si>
    <t>1407132124U18ZZZZZ11</t>
  </si>
  <si>
    <t>MMM BULK RES 3 - DEMAND CHARGE ELK005</t>
  </si>
  <si>
    <t>U</t>
  </si>
  <si>
    <t>1407132125018ZZZZZ11</t>
  </si>
  <si>
    <t>MANGAUNG ELECFLEX 3  BASIC CHARGE</t>
  </si>
  <si>
    <t>125</t>
  </si>
  <si>
    <t>1407132125218ZZZZZ11</t>
  </si>
  <si>
    <t>P07132125</t>
  </si>
  <si>
    <t>1407132125318ZZZZZ11</t>
  </si>
  <si>
    <t>1407132125418ZZZZZ11</t>
  </si>
  <si>
    <t>1407132126118ZZZZZ11</t>
  </si>
  <si>
    <t>126</t>
  </si>
  <si>
    <t>1407132126218ZZZZZ11</t>
  </si>
  <si>
    <t>1407132126318ZZZZZ11</t>
  </si>
  <si>
    <t>MMM ELFLEX 3 - ENERGY WINTER PEAK ELHPO3</t>
  </si>
  <si>
    <t>1407132126418ZZZZZ11</t>
  </si>
  <si>
    <t>1407132126518ZZZZZ11</t>
  </si>
  <si>
    <t>1407132126618ZZZZZ11</t>
  </si>
  <si>
    <t>1407132126718ZZZZZ11</t>
  </si>
  <si>
    <t>1407132126818ZZZZZ11</t>
  </si>
  <si>
    <t>1407132127118ZZZZZ11</t>
  </si>
  <si>
    <t>P132127</t>
  </si>
  <si>
    <t>127</t>
  </si>
  <si>
    <t>1407132127218ZZZZZ11</t>
  </si>
  <si>
    <t>1407132127318ZZZZZ11</t>
  </si>
  <si>
    <t>1407132127418ZZZZZ11</t>
  </si>
  <si>
    <t>1407132127518ZZZZZ11</t>
  </si>
  <si>
    <t>MMM ELFLEX 1 - ENERGY WINTER PEAK ELHP01</t>
  </si>
  <si>
    <t>1407132127618ZZZZZ11</t>
  </si>
  <si>
    <t>MMM ELFLEX 1 - ENERGY SUMMER PEAK ELP001</t>
  </si>
  <si>
    <t>1407132127718ZZZZZ11</t>
  </si>
  <si>
    <t>1407132127818ZZZZZ11</t>
  </si>
  <si>
    <t>1407132127918ZZZZZ11</t>
  </si>
  <si>
    <t>1407132127A18ZZZZZ11</t>
  </si>
  <si>
    <t>1407132127B18ZZZZZ11</t>
  </si>
  <si>
    <t>MMM ELFLEX 2 - ENERGY WINTER PEAK ELHP02</t>
  </si>
  <si>
    <t>1407132127C18ZZZZZ11</t>
  </si>
  <si>
    <t>1407132127D18ZZZZZ11</t>
  </si>
  <si>
    <t>1407132127E18ZZZZZ11</t>
  </si>
  <si>
    <t>1407132127F18ZZZZZ11</t>
  </si>
  <si>
    <t>1407132127G18ZZZZZ11</t>
  </si>
  <si>
    <t>1407132127H18ZZZZZ11</t>
  </si>
  <si>
    <t>MMM ELFLEX 1 BASIC CHARGE</t>
  </si>
  <si>
    <t>P07132127</t>
  </si>
  <si>
    <t>1407132127K18ZZZZZ11</t>
  </si>
  <si>
    <t>MMM ELFLEX 2 BASIC CHARGE</t>
  </si>
  <si>
    <t>1407132127M18ZZZZZ11</t>
  </si>
  <si>
    <t>MMM ELFLEX 3 BASIC CHARGE</t>
  </si>
  <si>
    <t>1407132128118ZZZZZ11</t>
  </si>
  <si>
    <t>CEN DEPART TOU ENERGY WINTER PEAK CNHPO1</t>
  </si>
  <si>
    <t>128</t>
  </si>
  <si>
    <t>1407132128218ZZZZZ11</t>
  </si>
  <si>
    <t>1407132128318ZZZZZ11</t>
  </si>
  <si>
    <t>1407132128418ZZZZZ11</t>
  </si>
  <si>
    <t>1407132128518ZZZZZ11</t>
  </si>
  <si>
    <t>CEN DEPART TOU ENERGY SUMMER STD CENS01</t>
  </si>
  <si>
    <t>1407132128618ZZZZZ11</t>
  </si>
  <si>
    <t>1407132131118ZZZZZ11</t>
  </si>
  <si>
    <t>131</t>
  </si>
  <si>
    <t>1407132131218ZZZZZ11</t>
  </si>
  <si>
    <t>1407132131318ZZZZZ11</t>
  </si>
  <si>
    <t>1407132131418ZZZZZ11</t>
  </si>
  <si>
    <t>1407132131518ZZZZZ11</t>
  </si>
  <si>
    <t>1407132131618ZZZZZ11</t>
  </si>
  <si>
    <t>1407132132018ZZZZZ11</t>
  </si>
  <si>
    <t>132</t>
  </si>
  <si>
    <t>1407211001018MRCZZ11</t>
  </si>
  <si>
    <t>1407211022018MRCZZ11</t>
  </si>
  <si>
    <t>1407211026018MRCZZ11</t>
  </si>
  <si>
    <t>1407211032018MRCZZ11</t>
  </si>
  <si>
    <t>1407211034018MRCZZ11</t>
  </si>
  <si>
    <t>1407211034118MRCZZ11</t>
  </si>
  <si>
    <t>1407211038018MRCZZ11</t>
  </si>
  <si>
    <t>1407211040018MRCZZ11</t>
  </si>
  <si>
    <t>1407211042018MRCZZ11</t>
  </si>
  <si>
    <t>1407211044018MRCZZ11</t>
  </si>
  <si>
    <t>1407211046018MRCZZ11</t>
  </si>
  <si>
    <t>1407211050018MRCZZ11</t>
  </si>
  <si>
    <t>1407211056018MRCZZ11</t>
  </si>
  <si>
    <t>1407213001018MRCZZ11</t>
  </si>
  <si>
    <t>1407213010018MRCZZ11</t>
  </si>
  <si>
    <t>1407213020018MRCZZ11</t>
  </si>
  <si>
    <t>1407213030018MRCZZ11</t>
  </si>
  <si>
    <t>1407213040018MRCZZ11</t>
  </si>
  <si>
    <t>1407226060H18MRCZZ11</t>
  </si>
  <si>
    <t>1407226361018MRCZZ11</t>
  </si>
  <si>
    <t>1407227041118MRCZZ11</t>
  </si>
  <si>
    <t>1407228453018MRCZZ11</t>
  </si>
  <si>
    <t>CONTR: PREPAID ELECTRICITY VENDORS</t>
  </si>
  <si>
    <t>P228453</t>
  </si>
  <si>
    <t>453</t>
  </si>
  <si>
    <t>1407230090118MRCZZ11</t>
  </si>
  <si>
    <t>OC: COMMISSION - THIRD PARTY VENDORS</t>
  </si>
  <si>
    <t>P230090</t>
  </si>
  <si>
    <t>1407230178218MRCZZ11</t>
  </si>
  <si>
    <t>1407230511018MRCZZ11</t>
  </si>
  <si>
    <t>1407230541018MRCZZ11</t>
  </si>
  <si>
    <t>1407230576018MRCZZ11</t>
  </si>
  <si>
    <t>1407230577018MRCZZ11</t>
  </si>
  <si>
    <t>1407230580018MRCZZ11</t>
  </si>
  <si>
    <t>1407230583018MRCZZ11</t>
  </si>
  <si>
    <t>1407230610018MRCZZ11</t>
  </si>
  <si>
    <t>1407232360D18MRCZZ11</t>
  </si>
  <si>
    <t>1407234001018MRCZZ11</t>
  </si>
  <si>
    <t>ESKOM</t>
  </si>
  <si>
    <t>1407272150018MRCZZ11</t>
  </si>
  <si>
    <t>1407272360018MRCZZ11</t>
  </si>
  <si>
    <t>DEPRECIATION  MACHINERY &amp; EQUIPMENT</t>
  </si>
  <si>
    <t>P272360</t>
  </si>
  <si>
    <t>1407272570018MRCZZ11</t>
  </si>
  <si>
    <t>14076460020CFCL1ZZ11</t>
  </si>
  <si>
    <t>46</t>
  </si>
  <si>
    <t>CL1</t>
  </si>
  <si>
    <t>1408211001018MRCZZ11</t>
  </si>
  <si>
    <t>1408211022018MRCZZ11</t>
  </si>
  <si>
    <t>1408211026018MRCZZ11</t>
  </si>
  <si>
    <t>1408211034118MRCZZ11</t>
  </si>
  <si>
    <t>1408211042018MRCZZ11</t>
  </si>
  <si>
    <t>1408211046018MRCZZ11</t>
  </si>
  <si>
    <t>1408213001018MRCZZ11</t>
  </si>
  <si>
    <t>1408213010018MRCZZ11</t>
  </si>
  <si>
    <t>1408213020018MRCZZ11</t>
  </si>
  <si>
    <t>1408213030018MRCZZ11</t>
  </si>
  <si>
    <t>1408213040018MRCZZ11</t>
  </si>
  <si>
    <t>1408227041018MRCZZ11</t>
  </si>
  <si>
    <t>1408230178118MRCZZ11</t>
  </si>
  <si>
    <t>1408230511018MRCZZ11</t>
  </si>
  <si>
    <t>1408230576018MRCZZ11</t>
  </si>
  <si>
    <t>1408230577018MRCZZ11</t>
  </si>
  <si>
    <t>1408230580018MRCZZ11</t>
  </si>
  <si>
    <t>1408230583018MRCZZ11</t>
  </si>
  <si>
    <t>1408232360D18MRCZZ11</t>
  </si>
  <si>
    <t>1408272004018MRCZZ11</t>
  </si>
  <si>
    <t>AMORTISATION INTANG COMPUTER SOFTWARE</t>
  </si>
  <si>
    <t>P272004</t>
  </si>
  <si>
    <t>1441203485018MRCZZ11</t>
  </si>
  <si>
    <t>41</t>
  </si>
  <si>
    <t>1441203567018MRCZZ11</t>
  </si>
  <si>
    <t>P1441203567</t>
  </si>
  <si>
    <t>567</t>
  </si>
  <si>
    <t>1441205583018MRCZZ11</t>
  </si>
  <si>
    <t>P1441205583</t>
  </si>
  <si>
    <t>1441211001018MRCZZ11</t>
  </si>
  <si>
    <t>1441211022018MRCZZ11</t>
  </si>
  <si>
    <t>1441211026018MRCZZ11</t>
  </si>
  <si>
    <t>1441211034018MRCZZ11</t>
  </si>
  <si>
    <t>1441211038018MRCZZ11</t>
  </si>
  <si>
    <t>1441211042018MRCZZ11</t>
  </si>
  <si>
    <t>1441211044018MRCZZ11</t>
  </si>
  <si>
    <t>1441211046018MRCZZ11</t>
  </si>
  <si>
    <t>1441211056018MRCZZ11</t>
  </si>
  <si>
    <t>1441211058018MRCZZ11</t>
  </si>
  <si>
    <t>1441213001018MRCZZ11</t>
  </si>
  <si>
    <t>1441213010018MRCZZ11</t>
  </si>
  <si>
    <t>1441213020018MRCZZ11</t>
  </si>
  <si>
    <t>1441213030018MRCZZ11</t>
  </si>
  <si>
    <t>1441213040018MRCZZ11</t>
  </si>
  <si>
    <t>1441226060H18MRCZZ11</t>
  </si>
  <si>
    <t>1441230511018MRCZZ11</t>
  </si>
  <si>
    <t>1441230541018MRCZZ11</t>
  </si>
  <si>
    <t>1441230576018MRCZZ11</t>
  </si>
  <si>
    <t>1441230577018MRCZZ11</t>
  </si>
  <si>
    <t>1441230580018MRCZZ11</t>
  </si>
  <si>
    <t>1441230583018MRCZZ11</t>
  </si>
  <si>
    <t>1441232360D18MRCZZ11</t>
  </si>
  <si>
    <t>1441272249018MRCZZ11</t>
  </si>
  <si>
    <t>DEPRECIATION ELEC LV NETWORKS</t>
  </si>
  <si>
    <t>P272249</t>
  </si>
  <si>
    <t>249</t>
  </si>
  <si>
    <t>1442211001018MRCZZ11</t>
  </si>
  <si>
    <t>1442211022018MRCZZ11</t>
  </si>
  <si>
    <t>1442211026018MRCZZ11</t>
  </si>
  <si>
    <t>1442211032018MRCZZ11</t>
  </si>
  <si>
    <t>1442211034018MRCZZ11</t>
  </si>
  <si>
    <t>1442211034118MRCZZ11</t>
  </si>
  <si>
    <t>1442211038018MRCZZ11</t>
  </si>
  <si>
    <t>1442211042018MRCZZ11</t>
  </si>
  <si>
    <t>1442211044018MRCZZ11</t>
  </si>
  <si>
    <t>1442211046018MRCZZ11</t>
  </si>
  <si>
    <t>1442211050018MRCZZ11</t>
  </si>
  <si>
    <t>1442211056018MRCZZ11</t>
  </si>
  <si>
    <t>1442211058018MRCZZ11</t>
  </si>
  <si>
    <t>1442213001018MRCZZ11</t>
  </si>
  <si>
    <t>1442213010018MRCZZ11</t>
  </si>
  <si>
    <t>1442213020018MRCZZ11</t>
  </si>
  <si>
    <t>1442213030018MRCZZ11</t>
  </si>
  <si>
    <t>1442213040018MRCZZ11</t>
  </si>
  <si>
    <t>1442226060H18MRCZZ11</t>
  </si>
  <si>
    <t>1442227041018MRCZZ11</t>
  </si>
  <si>
    <t>1442228361018NHHZZ11</t>
  </si>
  <si>
    <t>NHH</t>
  </si>
  <si>
    <t>1442230019218MRCZZ11</t>
  </si>
  <si>
    <t>1442230541018MRCZZ11</t>
  </si>
  <si>
    <t>1442230610018MRCZZ11</t>
  </si>
  <si>
    <t>1442230701818MRCZZ11</t>
  </si>
  <si>
    <t>STREET LIGHTING MANGAUNG5014-32-1-40-299</t>
  </si>
  <si>
    <t>1442232360D18MRCZZ11</t>
  </si>
  <si>
    <t>1442232360R18MRCZZ11</t>
  </si>
  <si>
    <t>1442272150018MRCZZ11</t>
  </si>
  <si>
    <t>1442272248018MRCZZ11</t>
  </si>
  <si>
    <t>DEPRECIATION ELEC MV NETWORKS</t>
  </si>
  <si>
    <t>P272248</t>
  </si>
  <si>
    <t>248</t>
  </si>
  <si>
    <t>1442272570018MRCZZ11</t>
  </si>
  <si>
    <t>1442320085018MRCZZ11</t>
  </si>
  <si>
    <t>PPE INFRA: ELECTRICITY - GAINS</t>
  </si>
  <si>
    <t>1442320090018MRCZZ11</t>
  </si>
  <si>
    <t>P320090</t>
  </si>
  <si>
    <t>PPE INFRA: ELECTRICITY - LOSSES</t>
  </si>
  <si>
    <t>1442350045018MRCZZ11</t>
  </si>
  <si>
    <t>P350045</t>
  </si>
  <si>
    <t>IL PPE: INFRASTRUCTURE - ELECTRICITY</t>
  </si>
  <si>
    <t>1442360045018MRCZZ11</t>
  </si>
  <si>
    <t>P360045</t>
  </si>
  <si>
    <t>RIL PPE: INFRASTRUCTURE - ELECTRICITY</t>
  </si>
  <si>
    <t>1442643302081P16ZZ11</t>
  </si>
  <si>
    <t>ELECTRIFICATION (USDG GRANT)</t>
  </si>
  <si>
    <t>43</t>
  </si>
  <si>
    <t>P16</t>
  </si>
  <si>
    <t>14426520420CFP06ZZ11</t>
  </si>
  <si>
    <t>P652042P06</t>
  </si>
  <si>
    <t>MAPHIKELA DC 132/11KV</t>
  </si>
  <si>
    <t>P06</t>
  </si>
  <si>
    <t>14426520420CFP09ZZ11</t>
  </si>
  <si>
    <t>P652042P09</t>
  </si>
  <si>
    <t>P09</t>
  </si>
  <si>
    <t>1442652242077P47ZZ11</t>
  </si>
  <si>
    <t>P652242P47</t>
  </si>
  <si>
    <t>BOTSHABELO: ESTABLISHMENT OF 132KV CONNE</t>
  </si>
  <si>
    <t>P47</t>
  </si>
  <si>
    <t>1442652242081P53ZZ11</t>
  </si>
  <si>
    <t>P53</t>
  </si>
  <si>
    <t>14426522420CFP50ZZ11</t>
  </si>
  <si>
    <t>P652242P50</t>
  </si>
  <si>
    <t>P50</t>
  </si>
  <si>
    <t>14426522420CFP53ZZ11</t>
  </si>
  <si>
    <t>14426522420CFP75ZZ11</t>
  </si>
  <si>
    <t>P75</t>
  </si>
  <si>
    <t>14426522420CFP76ZZ11</t>
  </si>
  <si>
    <t>P76</t>
  </si>
  <si>
    <t>14426522420CFP77ZZ11</t>
  </si>
  <si>
    <t>P77</t>
  </si>
  <si>
    <t>14426522420CFP78ZZ11</t>
  </si>
  <si>
    <t>P78</t>
  </si>
  <si>
    <t>14426522420CFP79ZZ11</t>
  </si>
  <si>
    <t>P79</t>
  </si>
  <si>
    <t>14426522420CFP81ZZ11</t>
  </si>
  <si>
    <t>P81</t>
  </si>
  <si>
    <t>1442652302081P26ZZ11</t>
  </si>
  <si>
    <t>P26</t>
  </si>
  <si>
    <t>1442652302095P28ZZ11</t>
  </si>
  <si>
    <t>P652302P28</t>
  </si>
  <si>
    <t>P28</t>
  </si>
  <si>
    <t>1442652302095P28ZZ40</t>
  </si>
  <si>
    <t>14426523020CFP26ZZ11</t>
  </si>
  <si>
    <t>14426523020CFP29ZZ11</t>
  </si>
  <si>
    <t>P29</t>
  </si>
  <si>
    <t>14426523020CFP35ZZ11</t>
  </si>
  <si>
    <t>P652302P35</t>
  </si>
  <si>
    <t>P35</t>
  </si>
  <si>
    <t>14426523020CFP72ZZ11</t>
  </si>
  <si>
    <t>P652302P72</t>
  </si>
  <si>
    <t>P72</t>
  </si>
  <si>
    <t>1443211001018MRCZZ11</t>
  </si>
  <si>
    <t>1443211001018P20ZZ11</t>
  </si>
  <si>
    <t>P20</t>
  </si>
  <si>
    <t>1443211022018MRCZZ11</t>
  </si>
  <si>
    <t>1443211022018P20ZZ11</t>
  </si>
  <si>
    <t>1443211026018P20ZZ11</t>
  </si>
  <si>
    <t>1443211032018P20ZZ11</t>
  </si>
  <si>
    <t>1443211034118MRCZZ11</t>
  </si>
  <si>
    <t>1443211034118P20ZZ11</t>
  </si>
  <si>
    <t>1443211038018MRCZZ11</t>
  </si>
  <si>
    <t>1443211038018P20ZZ11</t>
  </si>
  <si>
    <t>1443211040018MRCZZ11</t>
  </si>
  <si>
    <t>1443211040018P20ZZ11</t>
  </si>
  <si>
    <t>1443211042018MRCZZ11</t>
  </si>
  <si>
    <t>1443211042018P20ZZ11</t>
  </si>
  <si>
    <t>1443211044018P20ZZ11</t>
  </si>
  <si>
    <t>1443211046018MRCZZ11</t>
  </si>
  <si>
    <t>1443211046018P20ZZ11</t>
  </si>
  <si>
    <t>1443211050018P20ZZ11</t>
  </si>
  <si>
    <t>1443211056018MRCZZ11</t>
  </si>
  <si>
    <t>1443211056018P20ZZ11</t>
  </si>
  <si>
    <t>1443211060018P20ZZ11</t>
  </si>
  <si>
    <t>1443213001018MRCZZ11</t>
  </si>
  <si>
    <t>1443213001018P20ZZ11</t>
  </si>
  <si>
    <t>1443213010018MRCZZ11</t>
  </si>
  <si>
    <t>1443213010018P20ZZ11</t>
  </si>
  <si>
    <t>1443213020018MRCZZ11</t>
  </si>
  <si>
    <t>1443213020018P20ZZ11</t>
  </si>
  <si>
    <t>1443213030018MRCZZ11</t>
  </si>
  <si>
    <t>1443213030018P20ZZ11</t>
  </si>
  <si>
    <t>1443213040018MRCZZ11</t>
  </si>
  <si>
    <t>1443213040018P20ZZ11</t>
  </si>
  <si>
    <t>1443226060H18MRCZZ11</t>
  </si>
  <si>
    <t>1443228361018NHHZZ11</t>
  </si>
  <si>
    <t>1443228361018P05ZZ11</t>
  </si>
  <si>
    <t>P05</t>
  </si>
  <si>
    <t>1443230019018MRCZZ11</t>
  </si>
  <si>
    <t>OC: STREET LIGHTING MANGAUNG</t>
  </si>
  <si>
    <t>1443230019218MRCZZ11</t>
  </si>
  <si>
    <t>1443230511018MRCZZ11</t>
  </si>
  <si>
    <t>1443230541018MRCZZ11</t>
  </si>
  <si>
    <t>1443230583018MRCZZ11</t>
  </si>
  <si>
    <t>1443230610018MRCZZ11</t>
  </si>
  <si>
    <t>1443232360D18MRCZZ11</t>
  </si>
  <si>
    <t>1443232360H18MRCZZ11</t>
  </si>
  <si>
    <t>INVENTORY - MATERIALS &amp; SUPPLIES(R&amp;M )</t>
  </si>
  <si>
    <t>1443232360I18MRCZZ11</t>
  </si>
  <si>
    <t>1443232360R18MRCZZ11</t>
  </si>
  <si>
    <t>1443272150018MRCZZ11</t>
  </si>
  <si>
    <t>1443272570018MRCZZ11</t>
  </si>
  <si>
    <t>1443652102081P15ZZ11</t>
  </si>
  <si>
    <t>P652102P15</t>
  </si>
  <si>
    <t>P15</t>
  </si>
  <si>
    <t>14436521020CFP15ZZ11</t>
  </si>
  <si>
    <t>1443652302081P27ZZ11</t>
  </si>
  <si>
    <t>P652302P27</t>
  </si>
  <si>
    <t>P27</t>
  </si>
  <si>
    <t>1443652302081P30ZZ11</t>
  </si>
  <si>
    <t>P652302P30</t>
  </si>
  <si>
    <t>P30</t>
  </si>
  <si>
    <t>1443652302081P34ZZ11</t>
  </si>
  <si>
    <t>P34</t>
  </si>
  <si>
    <t>14436523020CFP25ZZ11</t>
  </si>
  <si>
    <t>P652302P25</t>
  </si>
  <si>
    <t>P25</t>
  </si>
  <si>
    <t>14436523020CFP27ZZ11</t>
  </si>
  <si>
    <t>14436523020CFP30ZZ11</t>
  </si>
  <si>
    <t>14436523020CFP34ZZ11</t>
  </si>
  <si>
    <t>P652302P34</t>
  </si>
  <si>
    <t>1444211001018MRCZZ11</t>
  </si>
  <si>
    <t>1444211022018MRCZZ11</t>
  </si>
  <si>
    <t>1444211026018MRCZZ11</t>
  </si>
  <si>
    <t>1444211032018MRCZZ11</t>
  </si>
  <si>
    <t>1444211034118MRCZZ11</t>
  </si>
  <si>
    <t>1444211036018MRCZZ11</t>
  </si>
  <si>
    <t>1444211038018MRCZZ11</t>
  </si>
  <si>
    <t>1444211040018MRCZZ11</t>
  </si>
  <si>
    <t>1444211042018MRCZZ11</t>
  </si>
  <si>
    <t>1444211044018MRCZZ11</t>
  </si>
  <si>
    <t>1444211046018MRCZZ11</t>
  </si>
  <si>
    <t>1444211050018MRCZZ11</t>
  </si>
  <si>
    <t>1444211056018MRCZZ11</t>
  </si>
  <si>
    <t>1444213001018MRCZZ11</t>
  </si>
  <si>
    <t>1444213010018MRCZZ11</t>
  </si>
  <si>
    <t>1444213020018MRCZZ11</t>
  </si>
  <si>
    <t>1444213030018MRCZZ11</t>
  </si>
  <si>
    <t>1444213040018MRCZZ11</t>
  </si>
  <si>
    <t>1444226060H18MRCZZ11</t>
  </si>
  <si>
    <t>1444228361018NSPZZ11</t>
  </si>
  <si>
    <t>1444230019218MRCZZ11</t>
  </si>
  <si>
    <t>1444230541018MRCZZ11</t>
  </si>
  <si>
    <t>1444230576018MRCZZ11</t>
  </si>
  <si>
    <t>1444230577018MRCZZ11</t>
  </si>
  <si>
    <t>1444230580018MRCZZ11</t>
  </si>
  <si>
    <t>1444230583018MRCZZ11</t>
  </si>
  <si>
    <t>1444230610018MRCZZ11</t>
  </si>
  <si>
    <t>1444232360D18MRCZZ11</t>
  </si>
  <si>
    <t>1444232360F18MRCZZ11</t>
  </si>
  <si>
    <t>1444232360G18MRCZZ11</t>
  </si>
  <si>
    <t>1444232360R18MRCZZ11</t>
  </si>
  <si>
    <t>1444272150018MRCZZ11</t>
  </si>
  <si>
    <t>1444272570018MRCZZ11</t>
  </si>
  <si>
    <t>1444652302081P36ZZ11</t>
  </si>
  <si>
    <t>P652302P36</t>
  </si>
  <si>
    <t>P36</t>
  </si>
  <si>
    <t>14446523020CFP36ZZ11</t>
  </si>
  <si>
    <t>1445211001018MRCZZ11</t>
  </si>
  <si>
    <t>1445211022018MRCZZ11</t>
  </si>
  <si>
    <t>1445211026018MRCZZ11</t>
  </si>
  <si>
    <t>1445211032018MRCZZ11</t>
  </si>
  <si>
    <t>1445211034018MRCZZ11</t>
  </si>
  <si>
    <t>1445211034118MRCZZ11</t>
  </si>
  <si>
    <t>1445211036018MRCZZ11</t>
  </si>
  <si>
    <t>1445211038018MRCZZ11</t>
  </si>
  <si>
    <t>1445211040018MRCZZ11</t>
  </si>
  <si>
    <t>1445211042018MRCZZ11</t>
  </si>
  <si>
    <t>1445211044018MRCZZ11</t>
  </si>
  <si>
    <t>1445211046018MRCZZ11</t>
  </si>
  <si>
    <t>1445211056018MRCZZ11</t>
  </si>
  <si>
    <t>1445213001018MRCZZ11</t>
  </si>
  <si>
    <t>1445213010018MRCZZ11</t>
  </si>
  <si>
    <t>1445213020018MRCZZ11</t>
  </si>
  <si>
    <t>1445213030018MRCZZ11</t>
  </si>
  <si>
    <t>1445213040018MRCZZ11</t>
  </si>
  <si>
    <t>1445226060H18MRCZZ11</t>
  </si>
  <si>
    <t>1445227041018MRCZZ11</t>
  </si>
  <si>
    <t>1445228361W18P89ZZ11</t>
  </si>
  <si>
    <t>CONTR: MAINT OF EQUIP(METERS)</t>
  </si>
  <si>
    <t>W</t>
  </si>
  <si>
    <t>P89</t>
  </si>
  <si>
    <t>1445230019218MRCZZ11</t>
  </si>
  <si>
    <t>1445230110018MRCZZ11</t>
  </si>
  <si>
    <t>OC: COMM - CELL CONTRACT (SUBS &amp; CALLS)</t>
  </si>
  <si>
    <t>P230110</t>
  </si>
  <si>
    <t>1445230541018MRCZZ11</t>
  </si>
  <si>
    <t>1445230576018MRCZZ11</t>
  </si>
  <si>
    <t>1445230577018MRCZZ11</t>
  </si>
  <si>
    <t>1445230583018MRCZZ11</t>
  </si>
  <si>
    <t>1445230610018MRCZZ11</t>
  </si>
  <si>
    <t>1445232360D18MRCZZ11</t>
  </si>
  <si>
    <t>1445232360H18MRCZZ11</t>
  </si>
  <si>
    <t>1445232360R18MRCZZ11</t>
  </si>
  <si>
    <t>1445272150018MRCZZ11</t>
  </si>
  <si>
    <t>1445272570018MRCZZ11</t>
  </si>
  <si>
    <t>1445228450018727ZZ11</t>
  </si>
  <si>
    <t>1445320285018MRCZZ11</t>
  </si>
  <si>
    <t>14456420420CFCX1ZZ11</t>
  </si>
  <si>
    <t>142</t>
  </si>
  <si>
    <t>QH8</t>
  </si>
  <si>
    <t>1445652042081P04ZZ11</t>
  </si>
  <si>
    <t>P652042P04</t>
  </si>
  <si>
    <t>P04</t>
  </si>
  <si>
    <t>14456520420CFP04ZZ11</t>
  </si>
  <si>
    <t>1445652142081P60ZZ11</t>
  </si>
  <si>
    <t>P652142P60</t>
  </si>
  <si>
    <t>P60</t>
  </si>
  <si>
    <t>1445652142081P61ZZ11</t>
  </si>
  <si>
    <t>P61</t>
  </si>
  <si>
    <t>14456521420CFP60ZZ11</t>
  </si>
  <si>
    <t>14456521420CFP61ZZ11</t>
  </si>
  <si>
    <t>1445652242081P45ZZ11</t>
  </si>
  <si>
    <t>P652242P45</t>
  </si>
  <si>
    <t>P45</t>
  </si>
  <si>
    <t>1445652242081P52ZZ11</t>
  </si>
  <si>
    <t>P652242P52</t>
  </si>
  <si>
    <t>P52</t>
  </si>
  <si>
    <t>14456522420CFP45ZZ11</t>
  </si>
  <si>
    <t>14456522420CFP46ZZ11</t>
  </si>
  <si>
    <t>P652242P46</t>
  </si>
  <si>
    <t>REPLACEMENT OF DAMAGED SWITCHGEAR AND EQ</t>
  </si>
  <si>
    <t>P46</t>
  </si>
  <si>
    <t>14456522420CFP52ZZ11</t>
  </si>
  <si>
    <t>1445652302081P31ZZ11</t>
  </si>
  <si>
    <t>REP 2 &amp;4 WAY FIBREGLAS BOX (BOTS % TBAN)</t>
  </si>
  <si>
    <t>P31</t>
  </si>
  <si>
    <t>14456523020CFCX2ZZ11</t>
  </si>
  <si>
    <t>P652302P31</t>
  </si>
  <si>
    <t>14456524020CFP80ZZ11</t>
  </si>
  <si>
    <t>P652402P80</t>
  </si>
  <si>
    <t>402</t>
  </si>
  <si>
    <t>P80</t>
  </si>
  <si>
    <t>1445656352081QH7ZZ11</t>
  </si>
  <si>
    <t>P656352QH7</t>
  </si>
  <si>
    <t>56</t>
  </si>
  <si>
    <t>QH7</t>
  </si>
  <si>
    <t>14456563520CFQH6ZZ11</t>
  </si>
  <si>
    <t>P656352QH6</t>
  </si>
  <si>
    <t>QH6</t>
  </si>
  <si>
    <t>14456563520CFQH7ZZ11</t>
  </si>
  <si>
    <t>1501203605018MRCZZ11</t>
  </si>
  <si>
    <t>P1501203605</t>
  </si>
  <si>
    <t>15</t>
  </si>
  <si>
    <t>605</t>
  </si>
  <si>
    <t>1501203607018MRCZZ11</t>
  </si>
  <si>
    <t>P1501203607</t>
  </si>
  <si>
    <t>607</t>
  </si>
  <si>
    <t>1501203609018MRCZZ11</t>
  </si>
  <si>
    <t>P1501203609</t>
  </si>
  <si>
    <t>609</t>
  </si>
  <si>
    <t>1501205623018MRCZZ11</t>
  </si>
  <si>
    <t>P1501205623</t>
  </si>
  <si>
    <t>623</t>
  </si>
  <si>
    <t>1501211001018MRCZZ11</t>
  </si>
  <si>
    <t>1501211022018MRCZZ11</t>
  </si>
  <si>
    <t>1501211026018MRCZZ11</t>
  </si>
  <si>
    <t>1501211034018MRCZZ11</t>
  </si>
  <si>
    <t>1501211034118MRCZZ11</t>
  </si>
  <si>
    <t>1501211038018MRCZZ11</t>
  </si>
  <si>
    <t>1501211042018MRCZZ11</t>
  </si>
  <si>
    <t>1501211046018MRCZZ11</t>
  </si>
  <si>
    <t>1501211056018MRCZZ11</t>
  </si>
  <si>
    <t>1501211058018MRCZZ11</t>
  </si>
  <si>
    <t>1501213001018MRCZZ11</t>
  </si>
  <si>
    <t>1501213010018MRCZZ11</t>
  </si>
  <si>
    <t>1501213020018MRCZZ11</t>
  </si>
  <si>
    <t>1501213030018MRCZZ11</t>
  </si>
  <si>
    <t>1501213040018MRCZZ11</t>
  </si>
  <si>
    <t>1501226060H18MRCZZ11</t>
  </si>
  <si>
    <t>1501230511018MRCZZ11</t>
  </si>
  <si>
    <t>1501230541018MRCZZ11</t>
  </si>
  <si>
    <t>1501232360D18MRCZZ11</t>
  </si>
  <si>
    <t>1502211001018MRCZZ11</t>
  </si>
  <si>
    <t>1502211022018MRCZZ11</t>
  </si>
  <si>
    <t>1502211026018MRCZZ11</t>
  </si>
  <si>
    <t>1502211034118MRCZZ11</t>
  </si>
  <si>
    <t>1502211046018MRCZZ11</t>
  </si>
  <si>
    <t>1502213001018MRCZZ11</t>
  </si>
  <si>
    <t>1502213010018MRCZZ11</t>
  </si>
  <si>
    <t>1502213020018MRCZZ11</t>
  </si>
  <si>
    <t>1502213030018MRCZZ11</t>
  </si>
  <si>
    <t>1502213040018MRCZZ11</t>
  </si>
  <si>
    <t>1502226060H18MRCZZ11</t>
  </si>
  <si>
    <t>1502227041018MRCZZ11</t>
  </si>
  <si>
    <t>1502230511018MRCZZ11</t>
  </si>
  <si>
    <t>1502230541018MRCZZ11</t>
  </si>
  <si>
    <t>1502230576018MRCZZ11</t>
  </si>
  <si>
    <t>1502230577018MRCZZ11</t>
  </si>
  <si>
    <t>1502230580018MRCZZ11</t>
  </si>
  <si>
    <t>1502230583018MRCZZ11</t>
  </si>
  <si>
    <t>1502232360E18MRCZZ11</t>
  </si>
  <si>
    <t>1503211001018MRCZZ11</t>
  </si>
  <si>
    <t>1503211022018MRCZZ11</t>
  </si>
  <si>
    <t>1503211026018MRCZZ11</t>
  </si>
  <si>
    <t>1503211032018MRCZZ11</t>
  </si>
  <si>
    <t>1503211034118MRCZZ11</t>
  </si>
  <si>
    <t>1503211038018MRCZZ11</t>
  </si>
  <si>
    <t>1503211040018MRCZZ11</t>
  </si>
  <si>
    <t>1503211042018MRCZZ11</t>
  </si>
  <si>
    <t>1503211046018MRCZZ11</t>
  </si>
  <si>
    <t>1503211056018MRCZZ11</t>
  </si>
  <si>
    <t>1503211058018MRCZZ11</t>
  </si>
  <si>
    <t>1503213001018MRCZZ11</t>
  </si>
  <si>
    <t>1503213010018MRCZZ11</t>
  </si>
  <si>
    <t>1503213020018MRCZZ11</t>
  </si>
  <si>
    <t>1503213030018MRCZZ11</t>
  </si>
  <si>
    <t>1503213040018MRCZZ11</t>
  </si>
  <si>
    <t>1503226060H18MRCZZ11</t>
  </si>
  <si>
    <t>1503226540018MRCZZ11</t>
  </si>
  <si>
    <t>OS: SECURITY SERVICES</t>
  </si>
  <si>
    <t>P226540</t>
  </si>
  <si>
    <t>540</t>
  </si>
  <si>
    <t>1503228361018NSPZZ11</t>
  </si>
  <si>
    <t>1503228361018NSQZZ11</t>
  </si>
  <si>
    <t>NSQ</t>
  </si>
  <si>
    <t>1503230333018MRCZZ11</t>
  </si>
  <si>
    <t>1503230541018MRCZZ11</t>
  </si>
  <si>
    <t>1503230610018MRCZZ11</t>
  </si>
  <si>
    <t>1503230630018MRCZZ11</t>
  </si>
  <si>
    <t>OC: VEHICLE TRACKING</t>
  </si>
  <si>
    <t>P230630</t>
  </si>
  <si>
    <t>630</t>
  </si>
  <si>
    <t>1503232360118MRCZZ11</t>
  </si>
  <si>
    <t>INVENTORY - MATERIALS &amp; SUPPLIES(FUEL CO</t>
  </si>
  <si>
    <t>1503232360D18MRCZZ11</t>
  </si>
  <si>
    <t>1503232360R18MRCZZ11</t>
  </si>
  <si>
    <t>1503272150018MRCZZ11</t>
  </si>
  <si>
    <t>1503272570018MRCZZ11</t>
  </si>
  <si>
    <t>1445320175018MRCZZ11</t>
  </si>
  <si>
    <t>175</t>
  </si>
  <si>
    <t>18</t>
  </si>
  <si>
    <t>1503320180018MRCZZ11</t>
  </si>
  <si>
    <t>P320180</t>
  </si>
  <si>
    <t>PPE TRANSPORT ASSETS - LOSSES</t>
  </si>
  <si>
    <t>180</t>
  </si>
  <si>
    <t>1503350090018MRCZZ11</t>
  </si>
  <si>
    <t>P350090</t>
  </si>
  <si>
    <t>IL PPE: TRANSPORT ASSETS</t>
  </si>
  <si>
    <t>15036421420CFQX8ZZ11</t>
  </si>
  <si>
    <t>P642142QX8</t>
  </si>
  <si>
    <t>QX8</t>
  </si>
  <si>
    <t>15036520420CFP08ZZ11</t>
  </si>
  <si>
    <t>P652042P08</t>
  </si>
  <si>
    <t>P08</t>
  </si>
  <si>
    <t>1504211001018MRCZZ11</t>
  </si>
  <si>
    <t>1504211022018MRCZZ11</t>
  </si>
  <si>
    <t>1504211026018MRCZZ11</t>
  </si>
  <si>
    <t>1504211034118MRCZZ11</t>
  </si>
  <si>
    <t>1504211038018MRCZZ11</t>
  </si>
  <si>
    <t>1504213001018MRCZZ11</t>
  </si>
  <si>
    <t>1504213010018MRCZZ11</t>
  </si>
  <si>
    <t>1504213020018MRCZZ11</t>
  </si>
  <si>
    <t>1504213030018MRCZZ11</t>
  </si>
  <si>
    <t>1504213040018MRCZZ11</t>
  </si>
  <si>
    <t>1505211001018P32ZZ11</t>
  </si>
  <si>
    <t>P32</t>
  </si>
  <si>
    <t>1505211022018P32ZZ11</t>
  </si>
  <si>
    <t>1505211026018P32ZZ11</t>
  </si>
  <si>
    <t>1505211032018P32ZZ11</t>
  </si>
  <si>
    <t>1505211034118MRCZZ11</t>
  </si>
  <si>
    <t>1505211038018P32ZZ11</t>
  </si>
  <si>
    <t>1505211040018P32ZZ11</t>
  </si>
  <si>
    <t>1505211042018P32ZZ11</t>
  </si>
  <si>
    <t>1505211046018P32ZZ11</t>
  </si>
  <si>
    <t>1505211056018P32ZZ11</t>
  </si>
  <si>
    <t>1505213001018P32ZZ11</t>
  </si>
  <si>
    <t>1505213010018P32ZZ11</t>
  </si>
  <si>
    <t>1505213020018P32ZZ11</t>
  </si>
  <si>
    <t>1505213030018P32ZZ11</t>
  </si>
  <si>
    <t>1505213040018P32ZZ11</t>
  </si>
  <si>
    <t>1505230541018MRCZZ11</t>
  </si>
  <si>
    <t>1505320070018MRCZZ11</t>
  </si>
  <si>
    <t>P320070</t>
  </si>
  <si>
    <t>PPE FURNITURE &amp; OFF EQUIPMENT - LOSSES</t>
  </si>
  <si>
    <t>070</t>
  </si>
  <si>
    <t>1505350035018MRCZZ11</t>
  </si>
  <si>
    <t>P350035</t>
  </si>
  <si>
    <t>IL PPE: FURNITURE &amp; OFFICE EQUIPMENT</t>
  </si>
  <si>
    <t>035</t>
  </si>
  <si>
    <t>15056460020CFQX1ZZ11</t>
  </si>
  <si>
    <t>P646002QX1</t>
  </si>
  <si>
    <t>QX1</t>
  </si>
  <si>
    <t>1505652342081P70ZZ11</t>
  </si>
  <si>
    <t>SOLAR FARM GENERATION PLANT</t>
  </si>
  <si>
    <t>342</t>
  </si>
  <si>
    <t>P70</t>
  </si>
  <si>
    <t>15056523420CFP70ZZ11</t>
  </si>
  <si>
    <t>P652342P70</t>
  </si>
  <si>
    <t>1506211001018NHCZZ11</t>
  </si>
  <si>
    <t>NHC</t>
  </si>
  <si>
    <t>1506211022018MRCZZ11</t>
  </si>
  <si>
    <t>1506211022018NHCZZ11</t>
  </si>
  <si>
    <t>1506211026018NHCZZ11</t>
  </si>
  <si>
    <t>1506211032018NHCZZ11</t>
  </si>
  <si>
    <t>1506211034118NHCZZ11</t>
  </si>
  <si>
    <t>1506211038018NHCZZ11</t>
  </si>
  <si>
    <t>1506211042018NHCZZ11</t>
  </si>
  <si>
    <t>1506211044018NHCZZ11</t>
  </si>
  <si>
    <t>1506211046018NHCZZ11</t>
  </si>
  <si>
    <t>1506211060018NHCZZ11</t>
  </si>
  <si>
    <t>1506213001018NHCZZ11</t>
  </si>
  <si>
    <t>1506213010018NHCZZ11</t>
  </si>
  <si>
    <t>1506213020018NHCZZ11</t>
  </si>
  <si>
    <t>1506213030018NHCZZ11</t>
  </si>
  <si>
    <t>1506213040018NHCZZ11</t>
  </si>
  <si>
    <t>1506228120018MRCZZ11</t>
  </si>
  <si>
    <t>CONTR: ELECTRICAL</t>
  </si>
  <si>
    <t>P228120</t>
  </si>
  <si>
    <t>1506228360018NHCZZ11</t>
  </si>
  <si>
    <t>CONTR:  MAINT OF BUILDINGS &amp; FACILITIES</t>
  </si>
  <si>
    <t>P228360</t>
  </si>
  <si>
    <t>1506228450C18CV5ZZ11</t>
  </si>
  <si>
    <t>P22845CV5</t>
  </si>
  <si>
    <t>1506228450C18CVJCV11</t>
  </si>
  <si>
    <t>1506230019118MRCZZ11</t>
  </si>
  <si>
    <t>OC: ASSETS LESS  CAP THRESHOLD(FURN OFF</t>
  </si>
  <si>
    <t>1506230112018MRCZZ11</t>
  </si>
  <si>
    <t>OC: COMM - POSTAGE/STAMPS/FRANKING MACH</t>
  </si>
  <si>
    <t>P230112</t>
  </si>
  <si>
    <t>1506230361318MRCZZ11</t>
  </si>
  <si>
    <t>OC: MUNICIPAL SERVICES(WATER)</t>
  </si>
  <si>
    <t>1506230541018MRCZZ11</t>
  </si>
  <si>
    <t>1506230610018MRCZZ11</t>
  </si>
  <si>
    <t>1506232360D18MRCZZ11</t>
  </si>
  <si>
    <t>1506232360F18MRCZZ11</t>
  </si>
  <si>
    <t>1506232360G18MRCZZ11</t>
  </si>
  <si>
    <t>1506232360R18MRCZZ11</t>
  </si>
  <si>
    <t>1506238150018MRCZZ11</t>
  </si>
  <si>
    <t>P238150</t>
  </si>
  <si>
    <t>1506238364518MRCZZ11</t>
  </si>
  <si>
    <t>P238364</t>
  </si>
  <si>
    <t>OPR LEASES: COMMUNITY ASSETS(OFFICES)</t>
  </si>
  <si>
    <t>364</t>
  </si>
  <si>
    <t>1506272150018MRCZZ11</t>
  </si>
  <si>
    <t>1506272249018MRCZZ11</t>
  </si>
  <si>
    <t>1506272570018MRCZZ11</t>
  </si>
  <si>
    <t>1506272880018MRCZZ11</t>
  </si>
  <si>
    <t>15066563520CFQY2ZZ11</t>
  </si>
  <si>
    <t>P656352QY2</t>
  </si>
  <si>
    <t>QY2</t>
  </si>
  <si>
    <t>1601125940017ZZZZZ11</t>
  </si>
  <si>
    <t>1601125940153ZZZZZ11</t>
  </si>
  <si>
    <t>1601132124T18ZZZZZ11</t>
  </si>
  <si>
    <t>ELEC SALES: AGRICULTURAL LOW</t>
  </si>
  <si>
    <t>1601134101011ZZZZZ11</t>
  </si>
  <si>
    <t>INTER: RECEIV - ELECTRICITY</t>
  </si>
  <si>
    <t>1601134101711ZZZZZ11</t>
  </si>
  <si>
    <t>1601228361018P05ZZ11</t>
  </si>
  <si>
    <t>1601230090018MRCZZ11</t>
  </si>
  <si>
    <t>1601230178618MRCZZ11</t>
  </si>
  <si>
    <t>OC: EXT COM SERV PROV - S/WARE LICENCES(</t>
  </si>
  <si>
    <t>1601232360118MRCZZ11</t>
  </si>
  <si>
    <t>1601232360D18MRCZZ11</t>
  </si>
  <si>
    <t>1601232360R18MRCZZ11</t>
  </si>
  <si>
    <t>1601234001018MRCZZ11</t>
  </si>
  <si>
    <t>Curr Mth Exp</t>
  </si>
  <si>
    <t>Commitment</t>
  </si>
  <si>
    <t>YTD Movement</t>
  </si>
  <si>
    <t>Unspend Bud</t>
  </si>
  <si>
    <t>Requisitions Per Budget</t>
  </si>
  <si>
    <t>Perc</t>
  </si>
  <si>
    <t>Total Spending Over 4 Months</t>
  </si>
  <si>
    <t>Average Spending</t>
  </si>
  <si>
    <t>Spending Over 12 Months</t>
  </si>
  <si>
    <t>Needed/(Don’t need)</t>
  </si>
  <si>
    <t>MTREF 2025-26</t>
  </si>
  <si>
    <t>ADJ011</t>
  </si>
  <si>
    <t>C&amp;PS: B&amp;A AUDIT COMMITTEE</t>
  </si>
  <si>
    <t>SM MM: SAL &amp; ALL -  BASIC SALARY</t>
  </si>
  <si>
    <t>SM MM: ALLOW - CELLULAR &amp; TELEPHONE</t>
  </si>
  <si>
    <t>SM MM: SOC CONTR: MEDICAL</t>
  </si>
  <si>
    <t>SM MM: SOC CONTR: PENSION FUNDS</t>
  </si>
  <si>
    <t>SM MM: SOC CONTR: BARGAINING COUNCIL</t>
  </si>
  <si>
    <t>29</t>
  </si>
  <si>
    <t>OC:ADV/PUB/MARK - CORP &amp; MUN ACT MARKETI</t>
  </si>
  <si>
    <t>ADJ09</t>
  </si>
  <si>
    <t>OC:ADV/PUB/MARK - CORP &amp; MUN ACT ADVERTI</t>
  </si>
  <si>
    <t>ADJ012</t>
  </si>
  <si>
    <t>81</t>
  </si>
  <si>
    <t>17</t>
  </si>
  <si>
    <t>53</t>
  </si>
  <si>
    <t>59</t>
  </si>
  <si>
    <t>ADJ010</t>
  </si>
  <si>
    <t>To be confirmed with Supply chain</t>
  </si>
  <si>
    <t>ADJ 07</t>
  </si>
  <si>
    <t>ADJ 06</t>
  </si>
  <si>
    <t>227037</t>
  </si>
  <si>
    <t>IL: ELECTRICITY</t>
  </si>
  <si>
    <t>350105</t>
  </si>
  <si>
    <t>BULK METER REFURBISHMENT</t>
  </si>
  <si>
    <t>METER PROJECT</t>
  </si>
  <si>
    <t>MMM FLAT BUSINESS CONVENT WINTER EL0005</t>
  </si>
  <si>
    <t>MMM FLAT BUSINESS CONVENT SUMMER ELSM05</t>
  </si>
  <si>
    <t>MMM CFLEX - SING PHASE WINTR PEAK E1CHDP</t>
  </si>
  <si>
    <t>MMM CFLEX - SIN PHASE WINTER STD E1CHDS</t>
  </si>
  <si>
    <t>MMM CFLEX - SIN PHAS WIN OFF PEAK E1CHDO</t>
  </si>
  <si>
    <t>MMM CFLEX - SIN PHASE SUMMER PEAK E1CLDP</t>
  </si>
  <si>
    <t>MMM CFLEX - SIN PHASE SUMMER STD E1CLDS</t>
  </si>
  <si>
    <t>MMM CFLEX - SIN PHA SUM OFF PEAK E1CLDO</t>
  </si>
  <si>
    <t>MMM CFLEX - SIN PHASE BASIC CHRG ELCEBC</t>
  </si>
  <si>
    <t>MMM CFLEX - 3PHASE WIN OFF-PEAK ELCHDO</t>
  </si>
  <si>
    <t>MMM CFLEX -3PHASE SUMMER PEAK ELCLDP</t>
  </si>
  <si>
    <t>MMM CFLEX -3 PHASE SUM STANDARD ELCLDS</t>
  </si>
  <si>
    <t>MMM CFLEX - 3 PHASE SUM OFF-PEAK ELCLDO</t>
  </si>
  <si>
    <t>MMM BUSINESS FLAT RATE WINTER PREPAID</t>
  </si>
  <si>
    <t>P132114</t>
  </si>
  <si>
    <t>MMM BUSINESS FLAT RATE SUMMER PREPAID</t>
  </si>
  <si>
    <t>MMM IBT DOMESTIC CONVEN SUMMER ELSM01</t>
  </si>
  <si>
    <t>MANGAUNG IBT DOMESTIC PREPAID SUMMER</t>
  </si>
  <si>
    <t>P132119</t>
  </si>
  <si>
    <t>MMM IBT DOMESTIC PREPAID WINTER</t>
  </si>
  <si>
    <t>MMM IBT DOMESTIC CONVEN WINTER EL0001</t>
  </si>
  <si>
    <t>MMM HOMEFLEX - 3PHASE WINTER PEAK ELRHDP</t>
  </si>
  <si>
    <t>MMM HOMEFLEX - 3PHASE WINTE STAND ELRHDS</t>
  </si>
  <si>
    <t>MMM HOMEF HIGH DEM OFF-P 3 PH ELRHDO</t>
  </si>
  <si>
    <t>MMM HOMEF LOW DEM STAN 3 PH ELRLDS</t>
  </si>
  <si>
    <t>MMM HFLEX - 3PHASE SUMMR OFF-PEAK ELRLDO</t>
  </si>
  <si>
    <t>MMM HFLEX - SINGLE PHASE WINTER E1RHDP</t>
  </si>
  <si>
    <t>MMM HFLEX - SINGLE PHAS WINTR STD E1RHDS</t>
  </si>
  <si>
    <t>MMM HFELEX -SIN PHASE WINT OFF PE E1RHDO</t>
  </si>
  <si>
    <t>MMM HFLEX - SINGL PHAS SUMM PEAK E1RLDP</t>
  </si>
  <si>
    <t>MMM HFLEX - SING PHASE SUMM STD E1RLDS</t>
  </si>
  <si>
    <t>MMM CFLEX -SIN PHASE SUM OFF-PEAK ELCLDO</t>
  </si>
  <si>
    <t>MMM HFLEX SING BASIC SER CHARGE ELREBC</t>
  </si>
  <si>
    <t>MMM BULK RESIDEN 2 - WINTER PEAK ELHPO1</t>
  </si>
  <si>
    <t>MMM BULK RESIDE 2 - WINTER STD ELHSO1</t>
  </si>
  <si>
    <t>MMM BULK RESIDEN 2 -WINT OFF PEAK ELH001</t>
  </si>
  <si>
    <t>MMM BULK RESIDE - 2 SUMMER PEAK ELP004</t>
  </si>
  <si>
    <t>MMM BULK RES 2 - SUMMER STAND ELS004</t>
  </si>
  <si>
    <t>MMM BULK RESL 2 - BASIC CHARGE ACC004</t>
  </si>
  <si>
    <t>MMM BULK RESI 3 - WINTER STD ELHS05</t>
  </si>
  <si>
    <t>MMM BULK RES 3 - SUMMER STANDARD ELS005</t>
  </si>
  <si>
    <t>MMM BULK RESI 3 - SUMMER OFF PEAK ELO005</t>
  </si>
  <si>
    <t>MMM BULK RESI 3 - BASIC CHARGE ACC005</t>
  </si>
  <si>
    <t>MMM INDIG IBT WINTER PREPAID&amp;CONV INEL01</t>
  </si>
  <si>
    <t>MMM INDIG OTHER WINT CONV &amp;┴ INEL01</t>
  </si>
  <si>
    <t>MMM INDIG OTHER SUM CONV &amp;┴ INELSM1</t>
  </si>
  <si>
    <t>MMM ELFLEX 3 ACCESS CHARGE BASIC ACC003</t>
  </si>
  <si>
    <t>MMM ELFLEX 3 DEMAND CHARGE KVA ELK 003</t>
  </si>
  <si>
    <t>MMM ELFLEX 3 - ENERGY WINTER STAN ELHS03</t>
  </si>
  <si>
    <t>MMM ELFLEX 3-ENERGY WIN OFF PEAK ELHO03</t>
  </si>
  <si>
    <t>MMM ELFLEX 3- ENERGY SUMMER PEAK ELP003</t>
  </si>
  <si>
    <t>MMM ELFLEX 3-ENERGY SUMMER STAN ELS003</t>
  </si>
  <si>
    <t>MMM ELFLEX 3 -ENERGY SUM OFF PEAK ELO003</t>
  </si>
  <si>
    <t>MMM ELFLEX 1 -ACCESS CHARG &amp; BASI ACC001</t>
  </si>
  <si>
    <t>MMM ELECFLEX 1 - DEMAND CHARGE ELK001</t>
  </si>
  <si>
    <t>MMM ELFLEX 1 - ENERGY WINTER STAN ELHS01</t>
  </si>
  <si>
    <t>MMM ELFLEX 1 - ENER WIN OFF PEAK ELHO01</t>
  </si>
  <si>
    <t>MMM ELFLEX 1 - ENERGY SUMMER STAN ELS001</t>
  </si>
  <si>
    <t>MMM ELFLEX 1 - ENER SUM OFF PEAK ELO001</t>
  </si>
  <si>
    <t>MMM ELFLEX 2 ACCESS CHARGE &amp; BASI ACC002</t>
  </si>
  <si>
    <t>MMM ELECFLEX 2 DEMAND CHARGE ELK002</t>
  </si>
  <si>
    <t>MMM ELFLEX 2 - ENERGY WINTER STAN ELHS02</t>
  </si>
  <si>
    <t>MMM ELFLEX 2 - ENERG WIN OFF PEAK ELHO02</t>
  </si>
  <si>
    <t>MMM ELFLEX 2-ENERGY SUMMER PEAK ELP002</t>
  </si>
  <si>
    <t>MMM ELFLEX 2-ENERGY SUMMER STAN ELS002</t>
  </si>
  <si>
    <t>MMM ELFLEX 2-ENERGY SUM OFF PEAK ELO002</t>
  </si>
  <si>
    <t>CEN ENER HIGH DEMAND STANDARD CNHS01</t>
  </si>
  <si>
    <t>CEN DEPART TOU ENERG WIN OFF PEAK CNHO01</t>
  </si>
  <si>
    <t>CEN DEPAR TOU ENERGY SUMMER PEAK CENP01</t>
  </si>
  <si>
    <t>CEN DEPAR TOU ENER SUMM OFF PEAK CEN001</t>
  </si>
  <si>
    <t>MMM SPORTS STADIUMS WINT PEAK MHP001</t>
  </si>
  <si>
    <t>MMM SPORTS STAD ENERGY WIN SUM MHS001</t>
  </si>
  <si>
    <t>MMM SPORTS STAD ENER WINT OFF PEA MHO001</t>
  </si>
  <si>
    <t>MMM SPORTS STAD ENERGY SUM PEAK MSP01</t>
  </si>
  <si>
    <t>MMM SPORTS STAD ENERGY SUMMER STD MSS01</t>
  </si>
  <si>
    <t>MMM SPORTS STAD ENER SUM OFF PEAK MSO01</t>
  </si>
  <si>
    <t>PPE FURNITURE &amp; OFFICE EQUIPMENT - GAINS</t>
  </si>
  <si>
    <t>1407320065018MRCZZ11</t>
  </si>
  <si>
    <t>065</t>
  </si>
  <si>
    <t>320065</t>
  </si>
  <si>
    <t>1407320070018MRCZZ11</t>
  </si>
  <si>
    <t>320070</t>
  </si>
  <si>
    <t>1407350035018MRCZZ11</t>
  </si>
  <si>
    <t>350035</t>
  </si>
  <si>
    <t>RIL PPE: FURNITURE &amp; OFFICE EQUIPMENT</t>
  </si>
  <si>
    <t>1407360035018MRCZZ11</t>
  </si>
  <si>
    <t>360035</t>
  </si>
  <si>
    <t>77</t>
  </si>
  <si>
    <t>P652242P75</t>
  </si>
  <si>
    <t>P652242P76</t>
  </si>
  <si>
    <t>P652242P77</t>
  </si>
  <si>
    <t>P652242P78</t>
  </si>
  <si>
    <t>P652242P79</t>
  </si>
  <si>
    <t>P652242P81</t>
  </si>
  <si>
    <t>95</t>
  </si>
  <si>
    <t>ADJ 01</t>
  </si>
  <si>
    <t>ADJ05</t>
  </si>
  <si>
    <t>ADJ 04</t>
  </si>
  <si>
    <t>CONTR: PEST CONTROL &amp; FUMIGATION</t>
  </si>
  <si>
    <t>228450</t>
  </si>
  <si>
    <t>ADJ 03</t>
  </si>
  <si>
    <t>1445272249018MRCZZ11</t>
  </si>
  <si>
    <t>272249</t>
  </si>
  <si>
    <t>1445320085018MRCZZ11</t>
  </si>
  <si>
    <t>320085</t>
  </si>
  <si>
    <t>1445320090018MRCZZ11</t>
  </si>
  <si>
    <t>320090</t>
  </si>
  <si>
    <t>PPE TRANSPORT ASSETS - GAINS</t>
  </si>
  <si>
    <t>320175</t>
  </si>
  <si>
    <t>1445320180018MRCZZ11</t>
  </si>
  <si>
    <t>P45320</t>
  </si>
  <si>
    <t>320180</t>
  </si>
  <si>
    <t>1445350045018MRCZZ11</t>
  </si>
  <si>
    <t>P45350</t>
  </si>
  <si>
    <t>350045</t>
  </si>
  <si>
    <t>1445350090018MRCZZ11</t>
  </si>
  <si>
    <t>350090</t>
  </si>
  <si>
    <t>1445360045018MRCZZ11</t>
  </si>
  <si>
    <t>P45360</t>
  </si>
  <si>
    <t>360045</t>
  </si>
  <si>
    <t>RIL PPE: TRANSPORT ASSETS</t>
  </si>
  <si>
    <t>1445360090018MRCZZ11</t>
  </si>
  <si>
    <t>360090</t>
  </si>
  <si>
    <t>PROTECTION TEST UNIT</t>
  </si>
  <si>
    <t>P6420420CFCX1</t>
  </si>
  <si>
    <t>CX1</t>
  </si>
  <si>
    <t>642042</t>
  </si>
  <si>
    <t>VEHICLE TRACKING MAN SYSTEM</t>
  </si>
  <si>
    <t>14456421420CFQH8ZZ11</t>
  </si>
  <si>
    <t>INSTALLATION OF HIGH VOLTAGE TEST EQUIPM</t>
  </si>
  <si>
    <t>P6523020CFCX2</t>
  </si>
  <si>
    <t>CX2</t>
  </si>
  <si>
    <t>P652302</t>
  </si>
  <si>
    <t>SCM process, Don’t take it</t>
  </si>
  <si>
    <t>14456523020CFP31ZZ11</t>
  </si>
  <si>
    <t>1502211038018MRCZZ11</t>
  </si>
  <si>
    <t>P211038018</t>
  </si>
  <si>
    <t>ADJ 08</t>
  </si>
  <si>
    <t>CONTR: MAINTENANCE OF EQUIPMENT(TYRES&amp;TU</t>
  </si>
  <si>
    <t>CONTR: MAINTENANCE OF EQUIPMENT(VEHICLES</t>
  </si>
  <si>
    <t>ADJ 02</t>
  </si>
  <si>
    <t>SECURITY EQUIPMENT (CCTV )</t>
  </si>
  <si>
    <t>MTREF 2023-24 INPUTS</t>
  </si>
  <si>
    <t xml:space="preserve">MTREF 2023-24 </t>
  </si>
  <si>
    <t>MTREF BUDGET 2024-26 MSCOA FRAMEWORK</t>
  </si>
  <si>
    <t>APPROVED MTREF 2022-23</t>
  </si>
  <si>
    <t>P132115</t>
  </si>
  <si>
    <t xml:space="preserve">INDIGENT OTHER </t>
  </si>
  <si>
    <t>MMM ELFLEX 3</t>
  </si>
  <si>
    <t>MMM ELFLEX 1 &amp; 2</t>
  </si>
  <si>
    <t>MMM ELFLEX - BASIC CHARGE</t>
  </si>
  <si>
    <t>P1259401</t>
  </si>
  <si>
    <t xml:space="preserve">MTREF 2024-25 </t>
  </si>
  <si>
    <t>.</t>
  </si>
  <si>
    <t>didn’t  attend the budget presentation and also didn’t provide inputs</t>
  </si>
  <si>
    <t>Budget</t>
  </si>
  <si>
    <t>Adjustment Budget</t>
  </si>
  <si>
    <t>Cash Flow shortage</t>
  </si>
  <si>
    <t>Decrease by R5 milli0n</t>
  </si>
  <si>
    <t>BILLY</t>
  </si>
  <si>
    <t>CST CNT</t>
  </si>
  <si>
    <t>DEPT</t>
  </si>
  <si>
    <t>E/CODE</t>
  </si>
  <si>
    <t xml:space="preserve">RACE </t>
  </si>
  <si>
    <t xml:space="preserve">GENDER </t>
  </si>
  <si>
    <t xml:space="preserve">INITIALS </t>
  </si>
  <si>
    <t xml:space="preserve">LEVEL </t>
  </si>
  <si>
    <t xml:space="preserve">SURNAME </t>
  </si>
  <si>
    <t xml:space="preserve">OCCUPATION </t>
  </si>
  <si>
    <t>ANNUAL BASIC</t>
  </si>
  <si>
    <t>BONUS</t>
  </si>
  <si>
    <t>HOUSE SUB</t>
  </si>
  <si>
    <t>CELL/TEL</t>
  </si>
  <si>
    <t>BARGAIN</t>
  </si>
  <si>
    <t>CAR FIXED</t>
  </si>
  <si>
    <t>CC GROUP</t>
  </si>
  <si>
    <t>CC MEDICAL</t>
  </si>
  <si>
    <t>CC PENSION</t>
  </si>
  <si>
    <t>CC UIF</t>
  </si>
  <si>
    <t>XG</t>
  </si>
  <si>
    <t xml:space="preserve">Total Cost </t>
  </si>
  <si>
    <t>FAKU</t>
  </si>
  <si>
    <t>GM:DISTRIBUTION</t>
  </si>
  <si>
    <t>MJ</t>
  </si>
  <si>
    <t>MPHOLO</t>
  </si>
  <si>
    <t>GM :PLANNING</t>
  </si>
  <si>
    <t>MOHAPI</t>
  </si>
  <si>
    <t>GM: UTILIZATION</t>
  </si>
  <si>
    <t>LENKA</t>
  </si>
  <si>
    <t>GM: REVENUE</t>
  </si>
  <si>
    <t>SK</t>
  </si>
  <si>
    <t>ZZIWA</t>
  </si>
  <si>
    <t>GM: COMPLIANCE</t>
  </si>
  <si>
    <t>J M</t>
  </si>
  <si>
    <t>MAMATU</t>
  </si>
  <si>
    <t>GENERAL MANAGER : STRATEG</t>
  </si>
  <si>
    <t>MOLEMELA</t>
  </si>
  <si>
    <t>GM:HUMAN RESOURCE DEVELOP</t>
  </si>
  <si>
    <t>B R</t>
  </si>
  <si>
    <t>MOTSHWENE</t>
  </si>
  <si>
    <t>GM REVENUE MANAGEMENT</t>
  </si>
  <si>
    <t>N E</t>
  </si>
  <si>
    <t>SAOHATSI</t>
  </si>
  <si>
    <t>GM: INTERNAL AUDIT</t>
  </si>
  <si>
    <t>GB</t>
  </si>
  <si>
    <t>LESERWANE</t>
  </si>
  <si>
    <t>MANAGER:ORGANI PERFORMANC</t>
  </si>
  <si>
    <t>LP</t>
  </si>
  <si>
    <t>MKHWANE</t>
  </si>
  <si>
    <t>MANAGER: HUMAN RESOURCE</t>
  </si>
  <si>
    <t>ZSN</t>
  </si>
  <si>
    <t>WILLIAMS</t>
  </si>
  <si>
    <t>MANAGER: FINANCIAL MNG&amp;SU</t>
  </si>
  <si>
    <t>T M G</t>
  </si>
  <si>
    <t>NKALA</t>
  </si>
  <si>
    <t>MANAGER NETWORK OPTMIZATI</t>
  </si>
  <si>
    <t>PJ</t>
  </si>
  <si>
    <t>NIEMANN</t>
  </si>
  <si>
    <t>CONTROL TECHNICIAN</t>
  </si>
  <si>
    <t>I J</t>
  </si>
  <si>
    <t>SMITH</t>
  </si>
  <si>
    <t>CONTROL TECH/FIRST ENGINE</t>
  </si>
  <si>
    <t>A J</t>
  </si>
  <si>
    <t>OELOFSE</t>
  </si>
  <si>
    <t>MANAGER</t>
  </si>
  <si>
    <t>SOBELELE</t>
  </si>
  <si>
    <t>MANAGER: METERING</t>
  </si>
  <si>
    <t>B S</t>
  </si>
  <si>
    <t>TSHABALALA</t>
  </si>
  <si>
    <t>CONTROL TECH//FIRST ENGIN</t>
  </si>
  <si>
    <t>DD</t>
  </si>
  <si>
    <t>MALOKASE</t>
  </si>
  <si>
    <t>MANAGER: INFORMATION MNG</t>
  </si>
  <si>
    <t>MS</t>
  </si>
  <si>
    <t>MAY</t>
  </si>
  <si>
    <t>MANAGER:NETWORK MAINTENAN</t>
  </si>
  <si>
    <t>P N</t>
  </si>
  <si>
    <t>MBOBO</t>
  </si>
  <si>
    <t>O M</t>
  </si>
  <si>
    <t>MOGAMISI</t>
  </si>
  <si>
    <t>FIRST ENGINEER</t>
  </si>
  <si>
    <t>M I</t>
  </si>
  <si>
    <t>MOKANYANE</t>
  </si>
  <si>
    <t>ENG IN TRN/SNR/FRT ENGINE</t>
  </si>
  <si>
    <t>GI</t>
  </si>
  <si>
    <t>LE GRANGE</t>
  </si>
  <si>
    <t>GN</t>
  </si>
  <si>
    <t>NKOTA</t>
  </si>
  <si>
    <t>MANAGER:SECURITY</t>
  </si>
  <si>
    <t>BLAIR</t>
  </si>
  <si>
    <t>ASSET MANAGER</t>
  </si>
  <si>
    <t>NM</t>
  </si>
  <si>
    <t>ZWENI</t>
  </si>
  <si>
    <t>SKILLS DEVELOPMENT OFFICE</t>
  </si>
  <si>
    <t>SCHLECHTER</t>
  </si>
  <si>
    <t>MANAGER:ACCOUNTING&amp;COMPLI</t>
  </si>
  <si>
    <t>MA</t>
  </si>
  <si>
    <t>MAKARA</t>
  </si>
  <si>
    <t>MANAGER COMPLIANCE</t>
  </si>
  <si>
    <t>MOSIME</t>
  </si>
  <si>
    <t>MANAGER :CUSTOMER SER</t>
  </si>
  <si>
    <t>NKANE</t>
  </si>
  <si>
    <t>MANAGER:BUDGET&amp;MONITORING</t>
  </si>
  <si>
    <t>MR</t>
  </si>
  <si>
    <t>LEBODI</t>
  </si>
  <si>
    <t>MANAGER:LABOUR RELATION</t>
  </si>
  <si>
    <t>DE JAGER</t>
  </si>
  <si>
    <t>CHIEF ENGINEERING ASST</t>
  </si>
  <si>
    <t>H B</t>
  </si>
  <si>
    <t>ERASMUS</t>
  </si>
  <si>
    <t>ASS MANAGER:REVENUE COLL</t>
  </si>
  <si>
    <t>O C</t>
  </si>
  <si>
    <t>FABER</t>
  </si>
  <si>
    <t>SCADA SPECIALIST</t>
  </si>
  <si>
    <t>MOODIE</t>
  </si>
  <si>
    <t>ASS MANAGER FLEET</t>
  </si>
  <si>
    <t>G M K</t>
  </si>
  <si>
    <t>SEGWANA</t>
  </si>
  <si>
    <t>SNR ENGINEERING ASS/FIRST</t>
  </si>
  <si>
    <t>PA</t>
  </si>
  <si>
    <t>LERAISA</t>
  </si>
  <si>
    <t>SENIOR HR OFFICER</t>
  </si>
  <si>
    <t>AJ</t>
  </si>
  <si>
    <t>MARAIS</t>
  </si>
  <si>
    <t>SNR SUPPLY CHAIN PRACTITI</t>
  </si>
  <si>
    <t>MOSALA</t>
  </si>
  <si>
    <t>ASST MANAGER TECHNICAL</t>
  </si>
  <si>
    <t>X</t>
  </si>
  <si>
    <t>MBALI</t>
  </si>
  <si>
    <t>T D</t>
  </si>
  <si>
    <t>MOSHOESHOE</t>
  </si>
  <si>
    <t>SERVICE DELIVERY CORDINAT</t>
  </si>
  <si>
    <t>P L</t>
  </si>
  <si>
    <t>STEENBOK</t>
  </si>
  <si>
    <t>L K</t>
  </si>
  <si>
    <t>MOHLAKANE</t>
  </si>
  <si>
    <t>M F</t>
  </si>
  <si>
    <t>SILO</t>
  </si>
  <si>
    <t>ASST MANAGER: EMPLOYMENT</t>
  </si>
  <si>
    <t>MOTSOANE</t>
  </si>
  <si>
    <t>SNR ADMINISTRATION OFFICE</t>
  </si>
  <si>
    <t>TD</t>
  </si>
  <si>
    <t>LERATA</t>
  </si>
  <si>
    <t>ASST MANAGER: MERCHANT</t>
  </si>
  <si>
    <t>SB</t>
  </si>
  <si>
    <t>SIXEKI</t>
  </si>
  <si>
    <t>KUBU</t>
  </si>
  <si>
    <t>ASST MANAGER:BILING</t>
  </si>
  <si>
    <t>LW</t>
  </si>
  <si>
    <t>LIKHETHE</t>
  </si>
  <si>
    <t>ASS MANAGER:MUNIC SUPPORT</t>
  </si>
  <si>
    <t>PB</t>
  </si>
  <si>
    <t>MONYAKI</t>
  </si>
  <si>
    <t>ASST MANAGER: REP.&amp; COMP</t>
  </si>
  <si>
    <t>RI</t>
  </si>
  <si>
    <t>MOSOLA</t>
  </si>
  <si>
    <t>ASST MANAGER:EXPENDITURE</t>
  </si>
  <si>
    <t>AE</t>
  </si>
  <si>
    <t>PINI</t>
  </si>
  <si>
    <t>ASST MANAGER:COUNTER SEV</t>
  </si>
  <si>
    <t>MG</t>
  </si>
  <si>
    <t>LEDWABA</t>
  </si>
  <si>
    <t>DATABASE DEVELOPER</t>
  </si>
  <si>
    <t>TM</t>
  </si>
  <si>
    <t>MOLABA</t>
  </si>
  <si>
    <t>ASST MANAGER: DEBT MNG</t>
  </si>
  <si>
    <t>NA</t>
  </si>
  <si>
    <t>RAMOHLOKOANE</t>
  </si>
  <si>
    <t>SOFTWARE &amp; DATABASE DEV</t>
  </si>
  <si>
    <t>H K</t>
  </si>
  <si>
    <t>DHLAMINI</t>
  </si>
  <si>
    <t>ASST MANAGER RISK MANAGEM</t>
  </si>
  <si>
    <t>O I K</t>
  </si>
  <si>
    <t>MODIAKGOTLA</t>
  </si>
  <si>
    <t>CONSUMER ANALYST</t>
  </si>
  <si>
    <t>Y V</t>
  </si>
  <si>
    <t>JAVER</t>
  </si>
  <si>
    <t>SENIOR SECRETARY</t>
  </si>
  <si>
    <t>R C</t>
  </si>
  <si>
    <t>MATSAU</t>
  </si>
  <si>
    <t>KEY CUSTOMER CONSULTANT</t>
  </si>
  <si>
    <t>SE</t>
  </si>
  <si>
    <t>MAARTENS</t>
  </si>
  <si>
    <t>KERSOP</t>
  </si>
  <si>
    <t>EXECUTIVE SECRETARY</t>
  </si>
  <si>
    <t>L D</t>
  </si>
  <si>
    <t>GREYLING</t>
  </si>
  <si>
    <t>CHIEF  ENGINEERING ASST</t>
  </si>
  <si>
    <t>P M</t>
  </si>
  <si>
    <t>RADEBE</t>
  </si>
  <si>
    <t>P A</t>
  </si>
  <si>
    <t>MOJI</t>
  </si>
  <si>
    <t>M J</t>
  </si>
  <si>
    <t>MPHOLENG</t>
  </si>
  <si>
    <t>L L</t>
  </si>
  <si>
    <t>NKALAI</t>
  </si>
  <si>
    <t>CHIEF ENGINEERING  ASSIST</t>
  </si>
  <si>
    <t>MC</t>
  </si>
  <si>
    <t>BOROLE</t>
  </si>
  <si>
    <t>SERVICE DELIVERY MONITOR</t>
  </si>
  <si>
    <t>SC</t>
  </si>
  <si>
    <t>SHOPANE</t>
  </si>
  <si>
    <t>PROTECTION SPECIALIST</t>
  </si>
  <si>
    <t>J S</t>
  </si>
  <si>
    <t>LIEBENBERG</t>
  </si>
  <si>
    <t>SUPPLY CHAIN PRACTITIONER</t>
  </si>
  <si>
    <t>SPANGENBERG</t>
  </si>
  <si>
    <t>OPERATIONAL CO-ORDINATOR</t>
  </si>
  <si>
    <t>KE</t>
  </si>
  <si>
    <t>MASIA</t>
  </si>
  <si>
    <t>ASSET&amp;DISP MNG SPECIALIST</t>
  </si>
  <si>
    <t>M P</t>
  </si>
  <si>
    <t>RAMOELETSI</t>
  </si>
  <si>
    <t>FMB</t>
  </si>
  <si>
    <t>LERUMO</t>
  </si>
  <si>
    <t>WELLNESS OFFICER</t>
  </si>
  <si>
    <t>R S</t>
  </si>
  <si>
    <t>MASHOAI</t>
  </si>
  <si>
    <t>L N</t>
  </si>
  <si>
    <t>MOEKETSI</t>
  </si>
  <si>
    <t>HEALTH &amp; SAFETY OFFICER</t>
  </si>
  <si>
    <t>MB</t>
  </si>
  <si>
    <t>LELUMA</t>
  </si>
  <si>
    <t>ACCOUNTANT:MERCHANT MNG</t>
  </si>
  <si>
    <t>A S</t>
  </si>
  <si>
    <t>BEUZANA</t>
  </si>
  <si>
    <t>CHIEF SUPERINTENDENT</t>
  </si>
  <si>
    <t>LS</t>
  </si>
  <si>
    <t>MATHE</t>
  </si>
  <si>
    <t>ENG ASS//SNR//FIRST</t>
  </si>
  <si>
    <t>SETSHEDILE</t>
  </si>
  <si>
    <t>ASST/SNR ENGINEER.</t>
  </si>
  <si>
    <t>J J</t>
  </si>
  <si>
    <t>DE MEYER</t>
  </si>
  <si>
    <t>ASST/ELEC TRAINING OFF/SR</t>
  </si>
  <si>
    <t>FW</t>
  </si>
  <si>
    <t>MOYIKWA</t>
  </si>
  <si>
    <t>ACCOUNTANT PAYROLL</t>
  </si>
  <si>
    <t>G M</t>
  </si>
  <si>
    <t>MOAHLUDI</t>
  </si>
  <si>
    <t>SNR/ENGINEERING ASS/FIRST</t>
  </si>
  <si>
    <t>L C</t>
  </si>
  <si>
    <t>MALEDU</t>
  </si>
  <si>
    <t>K C</t>
  </si>
  <si>
    <t>KOAHO</t>
  </si>
  <si>
    <t>T E</t>
  </si>
  <si>
    <t>LEBA</t>
  </si>
  <si>
    <t>COMMUNICATIONS OFFICER</t>
  </si>
  <si>
    <t>FILLIES</t>
  </si>
  <si>
    <t>VL</t>
  </si>
  <si>
    <t>MOTSEKI</t>
  </si>
  <si>
    <t>ADMINISTRATIVE OFFICER</t>
  </si>
  <si>
    <t>NS</t>
  </si>
  <si>
    <t>MPHUTHI</t>
  </si>
  <si>
    <t>TRANSPORT OFFICER</t>
  </si>
  <si>
    <t>RP</t>
  </si>
  <si>
    <t>NETSHITHUTHUNI</t>
  </si>
  <si>
    <t>LAND AFFAIRS OFFICER</t>
  </si>
  <si>
    <t>RM</t>
  </si>
  <si>
    <t>MHLELENI</t>
  </si>
  <si>
    <t>ACCOUNTANT:MUNC SUPPORT</t>
  </si>
  <si>
    <t>LI</t>
  </si>
  <si>
    <t>LETSOENYO</t>
  </si>
  <si>
    <t>ACCOUNTANT:REVENUE COLLEC</t>
  </si>
  <si>
    <t>TE</t>
  </si>
  <si>
    <t>TLALE</t>
  </si>
  <si>
    <t>ACCOUNTANT:ACCOUNTING SRV</t>
  </si>
  <si>
    <t>P R</t>
  </si>
  <si>
    <t>MAKHELE</t>
  </si>
  <si>
    <t>JE</t>
  </si>
  <si>
    <t>LEPITLA</t>
  </si>
  <si>
    <t>ACCOUNTANT:METER MANAGT</t>
  </si>
  <si>
    <t>JH</t>
  </si>
  <si>
    <t>LOOTS</t>
  </si>
  <si>
    <t>SENIOR TRAINING OFFICER</t>
  </si>
  <si>
    <t>TSEPHE</t>
  </si>
  <si>
    <t>LAND ACQUISITION OFFICER</t>
  </si>
  <si>
    <t>LD</t>
  </si>
  <si>
    <t>MASEPOLE</t>
  </si>
  <si>
    <t>HR OFFICER</t>
  </si>
  <si>
    <t>MM</t>
  </si>
  <si>
    <t>MOLEHE</t>
  </si>
  <si>
    <t>MPHIRIME</t>
  </si>
  <si>
    <t>T F</t>
  </si>
  <si>
    <t>MATSIMANE</t>
  </si>
  <si>
    <t>TP</t>
  </si>
  <si>
    <t>MOKHATLA</t>
  </si>
  <si>
    <t>ACCOUNTANT:REPORTING&amp;COMP</t>
  </si>
  <si>
    <t>LG</t>
  </si>
  <si>
    <t>MAJALE</t>
  </si>
  <si>
    <t>ACCOUNTANT:DEBT COLLECTIO</t>
  </si>
  <si>
    <t>ZG</t>
  </si>
  <si>
    <t>ACCOUNTANT : BUDGET PREP</t>
  </si>
  <si>
    <t>OBUSITSE</t>
  </si>
  <si>
    <t>ACCOUNTANT:BILLING</t>
  </si>
  <si>
    <t>KA</t>
  </si>
  <si>
    <t>KHAILE</t>
  </si>
  <si>
    <t>JOSANE</t>
  </si>
  <si>
    <t>SERVER HARDWARE SPECIALIS</t>
  </si>
  <si>
    <t>COMPLIANCE OFFICER</t>
  </si>
  <si>
    <t>K N</t>
  </si>
  <si>
    <t>RUWANA</t>
  </si>
  <si>
    <t>LEGAL &amp; COMPLIANCE OFFICE</t>
  </si>
  <si>
    <t>D J</t>
  </si>
  <si>
    <t>KOTZE</t>
  </si>
  <si>
    <t>FIRST ENGINEERING ASSIST</t>
  </si>
  <si>
    <t>F G</t>
  </si>
  <si>
    <t>VAN SCHALKWYK</t>
  </si>
  <si>
    <t>FIRST ENGINEER ASSIST</t>
  </si>
  <si>
    <t>P V</t>
  </si>
  <si>
    <t>LE ROUX</t>
  </si>
  <si>
    <t>ENGINEER ASSISTANT/SNR</t>
  </si>
  <si>
    <t>ROSSOUW</t>
  </si>
  <si>
    <t>FIRST ENGINEERING ASST</t>
  </si>
  <si>
    <t>T G</t>
  </si>
  <si>
    <t>SETHOJANE</t>
  </si>
  <si>
    <t>FIRST ENGINEER ASSISTANT</t>
  </si>
  <si>
    <t>K K</t>
  </si>
  <si>
    <t>MALOTLE</t>
  </si>
  <si>
    <t>ENGINEERING ASST/SENIOR</t>
  </si>
  <si>
    <t>L P</t>
  </si>
  <si>
    <t>KALANE</t>
  </si>
  <si>
    <t>TB</t>
  </si>
  <si>
    <t>MFANTA</t>
  </si>
  <si>
    <t>ACCOUNTANT CREDIT ALLOC</t>
  </si>
  <si>
    <t>WESSENAAR</t>
  </si>
  <si>
    <t>KHUMALO</t>
  </si>
  <si>
    <t>D P</t>
  </si>
  <si>
    <t>SEBALABALA</t>
  </si>
  <si>
    <t>SNR IT AUDITOR</t>
  </si>
  <si>
    <t>BOOI</t>
  </si>
  <si>
    <t>GIS SPECIALIST</t>
  </si>
  <si>
    <t>K S</t>
  </si>
  <si>
    <t>NKWADIPO</t>
  </si>
  <si>
    <t>SNR INTERNAL AUDITOR</t>
  </si>
  <si>
    <t>KAYSER</t>
  </si>
  <si>
    <t>MP</t>
  </si>
  <si>
    <t>KGAILE</t>
  </si>
  <si>
    <t>M D</t>
  </si>
  <si>
    <t>MASIU</t>
  </si>
  <si>
    <t>MAKHABA</t>
  </si>
  <si>
    <t>HEALTH AND SAFETY OFFICER</t>
  </si>
  <si>
    <t>NE</t>
  </si>
  <si>
    <t>RAMETSI</t>
  </si>
  <si>
    <t>LE</t>
  </si>
  <si>
    <t>KHIBA</t>
  </si>
  <si>
    <t>LETUKA</t>
  </si>
  <si>
    <t>P S</t>
  </si>
  <si>
    <t>MOHLAPOLI</t>
  </si>
  <si>
    <t>CONVERGED COMM SUPPORT</t>
  </si>
  <si>
    <t>K V</t>
  </si>
  <si>
    <t>MONYERA</t>
  </si>
  <si>
    <t>AL</t>
  </si>
  <si>
    <t>MLOMBILE</t>
  </si>
  <si>
    <t>MQ</t>
  </si>
  <si>
    <t>MAQWARA</t>
  </si>
  <si>
    <t>ICT SERV MANAGEMENT OFF</t>
  </si>
  <si>
    <t>MOLIANE</t>
  </si>
  <si>
    <t>SUPERINTENDENT</t>
  </si>
  <si>
    <t>C H</t>
  </si>
  <si>
    <t>MEINTJIES</t>
  </si>
  <si>
    <t>BRINTON</t>
  </si>
  <si>
    <t>COETZEE</t>
  </si>
  <si>
    <t>SENIOR OPERATIONAL TECHN</t>
  </si>
  <si>
    <t>G F</t>
  </si>
  <si>
    <t>COERTZEN</t>
  </si>
  <si>
    <t>SENIOR OPERATIONAL TECH</t>
  </si>
  <si>
    <t>OLIPHANT</t>
  </si>
  <si>
    <t>SUPERINTENDANT</t>
  </si>
  <si>
    <t>T N</t>
  </si>
  <si>
    <t>THAMAGA</t>
  </si>
  <si>
    <t>VAN DEN BERG</t>
  </si>
  <si>
    <t>VM</t>
  </si>
  <si>
    <t>MOTSUMI</t>
  </si>
  <si>
    <t>N G</t>
  </si>
  <si>
    <t>MOKHETHI</t>
  </si>
  <si>
    <t>SNR SECURITY OFF:FRAUD HO</t>
  </si>
  <si>
    <t>N S</t>
  </si>
  <si>
    <t>MKWANAZI</t>
  </si>
  <si>
    <t>M A</t>
  </si>
  <si>
    <t>BRANDSEL</t>
  </si>
  <si>
    <t>M P J</t>
  </si>
  <si>
    <t>XABA</t>
  </si>
  <si>
    <t>T W</t>
  </si>
  <si>
    <t>SAKIE</t>
  </si>
  <si>
    <t>LEARNER/OPR TECHN/SNR</t>
  </si>
  <si>
    <t>K I</t>
  </si>
  <si>
    <t>RAMATHEBANE</t>
  </si>
  <si>
    <t>T I</t>
  </si>
  <si>
    <t>TAU</t>
  </si>
  <si>
    <t>J C</t>
  </si>
  <si>
    <t>BOTHA</t>
  </si>
  <si>
    <t>VJ</t>
  </si>
  <si>
    <t>PHANTSI</t>
  </si>
  <si>
    <t>SUPRINTENDENT</t>
  </si>
  <si>
    <t>T A</t>
  </si>
  <si>
    <t>MAHABANE</t>
  </si>
  <si>
    <t>K D</t>
  </si>
  <si>
    <t>MOGOPODI</t>
  </si>
  <si>
    <t>ASS ACCOUNTANT:EXPENDITUR</t>
  </si>
  <si>
    <t>TAUNYANE</t>
  </si>
  <si>
    <t>M V</t>
  </si>
  <si>
    <t>HUMAN RESOURCE OFF:SKILLS</t>
  </si>
  <si>
    <t>G T</t>
  </si>
  <si>
    <t>TIGER</t>
  </si>
  <si>
    <t>ASST ACCOUNTANT:DEBT COLT</t>
  </si>
  <si>
    <t>T K</t>
  </si>
  <si>
    <t>NGALO</t>
  </si>
  <si>
    <t>SNR TECHNICIAN</t>
  </si>
  <si>
    <t>T T J</t>
  </si>
  <si>
    <t>MAJORO</t>
  </si>
  <si>
    <t>LEANER/OPERATI TECH/SNR</t>
  </si>
  <si>
    <t>MEI</t>
  </si>
  <si>
    <t>SNR OPERATIONALTECHNICIAN</t>
  </si>
  <si>
    <t>MZ</t>
  </si>
  <si>
    <t>GAAJE</t>
  </si>
  <si>
    <t>MANOTO</t>
  </si>
  <si>
    <t>HUMAN RESOURCES OFF</t>
  </si>
  <si>
    <t>LJ</t>
  </si>
  <si>
    <t>ASST ACCOUNTANT DEBT COLL</t>
  </si>
  <si>
    <t>BANGO</t>
  </si>
  <si>
    <t>FIRST DRAUGHTSMAN</t>
  </si>
  <si>
    <t>KJ</t>
  </si>
  <si>
    <t>PELA</t>
  </si>
  <si>
    <t>ASS ACCOUNTANT:MERCHANT</t>
  </si>
  <si>
    <t>ASS ACCOUNTANT:RVN INCOME</t>
  </si>
  <si>
    <t>THIBAKGOANE</t>
  </si>
  <si>
    <t>ASS ACCOUNTANT RNV INCOME</t>
  </si>
  <si>
    <t>TL</t>
  </si>
  <si>
    <t>MOTHEBE</t>
  </si>
  <si>
    <t>ASST ACCOUNTANT:DEBTOR CO</t>
  </si>
  <si>
    <t>MPHANYA</t>
  </si>
  <si>
    <t>MOTSE</t>
  </si>
  <si>
    <t>ASST ACCOUNTANT DEBT COLT</t>
  </si>
  <si>
    <t>GCULELO</t>
  </si>
  <si>
    <t>ASST ACCOUNTANT:COUNTER S</t>
  </si>
  <si>
    <t>THABANA</t>
  </si>
  <si>
    <t>AFN</t>
  </si>
  <si>
    <t>COLLISON</t>
  </si>
  <si>
    <t>SEALOME</t>
  </si>
  <si>
    <t>HUMAN RESOURCE OFFICER</t>
  </si>
  <si>
    <t>KARELI</t>
  </si>
  <si>
    <t>EMPLOYMENT EQUITY OFFICER</t>
  </si>
  <si>
    <t>AM</t>
  </si>
  <si>
    <t>SEDIKWE</t>
  </si>
  <si>
    <t>ASS ACCOUNTANT:ACC SERVIC</t>
  </si>
  <si>
    <t>MOHALA</t>
  </si>
  <si>
    <t>ASS ACCOUNTANT : EXP</t>
  </si>
  <si>
    <t>O Z</t>
  </si>
  <si>
    <t>NKOMANE</t>
  </si>
  <si>
    <t>DATA ANALYST</t>
  </si>
  <si>
    <t>MT</t>
  </si>
  <si>
    <t>MAMOTHO</t>
  </si>
  <si>
    <t>HR OFFICER :JOB PROFILING</t>
  </si>
  <si>
    <t>JL</t>
  </si>
  <si>
    <t>PRETORIUS</t>
  </si>
  <si>
    <t>ASS ACCOUNTANT:COUNTER SE</t>
  </si>
  <si>
    <t>M G</t>
  </si>
  <si>
    <t>MATLAKENG</t>
  </si>
  <si>
    <t>INTERNAL AUDITOR</t>
  </si>
  <si>
    <t>TSOTETSI</t>
  </si>
  <si>
    <t>RH</t>
  </si>
  <si>
    <t>MEDUPE</t>
  </si>
  <si>
    <t>REPORTING COORDINATOR</t>
  </si>
  <si>
    <t>N C</t>
  </si>
  <si>
    <t>NTHEJANE</t>
  </si>
  <si>
    <t>PERFORMANCE COORDINATOR</t>
  </si>
  <si>
    <t>T S</t>
  </si>
  <si>
    <t>MATEBESI</t>
  </si>
  <si>
    <t>VERMEULEN</t>
  </si>
  <si>
    <t>P M M</t>
  </si>
  <si>
    <t>SELAI</t>
  </si>
  <si>
    <t>R O P</t>
  </si>
  <si>
    <t>MOTSHWANE</t>
  </si>
  <si>
    <t>SENIOR ENGINEERING ASSIST</t>
  </si>
  <si>
    <t>SELLO</t>
  </si>
  <si>
    <t>CALL CENTRE SUPERVISOR</t>
  </si>
  <si>
    <t>P C</t>
  </si>
  <si>
    <t>MOTSEMME</t>
  </si>
  <si>
    <t>N M</t>
  </si>
  <si>
    <t>BA</t>
  </si>
  <si>
    <t>NELANE</t>
  </si>
  <si>
    <t>SNR SECURITY OFFICER FRAU</t>
  </si>
  <si>
    <t>ME</t>
  </si>
  <si>
    <t>MONCHUSI</t>
  </si>
  <si>
    <t>SNR ENGINEERING ASST</t>
  </si>
  <si>
    <t>VH</t>
  </si>
  <si>
    <t>TSHUNGULWANA</t>
  </si>
  <si>
    <t>SNR SECURITY OFFICER - IN</t>
  </si>
  <si>
    <t>SIKADE</t>
  </si>
  <si>
    <t>TJ</t>
  </si>
  <si>
    <t>MOPHETHE</t>
  </si>
  <si>
    <t>PROGRAMMER</t>
  </si>
  <si>
    <t>RR</t>
  </si>
  <si>
    <t>MOFOKENG</t>
  </si>
  <si>
    <t>SENIOR ENGINEERING ASST</t>
  </si>
  <si>
    <t>TS</t>
  </si>
  <si>
    <t>MOROANE</t>
  </si>
  <si>
    <t>I C</t>
  </si>
  <si>
    <t>ELS</t>
  </si>
  <si>
    <t>ASSISTANT SUPERINTENDENT</t>
  </si>
  <si>
    <t>EF</t>
  </si>
  <si>
    <t>SCHUTTE</t>
  </si>
  <si>
    <t>WIRING INSPECTOR</t>
  </si>
  <si>
    <t>D S</t>
  </si>
  <si>
    <t>GRIESSEL</t>
  </si>
  <si>
    <t>SETLABA</t>
  </si>
  <si>
    <t>ASSISTANT SUPRINTENDENT</t>
  </si>
  <si>
    <t>THOMAS</t>
  </si>
  <si>
    <t>SECURITY OFFICER(ARMED RESP)</t>
  </si>
  <si>
    <t>L E</t>
  </si>
  <si>
    <t>MOROE</t>
  </si>
  <si>
    <t>BID OFFICER</t>
  </si>
  <si>
    <t>MH</t>
  </si>
  <si>
    <t>FOKASE</t>
  </si>
  <si>
    <t>P K</t>
  </si>
  <si>
    <t>MOKOPANELE</t>
  </si>
  <si>
    <t>ACQUISITION &amp; BEE OFFICER</t>
  </si>
  <si>
    <t>NHLAPO</t>
  </si>
  <si>
    <t>SENIOR ELECTRICIAN</t>
  </si>
  <si>
    <t>LEOTA</t>
  </si>
  <si>
    <t>A A</t>
  </si>
  <si>
    <t>DU PLESSIS</t>
  </si>
  <si>
    <t>ENGINEERING ASSISTANT</t>
  </si>
  <si>
    <t>K P</t>
  </si>
  <si>
    <t>LITSILI</t>
  </si>
  <si>
    <t>TR</t>
  </si>
  <si>
    <t>SEKITLANE</t>
  </si>
  <si>
    <t>NYOFU</t>
  </si>
  <si>
    <t>KOETJE</t>
  </si>
  <si>
    <t>SECURITY OFF(ARMED RESPON</t>
  </si>
  <si>
    <t>NL</t>
  </si>
  <si>
    <t>MOLEFI</t>
  </si>
  <si>
    <t>MAYISELA</t>
  </si>
  <si>
    <t>SECURITY OFFICER(ARMED RE</t>
  </si>
  <si>
    <t>D N</t>
  </si>
  <si>
    <t>SEFATSA</t>
  </si>
  <si>
    <t>MOGONGWA</t>
  </si>
  <si>
    <t>MABECE</t>
  </si>
  <si>
    <t>MONYANE</t>
  </si>
  <si>
    <t>HLOPHE</t>
  </si>
  <si>
    <t>LENKOANE</t>
  </si>
  <si>
    <t>JNR ELECTRICIAN/ELEC/SNR</t>
  </si>
  <si>
    <t>R J</t>
  </si>
  <si>
    <t>LESEMOLA</t>
  </si>
  <si>
    <t>LA</t>
  </si>
  <si>
    <t>JEREMIA</t>
  </si>
  <si>
    <t>ELECTRICIAN</t>
  </si>
  <si>
    <t>CHIEF CLERK</t>
  </si>
  <si>
    <t>LT</t>
  </si>
  <si>
    <t>MABELENG</t>
  </si>
  <si>
    <t>CHIEF ACCOUNTING OFFICER</t>
  </si>
  <si>
    <t>M M D</t>
  </si>
  <si>
    <t>JT</t>
  </si>
  <si>
    <t>THAI</t>
  </si>
  <si>
    <t>T J</t>
  </si>
  <si>
    <t>DITABE</t>
  </si>
  <si>
    <t>E H</t>
  </si>
  <si>
    <t>TREVARTHEN</t>
  </si>
  <si>
    <t>PRINSLOO</t>
  </si>
  <si>
    <t>J L</t>
  </si>
  <si>
    <t>G N</t>
  </si>
  <si>
    <t>VAN NIEKERK</t>
  </si>
  <si>
    <t>F M</t>
  </si>
  <si>
    <t>MCAPHU</t>
  </si>
  <si>
    <t>VAN DER WALT</t>
  </si>
  <si>
    <t>RAHLAO</t>
  </si>
  <si>
    <t>A T</t>
  </si>
  <si>
    <t>KHAULI</t>
  </si>
  <si>
    <t>SENIOR  ELECTRICIAN</t>
  </si>
  <si>
    <t>MOERANE</t>
  </si>
  <si>
    <t>MASOABI</t>
  </si>
  <si>
    <t>MI</t>
  </si>
  <si>
    <t>MONDI</t>
  </si>
  <si>
    <t>M B</t>
  </si>
  <si>
    <t>MOCOANCOENG</t>
  </si>
  <si>
    <t>MOLATLHEGI</t>
  </si>
  <si>
    <t>K M</t>
  </si>
  <si>
    <t>SETLOGELO</t>
  </si>
  <si>
    <t>RATLHANKANA</t>
  </si>
  <si>
    <t>MASHEANE</t>
  </si>
  <si>
    <t>MN</t>
  </si>
  <si>
    <t>TSOAELI</t>
  </si>
  <si>
    <t>M T</t>
  </si>
  <si>
    <t>MSAYIZI</t>
  </si>
  <si>
    <t>CENGCANI</t>
  </si>
  <si>
    <t>CHIEF ACCOUNTING  OFFICER</t>
  </si>
  <si>
    <t>TSHIVHASE</t>
  </si>
  <si>
    <t>OPERATIONAL TECHNICIAN</t>
  </si>
  <si>
    <t>MOSENYEHI</t>
  </si>
  <si>
    <t>J Z</t>
  </si>
  <si>
    <t>GQETYWA</t>
  </si>
  <si>
    <t>C O D</t>
  </si>
  <si>
    <t>MUNAKISI</t>
  </si>
  <si>
    <t>T V</t>
  </si>
  <si>
    <t>OPERATIONAL TECHINICIAN</t>
  </si>
  <si>
    <t>J J V</t>
  </si>
  <si>
    <t>KLEYNHANS</t>
  </si>
  <si>
    <t>M S</t>
  </si>
  <si>
    <t>JR</t>
  </si>
  <si>
    <t>RUITERS</t>
  </si>
  <si>
    <t>FONYA</t>
  </si>
  <si>
    <t>R E</t>
  </si>
  <si>
    <t>WILLEMSE</t>
  </si>
  <si>
    <t>SENIOR ELECTRICAN</t>
  </si>
  <si>
    <t>G I</t>
  </si>
  <si>
    <t>CHALALE</t>
  </si>
  <si>
    <t>SENIOR DRAUGHTSMAN</t>
  </si>
  <si>
    <t>THULO</t>
  </si>
  <si>
    <t>SECURITY OFFICER (ARMED)</t>
  </si>
  <si>
    <t>NTAOPANE</t>
  </si>
  <si>
    <t>SECURITY OFFICER(ARMED R)</t>
  </si>
  <si>
    <t>THEKU</t>
  </si>
  <si>
    <t>W P</t>
  </si>
  <si>
    <t>TAYLOR</t>
  </si>
  <si>
    <t>R T</t>
  </si>
  <si>
    <t>WYMERS</t>
  </si>
  <si>
    <t>SPECIAL GRADE FACTOTUM</t>
  </si>
  <si>
    <t>JM</t>
  </si>
  <si>
    <t>NYAILE</t>
  </si>
  <si>
    <t>E J S</t>
  </si>
  <si>
    <t>MASILELA</t>
  </si>
  <si>
    <t>SENIOR POWER STATION OPER</t>
  </si>
  <si>
    <t>TG</t>
  </si>
  <si>
    <t>KHECHANE</t>
  </si>
  <si>
    <t>O J</t>
  </si>
  <si>
    <t>MOKGADI</t>
  </si>
  <si>
    <t>P J</t>
  </si>
  <si>
    <t>PUDUMO</t>
  </si>
  <si>
    <t>B B</t>
  </si>
  <si>
    <t>MOILOA</t>
  </si>
  <si>
    <t>JUNIOR ELECTRICIAN</t>
  </si>
  <si>
    <t>T C</t>
  </si>
  <si>
    <t>KORO</t>
  </si>
  <si>
    <t>JUNIOR ELECRICIAN</t>
  </si>
  <si>
    <t>MAHLANYANA</t>
  </si>
  <si>
    <t>USER SYSTEM ADMINISTRATOR</t>
  </si>
  <si>
    <t>SL</t>
  </si>
  <si>
    <t>TWALA</t>
  </si>
  <si>
    <t>SYSTEM SUPPORT OFFICER</t>
  </si>
  <si>
    <t>N P</t>
  </si>
  <si>
    <t>SEPALO</t>
  </si>
  <si>
    <t>L G</t>
  </si>
  <si>
    <t>MATHEATSIE</t>
  </si>
  <si>
    <t>NTANJANA</t>
  </si>
  <si>
    <t>C N</t>
  </si>
  <si>
    <t>TUKANI</t>
  </si>
  <si>
    <t>KGOGO</t>
  </si>
  <si>
    <t>MONNAMONCHO</t>
  </si>
  <si>
    <t>MASOEU</t>
  </si>
  <si>
    <t>M K</t>
  </si>
  <si>
    <t>MOKOENA</t>
  </si>
  <si>
    <t>N V</t>
  </si>
  <si>
    <t>KGOMPHIRI</t>
  </si>
  <si>
    <t>S R</t>
  </si>
  <si>
    <t>ELETRICIAN</t>
  </si>
  <si>
    <t>MILE</t>
  </si>
  <si>
    <t>K G</t>
  </si>
  <si>
    <t>MOTSHABI</t>
  </si>
  <si>
    <t>B L</t>
  </si>
  <si>
    <t>DISEKO</t>
  </si>
  <si>
    <t>TRAIN/ASST/POWER ST OP</t>
  </si>
  <si>
    <t>WELTHAGEN</t>
  </si>
  <si>
    <t>CHIEF REGISRATION CLERK</t>
  </si>
  <si>
    <t>EL</t>
  </si>
  <si>
    <t>CLERK GRADE 1</t>
  </si>
  <si>
    <t>C H P</t>
  </si>
  <si>
    <t>NAGEL</t>
  </si>
  <si>
    <t>T P</t>
  </si>
  <si>
    <t>THAKANYANE</t>
  </si>
  <si>
    <t>STOREMAN</t>
  </si>
  <si>
    <t>W T</t>
  </si>
  <si>
    <t>LEKATA</t>
  </si>
  <si>
    <t>LEKOENEHA</t>
  </si>
  <si>
    <t>CLERK GR I</t>
  </si>
  <si>
    <t>M W</t>
  </si>
  <si>
    <t>MOKHOABANE</t>
  </si>
  <si>
    <t>SECRETARY</t>
  </si>
  <si>
    <t>ENQUIRY OFFICER</t>
  </si>
  <si>
    <t>SAMPISI</t>
  </si>
  <si>
    <t>G D</t>
  </si>
  <si>
    <t>MONNAKGOTHU</t>
  </si>
  <si>
    <t>C A</t>
  </si>
  <si>
    <t>VAN HEERDEN</t>
  </si>
  <si>
    <t>J T</t>
  </si>
  <si>
    <t>PATMORE</t>
  </si>
  <si>
    <t>LEEPILE</t>
  </si>
  <si>
    <t>HAMNCA</t>
  </si>
  <si>
    <t>YC</t>
  </si>
  <si>
    <t>GABOLE</t>
  </si>
  <si>
    <t>IE</t>
  </si>
  <si>
    <t>MPHENETHA</t>
  </si>
  <si>
    <t>ZJ</t>
  </si>
  <si>
    <t>NKONE</t>
  </si>
  <si>
    <t>MOLOKO</t>
  </si>
  <si>
    <t>RAKHIVHANI</t>
  </si>
  <si>
    <t>YT</t>
  </si>
  <si>
    <t>MKWANE</t>
  </si>
  <si>
    <t>BDM</t>
  </si>
  <si>
    <t>MSIBI</t>
  </si>
  <si>
    <t>I N</t>
  </si>
  <si>
    <t>NETTA</t>
  </si>
  <si>
    <t>NP</t>
  </si>
  <si>
    <t>FETETSANE</t>
  </si>
  <si>
    <t>XFH</t>
  </si>
  <si>
    <t>HLAZO</t>
  </si>
  <si>
    <t>MATSOETLANE</t>
  </si>
  <si>
    <t>MATSABA</t>
  </si>
  <si>
    <t>K E</t>
  </si>
  <si>
    <t>DATA CAPTURER</t>
  </si>
  <si>
    <t>NG</t>
  </si>
  <si>
    <t>TYOBEKA</t>
  </si>
  <si>
    <t>BOIKANYO</t>
  </si>
  <si>
    <t>TRADE WORKER GR IV</t>
  </si>
  <si>
    <t>MAJOLA</t>
  </si>
  <si>
    <t>TRADE WORKER GR III/SPEC</t>
  </si>
  <si>
    <t>A M</t>
  </si>
  <si>
    <t>MORUTLE</t>
  </si>
  <si>
    <t>TRADE WORKER GR III/SPECI</t>
  </si>
  <si>
    <t>LADA</t>
  </si>
  <si>
    <t>TRADE WORKER GRI/II/III/S</t>
  </si>
  <si>
    <t>MARUMO</t>
  </si>
  <si>
    <t>LIPHOLO</t>
  </si>
  <si>
    <t>B M</t>
  </si>
  <si>
    <t>SWARTZ</t>
  </si>
  <si>
    <t>D M</t>
  </si>
  <si>
    <t>MATLE</t>
  </si>
  <si>
    <t>TK</t>
  </si>
  <si>
    <t>MPHULANYANA</t>
  </si>
  <si>
    <t>MAGIBISELA</t>
  </si>
  <si>
    <t>R G</t>
  </si>
  <si>
    <t>TOGOE</t>
  </si>
  <si>
    <t>TRADE WORKER GRIV</t>
  </si>
  <si>
    <t>P G</t>
  </si>
  <si>
    <t>MBANGATA</t>
  </si>
  <si>
    <t>LEKGOELE</t>
  </si>
  <si>
    <t>CASHIER</t>
  </si>
  <si>
    <t>MONYAKOANA</t>
  </si>
  <si>
    <t>TEST ROOM ASS</t>
  </si>
  <si>
    <t>SEHULARO</t>
  </si>
  <si>
    <t>CLERK GR1</t>
  </si>
  <si>
    <t>WARD</t>
  </si>
  <si>
    <t>TEST ROOM ASSISTANT</t>
  </si>
  <si>
    <t>DS</t>
  </si>
  <si>
    <t>THOTA</t>
  </si>
  <si>
    <t>TYPIST/RECEPTIONIST</t>
  </si>
  <si>
    <t>MURISON</t>
  </si>
  <si>
    <t>RECEPTIONIST/TYPIST</t>
  </si>
  <si>
    <t>VORSTER</t>
  </si>
  <si>
    <t>RAMPAI</t>
  </si>
  <si>
    <t>KC</t>
  </si>
  <si>
    <t>DIPHOKO</t>
  </si>
  <si>
    <t>PR</t>
  </si>
  <si>
    <t>MASEELA</t>
  </si>
  <si>
    <t>MACHAKELA</t>
  </si>
  <si>
    <t>BD</t>
  </si>
  <si>
    <t>PLAATJIE</t>
  </si>
  <si>
    <t>PF</t>
  </si>
  <si>
    <t>KOMETSI</t>
  </si>
  <si>
    <t>CLERK GR 1</t>
  </si>
  <si>
    <t>LIPHOKO</t>
  </si>
  <si>
    <t>KGOTLE</t>
  </si>
  <si>
    <t>EQNQUIRY OFFICER</t>
  </si>
  <si>
    <t>MMC</t>
  </si>
  <si>
    <t>MOTADINGWANE</t>
  </si>
  <si>
    <t>V</t>
  </si>
  <si>
    <t>VAN JAARSVELDT</t>
  </si>
  <si>
    <t>WORD PROCESSING OP/CLERK</t>
  </si>
  <si>
    <t>ASM</t>
  </si>
  <si>
    <t>MARTINS</t>
  </si>
  <si>
    <t>PM</t>
  </si>
  <si>
    <t>MOLOI-MOGOROSI</t>
  </si>
  <si>
    <t>MOGOROSI</t>
  </si>
  <si>
    <t>MNYAMENI</t>
  </si>
  <si>
    <t>TRADE WORKER GRIII</t>
  </si>
  <si>
    <t>PSHATLELLA</t>
  </si>
  <si>
    <t>TRADE WORKER GR III</t>
  </si>
  <si>
    <t>GRAS</t>
  </si>
  <si>
    <t>NTSETHO</t>
  </si>
  <si>
    <t>K J</t>
  </si>
  <si>
    <t>S M</t>
  </si>
  <si>
    <t>MALANGENI</t>
  </si>
  <si>
    <t>L T S</t>
  </si>
  <si>
    <t>T L</t>
  </si>
  <si>
    <t>MATSEPANE</t>
  </si>
  <si>
    <t>TRADE WORKER GR 1II</t>
  </si>
  <si>
    <t>ADAMS</t>
  </si>
  <si>
    <t>DL</t>
  </si>
  <si>
    <t>MANYAKA</t>
  </si>
  <si>
    <t>DINAKE</t>
  </si>
  <si>
    <t>TRADE WORKER GR II</t>
  </si>
  <si>
    <t>MAINA</t>
  </si>
  <si>
    <t>NTSANE</t>
  </si>
  <si>
    <t>TRADE WORKER GR  III</t>
  </si>
  <si>
    <t>Z W</t>
  </si>
  <si>
    <t>WEZI</t>
  </si>
  <si>
    <t>J P</t>
  </si>
  <si>
    <t>MEFANE</t>
  </si>
  <si>
    <t>G S</t>
  </si>
  <si>
    <t>MOLAMU</t>
  </si>
  <si>
    <t>KAMA</t>
  </si>
  <si>
    <t>M M</t>
  </si>
  <si>
    <t>MONAISA</t>
  </si>
  <si>
    <t>GM</t>
  </si>
  <si>
    <t>MVUBU</t>
  </si>
  <si>
    <t>MASUMPA</t>
  </si>
  <si>
    <t>L J</t>
  </si>
  <si>
    <t>SEDIANE</t>
  </si>
  <si>
    <t>TEAM LEADER</t>
  </si>
  <si>
    <t>PN</t>
  </si>
  <si>
    <t>MANYAMBO</t>
  </si>
  <si>
    <t>PAPALA</t>
  </si>
  <si>
    <t>KS</t>
  </si>
  <si>
    <t>MOTLHALE</t>
  </si>
  <si>
    <t>SS</t>
  </si>
  <si>
    <t>MANGATE</t>
  </si>
  <si>
    <t>DYOSIBA</t>
  </si>
  <si>
    <t>CLERK GRADE I</t>
  </si>
  <si>
    <t>NAKEDI</t>
  </si>
  <si>
    <t>RATSIU</t>
  </si>
  <si>
    <t>PITSO</t>
  </si>
  <si>
    <t>S A</t>
  </si>
  <si>
    <t>MOGAMI</t>
  </si>
  <si>
    <t>T M</t>
  </si>
  <si>
    <t>SELOKO</t>
  </si>
  <si>
    <t>TRADE WORKER III</t>
  </si>
  <si>
    <t>S G</t>
  </si>
  <si>
    <t>MAKAE</t>
  </si>
  <si>
    <t>E S</t>
  </si>
  <si>
    <t>SEBEO</t>
  </si>
  <si>
    <t>KHOSI</t>
  </si>
  <si>
    <t>O K</t>
  </si>
  <si>
    <t>MALEHO</t>
  </si>
  <si>
    <t>MOHOLO</t>
  </si>
  <si>
    <t>ESAU</t>
  </si>
  <si>
    <t>MATSIE</t>
  </si>
  <si>
    <t>M E</t>
  </si>
  <si>
    <t>MOTHABENG</t>
  </si>
  <si>
    <t>B P</t>
  </si>
  <si>
    <t>POTSANE</t>
  </si>
  <si>
    <t>NZOBE</t>
  </si>
  <si>
    <t>P P</t>
  </si>
  <si>
    <t>HOSHE</t>
  </si>
  <si>
    <t>T H</t>
  </si>
  <si>
    <t>TOOLO</t>
  </si>
  <si>
    <t>DUIKER</t>
  </si>
  <si>
    <t>SESHEMANE</t>
  </si>
  <si>
    <t>DE</t>
  </si>
  <si>
    <t>MOKGOTHU</t>
  </si>
  <si>
    <t>GCINISA</t>
  </si>
  <si>
    <t>NOMPONDO</t>
  </si>
  <si>
    <t>ENQUIRY OFFOCER</t>
  </si>
  <si>
    <t>MELK</t>
  </si>
  <si>
    <t>TRADE WORKER GR 11</t>
  </si>
  <si>
    <t>JAS</t>
  </si>
  <si>
    <t>TA</t>
  </si>
  <si>
    <t>MALEBESE</t>
  </si>
  <si>
    <t>SECURITY OFFICER</t>
  </si>
  <si>
    <t>VG</t>
  </si>
  <si>
    <t>NGWANZA</t>
  </si>
  <si>
    <t>MOALUSI</t>
  </si>
  <si>
    <t>REGISTRATION CLERK</t>
  </si>
  <si>
    <t>MOKEJANE</t>
  </si>
  <si>
    <t>BULANE</t>
  </si>
  <si>
    <t>BLOM</t>
  </si>
  <si>
    <t>N A C</t>
  </si>
  <si>
    <t>MATSHOBANE</t>
  </si>
  <si>
    <t>GOLOGOLO</t>
  </si>
  <si>
    <t>MABONA</t>
  </si>
  <si>
    <t>TRADE WORKER 11</t>
  </si>
  <si>
    <t>MOSAILANE</t>
  </si>
  <si>
    <t>MATSOSO</t>
  </si>
  <si>
    <t>MK</t>
  </si>
  <si>
    <t>MAEMA</t>
  </si>
  <si>
    <t>TRADE  WORKER 11</t>
  </si>
  <si>
    <t>SW</t>
  </si>
  <si>
    <t>MATSEMELELA</t>
  </si>
  <si>
    <t>NIBE</t>
  </si>
  <si>
    <t>TRADEWORKER 11</t>
  </si>
  <si>
    <t>MATSIDIDI</t>
  </si>
  <si>
    <t>RAMATLAMA</t>
  </si>
  <si>
    <t>VS</t>
  </si>
  <si>
    <t>MXHAKA</t>
  </si>
  <si>
    <t>STOREMAN/CLERK GR1</t>
  </si>
  <si>
    <t>V A</t>
  </si>
  <si>
    <t>KHWABABA</t>
  </si>
  <si>
    <t>HANS</t>
  </si>
  <si>
    <t>SECURITY GUARD</t>
  </si>
  <si>
    <t>MKHONTWANE</t>
  </si>
  <si>
    <t>S J</t>
  </si>
  <si>
    <t>MOKONE</t>
  </si>
  <si>
    <t>MELAMO</t>
  </si>
  <si>
    <t>MOHOKARE</t>
  </si>
  <si>
    <t>SF</t>
  </si>
  <si>
    <t>MOKHOMO</t>
  </si>
  <si>
    <t>RE</t>
  </si>
  <si>
    <t>MOLELLE</t>
  </si>
  <si>
    <t>TC</t>
  </si>
  <si>
    <t>Z</t>
  </si>
  <si>
    <t>YOLA</t>
  </si>
  <si>
    <t>RAMOLUOANE</t>
  </si>
  <si>
    <t>KHOMARI</t>
  </si>
  <si>
    <t>AU</t>
  </si>
  <si>
    <t>DUMEZWENI</t>
  </si>
  <si>
    <t>EN</t>
  </si>
  <si>
    <t>FITSHANE</t>
  </si>
  <si>
    <t>MOTLOUNG</t>
  </si>
  <si>
    <t>GT</t>
  </si>
  <si>
    <t>LIMA</t>
  </si>
  <si>
    <t>MOHLAODI</t>
  </si>
  <si>
    <t>MOKOKOANE</t>
  </si>
  <si>
    <t>ZI</t>
  </si>
  <si>
    <t>NTETHA</t>
  </si>
  <si>
    <t>MV</t>
  </si>
  <si>
    <t>MONTSI</t>
  </si>
  <si>
    <t>TI</t>
  </si>
  <si>
    <t>NCAMANE</t>
  </si>
  <si>
    <t>NTSABO</t>
  </si>
  <si>
    <t>THOLO</t>
  </si>
  <si>
    <t>ID</t>
  </si>
  <si>
    <t>TLHAKUDI</t>
  </si>
  <si>
    <t>TLHAOLE</t>
  </si>
  <si>
    <t>REMBEYI</t>
  </si>
  <si>
    <t>SEKESE</t>
  </si>
  <si>
    <t>SENOKOANE</t>
  </si>
  <si>
    <t>MAKGOE</t>
  </si>
  <si>
    <t>MONA</t>
  </si>
  <si>
    <t>E M</t>
  </si>
  <si>
    <t>YOYI</t>
  </si>
  <si>
    <t>RVL</t>
  </si>
  <si>
    <t>MONTSHITSI</t>
  </si>
  <si>
    <t>E I</t>
  </si>
  <si>
    <t>MAFUYA</t>
  </si>
  <si>
    <t>TLHABANELO</t>
  </si>
  <si>
    <t>MABULA</t>
  </si>
  <si>
    <t>MOQOLO</t>
  </si>
  <si>
    <t>MOETI</t>
  </si>
  <si>
    <t>MDUDO</t>
  </si>
  <si>
    <t>MOKO</t>
  </si>
  <si>
    <t>KHOBA</t>
  </si>
  <si>
    <t>MATSEPE</t>
  </si>
  <si>
    <t>MANDJIE</t>
  </si>
  <si>
    <t>MALEFANE</t>
  </si>
  <si>
    <t>LEBONA</t>
  </si>
  <si>
    <t>MOSEUNYANE</t>
  </si>
  <si>
    <t>MOTSUKUNYANE</t>
  </si>
  <si>
    <t>T T</t>
  </si>
  <si>
    <t>MBOLEKWA</t>
  </si>
  <si>
    <t>MOKEKI</t>
  </si>
  <si>
    <t>B J</t>
  </si>
  <si>
    <t>WESI</t>
  </si>
  <si>
    <t>OIL PLANT OPERATOR</t>
  </si>
  <si>
    <t>T P M</t>
  </si>
  <si>
    <t>MAPHASA</t>
  </si>
  <si>
    <t>KM</t>
  </si>
  <si>
    <t>MAKOSHOLO</t>
  </si>
  <si>
    <t>APPRENTICE/JUNIOR ELECT</t>
  </si>
  <si>
    <t>LEKHETHO</t>
  </si>
  <si>
    <t>APPRE // JNR ELECTRIAN</t>
  </si>
  <si>
    <t>J H S</t>
  </si>
  <si>
    <t>BOOYZEN</t>
  </si>
  <si>
    <t>STORE ATTENDANT</t>
  </si>
  <si>
    <t>MOKUBELO</t>
  </si>
  <si>
    <t>ARTISAN ASSISTANT</t>
  </si>
  <si>
    <t>P T</t>
  </si>
  <si>
    <t>RAKOTSOANE</t>
  </si>
  <si>
    <t>DIREKO</t>
  </si>
  <si>
    <t>KOLOKO</t>
  </si>
  <si>
    <t>F L</t>
  </si>
  <si>
    <t>KHOAELE</t>
  </si>
  <si>
    <t>OFFICE AID</t>
  </si>
  <si>
    <t>L A</t>
  </si>
  <si>
    <t>PHONGOMA</t>
  </si>
  <si>
    <t>RASMENI</t>
  </si>
  <si>
    <t>MASHIANE</t>
  </si>
  <si>
    <t>MALILIMETSA</t>
  </si>
  <si>
    <t>JACKHAMMER OPERATOR GR I</t>
  </si>
  <si>
    <t>MOLEFE</t>
  </si>
  <si>
    <t>HLABANA</t>
  </si>
  <si>
    <t>MZAMO</t>
  </si>
  <si>
    <t>MPITI</t>
  </si>
  <si>
    <t>MOLOELE</t>
  </si>
  <si>
    <t>NGAMLANI</t>
  </si>
  <si>
    <t>SHIFT WORKER GR I</t>
  </si>
  <si>
    <t>MBIZENI</t>
  </si>
  <si>
    <t>TAFANE</t>
  </si>
  <si>
    <t>H E</t>
  </si>
  <si>
    <t>LEPHOI</t>
  </si>
  <si>
    <t>V C</t>
  </si>
  <si>
    <t>NYAKENG</t>
  </si>
  <si>
    <t>TLHATLOGI</t>
  </si>
  <si>
    <t>KERILENG</t>
  </si>
  <si>
    <t>PHAILANE</t>
  </si>
  <si>
    <t>S D</t>
  </si>
  <si>
    <t>PITSENYANE</t>
  </si>
  <si>
    <t>J J B</t>
  </si>
  <si>
    <t>VAN SYFER</t>
  </si>
  <si>
    <t>MEDEA</t>
  </si>
  <si>
    <t>SA</t>
  </si>
  <si>
    <t>LK</t>
  </si>
  <si>
    <t>MEHLWANA</t>
  </si>
  <si>
    <t>MOKUTU</t>
  </si>
  <si>
    <t>ARTISAN ASSISTAN</t>
  </si>
  <si>
    <t>HOALA</t>
  </si>
  <si>
    <t>EB</t>
  </si>
  <si>
    <t>BOOYSEN</t>
  </si>
  <si>
    <t>MAQETHANE</t>
  </si>
  <si>
    <t>ATT</t>
  </si>
  <si>
    <t>THANTSI</t>
  </si>
  <si>
    <t>ET</t>
  </si>
  <si>
    <t>MADINGOANE</t>
  </si>
  <si>
    <t>MDM</t>
  </si>
  <si>
    <t>MOENG</t>
  </si>
  <si>
    <t>RATSELANE</t>
  </si>
  <si>
    <t>PT</t>
  </si>
  <si>
    <t>KOTOTSI</t>
  </si>
  <si>
    <t>NDZISHE</t>
  </si>
  <si>
    <t>MATHANG</t>
  </si>
  <si>
    <t>KG</t>
  </si>
  <si>
    <t>RAMOTHIBE</t>
  </si>
  <si>
    <t>PP</t>
  </si>
  <si>
    <t>OM</t>
  </si>
  <si>
    <t>MOTSIKOE</t>
  </si>
  <si>
    <t>LETSOARA</t>
  </si>
  <si>
    <t>MACHOBANE</t>
  </si>
  <si>
    <t>MESSENGER / DRIVER</t>
  </si>
  <si>
    <t>NAILE</t>
  </si>
  <si>
    <t>HEAVY VEHICLE DRIVER</t>
  </si>
  <si>
    <t>CHOMANE</t>
  </si>
  <si>
    <t>T B</t>
  </si>
  <si>
    <t>MODISE</t>
  </si>
  <si>
    <t>GENERAL WORKER</t>
  </si>
  <si>
    <t>HARVEY</t>
  </si>
  <si>
    <t>N H</t>
  </si>
  <si>
    <t>KLAAS</t>
  </si>
  <si>
    <t>MOLISE</t>
  </si>
  <si>
    <t>N L</t>
  </si>
  <si>
    <t>NOVEMBER</t>
  </si>
  <si>
    <t>PATELA</t>
  </si>
  <si>
    <t>MASIENYANE</t>
  </si>
  <si>
    <t>T O</t>
  </si>
  <si>
    <t>MOLOI</t>
  </si>
  <si>
    <t>SEEKOE</t>
  </si>
  <si>
    <t>LESENYEHO</t>
  </si>
  <si>
    <t>TENA</t>
  </si>
  <si>
    <t>Z J</t>
  </si>
  <si>
    <t>MAFABATHO</t>
  </si>
  <si>
    <t>GLADILE</t>
  </si>
  <si>
    <t>FJ</t>
  </si>
  <si>
    <t>LUTOLO</t>
  </si>
  <si>
    <t>RALEJWANA</t>
  </si>
  <si>
    <t>LEEUW</t>
  </si>
  <si>
    <t>MF</t>
  </si>
  <si>
    <t>AMM</t>
  </si>
  <si>
    <t>RABOROKO</t>
  </si>
  <si>
    <t>RF</t>
  </si>
  <si>
    <t>MOKODUTLO</t>
  </si>
  <si>
    <t>WITTES</t>
  </si>
  <si>
    <t>FP</t>
  </si>
  <si>
    <t>MCOTELI</t>
  </si>
  <si>
    <t>HERMANS</t>
  </si>
  <si>
    <t>MARITZ</t>
  </si>
  <si>
    <t>POLICE</t>
  </si>
  <si>
    <t>MOTSIE</t>
  </si>
  <si>
    <t>DH</t>
  </si>
  <si>
    <t>NQONTJA</t>
  </si>
  <si>
    <t>NJ</t>
  </si>
  <si>
    <t>SEHLABAKA</t>
  </si>
  <si>
    <t>BZ</t>
  </si>
  <si>
    <t>SHALE</t>
  </si>
  <si>
    <t>SELILENYANE</t>
  </si>
  <si>
    <t>LEJAPODI</t>
  </si>
  <si>
    <t>LEKHELEBANE</t>
  </si>
  <si>
    <t>BESANA</t>
  </si>
  <si>
    <t>IC</t>
  </si>
  <si>
    <t>MMM</t>
  </si>
  <si>
    <t>MOFOBATHA</t>
  </si>
  <si>
    <t>MTWANA</t>
  </si>
  <si>
    <t>YANDA</t>
  </si>
  <si>
    <t>SM</t>
  </si>
  <si>
    <t>MOKOTO</t>
  </si>
  <si>
    <t>BOSMAN</t>
  </si>
  <si>
    <t>MASETE</t>
  </si>
  <si>
    <t>KHUSELO</t>
  </si>
  <si>
    <t>RAMOSOEU</t>
  </si>
  <si>
    <t>THYS</t>
  </si>
  <si>
    <t>V E</t>
  </si>
  <si>
    <t>BOBO</t>
  </si>
  <si>
    <t>K M J</t>
  </si>
  <si>
    <t>MOLETE</t>
  </si>
  <si>
    <t>L M</t>
  </si>
  <si>
    <t>MALIA</t>
  </si>
  <si>
    <t>MOLAPISI</t>
  </si>
  <si>
    <t>PITLELE</t>
  </si>
  <si>
    <t>B T</t>
  </si>
  <si>
    <t>MOLETSANE</t>
  </si>
  <si>
    <t>MELAMU</t>
  </si>
  <si>
    <t>TSOKOLIBANE</t>
  </si>
  <si>
    <t>P E</t>
  </si>
  <si>
    <t>RAMOKWENA</t>
  </si>
  <si>
    <t>LEBEKO</t>
  </si>
  <si>
    <t>KOEKOE</t>
  </si>
  <si>
    <t>N R</t>
  </si>
  <si>
    <t>MACHELI</t>
  </si>
  <si>
    <t>NDABEZITHA</t>
  </si>
  <si>
    <t>SEHLOHO</t>
  </si>
  <si>
    <t>MAMOE</t>
  </si>
  <si>
    <t>S A M</t>
  </si>
  <si>
    <t>S P</t>
  </si>
  <si>
    <t>LEBALLO</t>
  </si>
  <si>
    <t>MONESA</t>
  </si>
  <si>
    <t>X C</t>
  </si>
  <si>
    <t>MATAKANE</t>
  </si>
  <si>
    <t>MPHALE</t>
  </si>
  <si>
    <t>T M T</t>
  </si>
  <si>
    <t>TSOGUNYANE</t>
  </si>
  <si>
    <t>KHOELE</t>
  </si>
  <si>
    <t>SEBATANA</t>
  </si>
  <si>
    <t>LIKWABE</t>
  </si>
  <si>
    <t>L T</t>
  </si>
  <si>
    <t>MPHOMELA</t>
  </si>
  <si>
    <t>LEGEGERU</t>
  </si>
  <si>
    <t>D V</t>
  </si>
  <si>
    <t>PHIKE</t>
  </si>
  <si>
    <t>KHOTSO</t>
  </si>
  <si>
    <t>MATHIAS</t>
  </si>
  <si>
    <t>QOTHO</t>
  </si>
  <si>
    <t>K F</t>
  </si>
  <si>
    <t>THEKISO</t>
  </si>
  <si>
    <t>RAPOPO</t>
  </si>
  <si>
    <t>TVM</t>
  </si>
  <si>
    <t>MAHONONO</t>
  </si>
  <si>
    <t>V P</t>
  </si>
  <si>
    <t>MASISI</t>
  </si>
  <si>
    <t>SEVTLWADI</t>
  </si>
  <si>
    <t>MALESHETLA</t>
  </si>
  <si>
    <t>K L</t>
  </si>
  <si>
    <t>MPOTSENG</t>
  </si>
  <si>
    <t>LITABE</t>
  </si>
  <si>
    <t>C M</t>
  </si>
  <si>
    <t>MAKGETLA</t>
  </si>
  <si>
    <t>SEBEGO</t>
  </si>
  <si>
    <t>H S</t>
  </si>
  <si>
    <t>KHAMA</t>
  </si>
  <si>
    <t>L S</t>
  </si>
  <si>
    <t>JONAS</t>
  </si>
  <si>
    <t>A N</t>
  </si>
  <si>
    <t>THAELE</t>
  </si>
  <si>
    <t>QHOBOSHEANE</t>
  </si>
  <si>
    <t>GENERAL WORK</t>
  </si>
  <si>
    <t>MOOPELWA</t>
  </si>
  <si>
    <t>NTAILE</t>
  </si>
  <si>
    <t>R M</t>
  </si>
  <si>
    <t>PULE</t>
  </si>
  <si>
    <t>MAKHARI</t>
  </si>
  <si>
    <t>LAMOEN</t>
  </si>
  <si>
    <t>MOATLHODI</t>
  </si>
  <si>
    <t>MADIA</t>
  </si>
  <si>
    <t>MAKITI</t>
  </si>
  <si>
    <t>D I</t>
  </si>
  <si>
    <t>MAKOBALO</t>
  </si>
  <si>
    <t>GENERL WORKER</t>
  </si>
  <si>
    <t>MAREKA</t>
  </si>
  <si>
    <t>MATANG</t>
  </si>
  <si>
    <t>TAME</t>
  </si>
  <si>
    <t>VELMAN</t>
  </si>
  <si>
    <t>O T</t>
  </si>
  <si>
    <t>MONAPHATHI</t>
  </si>
  <si>
    <t>MORAKE</t>
  </si>
  <si>
    <t>MOSES</t>
  </si>
  <si>
    <t>PHILLIPS</t>
  </si>
  <si>
    <t>PHINDO</t>
  </si>
  <si>
    <t>MOKGADINYANE</t>
  </si>
  <si>
    <t>MALAKU</t>
  </si>
  <si>
    <t>NDZUBE</t>
  </si>
  <si>
    <t>RANTLETSE</t>
  </si>
  <si>
    <t>SEOELA</t>
  </si>
  <si>
    <t>TSIU</t>
  </si>
  <si>
    <t>N Z</t>
  </si>
  <si>
    <t>MAARMAN</t>
  </si>
  <si>
    <t>J E</t>
  </si>
  <si>
    <t>NARE</t>
  </si>
  <si>
    <t>P I</t>
  </si>
  <si>
    <t>MOTJOPE</t>
  </si>
  <si>
    <t>MOGOTSI</t>
  </si>
  <si>
    <t>MONYOBI</t>
  </si>
  <si>
    <t>K A</t>
  </si>
  <si>
    <t>MOTANG</t>
  </si>
  <si>
    <t>LENKO</t>
  </si>
  <si>
    <t>GENRAL WORKER</t>
  </si>
  <si>
    <t>SEOKO</t>
  </si>
  <si>
    <t>M K J</t>
  </si>
  <si>
    <t>MAHLAE</t>
  </si>
  <si>
    <t>N B</t>
  </si>
  <si>
    <t>AKATA</t>
  </si>
  <si>
    <t>R L</t>
  </si>
  <si>
    <t>SEROALO</t>
  </si>
  <si>
    <t>BOYLANE</t>
  </si>
  <si>
    <t>D F</t>
  </si>
  <si>
    <t>SEJAKE</t>
  </si>
  <si>
    <t>LM</t>
  </si>
  <si>
    <t>T E J</t>
  </si>
  <si>
    <t>MAPHISA</t>
  </si>
  <si>
    <t>MARKETING OFFICER</t>
  </si>
  <si>
    <t>2022/23</t>
  </si>
  <si>
    <t>2023/24</t>
  </si>
  <si>
    <t>2024/25</t>
  </si>
  <si>
    <t>ANNEXURE G-SM</t>
  </si>
  <si>
    <t xml:space="preserve">COST CENTER </t>
  </si>
  <si>
    <t xml:space="preserve">EXPENDITURE TYPE </t>
  </si>
  <si>
    <t xml:space="preserve">EMPLOYEE SALARIE S &amp; WAGES </t>
  </si>
  <si>
    <t>EMPLOYEE SOCIAL CONTRIBUTIONS</t>
  </si>
  <si>
    <t>GRAND TOTAL OF ANNEXURE G</t>
  </si>
  <si>
    <t>ADJUSTMENT BUDGET</t>
  </si>
  <si>
    <t>UIF</t>
  </si>
  <si>
    <t>SEKOBOTO</t>
  </si>
  <si>
    <t>Top Management</t>
  </si>
  <si>
    <t>CHIEF EXECUTIVEOFFICER</t>
  </si>
  <si>
    <t>MOJAJE</t>
  </si>
  <si>
    <t>EM: ENGINEERING WIRES</t>
  </si>
  <si>
    <t>S C</t>
  </si>
  <si>
    <t>TSOAI</t>
  </si>
  <si>
    <t>EM: HUMAN RESOURCES</t>
  </si>
  <si>
    <t>MALGAS</t>
  </si>
  <si>
    <t>COMPANY SECRETARY</t>
  </si>
  <si>
    <t>EM: ENGINEERING - RETAIL</t>
  </si>
  <si>
    <t>LETENO</t>
  </si>
  <si>
    <t>EM: PERFORMANCE&amp;COMPLIANC</t>
  </si>
  <si>
    <t xml:space="preserve">LEVELS </t>
  </si>
  <si>
    <t>FORMER OCCUPANT</t>
  </si>
  <si>
    <t>STATUS</t>
  </si>
  <si>
    <t>ANNUAL SALARY</t>
  </si>
  <si>
    <t>VACANT</t>
  </si>
  <si>
    <t>CHIEF FINANCIAL OFFICER</t>
  </si>
  <si>
    <t xml:space="preserve">VACANT POSITION </t>
  </si>
  <si>
    <t>G J H GRUNDLIGH</t>
  </si>
  <si>
    <t>M M PEDI</t>
  </si>
  <si>
    <t>DF MOKOLOKO</t>
  </si>
  <si>
    <t>T J DUIKER</t>
  </si>
  <si>
    <t>M SIWISA</t>
  </si>
  <si>
    <t>SG SETAI</t>
  </si>
  <si>
    <t>ASST MANAGER:MARKET&amp; COMM</t>
  </si>
  <si>
    <t>P J THAPELI</t>
  </si>
  <si>
    <t>E P MOTLOI</t>
  </si>
  <si>
    <t>L S PINETOWN</t>
  </si>
  <si>
    <t>P L MOTHAE</t>
  </si>
  <si>
    <t>GT MOKOBE</t>
  </si>
  <si>
    <t>MM MASIZA</t>
  </si>
  <si>
    <t>ND SITOE</t>
  </si>
  <si>
    <t>GD MODISE</t>
  </si>
  <si>
    <t>S SERUTLA</t>
  </si>
  <si>
    <t>ASST MANAGER:ACC&amp;COMPLIAN</t>
  </si>
  <si>
    <t>RP SEGWANA</t>
  </si>
  <si>
    <t>JNR ELECTRICIAN</t>
  </si>
  <si>
    <t>SP LEHOHLA</t>
  </si>
  <si>
    <t>LP MATSABA</t>
  </si>
  <si>
    <t>V VAN ZYL</t>
  </si>
  <si>
    <t>SUPPLY CHAIN MNG PRACTITI</t>
  </si>
  <si>
    <t>SS T PONI</t>
  </si>
  <si>
    <t>P J OLIFANT</t>
  </si>
  <si>
    <t>F J DU TOIT</t>
  </si>
  <si>
    <t>DC KHANDA</t>
  </si>
  <si>
    <t>SELESO</t>
  </si>
  <si>
    <t>MANAGER SUPPLY CHAIN MAN.</t>
  </si>
  <si>
    <t>KHOMARY</t>
  </si>
  <si>
    <t>ARTISAN ASISTANT</t>
  </si>
  <si>
    <t>PJ OLIFANT</t>
  </si>
  <si>
    <t>MATSOSA</t>
  </si>
  <si>
    <t>INTERN</t>
  </si>
  <si>
    <t>GALEBOE</t>
  </si>
  <si>
    <t>I P</t>
  </si>
  <si>
    <t>APPLEGREEN</t>
  </si>
  <si>
    <t>RAKHAREBE</t>
  </si>
  <si>
    <t>S L</t>
  </si>
  <si>
    <t>MOINO</t>
  </si>
  <si>
    <t>P H O</t>
  </si>
  <si>
    <t>GROBBELAAR</t>
  </si>
  <si>
    <t>H G</t>
  </si>
  <si>
    <t>PHOTO COPIER</t>
  </si>
  <si>
    <t>2023/23</t>
  </si>
  <si>
    <t>501001</t>
  </si>
  <si>
    <t>501002</t>
  </si>
  <si>
    <t>501003</t>
  </si>
  <si>
    <t>501101</t>
  </si>
  <si>
    <t>501103</t>
  </si>
  <si>
    <t>501104</t>
  </si>
  <si>
    <t>501105</t>
  </si>
  <si>
    <t>501107</t>
  </si>
  <si>
    <t>501108</t>
  </si>
  <si>
    <t>501109</t>
  </si>
  <si>
    <t>501202</t>
  </si>
  <si>
    <t>501203</t>
  </si>
  <si>
    <t>501204</t>
  </si>
  <si>
    <t>501205</t>
  </si>
  <si>
    <t>501206</t>
  </si>
  <si>
    <t>501208</t>
  </si>
  <si>
    <t>501302</t>
  </si>
  <si>
    <t>501303</t>
  </si>
  <si>
    <t>501304</t>
  </si>
  <si>
    <t>501305</t>
  </si>
  <si>
    <t>501405</t>
  </si>
  <si>
    <t>501406</t>
  </si>
  <si>
    <t>501407</t>
  </si>
  <si>
    <t>501408</t>
  </si>
  <si>
    <t>501441</t>
  </si>
  <si>
    <t>501442</t>
  </si>
  <si>
    <t>501443</t>
  </si>
  <si>
    <t>501444</t>
  </si>
  <si>
    <t>501445</t>
  </si>
  <si>
    <t>501501</t>
  </si>
  <si>
    <t>501502</t>
  </si>
  <si>
    <t>501503</t>
  </si>
  <si>
    <t>501504</t>
  </si>
  <si>
    <t>501505</t>
  </si>
  <si>
    <t>501506</t>
  </si>
  <si>
    <t>501601</t>
  </si>
  <si>
    <t>2025/26</t>
  </si>
  <si>
    <t>PROPOSED ADJUSTMENT 2022-23</t>
  </si>
  <si>
    <t>Total Employee related costs</t>
  </si>
  <si>
    <t>2022-23</t>
  </si>
  <si>
    <t>2023-24</t>
  </si>
  <si>
    <t>2024-25</t>
  </si>
  <si>
    <t>Directors</t>
  </si>
  <si>
    <t>Leave</t>
  </si>
  <si>
    <t>Total Emp Costs</t>
  </si>
  <si>
    <t>`2025/26</t>
  </si>
  <si>
    <t>Total</t>
  </si>
  <si>
    <t>WITHOUT CPI</t>
  </si>
  <si>
    <t>OVERTIME 2022-23</t>
  </si>
  <si>
    <t>STANDBY ALLOWANCE</t>
  </si>
  <si>
    <t>SALARY BENEFIT</t>
  </si>
  <si>
    <t>TOTAL EMPLOYEE COST</t>
  </si>
  <si>
    <t>Remuneration Class</t>
  </si>
  <si>
    <t>Summary</t>
  </si>
  <si>
    <t>Annexure G</t>
  </si>
  <si>
    <t>Detailed listing</t>
  </si>
  <si>
    <t>Difference</t>
  </si>
  <si>
    <t>2025-26</t>
  </si>
  <si>
    <t>Vacancies</t>
  </si>
  <si>
    <t>Circular 123 2023-24</t>
  </si>
  <si>
    <t>Circular 123 2024-25</t>
  </si>
  <si>
    <t>Circular 123 2025-26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</si>
</sst>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R&quot;* #,##0.00_-;\-&quot;R&quot;* #,##0.00_-;_-&quot;R&quot;* &quot;-&quot;??_-;_-@_-"/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_ ;_ @_ "/>
    <numFmt numFmtId="166" formatCode="_ &quot;R&quot;\ * #,##0.00_ ;_ &quot;R&quot;\ * \-#,##0.00_ ;_ &quot;R&quot;\ * &quot;-&quot;??_ ;_ @_ "/>
    <numFmt numFmtId="167" formatCode="_ * #,##0.00_ ;_ * \-#,##0.00_ ;_ * &quot;-&quot;??_ ;_ @_ "/>
    <numFmt numFmtId="168" formatCode="_(&quot;R&quot;* #,##0.00_);_(&quot;R&quot;* \(#,##0.00\);_(&quot;R&quot;* &quot;-&quot;??_);_(@_)"/>
    <numFmt numFmtId="169" formatCode="00"/>
    <numFmt numFmtId="170" formatCode="000"/>
    <numFmt numFmtId="171" formatCode="_(* #,##0.000_);_(* \(#,##0.000\);_(* &quot;-&quot;??_);_(@_)"/>
    <numFmt numFmtId="172" formatCode="&quot;R&quot;#,##0.00"/>
    <numFmt numFmtId="173" formatCode="_-* #,##0.000_-;\-* #,##0.000_-;_-* &quot;-&quot;???_-;_-@_-"/>
    <numFmt numFmtId="174" formatCode="_(* #,##0_);_(* \(#,##0\);_(* &quot;-&quot;??_);_(@_)"/>
    <numFmt numFmtId="175" formatCode="0.000%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sz val="11"/>
      <name val="Calibri"/>
      <family val="2"/>
      <scheme val="minor"/>
    </font>
    <font>
      <sz val="9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507">
    <xf numFmtId="0" fontId="0" fillId="0" borderId="0" xfId="0"/>
    <xf numFmtId="0" fontId="5" fillId="2" borderId="0" xfId="0" applyFont="1" applyFill="1"/>
    <xf numFmtId="3" fontId="6" fillId="2" borderId="0" xfId="1" applyNumberFormat="1" applyFont="1" applyFill="1"/>
    <xf numFmtId="0" fontId="4" fillId="2" borderId="0" xfId="0" applyFont="1" applyFill="1"/>
    <xf numFmtId="0" fontId="6" fillId="2" borderId="0" xfId="0" applyFont="1" applyFill="1"/>
    <xf numFmtId="0" fontId="7" fillId="2" borderId="2" xfId="0" applyFont="1" applyFill="1" applyBorder="1" applyAlignment="1">
      <alignment horizontal="center" vertical="center"/>
    </xf>
    <xf numFmtId="0" fontId="0" fillId="2" borderId="0" xfId="0" applyFill="1"/>
    <xf numFmtId="3" fontId="7" fillId="4" borderId="1" xfId="1" quotePrefix="1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 indent="1"/>
    </xf>
    <xf numFmtId="4" fontId="7" fillId="4" borderId="4" xfId="1" applyNumberFormat="1" applyFont="1" applyFill="1" applyBorder="1"/>
    <xf numFmtId="0" fontId="8" fillId="0" borderId="1" xfId="0" applyFont="1" applyBorder="1"/>
    <xf numFmtId="3" fontId="7" fillId="0" borderId="1" xfId="1" applyNumberFormat="1" applyFont="1" applyFill="1" applyBorder="1"/>
    <xf numFmtId="3" fontId="5" fillId="2" borderId="0" xfId="0" applyNumberFormat="1" applyFont="1" applyFill="1"/>
    <xf numFmtId="0" fontId="6" fillId="2" borderId="5" xfId="0" applyFont="1" applyFill="1" applyBorder="1" applyAlignment="1">
      <alignment horizontal="left" indent="1"/>
    </xf>
    <xf numFmtId="0" fontId="9" fillId="2" borderId="0" xfId="0" applyFont="1" applyFill="1"/>
    <xf numFmtId="9" fontId="5" fillId="2" borderId="0" xfId="2" applyFont="1" applyFill="1"/>
    <xf numFmtId="0" fontId="0" fillId="0" borderId="1" xfId="0" applyBorder="1"/>
    <xf numFmtId="1" fontId="0" fillId="0" borderId="4" xfId="0" applyNumberFormat="1" applyBorder="1"/>
    <xf numFmtId="0" fontId="6" fillId="0" borderId="1" xfId="0" applyFont="1" applyBorder="1" applyAlignment="1">
      <alignment horizontal="left" indent="1"/>
    </xf>
    <xf numFmtId="3" fontId="6" fillId="0" borderId="1" xfId="1" applyNumberFormat="1" applyFont="1" applyFill="1" applyBorder="1"/>
    <xf numFmtId="0" fontId="5" fillId="0" borderId="0" xfId="0" applyFont="1"/>
    <xf numFmtId="0" fontId="3" fillId="2" borderId="0" xfId="0" applyFont="1" applyFill="1"/>
    <xf numFmtId="0" fontId="0" fillId="2" borderId="5" xfId="0" applyFill="1" applyBorder="1"/>
    <xf numFmtId="0" fontId="8" fillId="5" borderId="0" xfId="0" applyFont="1" applyFill="1"/>
    <xf numFmtId="0" fontId="8" fillId="5" borderId="1" xfId="0" applyFont="1" applyFill="1" applyBorder="1"/>
    <xf numFmtId="3" fontId="7" fillId="5" borderId="1" xfId="1" applyNumberFormat="1" applyFont="1" applyFill="1" applyBorder="1"/>
    <xf numFmtId="0" fontId="0" fillId="6" borderId="5" xfId="0" applyFill="1" applyBorder="1"/>
    <xf numFmtId="0" fontId="3" fillId="6" borderId="6" xfId="0" applyFont="1" applyFill="1" applyBorder="1"/>
    <xf numFmtId="0" fontId="3" fillId="6" borderId="0" xfId="0" applyFont="1" applyFill="1"/>
    <xf numFmtId="0" fontId="10" fillId="0" borderId="1" xfId="0" applyFont="1" applyBorder="1"/>
    <xf numFmtId="0" fontId="0" fillId="0" borderId="5" xfId="0" applyBorder="1"/>
    <xf numFmtId="1" fontId="0" fillId="0" borderId="0" xfId="0" applyNumberFormat="1"/>
    <xf numFmtId="0" fontId="6" fillId="0" borderId="3" xfId="0" applyFont="1" applyBorder="1" applyAlignment="1">
      <alignment horizontal="left" indent="1"/>
    </xf>
    <xf numFmtId="0" fontId="5" fillId="0" borderId="7" xfId="0" applyFont="1" applyBorder="1"/>
    <xf numFmtId="0" fontId="6" fillId="0" borderId="5" xfId="0" applyFont="1" applyBorder="1" applyAlignment="1">
      <alignment horizontal="left" indent="1"/>
    </xf>
    <xf numFmtId="0" fontId="10" fillId="0" borderId="5" xfId="0" applyFont="1" applyBorder="1"/>
    <xf numFmtId="0" fontId="3" fillId="0" borderId="0" xfId="0" applyFont="1"/>
    <xf numFmtId="3" fontId="5" fillId="0" borderId="0" xfId="0" applyNumberFormat="1" applyFont="1"/>
    <xf numFmtId="0" fontId="6" fillId="0" borderId="5" xfId="0" applyFont="1" applyBorder="1"/>
    <xf numFmtId="1" fontId="0" fillId="0" borderId="1" xfId="0" applyNumberFormat="1" applyBorder="1"/>
    <xf numFmtId="0" fontId="0" fillId="0" borderId="2" xfId="0" applyBorder="1"/>
    <xf numFmtId="165" fontId="7" fillId="2" borderId="1" xfId="0" applyNumberFormat="1" applyFont="1" applyFill="1" applyBorder="1"/>
    <xf numFmtId="3" fontId="7" fillId="5" borderId="8" xfId="1" applyNumberFormat="1" applyFont="1" applyFill="1" applyBorder="1"/>
    <xf numFmtId="165" fontId="6" fillId="2" borderId="0" xfId="0" applyNumberFormat="1" applyFont="1" applyFill="1"/>
    <xf numFmtId="3" fontId="7" fillId="2" borderId="0" xfId="1" applyNumberFormat="1" applyFont="1" applyFill="1" applyBorder="1" applyAlignment="1">
      <alignment horizontal="center"/>
    </xf>
    <xf numFmtId="3" fontId="7" fillId="0" borderId="0" xfId="1" applyNumberFormat="1" applyFont="1" applyFill="1" applyBorder="1" applyAlignment="1">
      <alignment horizontal="center"/>
    </xf>
    <xf numFmtId="0" fontId="8" fillId="8" borderId="5" xfId="0" applyFont="1" applyFill="1" applyBorder="1"/>
    <xf numFmtId="3" fontId="7" fillId="8" borderId="1" xfId="1" applyNumberFormat="1" applyFont="1" applyFill="1" applyBorder="1"/>
    <xf numFmtId="0" fontId="6" fillId="0" borderId="6" xfId="0" applyFont="1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164" fontId="7" fillId="0" borderId="1" xfId="1" applyFont="1" applyFill="1" applyBorder="1"/>
    <xf numFmtId="0" fontId="8" fillId="0" borderId="5" xfId="0" applyFont="1" applyBorder="1"/>
    <xf numFmtId="0" fontId="8" fillId="5" borderId="5" xfId="0" applyFont="1" applyFill="1" applyBorder="1"/>
    <xf numFmtId="3" fontId="6" fillId="0" borderId="3" xfId="1" applyNumberFormat="1" applyFont="1" applyFill="1" applyBorder="1"/>
    <xf numFmtId="3" fontId="6" fillId="0" borderId="0" xfId="1" applyNumberFormat="1" applyFont="1" applyFill="1" applyBorder="1"/>
    <xf numFmtId="9" fontId="5" fillId="0" borderId="0" xfId="2" applyFont="1" applyFill="1" applyBorder="1"/>
    <xf numFmtId="0" fontId="11" fillId="0" borderId="6" xfId="0" applyFont="1" applyBorder="1" applyAlignment="1">
      <alignment horizontal="left" indent="1"/>
    </xf>
    <xf numFmtId="1" fontId="0" fillId="0" borderId="3" xfId="0" applyNumberFormat="1" applyBorder="1"/>
    <xf numFmtId="0" fontId="7" fillId="0" borderId="0" xfId="0" applyFont="1" applyAlignment="1">
      <alignment horizontal="left" indent="1"/>
    </xf>
    <xf numFmtId="0" fontId="6" fillId="0" borderId="0" xfId="0" applyFont="1" applyAlignment="1">
      <alignment horizontal="left" indent="1"/>
    </xf>
    <xf numFmtId="165" fontId="7" fillId="2" borderId="2" xfId="0" applyNumberFormat="1" applyFont="1" applyFill="1" applyBorder="1"/>
    <xf numFmtId="3" fontId="7" fillId="2" borderId="0" xfId="1" applyNumberFormat="1" applyFont="1" applyFill="1" applyBorder="1"/>
    <xf numFmtId="164" fontId="7" fillId="2" borderId="0" xfId="1" applyFont="1" applyFill="1" applyBorder="1"/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indent="1"/>
    </xf>
    <xf numFmtId="165" fontId="6" fillId="2" borderId="0" xfId="0" applyNumberFormat="1" applyFont="1" applyFill="1" applyAlignment="1">
      <alignment horizontal="center"/>
    </xf>
    <xf numFmtId="3" fontId="6" fillId="2" borderId="0" xfId="1" applyNumberFormat="1" applyFont="1" applyFill="1" applyBorder="1" applyAlignment="1">
      <alignment horizontal="center"/>
    </xf>
    <xf numFmtId="0" fontId="0" fillId="6" borderId="6" xfId="0" applyFill="1" applyBorder="1"/>
    <xf numFmtId="0" fontId="8" fillId="0" borderId="0" xfId="0" applyFont="1"/>
    <xf numFmtId="3" fontId="7" fillId="0" borderId="0" xfId="1" applyNumberFormat="1" applyFont="1" applyFill="1" applyBorder="1"/>
    <xf numFmtId="0" fontId="6" fillId="0" borderId="6" xfId="0" applyFont="1" applyBorder="1"/>
    <xf numFmtId="1" fontId="0" fillId="0" borderId="2" xfId="0" applyNumberFormat="1" applyBorder="1"/>
    <xf numFmtId="0" fontId="6" fillId="0" borderId="2" xfId="0" applyFont="1" applyBorder="1"/>
    <xf numFmtId="0" fontId="6" fillId="0" borderId="1" xfId="0" applyFont="1" applyBorder="1"/>
    <xf numFmtId="0" fontId="8" fillId="0" borderId="1" xfId="0" quotePrefix="1" applyFont="1" applyBorder="1"/>
    <xf numFmtId="0" fontId="10" fillId="0" borderId="0" xfId="0" applyFont="1"/>
    <xf numFmtId="0" fontId="7" fillId="2" borderId="4" xfId="0" applyFont="1" applyFill="1" applyBorder="1"/>
    <xf numFmtId="0" fontId="7" fillId="2" borderId="1" xfId="0" applyFont="1" applyFill="1" applyBorder="1"/>
    <xf numFmtId="3" fontId="7" fillId="4" borderId="1" xfId="1" applyNumberFormat="1" applyFont="1" applyFill="1" applyBorder="1"/>
    <xf numFmtId="0" fontId="10" fillId="6" borderId="1" xfId="0" applyFont="1" applyFill="1" applyBorder="1"/>
    <xf numFmtId="0" fontId="12" fillId="0" borderId="1" xfId="0" applyFont="1" applyBorder="1"/>
    <xf numFmtId="0" fontId="6" fillId="0" borderId="5" xfId="0" applyFont="1" applyBorder="1" applyAlignment="1">
      <alignment horizontal="left"/>
    </xf>
    <xf numFmtId="0" fontId="6" fillId="0" borderId="0" xfId="0" applyFont="1"/>
    <xf numFmtId="0" fontId="6" fillId="0" borderId="3" xfId="0" applyFont="1" applyBorder="1"/>
    <xf numFmtId="0" fontId="0" fillId="6" borderId="1" xfId="0" applyFill="1" applyBorder="1"/>
    <xf numFmtId="3" fontId="7" fillId="5" borderId="0" xfId="1" applyNumberFormat="1" applyFont="1" applyFill="1" applyBorder="1"/>
    <xf numFmtId="0" fontId="6" fillId="0" borderId="11" xfId="0" applyFont="1" applyBorder="1" applyAlignment="1">
      <alignment horizontal="left" indent="1"/>
    </xf>
    <xf numFmtId="0" fontId="7" fillId="2" borderId="1" xfId="0" applyFont="1" applyFill="1" applyBorder="1" applyAlignment="1">
      <alignment horizontal="left" indent="1"/>
    </xf>
    <xf numFmtId="3" fontId="7" fillId="4" borderId="8" xfId="1" applyNumberFormat="1" applyFont="1" applyFill="1" applyBorder="1"/>
    <xf numFmtId="0" fontId="7" fillId="2" borderId="0" xfId="0" applyFont="1" applyFill="1" applyAlignment="1">
      <alignment horizontal="left" indent="1"/>
    </xf>
    <xf numFmtId="0" fontId="11" fillId="2" borderId="0" xfId="0" applyFont="1" applyFill="1"/>
    <xf numFmtId="3" fontId="13" fillId="2" borderId="0" xfId="1" applyNumberFormat="1" applyFont="1" applyFill="1" applyBorder="1"/>
    <xf numFmtId="3" fontId="11" fillId="2" borderId="0" xfId="1" applyNumberFormat="1" applyFont="1" applyFill="1" applyBorder="1"/>
    <xf numFmtId="3" fontId="6" fillId="2" borderId="0" xfId="1" applyNumberFormat="1" applyFont="1" applyFill="1" applyBorder="1"/>
    <xf numFmtId="3" fontId="13" fillId="2" borderId="0" xfId="1" applyNumberFormat="1" applyFont="1" applyFill="1"/>
    <xf numFmtId="3" fontId="7" fillId="2" borderId="0" xfId="1" applyNumberFormat="1" applyFont="1" applyFill="1"/>
    <xf numFmtId="3" fontId="5" fillId="2" borderId="0" xfId="1" applyNumberFormat="1" applyFont="1" applyFill="1"/>
    <xf numFmtId="0" fontId="7" fillId="2" borderId="0" xfId="0" applyFont="1" applyFill="1"/>
    <xf numFmtId="0" fontId="14" fillId="2" borderId="0" xfId="0" applyFont="1" applyFill="1"/>
    <xf numFmtId="0" fontId="15" fillId="2" borderId="0" xfId="0" applyFont="1" applyFill="1"/>
    <xf numFmtId="3" fontId="5" fillId="2" borderId="12" xfId="1" applyNumberFormat="1" applyFont="1" applyFill="1" applyBorder="1"/>
    <xf numFmtId="0" fontId="16" fillId="2" borderId="7" xfId="0" applyFont="1" applyFill="1" applyBorder="1"/>
    <xf numFmtId="0" fontId="17" fillId="2" borderId="13" xfId="0" applyFont="1" applyFill="1" applyBorder="1"/>
    <xf numFmtId="0" fontId="18" fillId="2" borderId="7" xfId="0" applyFont="1" applyFill="1" applyBorder="1"/>
    <xf numFmtId="3" fontId="16" fillId="2" borderId="7" xfId="1" applyNumberFormat="1" applyFont="1" applyFill="1" applyBorder="1"/>
    <xf numFmtId="3" fontId="18" fillId="2" borderId="7" xfId="1" applyNumberFormat="1" applyFont="1" applyFill="1" applyBorder="1"/>
    <xf numFmtId="3" fontId="16" fillId="2" borderId="14" xfId="1" applyNumberFormat="1" applyFont="1" applyFill="1" applyBorder="1"/>
    <xf numFmtId="0" fontId="16" fillId="2" borderId="0" xfId="0" applyFont="1" applyFill="1"/>
    <xf numFmtId="0" fontId="17" fillId="2" borderId="6" xfId="0" applyFont="1" applyFill="1" applyBorder="1"/>
    <xf numFmtId="0" fontId="18" fillId="2" borderId="0" xfId="0" applyFont="1" applyFill="1"/>
    <xf numFmtId="3" fontId="16" fillId="2" borderId="0" xfId="1" applyNumberFormat="1" applyFont="1" applyFill="1" applyBorder="1"/>
    <xf numFmtId="3" fontId="18" fillId="2" borderId="0" xfId="1" applyNumberFormat="1" applyFont="1" applyFill="1" applyBorder="1"/>
    <xf numFmtId="3" fontId="16" fillId="2" borderId="15" xfId="1" applyNumberFormat="1" applyFont="1" applyFill="1" applyBorder="1"/>
    <xf numFmtId="0" fontId="16" fillId="2" borderId="6" xfId="0" applyFont="1" applyFill="1" applyBorder="1"/>
    <xf numFmtId="0" fontId="17" fillId="2" borderId="0" xfId="0" applyFont="1" applyFill="1"/>
    <xf numFmtId="0" fontId="19" fillId="2" borderId="0" xfId="0" applyFont="1" applyFill="1"/>
    <xf numFmtId="3" fontId="17" fillId="2" borderId="0" xfId="1" applyNumberFormat="1" applyFont="1" applyFill="1" applyBorder="1"/>
    <xf numFmtId="3" fontId="19" fillId="2" borderId="0" xfId="1" applyNumberFormat="1" applyFont="1" applyFill="1" applyBorder="1"/>
    <xf numFmtId="3" fontId="16" fillId="2" borderId="0" xfId="1" applyNumberFormat="1" applyFont="1" applyFill="1"/>
    <xf numFmtId="3" fontId="18" fillId="2" borderId="0" xfId="1" applyNumberFormat="1" applyFont="1" applyFill="1"/>
    <xf numFmtId="1" fontId="16" fillId="2" borderId="12" xfId="0" applyNumberFormat="1" applyFont="1" applyFill="1" applyBorder="1"/>
    <xf numFmtId="1" fontId="16" fillId="2" borderId="11" xfId="0" applyNumberFormat="1" applyFont="1" applyFill="1" applyBorder="1"/>
    <xf numFmtId="1" fontId="18" fillId="2" borderId="12" xfId="0" applyNumberFormat="1" applyFont="1" applyFill="1" applyBorder="1"/>
    <xf numFmtId="3" fontId="16" fillId="2" borderId="12" xfId="1" applyNumberFormat="1" applyFont="1" applyFill="1" applyBorder="1"/>
    <xf numFmtId="3" fontId="18" fillId="2" borderId="12" xfId="1" applyNumberFormat="1" applyFont="1" applyFill="1" applyBorder="1"/>
    <xf numFmtId="3" fontId="16" fillId="2" borderId="16" xfId="1" applyNumberFormat="1" applyFont="1" applyFill="1" applyBorder="1"/>
    <xf numFmtId="1" fontId="17" fillId="2" borderId="0" xfId="0" applyNumberFormat="1" applyFont="1" applyFill="1"/>
    <xf numFmtId="1" fontId="17" fillId="2" borderId="6" xfId="0" applyNumberFormat="1" applyFont="1" applyFill="1" applyBorder="1"/>
    <xf numFmtId="1" fontId="19" fillId="2" borderId="0" xfId="0" applyNumberFormat="1" applyFont="1" applyFill="1"/>
    <xf numFmtId="1" fontId="16" fillId="2" borderId="0" xfId="0" applyNumberFormat="1" applyFont="1" applyFill="1"/>
    <xf numFmtId="1" fontId="16" fillId="2" borderId="6" xfId="0" applyNumberFormat="1" applyFont="1" applyFill="1" applyBorder="1"/>
    <xf numFmtId="1" fontId="18" fillId="2" borderId="0" xfId="0" applyNumberFormat="1" applyFont="1" applyFill="1"/>
    <xf numFmtId="1" fontId="17" fillId="2" borderId="12" xfId="0" applyNumberFormat="1" applyFont="1" applyFill="1" applyBorder="1"/>
    <xf numFmtId="1" fontId="17" fillId="2" borderId="11" xfId="0" applyNumberFormat="1" applyFont="1" applyFill="1" applyBorder="1"/>
    <xf numFmtId="1" fontId="19" fillId="2" borderId="12" xfId="0" applyNumberFormat="1" applyFont="1" applyFill="1" applyBorder="1"/>
    <xf numFmtId="3" fontId="17" fillId="2" borderId="0" xfId="1" applyNumberFormat="1" applyFont="1" applyFill="1"/>
    <xf numFmtId="3" fontId="19" fillId="2" borderId="0" xfId="1" applyNumberFormat="1" applyFont="1" applyFill="1"/>
    <xf numFmtId="3" fontId="17" fillId="2" borderId="15" xfId="1" applyNumberFormat="1" applyFont="1" applyFill="1" applyBorder="1"/>
    <xf numFmtId="0" fontId="16" fillId="2" borderId="12" xfId="0" applyFont="1" applyFill="1" applyBorder="1"/>
    <xf numFmtId="0" fontId="18" fillId="2" borderId="12" xfId="0" applyFont="1" applyFill="1" applyBorder="1"/>
    <xf numFmtId="0" fontId="8" fillId="2" borderId="0" xfId="0" applyFont="1" applyFill="1"/>
    <xf numFmtId="3" fontId="9" fillId="2" borderId="0" xfId="1" applyNumberFormat="1" applyFont="1" applyFill="1"/>
    <xf numFmtId="3" fontId="5" fillId="2" borderId="0" xfId="1" applyNumberFormat="1" applyFont="1" applyFill="1" applyBorder="1"/>
    <xf numFmtId="3" fontId="5" fillId="0" borderId="0" xfId="1" applyNumberFormat="1" applyFont="1" applyFill="1"/>
    <xf numFmtId="3" fontId="6" fillId="0" borderId="0" xfId="1" applyNumberFormat="1" applyFont="1" applyFill="1"/>
    <xf numFmtId="164" fontId="0" fillId="0" borderId="1" xfId="0" applyNumberFormat="1" applyBorder="1"/>
    <xf numFmtId="0" fontId="0" fillId="6" borderId="0" xfId="0" applyFill="1"/>
    <xf numFmtId="1" fontId="0" fillId="6" borderId="1" xfId="0" applyNumberFormat="1" applyFill="1" applyBorder="1"/>
    <xf numFmtId="164" fontId="0" fillId="6" borderId="1" xfId="1" applyFont="1" applyFill="1" applyBorder="1"/>
    <xf numFmtId="164" fontId="0" fillId="6" borderId="1" xfId="0" applyNumberFormat="1" applyFill="1" applyBorder="1"/>
    <xf numFmtId="0" fontId="15" fillId="9" borderId="17" xfId="0" applyFont="1" applyFill="1" applyBorder="1" applyAlignment="1">
      <alignment horizontal="center" vertical="center" wrapText="1"/>
    </xf>
    <xf numFmtId="1" fontId="15" fillId="9" borderId="17" xfId="0" applyNumberFormat="1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textRotation="90" wrapText="1"/>
    </xf>
    <xf numFmtId="169" fontId="14" fillId="9" borderId="17" xfId="0" applyNumberFormat="1" applyFont="1" applyFill="1" applyBorder="1" applyAlignment="1">
      <alignment horizontal="center" vertical="center" textRotation="90" wrapText="1"/>
    </xf>
    <xf numFmtId="170" fontId="14" fillId="9" borderId="18" xfId="0" applyNumberFormat="1" applyFont="1" applyFill="1" applyBorder="1" applyAlignment="1">
      <alignment horizontal="center" vertical="center" textRotation="90" wrapText="1"/>
    </xf>
    <xf numFmtId="170" fontId="14" fillId="9" borderId="17" xfId="0" applyNumberFormat="1" applyFont="1" applyFill="1" applyBorder="1" applyAlignment="1">
      <alignment horizontal="center" vertical="center" textRotation="90" wrapText="1"/>
    </xf>
    <xf numFmtId="164" fontId="15" fillId="9" borderId="17" xfId="1" applyFont="1" applyFill="1" applyBorder="1" applyAlignment="1">
      <alignment horizontal="center" vertical="center" wrapText="1"/>
    </xf>
    <xf numFmtId="164" fontId="3" fillId="0" borderId="0" xfId="1" applyFont="1"/>
    <xf numFmtId="164" fontId="3" fillId="0" borderId="0" xfId="1" applyFont="1" applyAlignment="1">
      <alignment wrapText="1"/>
    </xf>
    <xf numFmtId="49" fontId="0" fillId="0" borderId="1" xfId="0" applyNumberFormat="1" applyBorder="1"/>
    <xf numFmtId="164" fontId="0" fillId="0" borderId="1" xfId="1" applyFont="1" applyBorder="1"/>
    <xf numFmtId="164" fontId="0" fillId="0" borderId="1" xfId="1" applyFont="1" applyBorder="1" applyAlignment="1">
      <alignment wrapText="1"/>
    </xf>
    <xf numFmtId="164" fontId="0" fillId="0" borderId="1" xfId="0" applyNumberFormat="1" applyBorder="1" applyAlignment="1">
      <alignment wrapText="1"/>
    </xf>
    <xf numFmtId="17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8" fontId="0" fillId="0" borderId="1" xfId="0" applyNumberFormat="1" applyBorder="1"/>
    <xf numFmtId="0" fontId="0" fillId="10" borderId="1" xfId="0" applyFill="1" applyBorder="1"/>
    <xf numFmtId="1" fontId="0" fillId="10" borderId="1" xfId="0" applyNumberFormat="1" applyFill="1" applyBorder="1"/>
    <xf numFmtId="49" fontId="0" fillId="10" borderId="1" xfId="0" applyNumberFormat="1" applyFill="1" applyBorder="1"/>
    <xf numFmtId="164" fontId="0" fillId="10" borderId="1" xfId="1" applyFont="1" applyFill="1" applyBorder="1"/>
    <xf numFmtId="164" fontId="0" fillId="10" borderId="1" xfId="1" applyFont="1" applyFill="1" applyBorder="1" applyAlignment="1">
      <alignment wrapText="1"/>
    </xf>
    <xf numFmtId="164" fontId="0" fillId="10" borderId="1" xfId="0" applyNumberFormat="1" applyFill="1" applyBorder="1" applyAlignment="1">
      <alignment wrapText="1"/>
    </xf>
    <xf numFmtId="0" fontId="0" fillId="10" borderId="0" xfId="0" applyFill="1"/>
    <xf numFmtId="0" fontId="0" fillId="7" borderId="1" xfId="0" applyFill="1" applyBorder="1"/>
    <xf numFmtId="1" fontId="0" fillId="7" borderId="1" xfId="0" applyNumberFormat="1" applyFill="1" applyBorder="1"/>
    <xf numFmtId="49" fontId="0" fillId="7" borderId="1" xfId="0" applyNumberFormat="1" applyFill="1" applyBorder="1"/>
    <xf numFmtId="164" fontId="0" fillId="7" borderId="1" xfId="1" applyFont="1" applyFill="1" applyBorder="1"/>
    <xf numFmtId="164" fontId="0" fillId="7" borderId="1" xfId="1" applyFont="1" applyFill="1" applyBorder="1" applyAlignment="1">
      <alignment wrapText="1"/>
    </xf>
    <xf numFmtId="164" fontId="0" fillId="7" borderId="1" xfId="0" applyNumberFormat="1" applyFill="1" applyBorder="1" applyAlignment="1">
      <alignment wrapText="1"/>
    </xf>
    <xf numFmtId="171" fontId="0" fillId="7" borderId="1" xfId="0" applyNumberFormat="1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0" fontId="0" fillId="7" borderId="0" xfId="0" applyFill="1"/>
    <xf numFmtId="164" fontId="0" fillId="0" borderId="0" xfId="0" applyNumberFormat="1"/>
    <xf numFmtId="49" fontId="0" fillId="6" borderId="1" xfId="0" applyNumberFormat="1" applyFill="1" applyBorder="1"/>
    <xf numFmtId="164" fontId="0" fillId="6" borderId="1" xfId="1" applyFont="1" applyFill="1" applyBorder="1" applyAlignment="1">
      <alignment wrapText="1"/>
    </xf>
    <xf numFmtId="164" fontId="0" fillId="6" borderId="1" xfId="0" applyNumberFormat="1" applyFill="1" applyBorder="1" applyAlignment="1">
      <alignment wrapText="1"/>
    </xf>
    <xf numFmtId="171" fontId="0" fillId="6" borderId="1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0" fillId="0" borderId="0" xfId="0" applyAlignment="1">
      <alignment wrapText="1"/>
    </xf>
    <xf numFmtId="164" fontId="0" fillId="0" borderId="0" xfId="1" applyFont="1"/>
    <xf numFmtId="168" fontId="0" fillId="0" borderId="0" xfId="0" applyNumberFormat="1"/>
    <xf numFmtId="0" fontId="0" fillId="11" borderId="1" xfId="0" applyFill="1" applyBorder="1"/>
    <xf numFmtId="1" fontId="0" fillId="11" borderId="1" xfId="0" applyNumberFormat="1" applyFill="1" applyBorder="1"/>
    <xf numFmtId="49" fontId="0" fillId="11" borderId="1" xfId="0" applyNumberFormat="1" applyFill="1" applyBorder="1"/>
    <xf numFmtId="164" fontId="0" fillId="11" borderId="1" xfId="1" applyFont="1" applyFill="1" applyBorder="1"/>
    <xf numFmtId="164" fontId="0" fillId="11" borderId="1" xfId="1" applyFont="1" applyFill="1" applyBorder="1" applyAlignment="1">
      <alignment wrapText="1"/>
    </xf>
    <xf numFmtId="164" fontId="0" fillId="11" borderId="1" xfId="0" applyNumberFormat="1" applyFill="1" applyBorder="1" applyAlignment="1">
      <alignment wrapText="1"/>
    </xf>
    <xf numFmtId="171" fontId="0" fillId="11" borderId="1" xfId="0" applyNumberFormat="1" applyFill="1" applyBorder="1" applyAlignment="1">
      <alignment horizontal="center"/>
    </xf>
    <xf numFmtId="164" fontId="0" fillId="11" borderId="1" xfId="0" applyNumberFormat="1" applyFill="1" applyBorder="1" applyAlignment="1">
      <alignment horizontal="center"/>
    </xf>
    <xf numFmtId="168" fontId="0" fillId="11" borderId="1" xfId="0" applyNumberFormat="1" applyFill="1" applyBorder="1"/>
    <xf numFmtId="0" fontId="0" fillId="11" borderId="0" xfId="0" applyFill="1"/>
    <xf numFmtId="164" fontId="5" fillId="0" borderId="0" xfId="1" applyFont="1"/>
    <xf numFmtId="3" fontId="7" fillId="6" borderId="1" xfId="1" applyNumberFormat="1" applyFont="1" applyFill="1" applyBorder="1"/>
    <xf numFmtId="168" fontId="0" fillId="6" borderId="1" xfId="0" applyNumberFormat="1" applyFill="1" applyBorder="1"/>
    <xf numFmtId="164" fontId="0" fillId="7" borderId="1" xfId="0" applyNumberFormat="1" applyFill="1" applyBorder="1"/>
    <xf numFmtId="168" fontId="0" fillId="7" borderId="1" xfId="0" applyNumberFormat="1" applyFill="1" applyBorder="1"/>
    <xf numFmtId="0" fontId="7" fillId="3" borderId="1" xfId="0" applyFont="1" applyFill="1" applyBorder="1" applyAlignment="1">
      <alignment vertical="center" wrapText="1"/>
    </xf>
    <xf numFmtId="4" fontId="7" fillId="3" borderId="1" xfId="0" applyNumberFormat="1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7" fillId="3" borderId="4" xfId="0" applyFont="1" applyFill="1" applyBorder="1" applyAlignment="1">
      <alignment vertical="center" wrapText="1"/>
    </xf>
    <xf numFmtId="0" fontId="7" fillId="3" borderId="9" xfId="0" applyFont="1" applyFill="1" applyBorder="1" applyAlignment="1">
      <alignment vertical="center" wrapText="1"/>
    </xf>
    <xf numFmtId="4" fontId="7" fillId="3" borderId="9" xfId="0" applyNumberFormat="1" applyFont="1" applyFill="1" applyBorder="1" applyAlignment="1">
      <alignment vertical="center" wrapText="1"/>
    </xf>
    <xf numFmtId="4" fontId="7" fillId="3" borderId="10" xfId="0" applyNumberFormat="1" applyFont="1" applyFill="1" applyBorder="1" applyAlignment="1">
      <alignment vertical="center" wrapText="1"/>
    </xf>
    <xf numFmtId="168" fontId="3" fillId="0" borderId="1" xfId="0" applyNumberFormat="1" applyFont="1" applyBorder="1"/>
    <xf numFmtId="168" fontId="0" fillId="12" borderId="1" xfId="0" applyNumberFormat="1" applyFill="1" applyBorder="1"/>
    <xf numFmtId="0" fontId="0" fillId="12" borderId="1" xfId="0" applyFill="1" applyBorder="1"/>
    <xf numFmtId="1" fontId="0" fillId="12" borderId="1" xfId="0" applyNumberFormat="1" applyFill="1" applyBorder="1"/>
    <xf numFmtId="49" fontId="0" fillId="12" borderId="1" xfId="0" applyNumberFormat="1" applyFill="1" applyBorder="1"/>
    <xf numFmtId="164" fontId="0" fillId="12" borderId="1" xfId="1" applyFont="1" applyFill="1" applyBorder="1"/>
    <xf numFmtId="164" fontId="0" fillId="12" borderId="1" xfId="0" applyNumberFormat="1" applyFill="1" applyBorder="1"/>
    <xf numFmtId="171" fontId="0" fillId="12" borderId="1" xfId="0" applyNumberFormat="1" applyFill="1" applyBorder="1" applyAlignment="1">
      <alignment horizontal="center"/>
    </xf>
    <xf numFmtId="164" fontId="0" fillId="12" borderId="1" xfId="0" applyNumberFormat="1" applyFill="1" applyBorder="1" applyAlignment="1">
      <alignment horizontal="center"/>
    </xf>
    <xf numFmtId="0" fontId="0" fillId="12" borderId="0" xfId="0" applyFill="1"/>
    <xf numFmtId="164" fontId="0" fillId="13" borderId="1" xfId="1" applyFont="1" applyFill="1" applyBorder="1"/>
    <xf numFmtId="164" fontId="0" fillId="13" borderId="1" xfId="0" applyNumberFormat="1" applyFill="1" applyBorder="1" applyAlignment="1">
      <alignment wrapText="1"/>
    </xf>
    <xf numFmtId="164" fontId="0" fillId="0" borderId="0" xfId="1" applyFont="1" applyAlignment="1">
      <alignment wrapText="1"/>
    </xf>
    <xf numFmtId="43" fontId="0" fillId="0" borderId="0" xfId="0" applyNumberFormat="1" applyAlignment="1">
      <alignment wrapText="1"/>
    </xf>
    <xf numFmtId="164" fontId="0" fillId="13" borderId="0" xfId="1" applyFont="1" applyFill="1"/>
    <xf numFmtId="164" fontId="0" fillId="10" borderId="1" xfId="0" applyNumberFormat="1" applyFill="1" applyBorder="1"/>
    <xf numFmtId="168" fontId="0" fillId="10" borderId="1" xfId="0" applyNumberFormat="1" applyFill="1" applyBorder="1"/>
    <xf numFmtId="43" fontId="0" fillId="0" borderId="0" xfId="0" applyNumberFormat="1"/>
    <xf numFmtId="44" fontId="0" fillId="0" borderId="0" xfId="0" applyNumberFormat="1"/>
    <xf numFmtId="173" fontId="0" fillId="0" borderId="0" xfId="0" applyNumberFormat="1"/>
    <xf numFmtId="164" fontId="0" fillId="0" borderId="0" xfId="1" applyFont="1" applyFill="1"/>
    <xf numFmtId="164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/>
    <xf numFmtId="0" fontId="2" fillId="0" borderId="1" xfId="0" applyFont="1" applyBorder="1"/>
    <xf numFmtId="44" fontId="2" fillId="0" borderId="0" xfId="0" applyNumberFormat="1" applyFont="1"/>
    <xf numFmtId="0" fontId="2" fillId="0" borderId="0" xfId="0" applyFont="1"/>
    <xf numFmtId="43" fontId="2" fillId="0" borderId="0" xfId="0" applyNumberFormat="1" applyFont="1"/>
    <xf numFmtId="164" fontId="2" fillId="0" borderId="0" xfId="1" applyFont="1" applyFill="1"/>
    <xf numFmtId="0" fontId="0" fillId="14" borderId="1" xfId="0" applyFill="1" applyBorder="1"/>
    <xf numFmtId="1" fontId="0" fillId="14" borderId="1" xfId="0" applyNumberFormat="1" applyFill="1" applyBorder="1"/>
    <xf numFmtId="49" fontId="0" fillId="14" borderId="1" xfId="0" applyNumberFormat="1" applyFill="1" applyBorder="1"/>
    <xf numFmtId="164" fontId="0" fillId="14" borderId="1" xfId="0" applyNumberFormat="1" applyFill="1" applyBorder="1"/>
    <xf numFmtId="164" fontId="0" fillId="14" borderId="1" xfId="0" applyNumberFormat="1" applyFill="1" applyBorder="1" applyAlignment="1">
      <alignment horizontal="center"/>
    </xf>
    <xf numFmtId="168" fontId="0" fillId="14" borderId="1" xfId="0" applyNumberFormat="1" applyFill="1" applyBorder="1"/>
    <xf numFmtId="44" fontId="0" fillId="14" borderId="0" xfId="0" applyNumberFormat="1" applyFill="1"/>
    <xf numFmtId="43" fontId="0" fillId="14" borderId="0" xfId="0" applyNumberFormat="1" applyFill="1"/>
    <xf numFmtId="164" fontId="0" fillId="14" borderId="0" xfId="1" applyFont="1" applyFill="1"/>
    <xf numFmtId="0" fontId="0" fillId="14" borderId="0" xfId="0" applyFill="1"/>
    <xf numFmtId="172" fontId="2" fillId="0" borderId="1" xfId="1" applyNumberFormat="1" applyFont="1" applyFill="1" applyBorder="1" applyAlignment="1">
      <alignment horizontal="right"/>
    </xf>
    <xf numFmtId="1" fontId="2" fillId="0" borderId="1" xfId="0" applyNumberFormat="1" applyFont="1" applyBorder="1"/>
    <xf numFmtId="49" fontId="2" fillId="0" borderId="1" xfId="0" applyNumberFormat="1" applyFont="1" applyBorder="1"/>
    <xf numFmtId="164" fontId="2" fillId="0" borderId="1" xfId="0" applyNumberFormat="1" applyFont="1" applyBorder="1"/>
    <xf numFmtId="1" fontId="10" fillId="0" borderId="1" xfId="0" applyNumberFormat="1" applyFont="1" applyBorder="1"/>
    <xf numFmtId="49" fontId="10" fillId="0" borderId="1" xfId="0" applyNumberFormat="1" applyFont="1" applyBorder="1"/>
    <xf numFmtId="164" fontId="10" fillId="0" borderId="1" xfId="0" applyNumberFormat="1" applyFont="1" applyBorder="1"/>
    <xf numFmtId="164" fontId="10" fillId="0" borderId="1" xfId="0" applyNumberFormat="1" applyFont="1" applyBorder="1" applyAlignment="1">
      <alignment horizontal="center"/>
    </xf>
    <xf numFmtId="168" fontId="10" fillId="0" borderId="1" xfId="0" applyNumberFormat="1" applyFont="1" applyBorder="1"/>
    <xf numFmtId="44" fontId="10" fillId="0" borderId="0" xfId="0" applyNumberFormat="1" applyFont="1"/>
    <xf numFmtId="43" fontId="10" fillId="0" borderId="0" xfId="0" applyNumberFormat="1" applyFont="1"/>
    <xf numFmtId="164" fontId="10" fillId="0" borderId="0" xfId="1" applyFont="1" applyFill="1"/>
    <xf numFmtId="1" fontId="20" fillId="15" borderId="1" xfId="1" applyNumberFormat="1" applyFont="1" applyFill="1" applyBorder="1" applyAlignment="1">
      <alignment vertical="center"/>
    </xf>
    <xf numFmtId="0" fontId="20" fillId="15" borderId="1" xfId="0" applyFont="1" applyFill="1" applyBorder="1" applyAlignment="1">
      <alignment vertical="center"/>
    </xf>
    <xf numFmtId="164" fontId="20" fillId="15" borderId="1" xfId="1" applyFont="1" applyFill="1" applyBorder="1" applyAlignment="1">
      <alignment vertical="center"/>
    </xf>
    <xf numFmtId="1" fontId="20" fillId="0" borderId="0" xfId="1" applyNumberFormat="1" applyFont="1" applyAlignment="1">
      <alignment vertical="center"/>
    </xf>
    <xf numFmtId="1" fontId="21" fillId="0" borderId="1" xfId="1" applyNumberFormat="1" applyFont="1" applyFill="1" applyBorder="1" applyAlignment="1"/>
    <xf numFmtId="0" fontId="21" fillId="0" borderId="1" xfId="0" applyFont="1" applyBorder="1"/>
    <xf numFmtId="164" fontId="21" fillId="0" borderId="1" xfId="1" applyFont="1" applyFill="1" applyBorder="1" applyAlignment="1"/>
    <xf numFmtId="1" fontId="21" fillId="0" borderId="0" xfId="0" applyNumberFormat="1" applyFont="1"/>
    <xf numFmtId="1" fontId="21" fillId="0" borderId="1" xfId="0" applyNumberFormat="1" applyFont="1" applyBorder="1"/>
    <xf numFmtId="164" fontId="21" fillId="0" borderId="1" xfId="1" applyFont="1" applyBorder="1"/>
    <xf numFmtId="164" fontId="21" fillId="0" borderId="1" xfId="1" applyFont="1" applyBorder="1" applyAlignment="1"/>
    <xf numFmtId="164" fontId="21" fillId="0" borderId="1" xfId="1" applyFont="1" applyFill="1" applyBorder="1"/>
    <xf numFmtId="0" fontId="21" fillId="0" borderId="0" xfId="0" applyFont="1"/>
    <xf numFmtId="1" fontId="21" fillId="0" borderId="1" xfId="1" applyNumberFormat="1" applyFont="1" applyBorder="1" applyAlignment="1"/>
    <xf numFmtId="1" fontId="21" fillId="0" borderId="0" xfId="1" applyNumberFormat="1" applyFont="1" applyAlignment="1"/>
    <xf numFmtId="164" fontId="22" fillId="0" borderId="1" xfId="1" applyFont="1" applyBorder="1"/>
    <xf numFmtId="164" fontId="21" fillId="0" borderId="0" xfId="1" applyFont="1"/>
    <xf numFmtId="1" fontId="21" fillId="0" borderId="0" xfId="1" applyNumberFormat="1" applyFont="1" applyFill="1" applyAlignment="1"/>
    <xf numFmtId="164" fontId="21" fillId="0" borderId="0" xfId="1" applyFont="1" applyFill="1" applyAlignment="1"/>
    <xf numFmtId="0" fontId="21" fillId="13" borderId="0" xfId="0" applyFont="1" applyFill="1"/>
    <xf numFmtId="164" fontId="21" fillId="13" borderId="0" xfId="1" applyFont="1" applyFill="1"/>
    <xf numFmtId="164" fontId="21" fillId="13" borderId="0" xfId="1" applyFont="1" applyFill="1" applyBorder="1" applyAlignment="1"/>
    <xf numFmtId="0" fontId="21" fillId="15" borderId="1" xfId="0" applyFont="1" applyFill="1" applyBorder="1"/>
    <xf numFmtId="164" fontId="21" fillId="15" borderId="1" xfId="1" applyFont="1" applyFill="1" applyBorder="1" applyAlignment="1"/>
    <xf numFmtId="0" fontId="21" fillId="15" borderId="0" xfId="0" applyFont="1" applyFill="1"/>
    <xf numFmtId="164" fontId="21" fillId="15" borderId="0" xfId="1" applyFont="1" applyFill="1" applyBorder="1" applyAlignment="1"/>
    <xf numFmtId="164" fontId="21" fillId="15" borderId="12" xfId="1" applyFont="1" applyFill="1" applyBorder="1" applyAlignment="1"/>
    <xf numFmtId="0" fontId="21" fillId="0" borderId="0" xfId="0" applyFont="1" applyAlignment="1">
      <alignment horizontal="left"/>
    </xf>
    <xf numFmtId="164" fontId="21" fillId="13" borderId="0" xfId="1" applyFont="1" applyFill="1" applyAlignment="1">
      <alignment horizontal="left"/>
    </xf>
    <xf numFmtId="164" fontId="21" fillId="13" borderId="0" xfId="1" applyFont="1" applyFill="1" applyAlignment="1">
      <alignment horizontal="center"/>
    </xf>
    <xf numFmtId="164" fontId="21" fillId="0" borderId="0" xfId="1" applyFont="1" applyAlignment="1"/>
    <xf numFmtId="164" fontId="21" fillId="16" borderId="1" xfId="1" applyFont="1" applyFill="1" applyBorder="1" applyAlignment="1">
      <alignment horizontal="left"/>
    </xf>
    <xf numFmtId="164" fontId="21" fillId="16" borderId="4" xfId="1" applyFont="1" applyFill="1" applyBorder="1" applyAlignment="1">
      <alignment horizontal="left"/>
    </xf>
    <xf numFmtId="0" fontId="20" fillId="15" borderId="0" xfId="0" applyFont="1" applyFill="1" applyAlignment="1">
      <alignment vertical="center"/>
    </xf>
    <xf numFmtId="0" fontId="20" fillId="15" borderId="3" xfId="0" applyFont="1" applyFill="1" applyBorder="1" applyAlignment="1">
      <alignment vertical="center"/>
    </xf>
    <xf numFmtId="0" fontId="22" fillId="0" borderId="1" xfId="0" applyFont="1" applyBorder="1"/>
    <xf numFmtId="0" fontId="21" fillId="13" borderId="3" xfId="0" applyFont="1" applyFill="1" applyBorder="1"/>
    <xf numFmtId="1" fontId="20" fillId="15" borderId="1" xfId="0" applyNumberFormat="1" applyFont="1" applyFill="1" applyBorder="1"/>
    <xf numFmtId="0" fontId="20" fillId="15" borderId="1" xfId="0" applyFont="1" applyFill="1" applyBorder="1"/>
    <xf numFmtId="0" fontId="21" fillId="13" borderId="0" xfId="0" applyFont="1" applyFill="1" applyAlignment="1">
      <alignment horizontal="left"/>
    </xf>
    <xf numFmtId="0" fontId="21" fillId="13" borderId="0" xfId="0" applyFont="1" applyFill="1" applyAlignment="1">
      <alignment horizontal="center"/>
    </xf>
    <xf numFmtId="0" fontId="21" fillId="16" borderId="1" xfId="0" applyFont="1" applyFill="1" applyBorder="1" applyAlignment="1">
      <alignment horizontal="left"/>
    </xf>
    <xf numFmtId="174" fontId="21" fillId="16" borderId="1" xfId="0" applyNumberFormat="1" applyFont="1" applyFill="1" applyBorder="1" applyAlignment="1">
      <alignment horizontal="left"/>
    </xf>
    <xf numFmtId="174" fontId="21" fillId="16" borderId="4" xfId="0" applyNumberFormat="1" applyFont="1" applyFill="1" applyBorder="1" applyAlignment="1">
      <alignment horizontal="left"/>
    </xf>
    <xf numFmtId="1" fontId="21" fillId="0" borderId="0" xfId="0" applyNumberFormat="1" applyFont="1" applyAlignment="1">
      <alignment horizontal="left"/>
    </xf>
    <xf numFmtId="0" fontId="20" fillId="0" borderId="0" xfId="0" applyFont="1" applyAlignment="1">
      <alignment vertical="center"/>
    </xf>
    <xf numFmtId="0" fontId="23" fillId="0" borderId="10" xfId="0" applyFont="1" applyBorder="1"/>
    <xf numFmtId="1" fontId="22" fillId="0" borderId="1" xfId="0" applyNumberFormat="1" applyFont="1" applyBorder="1"/>
    <xf numFmtId="0" fontId="22" fillId="0" borderId="0" xfId="0" applyFont="1"/>
    <xf numFmtId="0" fontId="21" fillId="0" borderId="4" xfId="0" applyFont="1" applyBorder="1"/>
    <xf numFmtId="1" fontId="22" fillId="0" borderId="1" xfId="1" applyNumberFormat="1" applyFont="1" applyFill="1" applyBorder="1"/>
    <xf numFmtId="164" fontId="22" fillId="0" borderId="1" xfId="1" applyFont="1" applyFill="1" applyBorder="1"/>
    <xf numFmtId="1" fontId="21" fillId="0" borderId="1" xfId="1" applyNumberFormat="1" applyFont="1" applyFill="1" applyBorder="1"/>
    <xf numFmtId="1" fontId="21" fillId="0" borderId="4" xfId="0" applyNumberFormat="1" applyFont="1" applyBorder="1"/>
    <xf numFmtId="0" fontId="23" fillId="0" borderId="1" xfId="0" applyFont="1" applyBorder="1"/>
    <xf numFmtId="1" fontId="21" fillId="0" borderId="2" xfId="0" applyNumberFormat="1" applyFont="1" applyBorder="1"/>
    <xf numFmtId="2" fontId="21" fillId="0" borderId="1" xfId="1" applyNumberFormat="1" applyFont="1" applyBorder="1" applyAlignment="1"/>
    <xf numFmtId="2" fontId="21" fillId="0" borderId="1" xfId="1" applyNumberFormat="1" applyFont="1" applyFill="1" applyBorder="1" applyAlignment="1"/>
    <xf numFmtId="0" fontId="23" fillId="0" borderId="0" xfId="0" applyFont="1"/>
    <xf numFmtId="1" fontId="21" fillId="0" borderId="0" xfId="1" applyNumberFormat="1" applyFont="1" applyFill="1" applyBorder="1" applyAlignment="1"/>
    <xf numFmtId="164" fontId="21" fillId="0" borderId="0" xfId="1" applyFont="1" applyFill="1" applyBorder="1"/>
    <xf numFmtId="1" fontId="21" fillId="13" borderId="0" xfId="0" applyNumberFormat="1" applyFont="1" applyFill="1" applyAlignment="1">
      <alignment horizontal="left"/>
    </xf>
    <xf numFmtId="1" fontId="21" fillId="13" borderId="0" xfId="1" applyNumberFormat="1" applyFont="1" applyFill="1" applyBorder="1" applyAlignment="1">
      <alignment horizontal="left"/>
    </xf>
    <xf numFmtId="1" fontId="21" fillId="15" borderId="1" xfId="1" applyNumberFormat="1" applyFont="1" applyFill="1" applyBorder="1" applyAlignment="1">
      <alignment horizontal="left"/>
    </xf>
    <xf numFmtId="2" fontId="21" fillId="15" borderId="1" xfId="1" applyNumberFormat="1" applyFont="1" applyFill="1" applyBorder="1" applyAlignment="1">
      <alignment horizontal="left"/>
    </xf>
    <xf numFmtId="0" fontId="21" fillId="0" borderId="0" xfId="0" applyFont="1" applyAlignment="1">
      <alignment horizontal="right"/>
    </xf>
    <xf numFmtId="1" fontId="21" fillId="16" borderId="1" xfId="0" applyNumberFormat="1" applyFont="1" applyFill="1" applyBorder="1" applyAlignment="1">
      <alignment horizontal="left"/>
    </xf>
    <xf numFmtId="1" fontId="21" fillId="16" borderId="4" xfId="1" applyNumberFormat="1" applyFont="1" applyFill="1" applyBorder="1" applyAlignment="1">
      <alignment horizontal="left"/>
    </xf>
    <xf numFmtId="1" fontId="21" fillId="16" borderId="1" xfId="1" applyNumberFormat="1" applyFont="1" applyFill="1" applyBorder="1" applyAlignment="1">
      <alignment horizontal="left"/>
    </xf>
    <xf numFmtId="2" fontId="21" fillId="0" borderId="0" xfId="1" applyNumberFormat="1" applyFont="1" applyAlignment="1"/>
    <xf numFmtId="1" fontId="20" fillId="15" borderId="1" xfId="1" applyNumberFormat="1" applyFont="1" applyFill="1" applyBorder="1" applyAlignment="1">
      <alignment horizontal="left" vertical="center"/>
    </xf>
    <xf numFmtId="1" fontId="21" fillId="0" borderId="1" xfId="1" applyNumberFormat="1" applyFont="1" applyFill="1" applyBorder="1" applyAlignment="1">
      <alignment horizontal="left"/>
    </xf>
    <xf numFmtId="1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" fontId="21" fillId="0" borderId="1" xfId="1" applyNumberFormat="1" applyFont="1" applyBorder="1" applyAlignment="1">
      <alignment horizontal="left"/>
    </xf>
    <xf numFmtId="1" fontId="21" fillId="0" borderId="0" xfId="1" applyNumberFormat="1" applyFont="1" applyAlignment="1">
      <alignment horizontal="left"/>
    </xf>
    <xf numFmtId="1" fontId="15" fillId="9" borderId="17" xfId="0" applyNumberFormat="1" applyFont="1" applyFill="1" applyBorder="1" applyAlignment="1">
      <alignment horizontal="left" vertical="center" wrapText="1"/>
    </xf>
    <xf numFmtId="1" fontId="0" fillId="0" borderId="1" xfId="0" applyNumberFormat="1" applyBorder="1" applyAlignment="1">
      <alignment horizontal="left"/>
    </xf>
    <xf numFmtId="1" fontId="0" fillId="0" borderId="0" xfId="0" applyNumberFormat="1" applyAlignment="1">
      <alignment horizontal="left"/>
    </xf>
    <xf numFmtId="164" fontId="20" fillId="15" borderId="3" xfId="1" applyFont="1" applyFill="1" applyBorder="1" applyAlignment="1">
      <alignment vertical="center"/>
    </xf>
    <xf numFmtId="164" fontId="20" fillId="15" borderId="1" xfId="1" applyFont="1" applyFill="1" applyBorder="1" applyAlignment="1">
      <alignment horizontal="left" vertical="center" wrapText="1"/>
    </xf>
    <xf numFmtId="164" fontId="21" fillId="13" borderId="3" xfId="1" applyFont="1" applyFill="1" applyBorder="1"/>
    <xf numFmtId="164" fontId="20" fillId="15" borderId="1" xfId="1" applyFont="1" applyFill="1" applyBorder="1"/>
    <xf numFmtId="164" fontId="21" fillId="0" borderId="0" xfId="1" applyFont="1" applyAlignment="1">
      <alignment horizontal="left"/>
    </xf>
    <xf numFmtId="0" fontId="20" fillId="15" borderId="1" xfId="0" applyFont="1" applyFill="1" applyBorder="1" applyAlignment="1">
      <alignment horizontal="left" vertical="center" wrapText="1"/>
    </xf>
    <xf numFmtId="1" fontId="21" fillId="0" borderId="1" xfId="1" applyNumberFormat="1" applyFont="1" applyBorder="1"/>
    <xf numFmtId="1" fontId="21" fillId="13" borderId="0" xfId="0" applyNumberFormat="1" applyFont="1" applyFill="1"/>
    <xf numFmtId="1" fontId="21" fillId="13" borderId="0" xfId="1" applyNumberFormat="1" applyFont="1" applyFill="1" applyBorder="1" applyAlignment="1"/>
    <xf numFmtId="1" fontId="21" fillId="13" borderId="0" xfId="0" applyNumberFormat="1" applyFont="1" applyFill="1" applyAlignment="1">
      <alignment horizontal="center"/>
    </xf>
    <xf numFmtId="164" fontId="21" fillId="15" borderId="1" xfId="1" applyFont="1" applyFill="1" applyBorder="1" applyAlignment="1">
      <alignment horizontal="left"/>
    </xf>
    <xf numFmtId="10" fontId="21" fillId="0" borderId="0" xfId="0" applyNumberFormat="1" applyFont="1" applyAlignment="1">
      <alignment horizontal="left"/>
    </xf>
    <xf numFmtId="164" fontId="21" fillId="0" borderId="20" xfId="1" applyFont="1" applyBorder="1"/>
    <xf numFmtId="167" fontId="0" fillId="0" borderId="0" xfId="3" applyFont="1"/>
    <xf numFmtId="0" fontId="25" fillId="0" borderId="0" xfId="0" applyFont="1"/>
    <xf numFmtId="167" fontId="3" fillId="0" borderId="20" xfId="3" applyFont="1" applyBorder="1"/>
    <xf numFmtId="167" fontId="0" fillId="0" borderId="0" xfId="0" applyNumberFormat="1"/>
    <xf numFmtId="167" fontId="3" fillId="0" borderId="20" xfId="0" applyNumberFormat="1" applyFont="1" applyBorder="1"/>
    <xf numFmtId="164" fontId="21" fillId="15" borderId="1" xfId="1" applyFont="1" applyFill="1" applyBorder="1"/>
    <xf numFmtId="0" fontId="21" fillId="16" borderId="10" xfId="0" applyFont="1" applyFill="1" applyBorder="1"/>
    <xf numFmtId="167" fontId="26" fillId="0" borderId="27" xfId="0" applyNumberFormat="1" applyFont="1" applyBorder="1"/>
    <xf numFmtId="3" fontId="6" fillId="6" borderId="1" xfId="1" applyNumberFormat="1" applyFont="1" applyFill="1" applyBorder="1"/>
    <xf numFmtId="0" fontId="21" fillId="13" borderId="9" xfId="0" applyFont="1" applyFill="1" applyBorder="1"/>
    <xf numFmtId="0" fontId="21" fillId="16" borderId="9" xfId="0" applyFont="1" applyFill="1" applyBorder="1"/>
    <xf numFmtId="0" fontId="6" fillId="6" borderId="1" xfId="0" applyFont="1" applyFill="1" applyBorder="1" applyAlignment="1">
      <alignment horizontal="left" indent="1"/>
    </xf>
    <xf numFmtId="0" fontId="21" fillId="16" borderId="4" xfId="0" applyFont="1" applyFill="1" applyBorder="1"/>
    <xf numFmtId="167" fontId="24" fillId="0" borderId="20" xfId="3" applyFont="1" applyFill="1" applyBorder="1"/>
    <xf numFmtId="0" fontId="26" fillId="0" borderId="0" xfId="0" applyFont="1"/>
    <xf numFmtId="167" fontId="26" fillId="0" borderId="0" xfId="3" applyFont="1" applyFill="1" applyBorder="1"/>
    <xf numFmtId="167" fontId="26" fillId="0" borderId="20" xfId="3" applyFont="1" applyBorder="1" applyAlignment="1">
      <alignment horizontal="left"/>
    </xf>
    <xf numFmtId="167" fontId="26" fillId="0" borderId="0" xfId="3" applyFont="1" applyFill="1" applyBorder="1" applyAlignment="1">
      <alignment horizontal="left"/>
    </xf>
    <xf numFmtId="167" fontId="26" fillId="0" borderId="0" xfId="3" applyFont="1" applyAlignment="1">
      <alignment horizontal="left"/>
    </xf>
    <xf numFmtId="167" fontId="21" fillId="0" borderId="0" xfId="3" applyFont="1" applyFill="1" applyAlignment="1">
      <alignment horizontal="left"/>
    </xf>
    <xf numFmtId="167" fontId="26" fillId="0" borderId="0" xfId="3" applyFont="1" applyFill="1" applyAlignment="1">
      <alignment horizontal="left"/>
    </xf>
    <xf numFmtId="167" fontId="26" fillId="0" borderId="0" xfId="3" applyFont="1" applyFill="1"/>
    <xf numFmtId="167" fontId="20" fillId="13" borderId="1" xfId="3" applyFont="1" applyFill="1" applyBorder="1" applyAlignment="1">
      <alignment horizontal="center"/>
    </xf>
    <xf numFmtId="167" fontId="20" fillId="13" borderId="4" xfId="3" applyFont="1" applyFill="1" applyBorder="1" applyAlignment="1">
      <alignment horizontal="center"/>
    </xf>
    <xf numFmtId="13" fontId="20" fillId="13" borderId="4" xfId="3" applyNumberFormat="1" applyFont="1" applyFill="1" applyBorder="1" applyAlignment="1">
      <alignment horizontal="center"/>
    </xf>
    <xf numFmtId="167" fontId="3" fillId="0" borderId="19" xfId="3" applyFont="1" applyFill="1" applyBorder="1" applyAlignment="1">
      <alignment horizontal="left"/>
    </xf>
    <xf numFmtId="167" fontId="24" fillId="0" borderId="21" xfId="3" applyFont="1" applyFill="1" applyBorder="1" applyAlignment="1">
      <alignment horizontal="left"/>
    </xf>
    <xf numFmtId="167" fontId="24" fillId="0" borderId="22" xfId="3" applyFont="1" applyFill="1" applyBorder="1" applyAlignment="1">
      <alignment horizontal="left"/>
    </xf>
    <xf numFmtId="0" fontId="26" fillId="0" borderId="23" xfId="0" applyFont="1" applyBorder="1"/>
    <xf numFmtId="167" fontId="24" fillId="0" borderId="19" xfId="3" applyFont="1" applyFill="1" applyBorder="1" applyAlignment="1">
      <alignment horizontal="left"/>
    </xf>
    <xf numFmtId="167" fontId="3" fillId="0" borderId="24" xfId="3" applyFont="1" applyFill="1" applyBorder="1" applyAlignment="1">
      <alignment horizontal="left"/>
    </xf>
    <xf numFmtId="167" fontId="24" fillId="0" borderId="0" xfId="3" applyFont="1" applyFill="1" applyBorder="1" applyAlignment="1">
      <alignment horizontal="left"/>
    </xf>
    <xf numFmtId="167" fontId="24" fillId="0" borderId="25" xfId="3" applyFont="1" applyFill="1" applyBorder="1" applyAlignment="1">
      <alignment horizontal="left"/>
    </xf>
    <xf numFmtId="0" fontId="26" fillId="0" borderId="26" xfId="0" applyFont="1" applyBorder="1"/>
    <xf numFmtId="167" fontId="24" fillId="0" borderId="26" xfId="3" applyFont="1" applyFill="1" applyBorder="1"/>
    <xf numFmtId="167" fontId="24" fillId="0" borderId="0" xfId="3" applyFont="1" applyFill="1" applyBorder="1"/>
    <xf numFmtId="167" fontId="3" fillId="0" borderId="27" xfId="3" applyFont="1" applyFill="1" applyBorder="1" applyAlignment="1">
      <alignment horizontal="left"/>
    </xf>
    <xf numFmtId="167" fontId="24" fillId="0" borderId="28" xfId="3" applyFont="1" applyFill="1" applyBorder="1" applyAlignment="1">
      <alignment horizontal="left"/>
    </xf>
    <xf numFmtId="167" fontId="24" fillId="0" borderId="29" xfId="3" applyFont="1" applyFill="1" applyBorder="1" applyAlignment="1">
      <alignment horizontal="left"/>
    </xf>
    <xf numFmtId="0" fontId="26" fillId="0" borderId="30" xfId="0" applyFont="1" applyBorder="1"/>
    <xf numFmtId="167" fontId="26" fillId="0" borderId="30" xfId="3" applyFont="1" applyFill="1" applyBorder="1"/>
    <xf numFmtId="167" fontId="26" fillId="0" borderId="28" xfId="3" applyFont="1" applyFill="1" applyBorder="1"/>
    <xf numFmtId="167" fontId="26" fillId="0" borderId="29" xfId="3" applyFont="1" applyFill="1" applyBorder="1" applyAlignment="1">
      <alignment horizontal="left"/>
    </xf>
    <xf numFmtId="167" fontId="3" fillId="0" borderId="0" xfId="3" applyFont="1" applyFill="1" applyBorder="1" applyAlignment="1">
      <alignment horizontal="left"/>
    </xf>
    <xf numFmtId="167" fontId="24" fillId="0" borderId="31" xfId="3" applyFont="1" applyFill="1" applyBorder="1" applyAlignment="1">
      <alignment horizontal="left"/>
    </xf>
    <xf numFmtId="167" fontId="3" fillId="0" borderId="17" xfId="3" applyFont="1" applyFill="1" applyBorder="1" applyAlignment="1">
      <alignment horizontal="left"/>
    </xf>
    <xf numFmtId="167" fontId="26" fillId="0" borderId="18" xfId="3" applyFont="1" applyFill="1" applyBorder="1" applyAlignment="1">
      <alignment horizontal="left"/>
    </xf>
    <xf numFmtId="167" fontId="26" fillId="0" borderId="23" xfId="3" applyFont="1" applyFill="1" applyBorder="1" applyAlignment="1">
      <alignment horizontal="left"/>
    </xf>
    <xf numFmtId="167" fontId="26" fillId="0" borderId="28" xfId="3" applyFont="1" applyFill="1" applyBorder="1" applyAlignment="1">
      <alignment horizontal="left"/>
    </xf>
    <xf numFmtId="167" fontId="26" fillId="0" borderId="30" xfId="3" applyFont="1" applyFill="1" applyBorder="1" applyAlignment="1">
      <alignment horizontal="left"/>
    </xf>
    <xf numFmtId="167" fontId="24" fillId="0" borderId="0" xfId="3" applyFont="1" applyFill="1" applyAlignment="1">
      <alignment horizontal="left"/>
    </xf>
    <xf numFmtId="167" fontId="24" fillId="0" borderId="0" xfId="3" applyFont="1" applyFill="1"/>
    <xf numFmtId="3" fontId="26" fillId="0" borderId="0" xfId="0" applyNumberFormat="1" applyFont="1"/>
    <xf numFmtId="167" fontId="26" fillId="0" borderId="24" xfId="0" applyNumberFormat="1" applyFont="1" applyBorder="1"/>
    <xf numFmtId="174" fontId="21" fillId="0" borderId="0" xfId="0" applyNumberFormat="1" applyFont="1" applyAlignment="1">
      <alignment horizontal="left"/>
    </xf>
    <xf numFmtId="175" fontId="21" fillId="0" borderId="0" xfId="2" applyNumberFormat="1" applyFont="1"/>
    <xf numFmtId="0" fontId="21" fillId="6" borderId="1" xfId="0" applyFont="1" applyFill="1" applyBorder="1"/>
    <xf numFmtId="1" fontId="0" fillId="10" borderId="1" xfId="0" applyNumberFormat="1" applyFill="1" applyBorder="1" applyAlignment="1">
      <alignment horizontal="left"/>
    </xf>
    <xf numFmtId="44" fontId="0" fillId="10" borderId="0" xfId="0" applyNumberFormat="1" applyFill="1"/>
    <xf numFmtId="43" fontId="0" fillId="10" borderId="0" xfId="0" applyNumberFormat="1" applyFill="1"/>
    <xf numFmtId="164" fontId="0" fillId="10" borderId="0" xfId="1" applyFont="1" applyFill="1"/>
    <xf numFmtId="0" fontId="21" fillId="7" borderId="1" xfId="0" applyFont="1" applyFill="1" applyBorder="1"/>
    <xf numFmtId="0" fontId="21" fillId="7" borderId="1" xfId="1" applyNumberFormat="1" applyFont="1" applyFill="1" applyBorder="1" applyAlignment="1"/>
    <xf numFmtId="1" fontId="21" fillId="17" borderId="1" xfId="0" applyNumberFormat="1" applyFont="1" applyFill="1" applyBorder="1"/>
    <xf numFmtId="1" fontId="21" fillId="17" borderId="1" xfId="1" applyNumberFormat="1" applyFont="1" applyFill="1" applyBorder="1" applyAlignment="1"/>
    <xf numFmtId="10" fontId="5" fillId="2" borderId="0" xfId="2" applyNumberFormat="1" applyFont="1" applyFill="1"/>
    <xf numFmtId="171" fontId="0" fillId="10" borderId="1" xfId="0" applyNumberFormat="1" applyFill="1" applyBorder="1" applyAlignment="1">
      <alignment horizontal="center"/>
    </xf>
    <xf numFmtId="164" fontId="21" fillId="0" borderId="0" xfId="1" applyFont="1" applyFill="1" applyBorder="1" applyAlignment="1"/>
    <xf numFmtId="164" fontId="21" fillId="0" borderId="0" xfId="1" applyFont="1" applyBorder="1" applyAlignment="1"/>
    <xf numFmtId="1" fontId="21" fillId="0" borderId="0" xfId="1" applyNumberFormat="1" applyFont="1" applyBorder="1" applyAlignment="1"/>
    <xf numFmtId="164" fontId="21" fillId="0" borderId="0" xfId="1" applyFont="1" applyBorder="1"/>
    <xf numFmtId="1" fontId="20" fillId="0" borderId="0" xfId="1" applyNumberFormat="1" applyFont="1" applyBorder="1" applyAlignment="1">
      <alignment vertical="center"/>
    </xf>
    <xf numFmtId="164" fontId="20" fillId="0" borderId="0" xfId="1" applyFont="1" applyBorder="1" applyAlignment="1">
      <alignment vertical="center"/>
    </xf>
    <xf numFmtId="0" fontId="21" fillId="13" borderId="12" xfId="0" applyFont="1" applyFill="1" applyBorder="1" applyAlignment="1">
      <alignment horizontal="center"/>
    </xf>
    <xf numFmtId="0" fontId="21" fillId="16" borderId="4" xfId="0" applyFont="1" applyFill="1" applyBorder="1" applyAlignment="1">
      <alignment horizontal="center"/>
    </xf>
    <xf numFmtId="0" fontId="21" fillId="16" borderId="9" xfId="0" applyFont="1" applyFill="1" applyBorder="1" applyAlignment="1">
      <alignment horizontal="center"/>
    </xf>
    <xf numFmtId="0" fontId="21" fillId="16" borderId="10" xfId="0" applyFont="1" applyFill="1" applyBorder="1" applyAlignment="1">
      <alignment horizontal="center"/>
    </xf>
    <xf numFmtId="0" fontId="21" fillId="13" borderId="9" xfId="0" applyFont="1" applyFill="1" applyBorder="1" applyAlignment="1">
      <alignment horizontal="left"/>
    </xf>
    <xf numFmtId="0" fontId="21" fillId="16" borderId="4" xfId="0" applyFont="1" applyFill="1" applyBorder="1" applyAlignment="1">
      <alignment horizontal="left"/>
    </xf>
    <xf numFmtId="0" fontId="21" fillId="16" borderId="9" xfId="0" applyFont="1" applyFill="1" applyBorder="1" applyAlignment="1">
      <alignment horizontal="left"/>
    </xf>
    <xf numFmtId="0" fontId="21" fillId="16" borderId="10" xfId="0" applyFont="1" applyFill="1" applyBorder="1" applyAlignment="1">
      <alignment horizontal="left"/>
    </xf>
    <xf numFmtId="0" fontId="21" fillId="13" borderId="9" xfId="0" applyFont="1" applyFill="1" applyBorder="1" applyAlignment="1">
      <alignment horizontal="center"/>
    </xf>
    <xf numFmtId="164" fontId="21" fillId="13" borderId="12" xfId="1" applyFont="1" applyFill="1" applyBorder="1" applyAlignment="1">
      <alignment horizontal="center"/>
    </xf>
    <xf numFmtId="164" fontId="21" fillId="16" borderId="4" xfId="1" applyFont="1" applyFill="1" applyBorder="1" applyAlignment="1">
      <alignment horizontal="center"/>
    </xf>
    <xf numFmtId="164" fontId="21" fillId="16" borderId="9" xfId="1" applyFont="1" applyFill="1" applyBorder="1" applyAlignment="1">
      <alignment horizontal="center"/>
    </xf>
    <xf numFmtId="164" fontId="21" fillId="16" borderId="10" xfId="1" applyFont="1" applyFill="1" applyBorder="1" applyAlignment="1">
      <alignment horizontal="center"/>
    </xf>
    <xf numFmtId="1" fontId="28" fillId="0" borderId="0" xfId="0" applyNumberFormat="1" applyFont="1"/>
    <xf numFmtId="0" fontId="28" fillId="0" borderId="0" xfId="0" applyFont="1"/>
    <xf numFmtId="164" fontId="28" fillId="0" borderId="0" xfId="1" applyFont="1" applyBorder="1"/>
    <xf numFmtId="0" fontId="28" fillId="13" borderId="0" xfId="0" applyFont="1" applyFill="1"/>
    <xf numFmtId="164" fontId="28" fillId="0" borderId="0" xfId="1" applyFont="1"/>
    <xf numFmtId="1" fontId="28" fillId="0" borderId="0" xfId="1" applyNumberFormat="1" applyFont="1" applyAlignment="1"/>
    <xf numFmtId="164" fontId="28" fillId="15" borderId="1" xfId="1" applyFont="1" applyFill="1" applyBorder="1"/>
    <xf numFmtId="164" fontId="28" fillId="0" borderId="0" xfId="1" applyFont="1" applyAlignment="1"/>
    <xf numFmtId="1" fontId="28" fillId="0" borderId="0" xfId="1" applyNumberFormat="1" applyFont="1" applyFill="1" applyAlignment="1"/>
    <xf numFmtId="0" fontId="28" fillId="0" borderId="0" xfId="0" applyFont="1" applyAlignment="1">
      <alignment horizontal="left"/>
    </xf>
    <xf numFmtId="164" fontId="28" fillId="0" borderId="0" xfId="1" applyFont="1" applyFill="1" applyAlignment="1"/>
    <xf numFmtId="174" fontId="21" fillId="0" borderId="0" xfId="1" applyNumberFormat="1" applyFont="1" applyFill="1" applyAlignment="1"/>
    <xf numFmtId="174" fontId="21" fillId="0" borderId="0" xfId="1" applyNumberFormat="1" applyFont="1" applyAlignment="1"/>
    <xf numFmtId="174" fontId="20" fillId="15" borderId="1" xfId="1" applyNumberFormat="1" applyFont="1" applyFill="1" applyBorder="1" applyAlignment="1">
      <alignment vertical="center"/>
    </xf>
    <xf numFmtId="174" fontId="20" fillId="0" borderId="0" xfId="1" applyNumberFormat="1" applyFont="1" applyAlignment="1">
      <alignment vertical="center"/>
    </xf>
    <xf numFmtId="174" fontId="21" fillId="0" borderId="1" xfId="1" applyNumberFormat="1" applyFont="1" applyFill="1" applyBorder="1" applyAlignment="1"/>
    <xf numFmtId="174" fontId="21" fillId="0" borderId="0" xfId="1" applyNumberFormat="1" applyFont="1"/>
    <xf numFmtId="174" fontId="21" fillId="0" borderId="1" xfId="1" applyNumberFormat="1" applyFont="1" applyBorder="1"/>
    <xf numFmtId="174" fontId="21" fillId="0" borderId="1" xfId="1" applyNumberFormat="1" applyFont="1" applyBorder="1" applyAlignment="1"/>
    <xf numFmtId="174" fontId="0" fillId="0" borderId="0" xfId="1" applyNumberFormat="1" applyFont="1"/>
    <xf numFmtId="174" fontId="22" fillId="0" borderId="1" xfId="1" applyNumberFormat="1" applyFont="1" applyBorder="1"/>
    <xf numFmtId="174" fontId="22" fillId="0" borderId="1" xfId="1" applyNumberFormat="1" applyFont="1" applyFill="1" applyBorder="1"/>
    <xf numFmtId="174" fontId="21" fillId="0" borderId="1" xfId="1" applyNumberFormat="1" applyFont="1" applyFill="1" applyBorder="1"/>
    <xf numFmtId="174" fontId="21" fillId="0" borderId="4" xfId="1" applyNumberFormat="1" applyFont="1" applyBorder="1"/>
    <xf numFmtId="174" fontId="21" fillId="0" borderId="20" xfId="1" applyNumberFormat="1" applyFont="1" applyBorder="1"/>
    <xf numFmtId="174" fontId="28" fillId="0" borderId="0" xfId="1" applyNumberFormat="1" applyFont="1"/>
    <xf numFmtId="174" fontId="28" fillId="0" borderId="0" xfId="1" applyNumberFormat="1" applyFont="1" applyFill="1" applyBorder="1" applyAlignment="1"/>
    <xf numFmtId="174" fontId="28" fillId="13" borderId="0" xfId="1" applyNumberFormat="1" applyFont="1" applyFill="1"/>
    <xf numFmtId="174" fontId="28" fillId="13" borderId="0" xfId="1" applyNumberFormat="1" applyFont="1" applyFill="1" applyBorder="1" applyAlignment="1"/>
    <xf numFmtId="174" fontId="28" fillId="15" borderId="1" xfId="1" applyNumberFormat="1" applyFont="1" applyFill="1" applyBorder="1" applyAlignment="1"/>
    <xf numFmtId="174" fontId="28" fillId="0" borderId="0" xfId="1" applyNumberFormat="1" applyFont="1" applyFill="1" applyAlignment="1"/>
    <xf numFmtId="174" fontId="28" fillId="0" borderId="0" xfId="1" applyNumberFormat="1" applyFont="1" applyAlignment="1"/>
    <xf numFmtId="174" fontId="28" fillId="13" borderId="0" xfId="1" applyNumberFormat="1" applyFont="1" applyFill="1" applyAlignment="1">
      <alignment horizontal="left"/>
    </xf>
    <xf numFmtId="174" fontId="28" fillId="13" borderId="12" xfId="1" applyNumberFormat="1" applyFont="1" applyFill="1" applyBorder="1"/>
    <xf numFmtId="174" fontId="28" fillId="13" borderId="0" xfId="1" applyNumberFormat="1" applyFont="1" applyFill="1" applyAlignment="1">
      <alignment horizontal="center"/>
    </xf>
    <xf numFmtId="174" fontId="28" fillId="16" borderId="1" xfId="1" applyNumberFormat="1" applyFont="1" applyFill="1" applyBorder="1" applyAlignment="1">
      <alignment horizontal="left"/>
    </xf>
    <xf numFmtId="174" fontId="28" fillId="16" borderId="4" xfId="1" applyNumberFormat="1" applyFont="1" applyFill="1" applyBorder="1" applyAlignment="1">
      <alignment horizontal="left"/>
    </xf>
    <xf numFmtId="174" fontId="28" fillId="16" borderId="4" xfId="1" applyNumberFormat="1" applyFont="1" applyFill="1" applyBorder="1"/>
    <xf numFmtId="174" fontId="28" fillId="16" borderId="9" xfId="1" applyNumberFormat="1" applyFont="1" applyFill="1" applyBorder="1"/>
    <xf numFmtId="174" fontId="28" fillId="16" borderId="10" xfId="1" applyNumberFormat="1" applyFont="1" applyFill="1" applyBorder="1"/>
    <xf numFmtId="174" fontId="28" fillId="0" borderId="0" xfId="1" applyNumberFormat="1" applyFont="1" applyFill="1" applyAlignment="1">
      <alignment horizontal="left"/>
    </xf>
    <xf numFmtId="174" fontId="29" fillId="13" borderId="1" xfId="1" applyNumberFormat="1" applyFont="1" applyFill="1" applyBorder="1" applyAlignment="1">
      <alignment horizontal="center"/>
    </xf>
    <xf numFmtId="174" fontId="29" fillId="13" borderId="4" xfId="1" applyNumberFormat="1" applyFont="1" applyFill="1" applyBorder="1" applyAlignment="1">
      <alignment horizontal="center"/>
    </xf>
    <xf numFmtId="174" fontId="29" fillId="0" borderId="19" xfId="1" applyNumberFormat="1" applyFont="1" applyFill="1" applyBorder="1" applyAlignment="1">
      <alignment horizontal="left"/>
    </xf>
    <xf numFmtId="174" fontId="29" fillId="0" borderId="22" xfId="1" applyNumberFormat="1" applyFont="1" applyFill="1" applyBorder="1" applyAlignment="1">
      <alignment horizontal="left"/>
    </xf>
    <xf numFmtId="174" fontId="29" fillId="0" borderId="24" xfId="1" applyNumberFormat="1" applyFont="1" applyFill="1" applyBorder="1" applyAlignment="1">
      <alignment horizontal="left"/>
    </xf>
    <xf numFmtId="174" fontId="29" fillId="0" borderId="0" xfId="1" applyNumberFormat="1" applyFont="1" applyFill="1" applyBorder="1" applyAlignment="1">
      <alignment horizontal="left"/>
    </xf>
    <xf numFmtId="174" fontId="29" fillId="0" borderId="25" xfId="1" applyNumberFormat="1" applyFont="1" applyFill="1" applyBorder="1" applyAlignment="1">
      <alignment horizontal="left"/>
    </xf>
    <xf numFmtId="174" fontId="29" fillId="0" borderId="26" xfId="1" applyNumberFormat="1" applyFont="1" applyFill="1" applyBorder="1"/>
    <xf numFmtId="174" fontId="29" fillId="0" borderId="0" xfId="1" applyNumberFormat="1" applyFont="1" applyFill="1" applyBorder="1"/>
    <xf numFmtId="174" fontId="29" fillId="0" borderId="27" xfId="1" applyNumberFormat="1" applyFont="1" applyFill="1" applyBorder="1" applyAlignment="1">
      <alignment horizontal="left"/>
    </xf>
    <xf numFmtId="174" fontId="29" fillId="0" borderId="29" xfId="1" applyNumberFormat="1" applyFont="1" applyFill="1" applyBorder="1" applyAlignment="1">
      <alignment horizontal="left"/>
    </xf>
    <xf numFmtId="174" fontId="28" fillId="0" borderId="30" xfId="1" applyNumberFormat="1" applyFont="1" applyFill="1" applyBorder="1"/>
    <xf numFmtId="174" fontId="28" fillId="0" borderId="28" xfId="1" applyNumberFormat="1" applyFont="1" applyFill="1" applyBorder="1"/>
    <xf numFmtId="174" fontId="28" fillId="0" borderId="29" xfId="1" applyNumberFormat="1" applyFont="1" applyFill="1" applyBorder="1" applyAlignment="1">
      <alignment horizontal="left"/>
    </xf>
    <xf numFmtId="174" fontId="28" fillId="0" borderId="0" xfId="1" applyNumberFormat="1" applyFont="1" applyFill="1" applyBorder="1"/>
    <xf numFmtId="174" fontId="28" fillId="0" borderId="0" xfId="1" applyNumberFormat="1" applyFont="1" applyFill="1" applyBorder="1" applyAlignment="1">
      <alignment horizontal="left"/>
    </xf>
    <xf numFmtId="174" fontId="29" fillId="0" borderId="31" xfId="1" applyNumberFormat="1" applyFont="1" applyFill="1" applyBorder="1" applyAlignment="1">
      <alignment horizontal="left"/>
    </xf>
    <xf numFmtId="174" fontId="29" fillId="0" borderId="17" xfId="1" applyNumberFormat="1" applyFont="1" applyFill="1" applyBorder="1" applyAlignment="1">
      <alignment horizontal="left"/>
    </xf>
    <xf numFmtId="174" fontId="28" fillId="0" borderId="23" xfId="1" applyNumberFormat="1" applyFont="1" applyFill="1" applyBorder="1" applyAlignment="1">
      <alignment horizontal="left"/>
    </xf>
    <xf numFmtId="174" fontId="28" fillId="0" borderId="24" xfId="1" applyNumberFormat="1" applyFont="1" applyBorder="1"/>
    <xf numFmtId="174" fontId="28" fillId="0" borderId="30" xfId="1" applyNumberFormat="1" applyFont="1" applyFill="1" applyBorder="1" applyAlignment="1">
      <alignment horizontal="left"/>
    </xf>
    <xf numFmtId="174" fontId="28" fillId="0" borderId="27" xfId="1" applyNumberFormat="1" applyFont="1" applyBorder="1"/>
    <xf numFmtId="174" fontId="29" fillId="0" borderId="0" xfId="1" applyNumberFormat="1" applyFont="1" applyFill="1" applyAlignment="1">
      <alignment horizontal="left"/>
    </xf>
    <xf numFmtId="174" fontId="29" fillId="0" borderId="20" xfId="1" applyNumberFormat="1" applyFont="1" applyFill="1" applyBorder="1"/>
    <xf numFmtId="174" fontId="26" fillId="0" borderId="0" xfId="1" applyNumberFormat="1" applyFont="1" applyFill="1" applyAlignment="1">
      <alignment horizontal="left"/>
    </xf>
  </cellXfs>
  <cellStyles count="13">
    <cellStyle name="Comma" xfId="1" builtinId="3"/>
    <cellStyle name="Comma 2" xfId="3" xr:uid="{94F69AB1-1E54-4038-83CA-FEC6BDA7EB33}"/>
    <cellStyle name="Comma 2 2" xfId="8" xr:uid="{2A2B1454-278D-459E-B3D7-0C1F9E56DAB4}"/>
    <cellStyle name="Comma 2 2 2" xfId="11" xr:uid="{2EAF5D12-8761-4032-B55D-25198804945A}"/>
    <cellStyle name="Comma 2 3" xfId="9" xr:uid="{82AC02D3-CA13-4C48-9594-759B4C69319C}"/>
    <cellStyle name="Comma 2 4" xfId="4" xr:uid="{4C12E307-8AEE-4013-8B24-64A01E1C6476}"/>
    <cellStyle name="Comma 2 4 2" xfId="7" xr:uid="{7E7A1C8D-E587-40EC-8E13-396F30045589}"/>
    <cellStyle name="Comma 2 5" xfId="5" xr:uid="{0109956F-7C6A-45B6-ABE8-E113D3251520}"/>
    <cellStyle name="Comma 3" xfId="6" xr:uid="{5D0FCD46-0ECF-418F-B2F8-A63694FC246A}"/>
    <cellStyle name="Comma 3 2" xfId="12" xr:uid="{2C1669ED-EBAD-4EE6-9189-CD32C592A76C}"/>
    <cellStyle name="Currency 2" xfId="10" xr:uid="{4EEB1B81-2739-4ED8-80C5-0985D1520AB6}"/>
    <cellStyle name="Normal" xfId="0" builtinId="0"/>
    <cellStyle name="Percent" xfId="2" builtinId="5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connections" Target="connections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209662</xdr:colOff>
      <xdr:row>2</xdr:row>
      <xdr:rowOff>93971</xdr:rowOff>
    </xdr:from>
    <xdr:ext cx="892175" cy="757238"/>
    <xdr:pic>
      <xdr:nvPicPr>
        <xdr:cNvPr id="2" name="Picture 1">
          <a:extLst>
            <a:ext uri="{FF2B5EF4-FFF2-40B4-BE49-F238E27FC236}">
              <a16:creationId xmlns:a16="http://schemas.microsoft.com/office/drawing/2014/main" id="{BD38676D-183A-4F13-BD5E-DE27ECB2C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96287" y="398771"/>
          <a:ext cx="892175" cy="757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oe.Williams/Documents/BUDGET%202017-18%20%20(MTREF%2017-20)/D-schedules/D%20Schedule%20for%20MTREF%202017-2018%20%20V_03%20(12%20May)%20final%20submission.xl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oe.Williams/Documents/BUDGET%202016-17%20(MTREF%2016-19)/D%20Schedule%20for%20MTREF%202016-17%20(G)%2017%20March%2020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ction%2087%20July%202016%2008%20August%20201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oe.williams/Documents/BUDGET%202013-14%20(Mid-Year%20Report%20ended%2030%20Dec%202013)/Section%2087%20for%20December%202013%20(A)%2007%20Jan%202014%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SNT%20(2009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%20Ledge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rrie.Bartnis/My%20Documents/New%20Budget%20Formats%202012_2015/A1%20Schedule%20-%20Ver%202%204%20-%20December%2020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bongile.nkane/AppData/Local/Microsoft/Windows/Temporary%20Internet%20Files/Content.Outlook/GZNWG0K1/MAN_A1%20Schedule%20-%20Ver%202%208_Dec%202015%20VER%202%20DIR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oe.Williams/AppData/Local/Microsoft/Windows/INetCache/Content.Outlook/G32HRFXB/MAN_A1%20Schedule%20-%20Ver%202%208_Dec%202015%20VER%202%20DIRK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rk.Pelser/Documents/BUDGET%202012_13/A1%20Schedule%20-%20Ver%202%204%20-%20Mangaung_June%202012_Approv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illy_monyaki_centlec_co_za/Documents/Documents/centlecwork/Budget/MTREF/2022-23/MTREF%202022-23/FINAL%20MTREF%202022-23%20(11%20May%202022)%20V2%20LSJ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296446C\Section%2087%20for%20December%202013%20(A)%2007%20Jan%202014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bongile.nkane/OneDrive%20-%20Centlec%20(Soc)%20LTD/July/F%20Schedule%20%20-%20mSCOA%20vs%206.4%20for%20July%202021%2005%20August%20202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illy_monyaki_centlec_co_za/Documents/Documents/centlecwork/Budget/MTREF/2023-24/INPUTS/Ceo%20Office-IT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illy_monyaki_centlec_co_za/Documents/Documents/centlecwork/Budget/MTREF/2023-24/INPUTS/CAPEX-I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ette.lenka/AppData/Local/Microsoft/Windows/Temporary%20Internet%20Files/Content.Outlook/OMRAXROG/F%20Schedule%20%20-%20mSCOA%20vs%206.4%20for%20July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rrie.Bartnis/My%20Documents/Documents%20and%20Settings/Arrie.Bartnis/My%20Documents/New%20Budget%20Formats%202011_2014/A1%20Schedule%20-%20Ver%202.3.%20%20-%2002%20December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rie.Bartnis/Documents/CAPITAL%20BUDGETS%20%202012_2015%20NEW/A1%20Schedule%20-%20Ver%202%204%20-%20Mangaung_26%20Mar%20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et%20Categories%20Comparis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MENDED%20PROPOSAL%20SCOA%2021-12-07%20Excl%20ite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%202011_12/A1%20Schedule%20-%20Ver%202%203_%20MANGAUNG_15%20March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rrie.Bartnis/My%20Documents/Documents%20and%20Settings/Arrie.Bartnis/My%20Documents/National%20Treasury%20Sheets/A1%20Schedule%20Municipal%20Budget%20-%20Ver%202-2%20-%20March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D1-Sum"/>
      <sheetName val="D2-FinPerf"/>
      <sheetName val="D3-Capex"/>
      <sheetName val="D4-FinPos"/>
      <sheetName val="D5-CFlow"/>
      <sheetName val="SD1"/>
      <sheetName val="SD2"/>
      <sheetName val="SD3"/>
      <sheetName val="SD4"/>
      <sheetName val="SD5"/>
      <sheetName val="SD6"/>
      <sheetName val="SD7a"/>
      <sheetName val="SD7b"/>
      <sheetName val="SD7c"/>
      <sheetName val="SD7d"/>
      <sheetName val="SD7e"/>
      <sheetName val="SD8"/>
      <sheetName val="SD9"/>
      <sheetName val="SD10"/>
      <sheetName val="SD11"/>
    </sheetNames>
    <sheetDataSet>
      <sheetData sheetId="0"/>
      <sheetData sheetId="1"/>
      <sheetData sheetId="2">
        <row r="83">
          <cell r="B83" t="str">
            <v>CENTLEC (SoC)LTD - Table D3 Capital Budget by asset class and funding</v>
          </cell>
        </row>
        <row r="88">
          <cell r="B88" t="str">
            <v>CENTLEC (SoC)LTD - Supporting Table SD3 Budgeted Investment Portfolio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C8">
            <v>0</v>
          </cell>
        </row>
      </sheetData>
      <sheetData sheetId="16">
        <row r="8">
          <cell r="C8">
            <v>0</v>
          </cell>
        </row>
      </sheetData>
      <sheetData sheetId="17"/>
      <sheetData sheetId="18"/>
      <sheetData sheetId="19">
        <row r="8">
          <cell r="C8">
            <v>0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D1-Sum"/>
      <sheetName val="D2-FinPerf"/>
      <sheetName val="D3-Capex"/>
      <sheetName val="D4-FinPos"/>
      <sheetName val="D5-CFlow"/>
      <sheetName val="SD1"/>
      <sheetName val="SD2"/>
      <sheetName val="SD3"/>
      <sheetName val="SD4"/>
      <sheetName val="SD5"/>
      <sheetName val="SD6"/>
      <sheetName val="SD7a"/>
      <sheetName val="SD7b"/>
      <sheetName val="SD7c"/>
      <sheetName val="SD8"/>
      <sheetName val="SD9"/>
      <sheetName val="SD10"/>
      <sheetName val="SD11"/>
    </sheetNames>
    <sheetDataSet>
      <sheetData sheetId="0"/>
      <sheetData sheetId="1"/>
      <sheetData sheetId="2">
        <row r="8">
          <cell r="B8" t="str">
            <v>Medium Term Revenue and Expenditure Framework</v>
          </cell>
        </row>
        <row r="89">
          <cell r="B89" t="str">
            <v>Centlec (SOC)Ltd - Supporting Table SD4 Board member allowances and staff benefits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F1-Sum"/>
      <sheetName val="F2-FinPerf"/>
      <sheetName val="F3-Capex"/>
      <sheetName val="F4-FinPos"/>
      <sheetName val="F5-CFlow"/>
      <sheetName val="SF1"/>
      <sheetName val="SF2"/>
      <sheetName val="SF3"/>
      <sheetName val="SF4"/>
      <sheetName val="SF5"/>
      <sheetName val="SF6"/>
      <sheetName val="SF7"/>
      <sheetName val="SF8a"/>
      <sheetName val="SF8b"/>
      <sheetName val="SF8c"/>
    </sheetNames>
    <sheetDataSet>
      <sheetData sheetId="0" refreshError="1"/>
      <sheetData sheetId="1" refreshError="1"/>
      <sheetData sheetId="2" refreshError="1">
        <row r="11">
          <cell r="B11" t="str">
            <v>Outcome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F1-Sum"/>
      <sheetName val="F2-FinPerf"/>
      <sheetName val="F3-Capex"/>
      <sheetName val="F4-FinPos"/>
      <sheetName val="F5-CFlow"/>
      <sheetName val="SF1"/>
      <sheetName val="SF2"/>
      <sheetName val="SF3"/>
      <sheetName val="SF4"/>
      <sheetName val="SF5"/>
      <sheetName val="SF6"/>
      <sheetName val="SF7"/>
      <sheetName val="SF8a"/>
      <sheetName val="SF8b"/>
      <sheetName val="SF8c"/>
    </sheetNames>
    <sheetDataSet>
      <sheetData sheetId="0"/>
      <sheetData sheetId="1">
        <row r="11">
          <cell r="X11" t="str">
            <v>M06 December</v>
          </cell>
        </row>
      </sheetData>
      <sheetData sheetId="2">
        <row r="46">
          <cell r="B46" t="str">
            <v>Monthly actual</v>
          </cell>
        </row>
        <row r="80">
          <cell r="B80" t="str">
            <v>Centlec (Soc) Ltd - Table F2 Monthly Budget Statement - Financial Performance (revenue and expenditure)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 Specific (Loans)"/>
      <sheetName val="GL Specific (Loans AppA)"/>
      <sheetName val="GL Specific (Grants)"/>
      <sheetName val="GL Specific (grants2)"/>
      <sheetName val="GL Check"/>
      <sheetName val="GL Specific (FAR)"/>
      <sheetName val="GL Specific (FAR2)"/>
      <sheetName val="GL TB"/>
      <sheetName val="Data_BS"/>
      <sheetName val="aDD"/>
      <sheetName val="iglrlin"/>
      <sheetName val="iglrdef"/>
      <sheetName val="iglrbsitem"/>
      <sheetName val="GFS"/>
      <sheetName val="Item_Leon"/>
      <sheetName val="ASC_23"/>
      <sheetName val="Departmental"/>
      <sheetName val="Service Charges"/>
      <sheetName val="Data_IS"/>
      <sheetName val="IS_Adjustment Budget"/>
      <sheetName val="Manual Journals"/>
      <sheetName val="NTBranch"/>
      <sheetName val="NTCoding"/>
      <sheetName val="Lookups"/>
      <sheetName val="App E(2)"/>
      <sheetName val="Data_CAP"/>
      <sheetName val="ActualCap"/>
      <sheetName val="iglamf"/>
      <sheetName val="FSNT (2009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4">
            <v>320</v>
          </cell>
          <cell r="B4" t="str">
            <v>Unspent</v>
          </cell>
          <cell r="C4" t="str">
            <v>1 NAL</v>
          </cell>
          <cell r="D4" t="str">
            <v>1 Net Assets</v>
          </cell>
          <cell r="E4">
            <v>1200</v>
          </cell>
          <cell r="F4" t="str">
            <v>Hous Dev Fund</v>
          </cell>
        </row>
        <row r="5">
          <cell r="A5">
            <v>1200</v>
          </cell>
          <cell r="B5" t="str">
            <v>Hous Dev Fund</v>
          </cell>
          <cell r="C5" t="str">
            <v>1 NAL</v>
          </cell>
          <cell r="D5" t="str">
            <v>1 Net Assets</v>
          </cell>
          <cell r="E5">
            <v>1200</v>
          </cell>
          <cell r="F5" t="str">
            <v>Hous Dev Fund</v>
          </cell>
        </row>
        <row r="6">
          <cell r="A6">
            <v>1210</v>
          </cell>
          <cell r="B6" t="str">
            <v>Realised</v>
          </cell>
          <cell r="C6" t="str">
            <v>1 NAL</v>
          </cell>
          <cell r="D6" t="str">
            <v>1 Net Assets</v>
          </cell>
          <cell r="E6">
            <v>1200</v>
          </cell>
          <cell r="F6" t="str">
            <v>Hous Dev Fund</v>
          </cell>
        </row>
        <row r="7">
          <cell r="A7">
            <v>1220</v>
          </cell>
          <cell r="B7" t="str">
            <v>Unrealised</v>
          </cell>
          <cell r="C7" t="str">
            <v>1 NAL</v>
          </cell>
          <cell r="D7" t="str">
            <v>1 Net Assets</v>
          </cell>
          <cell r="E7">
            <v>1200</v>
          </cell>
          <cell r="F7" t="str">
            <v>Hous Dev Fund</v>
          </cell>
        </row>
        <row r="8">
          <cell r="A8">
            <v>1250</v>
          </cell>
          <cell r="B8" t="str">
            <v>Government Loans</v>
          </cell>
          <cell r="C8" t="str">
            <v>1 NAL</v>
          </cell>
          <cell r="D8" t="str">
            <v>1 Net Assets</v>
          </cell>
          <cell r="E8">
            <v>1200</v>
          </cell>
          <cell r="F8" t="str">
            <v>Hous Dev Fund</v>
          </cell>
        </row>
        <row r="9">
          <cell r="A9">
            <v>1298</v>
          </cell>
          <cell r="B9" t="str">
            <v>ST Hous Dev Fund</v>
          </cell>
          <cell r="C9" t="str">
            <v>1 NAL</v>
          </cell>
          <cell r="D9" t="str">
            <v>1 Net Assets</v>
          </cell>
          <cell r="E9">
            <v>1200</v>
          </cell>
          <cell r="F9" t="str">
            <v>Hous Dev Fund</v>
          </cell>
        </row>
        <row r="10">
          <cell r="A10">
            <v>1299</v>
          </cell>
          <cell r="B10">
            <v>0</v>
          </cell>
          <cell r="C10" t="str">
            <v>1 NAL</v>
          </cell>
          <cell r="D10" t="str">
            <v>1 Net Assets</v>
          </cell>
        </row>
        <row r="11">
          <cell r="A11">
            <v>1300</v>
          </cell>
          <cell r="B11" t="str">
            <v>Cap Rep Reserve</v>
          </cell>
          <cell r="C11" t="str">
            <v>1 NAL</v>
          </cell>
          <cell r="D11" t="str">
            <v>1 Net Assets</v>
          </cell>
          <cell r="E11">
            <v>1300</v>
          </cell>
          <cell r="F11" t="str">
            <v>Cap Rep Reserve</v>
          </cell>
        </row>
        <row r="12">
          <cell r="A12">
            <v>1310</v>
          </cell>
          <cell r="B12" t="str">
            <v>Rate and General</v>
          </cell>
          <cell r="C12" t="str">
            <v>1 NAL</v>
          </cell>
          <cell r="D12" t="str">
            <v>1 Net Assets</v>
          </cell>
          <cell r="E12">
            <v>1300</v>
          </cell>
          <cell r="F12" t="str">
            <v>Cap Rep Reserve</v>
          </cell>
        </row>
        <row r="13">
          <cell r="A13">
            <v>1320</v>
          </cell>
          <cell r="B13" t="str">
            <v>Sewerage</v>
          </cell>
          <cell r="C13" t="str">
            <v>1 NAL</v>
          </cell>
          <cell r="D13" t="str">
            <v>1 Net Assets</v>
          </cell>
          <cell r="E13">
            <v>1300</v>
          </cell>
          <cell r="F13" t="str">
            <v>Cap Rep Reserve</v>
          </cell>
        </row>
        <row r="14">
          <cell r="A14">
            <v>1330</v>
          </cell>
          <cell r="B14" t="str">
            <v>Electricity</v>
          </cell>
          <cell r="C14" t="str">
            <v>1 NAL</v>
          </cell>
          <cell r="D14" t="str">
            <v>1 Net Assets</v>
          </cell>
          <cell r="E14">
            <v>1300</v>
          </cell>
          <cell r="F14" t="str">
            <v>Cap Rep Reserve</v>
          </cell>
        </row>
        <row r="15">
          <cell r="A15">
            <v>1340</v>
          </cell>
          <cell r="B15" t="str">
            <v>Water</v>
          </cell>
          <cell r="C15" t="str">
            <v>1 NAL</v>
          </cell>
          <cell r="D15" t="str">
            <v>1 Net Assets</v>
          </cell>
          <cell r="E15">
            <v>1300</v>
          </cell>
          <cell r="F15" t="str">
            <v>Cap Rep Reserve</v>
          </cell>
        </row>
        <row r="16">
          <cell r="A16">
            <v>1360</v>
          </cell>
          <cell r="B16" t="str">
            <v>Housing</v>
          </cell>
          <cell r="C16" t="str">
            <v>1 NAL</v>
          </cell>
          <cell r="D16" t="str">
            <v>1 Net Assets</v>
          </cell>
          <cell r="E16">
            <v>1300</v>
          </cell>
          <cell r="F16" t="str">
            <v>Cap Rep Reserve</v>
          </cell>
        </row>
        <row r="17">
          <cell r="A17">
            <v>1398</v>
          </cell>
          <cell r="B17" t="str">
            <v>ST Cap Rep Reserve</v>
          </cell>
          <cell r="C17" t="str">
            <v>1 NAL</v>
          </cell>
          <cell r="D17" t="str">
            <v>1 Net Assets</v>
          </cell>
          <cell r="E17">
            <v>1300</v>
          </cell>
          <cell r="F17" t="str">
            <v>Cap Rep Reserve</v>
          </cell>
        </row>
        <row r="18">
          <cell r="A18">
            <v>1399</v>
          </cell>
          <cell r="B18">
            <v>0</v>
          </cell>
          <cell r="C18" t="str">
            <v>1 NAL</v>
          </cell>
          <cell r="D18" t="str">
            <v>1 Net Assets</v>
          </cell>
        </row>
        <row r="19">
          <cell r="A19">
            <v>1400</v>
          </cell>
          <cell r="B19" t="str">
            <v>Capital Reserve</v>
          </cell>
          <cell r="C19" t="str">
            <v>1 NAL</v>
          </cell>
          <cell r="D19" t="str">
            <v>1 Net Assets</v>
          </cell>
          <cell r="E19">
            <v>1400</v>
          </cell>
          <cell r="F19" t="str">
            <v>Capital Reserve</v>
          </cell>
        </row>
        <row r="20">
          <cell r="A20">
            <v>1410</v>
          </cell>
          <cell r="B20" t="str">
            <v>Rate and General</v>
          </cell>
          <cell r="C20" t="str">
            <v>1 NAL</v>
          </cell>
          <cell r="D20" t="str">
            <v>1 Net Assets</v>
          </cell>
          <cell r="E20">
            <v>1400</v>
          </cell>
          <cell r="F20" t="str">
            <v>Capital Reserve</v>
          </cell>
        </row>
        <row r="21">
          <cell r="A21">
            <v>1420</v>
          </cell>
          <cell r="B21" t="str">
            <v>Sewerage</v>
          </cell>
          <cell r="C21" t="str">
            <v>1 NAL</v>
          </cell>
          <cell r="D21" t="str">
            <v>1 Net Assets</v>
          </cell>
          <cell r="E21">
            <v>1400</v>
          </cell>
          <cell r="F21" t="str">
            <v>Capital Reserve</v>
          </cell>
        </row>
        <row r="22">
          <cell r="A22">
            <v>1430</v>
          </cell>
          <cell r="B22" t="str">
            <v>Electricity</v>
          </cell>
          <cell r="C22" t="str">
            <v>1 NAL</v>
          </cell>
          <cell r="D22" t="str">
            <v>1 Net Assets</v>
          </cell>
          <cell r="E22">
            <v>1400</v>
          </cell>
          <cell r="F22" t="str">
            <v>Capital Reserve</v>
          </cell>
        </row>
        <row r="23">
          <cell r="A23">
            <v>1440</v>
          </cell>
          <cell r="B23" t="str">
            <v>Water</v>
          </cell>
          <cell r="C23" t="str">
            <v>1 NAL</v>
          </cell>
          <cell r="D23" t="str">
            <v>1 Net Assets</v>
          </cell>
          <cell r="E23">
            <v>1400</v>
          </cell>
          <cell r="F23" t="str">
            <v>Capital Reserve</v>
          </cell>
        </row>
        <row r="24">
          <cell r="A24">
            <v>1460</v>
          </cell>
          <cell r="B24" t="str">
            <v>Housing</v>
          </cell>
          <cell r="C24" t="str">
            <v>1 NAL</v>
          </cell>
          <cell r="D24" t="str">
            <v>1 Net Assets</v>
          </cell>
          <cell r="E24">
            <v>1400</v>
          </cell>
          <cell r="F24" t="str">
            <v>Capital Reserve</v>
          </cell>
        </row>
        <row r="25">
          <cell r="A25">
            <v>1498</v>
          </cell>
          <cell r="B25" t="str">
            <v>ST Capital Reserve</v>
          </cell>
          <cell r="C25" t="str">
            <v>1 NAL</v>
          </cell>
          <cell r="D25" t="str">
            <v>1 Net Assets</v>
          </cell>
          <cell r="E25">
            <v>1400</v>
          </cell>
          <cell r="F25" t="str">
            <v>Capital Reserve</v>
          </cell>
        </row>
        <row r="26">
          <cell r="A26">
            <v>1499</v>
          </cell>
          <cell r="B26">
            <v>0</v>
          </cell>
          <cell r="C26" t="str">
            <v>1 NAL</v>
          </cell>
          <cell r="D26" t="str">
            <v>1 Net Assets</v>
          </cell>
        </row>
        <row r="27">
          <cell r="A27">
            <v>1500</v>
          </cell>
          <cell r="B27" t="str">
            <v>Government Grant Re</v>
          </cell>
          <cell r="C27" t="str">
            <v>1 NAL</v>
          </cell>
          <cell r="D27" t="str">
            <v>1 Net Assets</v>
          </cell>
          <cell r="E27">
            <v>1500</v>
          </cell>
          <cell r="F27" t="str">
            <v>Government Grant Re</v>
          </cell>
        </row>
        <row r="28">
          <cell r="A28">
            <v>1510</v>
          </cell>
          <cell r="B28" t="str">
            <v>Rate and General</v>
          </cell>
          <cell r="C28" t="str">
            <v>1 NAL</v>
          </cell>
          <cell r="D28" t="str">
            <v>1 Net Assets</v>
          </cell>
          <cell r="E28">
            <v>1500</v>
          </cell>
          <cell r="F28" t="str">
            <v>Government Grant Re</v>
          </cell>
        </row>
        <row r="29">
          <cell r="A29">
            <v>1520</v>
          </cell>
          <cell r="B29" t="str">
            <v>Sewerage</v>
          </cell>
          <cell r="C29" t="str">
            <v>1 NAL</v>
          </cell>
          <cell r="D29" t="str">
            <v>1 Net Assets</v>
          </cell>
          <cell r="E29">
            <v>1500</v>
          </cell>
          <cell r="F29" t="str">
            <v>Government Grant Re</v>
          </cell>
        </row>
        <row r="30">
          <cell r="A30">
            <v>1530</v>
          </cell>
          <cell r="B30" t="str">
            <v>Electricity</v>
          </cell>
          <cell r="C30" t="str">
            <v>1 NAL</v>
          </cell>
          <cell r="D30" t="str">
            <v>1 Net Assets</v>
          </cell>
          <cell r="E30">
            <v>1500</v>
          </cell>
          <cell r="F30" t="str">
            <v>Government Grant Re</v>
          </cell>
        </row>
        <row r="31">
          <cell r="A31">
            <v>1540</v>
          </cell>
          <cell r="B31" t="str">
            <v>Water</v>
          </cell>
          <cell r="C31" t="str">
            <v>1 NAL</v>
          </cell>
          <cell r="D31" t="str">
            <v>1 Net Assets</v>
          </cell>
          <cell r="E31">
            <v>1500</v>
          </cell>
          <cell r="F31" t="str">
            <v>Government Grant Re</v>
          </cell>
        </row>
        <row r="32">
          <cell r="A32">
            <v>1560</v>
          </cell>
          <cell r="B32" t="str">
            <v>Housing</v>
          </cell>
          <cell r="C32" t="str">
            <v>1 NAL</v>
          </cell>
          <cell r="D32" t="str">
            <v>1 Net Assets</v>
          </cell>
          <cell r="E32">
            <v>1500</v>
          </cell>
          <cell r="F32" t="str">
            <v>Government Grant Re</v>
          </cell>
        </row>
        <row r="33">
          <cell r="A33">
            <v>1598</v>
          </cell>
          <cell r="B33" t="str">
            <v>ST Gov Grant Reserve</v>
          </cell>
          <cell r="C33" t="str">
            <v>1 NAL</v>
          </cell>
          <cell r="D33" t="str">
            <v>1 Net Assets</v>
          </cell>
          <cell r="E33">
            <v>1500</v>
          </cell>
          <cell r="F33" t="str">
            <v>Government Grant Re</v>
          </cell>
        </row>
        <row r="34">
          <cell r="A34">
            <v>1599</v>
          </cell>
          <cell r="B34">
            <v>0</v>
          </cell>
          <cell r="C34" t="str">
            <v>1 NAL</v>
          </cell>
          <cell r="D34" t="str">
            <v>1 Net Assets</v>
          </cell>
        </row>
        <row r="35">
          <cell r="A35">
            <v>1600</v>
          </cell>
          <cell r="B35" t="str">
            <v>Don &amp; Pubic Con Res</v>
          </cell>
          <cell r="C35" t="str">
            <v>1 NAL</v>
          </cell>
          <cell r="D35" t="str">
            <v>1 Net Assets</v>
          </cell>
          <cell r="E35">
            <v>1600</v>
          </cell>
          <cell r="F35" t="str">
            <v>Don &amp; Pubic Con Res</v>
          </cell>
        </row>
        <row r="36">
          <cell r="A36">
            <v>1610</v>
          </cell>
          <cell r="B36" t="str">
            <v>Rate and General</v>
          </cell>
          <cell r="C36" t="str">
            <v>1 NAL</v>
          </cell>
          <cell r="D36" t="str">
            <v>1 Net Assets</v>
          </cell>
          <cell r="E36">
            <v>1600</v>
          </cell>
          <cell r="F36" t="str">
            <v>Don &amp; Pubic Con Res</v>
          </cell>
        </row>
        <row r="37">
          <cell r="A37">
            <v>1620</v>
          </cell>
          <cell r="B37" t="str">
            <v>Sewerage</v>
          </cell>
          <cell r="C37" t="str">
            <v>1 NAL</v>
          </cell>
          <cell r="D37" t="str">
            <v>1 Net Assets</v>
          </cell>
          <cell r="E37">
            <v>1600</v>
          </cell>
          <cell r="F37" t="str">
            <v>Don &amp; Pubic Con Res</v>
          </cell>
        </row>
        <row r="38">
          <cell r="A38">
            <v>1630</v>
          </cell>
          <cell r="B38" t="str">
            <v>Electricity</v>
          </cell>
          <cell r="C38" t="str">
            <v>1 NAL</v>
          </cell>
          <cell r="D38" t="str">
            <v>1 Net Assets</v>
          </cell>
          <cell r="E38">
            <v>1600</v>
          </cell>
          <cell r="F38" t="str">
            <v>Don &amp; Pubic Con Res</v>
          </cell>
        </row>
        <row r="39">
          <cell r="A39">
            <v>1640</v>
          </cell>
          <cell r="B39" t="str">
            <v>Water</v>
          </cell>
          <cell r="C39" t="str">
            <v>1 NAL</v>
          </cell>
          <cell r="D39" t="str">
            <v>1 Net Assets</v>
          </cell>
          <cell r="E39">
            <v>1600</v>
          </cell>
          <cell r="F39" t="str">
            <v>Don &amp; Pubic Con Res</v>
          </cell>
        </row>
        <row r="40">
          <cell r="A40">
            <v>1698</v>
          </cell>
          <cell r="B40" t="str">
            <v>ST Don &amp; Pub Con Res</v>
          </cell>
          <cell r="C40" t="str">
            <v>1 NAL</v>
          </cell>
          <cell r="D40" t="str">
            <v>1 Net Assets</v>
          </cell>
          <cell r="E40">
            <v>1600</v>
          </cell>
          <cell r="F40" t="str">
            <v>Don &amp; Pubic Con Res</v>
          </cell>
        </row>
        <row r="41">
          <cell r="A41">
            <v>1699</v>
          </cell>
          <cell r="B41">
            <v>0</v>
          </cell>
          <cell r="C41" t="str">
            <v>1 NAL</v>
          </cell>
          <cell r="D41" t="str">
            <v>1 Net Assets</v>
          </cell>
        </row>
        <row r="42">
          <cell r="A42">
            <v>1800</v>
          </cell>
          <cell r="B42" t="str">
            <v>Accumulated Surplus</v>
          </cell>
          <cell r="C42" t="str">
            <v>1 NAL</v>
          </cell>
          <cell r="D42" t="str">
            <v>1 Net Assets</v>
          </cell>
          <cell r="E42">
            <v>1800</v>
          </cell>
          <cell r="F42" t="str">
            <v>Accumulated Surplus</v>
          </cell>
        </row>
        <row r="43">
          <cell r="A43">
            <v>1810</v>
          </cell>
          <cell r="B43" t="str">
            <v>Rates</v>
          </cell>
          <cell r="C43" t="str">
            <v>1 NAL</v>
          </cell>
          <cell r="D43" t="str">
            <v>1 Net Assets</v>
          </cell>
          <cell r="E43">
            <v>1800</v>
          </cell>
          <cell r="F43" t="str">
            <v>Accumulated Surplus</v>
          </cell>
        </row>
        <row r="44">
          <cell r="A44">
            <v>1820</v>
          </cell>
          <cell r="B44" t="str">
            <v>Sewerage</v>
          </cell>
          <cell r="C44" t="str">
            <v>1 NAL</v>
          </cell>
          <cell r="D44" t="str">
            <v>1 Net Assets</v>
          </cell>
          <cell r="E44">
            <v>1800</v>
          </cell>
          <cell r="F44" t="str">
            <v>Accumulated Surplus</v>
          </cell>
        </row>
        <row r="45">
          <cell r="A45">
            <v>1830</v>
          </cell>
          <cell r="B45" t="str">
            <v>Electricity</v>
          </cell>
          <cell r="C45" t="str">
            <v>1 NAL</v>
          </cell>
          <cell r="D45" t="str">
            <v>1 Net Assets</v>
          </cell>
          <cell r="E45">
            <v>1800</v>
          </cell>
          <cell r="F45" t="str">
            <v>Accumulated Surplus</v>
          </cell>
        </row>
        <row r="46">
          <cell r="A46">
            <v>1840</v>
          </cell>
          <cell r="B46" t="str">
            <v>Water</v>
          </cell>
          <cell r="C46" t="str">
            <v>1 NAL</v>
          </cell>
          <cell r="D46" t="str">
            <v>1 Net Assets</v>
          </cell>
          <cell r="E46">
            <v>1800</v>
          </cell>
          <cell r="F46" t="str">
            <v>Accumulated Surplus</v>
          </cell>
        </row>
        <row r="47">
          <cell r="A47">
            <v>1860</v>
          </cell>
          <cell r="B47" t="str">
            <v>Housing</v>
          </cell>
          <cell r="C47" t="str">
            <v>1 NAL</v>
          </cell>
          <cell r="D47" t="str">
            <v>1 Net Assets</v>
          </cell>
          <cell r="E47">
            <v>1800</v>
          </cell>
          <cell r="F47" t="str">
            <v>Accumulated Surplus</v>
          </cell>
        </row>
        <row r="48">
          <cell r="A48">
            <v>1898</v>
          </cell>
          <cell r="B48" t="str">
            <v>ST Accum Surplus</v>
          </cell>
          <cell r="C48" t="str">
            <v>1 NAL</v>
          </cell>
          <cell r="D48" t="str">
            <v>1 Net Assets</v>
          </cell>
          <cell r="E48">
            <v>1800</v>
          </cell>
          <cell r="F48" t="str">
            <v>Accumulated Surplus</v>
          </cell>
        </row>
        <row r="49">
          <cell r="A49">
            <v>1899</v>
          </cell>
          <cell r="B49">
            <v>0</v>
          </cell>
          <cell r="C49" t="str">
            <v>1 NAL</v>
          </cell>
          <cell r="D49" t="str">
            <v>1 Net Assets</v>
          </cell>
        </row>
        <row r="50">
          <cell r="A50">
            <v>2000</v>
          </cell>
          <cell r="B50" t="str">
            <v>Net Assets</v>
          </cell>
          <cell r="C50" t="str">
            <v>1 NAL</v>
          </cell>
          <cell r="D50" t="str">
            <v>1 Net Assets</v>
          </cell>
        </row>
        <row r="51">
          <cell r="A51">
            <v>2398</v>
          </cell>
          <cell r="B51">
            <v>0</v>
          </cell>
          <cell r="C51" t="str">
            <v>1 NAL</v>
          </cell>
          <cell r="D51" t="str">
            <v>1 Net Assets</v>
          </cell>
        </row>
        <row r="52">
          <cell r="A52">
            <v>2399</v>
          </cell>
          <cell r="B52" t="str">
            <v>Non-Current Liab</v>
          </cell>
          <cell r="C52" t="str">
            <v>1 NAL</v>
          </cell>
          <cell r="D52" t="str">
            <v>2 NC Liabilities</v>
          </cell>
        </row>
        <row r="53">
          <cell r="A53">
            <v>2400</v>
          </cell>
          <cell r="B53" t="str">
            <v>Long-term Liab</v>
          </cell>
          <cell r="C53" t="str">
            <v>1 NAL</v>
          </cell>
          <cell r="D53" t="str">
            <v>2 NC Liabilities</v>
          </cell>
          <cell r="E53">
            <v>2400</v>
          </cell>
          <cell r="F53" t="str">
            <v>Long-term Liab</v>
          </cell>
        </row>
        <row r="54">
          <cell r="A54">
            <v>2401</v>
          </cell>
          <cell r="B54" t="str">
            <v>Stk 231</v>
          </cell>
          <cell r="C54" t="str">
            <v>1 NAL</v>
          </cell>
          <cell r="D54" t="str">
            <v>2 NC Liabilities</v>
          </cell>
          <cell r="E54">
            <v>2400</v>
          </cell>
          <cell r="F54" t="str">
            <v>Long-term Liab</v>
          </cell>
        </row>
        <row r="55">
          <cell r="A55">
            <v>2402</v>
          </cell>
          <cell r="B55" t="str">
            <v>207-235</v>
          </cell>
          <cell r="C55" t="str">
            <v>1 NAL</v>
          </cell>
          <cell r="D55" t="str">
            <v>2 NC Liabilities</v>
          </cell>
          <cell r="E55">
            <v>2400</v>
          </cell>
          <cell r="F55" t="str">
            <v>Long-term Liab</v>
          </cell>
        </row>
        <row r="56">
          <cell r="A56">
            <v>2405</v>
          </cell>
          <cell r="B56" t="str">
            <v>73,76,78,79</v>
          </cell>
          <cell r="C56" t="str">
            <v>1 NAL</v>
          </cell>
          <cell r="D56" t="str">
            <v>2 NC Liabilities</v>
          </cell>
          <cell r="E56">
            <v>2400</v>
          </cell>
          <cell r="F56" t="str">
            <v>Long-term Liab</v>
          </cell>
        </row>
        <row r="57">
          <cell r="A57">
            <v>2406</v>
          </cell>
          <cell r="B57" t="str">
            <v>80-91,103-105,200</v>
          </cell>
          <cell r="C57" t="str">
            <v>1 NAL</v>
          </cell>
          <cell r="D57" t="str">
            <v>2 NC Liabilities</v>
          </cell>
          <cell r="E57">
            <v>2400</v>
          </cell>
          <cell r="F57" t="str">
            <v>Long-term Liab</v>
          </cell>
        </row>
        <row r="58">
          <cell r="A58">
            <v>2407</v>
          </cell>
          <cell r="B58" t="str">
            <v>201-205,106,86</v>
          </cell>
          <cell r="C58" t="str">
            <v>1 NAL</v>
          </cell>
          <cell r="D58" t="str">
            <v>2 NC Liabilities</v>
          </cell>
          <cell r="E58">
            <v>2400</v>
          </cell>
          <cell r="F58" t="str">
            <v>Long-term Liab</v>
          </cell>
        </row>
        <row r="59">
          <cell r="A59">
            <v>2408</v>
          </cell>
          <cell r="B59" t="str">
            <v>90,206</v>
          </cell>
          <cell r="C59" t="str">
            <v>1 NAL</v>
          </cell>
          <cell r="D59" t="str">
            <v>2 NC Liabilities</v>
          </cell>
          <cell r="E59">
            <v>2400</v>
          </cell>
          <cell r="F59" t="str">
            <v>Long-term Liab</v>
          </cell>
        </row>
        <row r="60">
          <cell r="A60">
            <v>2409</v>
          </cell>
          <cell r="B60" t="str">
            <v>9</v>
          </cell>
          <cell r="C60" t="str">
            <v>1 NAL</v>
          </cell>
          <cell r="D60" t="str">
            <v>2 NC Liabilities</v>
          </cell>
          <cell r="E60">
            <v>2400</v>
          </cell>
          <cell r="F60" t="str">
            <v>Long-term Liab</v>
          </cell>
        </row>
        <row r="61">
          <cell r="A61">
            <v>2429</v>
          </cell>
          <cell r="B61" t="str">
            <v>ST Local Reg Stock</v>
          </cell>
          <cell r="C61" t="str">
            <v>1 NAL</v>
          </cell>
          <cell r="D61" t="str">
            <v>2 NC Liabilities</v>
          </cell>
          <cell r="E61">
            <v>2400</v>
          </cell>
          <cell r="F61" t="str">
            <v>Long-term Liab</v>
          </cell>
        </row>
        <row r="62">
          <cell r="A62">
            <v>2430</v>
          </cell>
          <cell r="B62">
            <v>0</v>
          </cell>
          <cell r="C62" t="str">
            <v>1 NAL</v>
          </cell>
          <cell r="D62" t="str">
            <v>2 NC Liabilities</v>
          </cell>
        </row>
        <row r="63">
          <cell r="A63">
            <v>2431</v>
          </cell>
          <cell r="B63" t="str">
            <v>Eden</v>
          </cell>
          <cell r="C63" t="str">
            <v>1 NAL</v>
          </cell>
          <cell r="D63" t="str">
            <v>2 NC Liabilities</v>
          </cell>
          <cell r="E63">
            <v>2400</v>
          </cell>
          <cell r="F63" t="str">
            <v>Long-term Liab</v>
          </cell>
        </row>
        <row r="64">
          <cell r="A64">
            <v>2432</v>
          </cell>
          <cell r="B64" t="str">
            <v>IDC</v>
          </cell>
          <cell r="C64" t="str">
            <v>1 NAL</v>
          </cell>
          <cell r="D64" t="str">
            <v>2 NC Liabilities</v>
          </cell>
          <cell r="E64">
            <v>2400</v>
          </cell>
          <cell r="F64" t="str">
            <v>Long-term Liab</v>
          </cell>
        </row>
        <row r="65">
          <cell r="A65">
            <v>2433</v>
          </cell>
          <cell r="B65" t="str">
            <v>INCA</v>
          </cell>
          <cell r="C65" t="str">
            <v>1 NAL</v>
          </cell>
          <cell r="D65" t="str">
            <v>2 NC Liabilities</v>
          </cell>
          <cell r="E65">
            <v>2400</v>
          </cell>
          <cell r="F65" t="str">
            <v>Long-term Liab</v>
          </cell>
        </row>
        <row r="66">
          <cell r="A66">
            <v>2434</v>
          </cell>
          <cell r="B66" t="str">
            <v>DBSA</v>
          </cell>
          <cell r="C66" t="str">
            <v>1 NAL</v>
          </cell>
          <cell r="D66" t="str">
            <v>2 NC Liabilities</v>
          </cell>
          <cell r="E66">
            <v>2400</v>
          </cell>
          <cell r="F66" t="str">
            <v>Long-term Liab</v>
          </cell>
        </row>
        <row r="67">
          <cell r="A67">
            <v>2435</v>
          </cell>
          <cell r="B67" t="str">
            <v>ABSA</v>
          </cell>
          <cell r="C67" t="str">
            <v>1 NAL</v>
          </cell>
          <cell r="D67" t="str">
            <v>2 NC Liabilities</v>
          </cell>
          <cell r="E67">
            <v>2400</v>
          </cell>
          <cell r="F67" t="str">
            <v>Long-term Liab</v>
          </cell>
        </row>
        <row r="68">
          <cell r="A68">
            <v>2436</v>
          </cell>
          <cell r="B68" t="str">
            <v>Eden</v>
          </cell>
          <cell r="C68" t="str">
            <v>1 NAL</v>
          </cell>
          <cell r="D68" t="str">
            <v>2 NC Liabilities</v>
          </cell>
          <cell r="E68">
            <v>2400</v>
          </cell>
          <cell r="F68" t="str">
            <v>Long-term Liab</v>
          </cell>
        </row>
        <row r="69">
          <cell r="A69">
            <v>2460</v>
          </cell>
          <cell r="B69" t="str">
            <v>ST Annuity Loans</v>
          </cell>
          <cell r="C69" t="str">
            <v>1 NAL</v>
          </cell>
          <cell r="D69" t="str">
            <v>2 NC Liabilities</v>
          </cell>
          <cell r="E69">
            <v>2400</v>
          </cell>
          <cell r="F69" t="str">
            <v>Long-term Liab</v>
          </cell>
        </row>
        <row r="70">
          <cell r="A70">
            <v>2461</v>
          </cell>
          <cell r="C70" t="str">
            <v>1 NAL</v>
          </cell>
          <cell r="D70" t="str">
            <v>2 NC Liabilities</v>
          </cell>
          <cell r="E70">
            <v>2400</v>
          </cell>
          <cell r="F70" t="str">
            <v>Long-term Liab</v>
          </cell>
        </row>
        <row r="71">
          <cell r="A71">
            <v>2462</v>
          </cell>
          <cell r="B71" t="str">
            <v>Finance Leases</v>
          </cell>
          <cell r="C71" t="str">
            <v>1 NAL</v>
          </cell>
          <cell r="D71" t="str">
            <v>2 NC Liabilities</v>
          </cell>
          <cell r="E71">
            <v>2400</v>
          </cell>
          <cell r="F71" t="str">
            <v>Long-term Liab</v>
          </cell>
        </row>
        <row r="72">
          <cell r="A72">
            <v>2489</v>
          </cell>
          <cell r="C72" t="str">
            <v>1 NAL</v>
          </cell>
          <cell r="D72" t="str">
            <v>2 NC Liabilities</v>
          </cell>
          <cell r="E72">
            <v>2400</v>
          </cell>
          <cell r="F72" t="str">
            <v>Long-term Liab</v>
          </cell>
        </row>
        <row r="73">
          <cell r="A73">
            <v>2490</v>
          </cell>
          <cell r="B73" t="str">
            <v>Annuity Suspense</v>
          </cell>
          <cell r="C73" t="str">
            <v>1 NAL</v>
          </cell>
          <cell r="D73" t="str">
            <v>2 NC Liabilities</v>
          </cell>
          <cell r="E73">
            <v>2400</v>
          </cell>
          <cell r="F73" t="str">
            <v>Long-term Liab</v>
          </cell>
        </row>
        <row r="74">
          <cell r="A74">
            <v>2498</v>
          </cell>
          <cell r="B74" t="str">
            <v>Long Term Liab</v>
          </cell>
          <cell r="C74" t="str">
            <v>1 NAL</v>
          </cell>
          <cell r="D74" t="str">
            <v>2 NC Liabilities</v>
          </cell>
          <cell r="E74">
            <v>2400</v>
          </cell>
          <cell r="F74" t="str">
            <v>Long-term Liab</v>
          </cell>
        </row>
        <row r="75">
          <cell r="A75">
            <v>2499</v>
          </cell>
          <cell r="B75">
            <v>0</v>
          </cell>
          <cell r="C75" t="str">
            <v>1 NAL</v>
          </cell>
          <cell r="D75" t="str">
            <v>2 NC Liabilities</v>
          </cell>
        </row>
        <row r="76">
          <cell r="A76">
            <v>2500</v>
          </cell>
          <cell r="B76" t="str">
            <v>Unamortised Disc LTL</v>
          </cell>
          <cell r="C76" t="str">
            <v>1 NAL</v>
          </cell>
          <cell r="D76" t="str">
            <v>2 NC Liabilities</v>
          </cell>
          <cell r="E76">
            <v>2500</v>
          </cell>
          <cell r="F76" t="str">
            <v>Unamortised Discount</v>
          </cell>
        </row>
        <row r="77">
          <cell r="A77">
            <v>2510</v>
          </cell>
          <cell r="B77" t="str">
            <v>EDEN Loans</v>
          </cell>
          <cell r="C77" t="str">
            <v>1 NAL</v>
          </cell>
          <cell r="D77" t="str">
            <v>2 NC Liabilities</v>
          </cell>
          <cell r="E77">
            <v>2500</v>
          </cell>
          <cell r="F77" t="str">
            <v>Unamortised Discount</v>
          </cell>
        </row>
        <row r="78">
          <cell r="A78">
            <v>2520</v>
          </cell>
          <cell r="B78" t="str">
            <v>DBSA Consolidated Ln</v>
          </cell>
          <cell r="C78" t="str">
            <v>1 NAL</v>
          </cell>
          <cell r="D78" t="str">
            <v>2 NC Liabilities</v>
          </cell>
          <cell r="E78">
            <v>2500</v>
          </cell>
          <cell r="F78" t="str">
            <v>Unamortised Discount</v>
          </cell>
        </row>
        <row r="79">
          <cell r="A79">
            <v>2598</v>
          </cell>
          <cell r="B79" t="str">
            <v>ST Unamort Disc LTL</v>
          </cell>
          <cell r="C79" t="str">
            <v>1 NAL</v>
          </cell>
          <cell r="D79" t="str">
            <v>2 NC Liabilities</v>
          </cell>
          <cell r="E79">
            <v>2500</v>
          </cell>
          <cell r="F79" t="str">
            <v>Unamortised Discount</v>
          </cell>
        </row>
        <row r="80">
          <cell r="A80">
            <v>2599</v>
          </cell>
          <cell r="C80" t="str">
            <v>1 NAL</v>
          </cell>
          <cell r="D80" t="str">
            <v>2 NC Liabilities</v>
          </cell>
        </row>
        <row r="81">
          <cell r="A81">
            <v>2600</v>
          </cell>
          <cell r="B81" t="str">
            <v>Non-current Provisio</v>
          </cell>
          <cell r="C81" t="str">
            <v>1 NAL</v>
          </cell>
          <cell r="D81" t="str">
            <v>2 NC Liabilities</v>
          </cell>
          <cell r="E81">
            <v>2600</v>
          </cell>
          <cell r="F81" t="str">
            <v>Non-current Provisio</v>
          </cell>
        </row>
        <row r="82">
          <cell r="A82">
            <v>2698</v>
          </cell>
          <cell r="B82" t="str">
            <v>ST Non Cur Provision</v>
          </cell>
          <cell r="C82" t="str">
            <v>1 NAL</v>
          </cell>
          <cell r="D82" t="str">
            <v>2 NC Liabilities</v>
          </cell>
          <cell r="E82">
            <v>2600</v>
          </cell>
          <cell r="F82" t="str">
            <v>Non-current Provisio</v>
          </cell>
        </row>
        <row r="83">
          <cell r="A83">
            <v>2699</v>
          </cell>
          <cell r="B83">
            <v>0</v>
          </cell>
          <cell r="C83" t="str">
            <v>1 NAL</v>
          </cell>
          <cell r="D83" t="str">
            <v>2 NC Liabilities</v>
          </cell>
        </row>
        <row r="84">
          <cell r="A84">
            <v>2999</v>
          </cell>
          <cell r="B84">
            <v>0</v>
          </cell>
          <cell r="C84" t="str">
            <v>1 NAL</v>
          </cell>
          <cell r="D84" t="str">
            <v>2 NC Liabilities</v>
          </cell>
        </row>
        <row r="85">
          <cell r="A85">
            <v>3000</v>
          </cell>
          <cell r="B85" t="str">
            <v>Current Liabilities</v>
          </cell>
          <cell r="C85" t="str">
            <v>1 NAL</v>
          </cell>
          <cell r="D85" t="str">
            <v>3 C Liabilities</v>
          </cell>
        </row>
        <row r="86">
          <cell r="A86">
            <v>3100</v>
          </cell>
          <cell r="B86" t="str">
            <v>Consumer Deposits</v>
          </cell>
          <cell r="C86" t="str">
            <v>1 NAL</v>
          </cell>
          <cell r="D86" t="str">
            <v>3 C Liabilities</v>
          </cell>
          <cell r="E86">
            <v>3100</v>
          </cell>
          <cell r="F86" t="str">
            <v>Consumer Deposits</v>
          </cell>
        </row>
        <row r="87">
          <cell r="A87">
            <v>3130</v>
          </cell>
          <cell r="B87" t="str">
            <v>Electricity Deposits</v>
          </cell>
          <cell r="C87" t="str">
            <v>1 NAL</v>
          </cell>
          <cell r="D87" t="str">
            <v>3 C Liabilities</v>
          </cell>
          <cell r="E87">
            <v>3100</v>
          </cell>
          <cell r="F87" t="str">
            <v>Consumer Deposits</v>
          </cell>
        </row>
        <row r="88">
          <cell r="A88">
            <v>3140</v>
          </cell>
          <cell r="B88" t="str">
            <v>Water Deposits</v>
          </cell>
          <cell r="C88" t="str">
            <v>1 NAL</v>
          </cell>
          <cell r="D88" t="str">
            <v>3 C Liabilities</v>
          </cell>
          <cell r="E88">
            <v>3100</v>
          </cell>
          <cell r="F88" t="str">
            <v>Consumer Deposits</v>
          </cell>
        </row>
        <row r="89">
          <cell r="A89">
            <v>3198</v>
          </cell>
          <cell r="B89" t="str">
            <v>ST Counsumer Deposit</v>
          </cell>
          <cell r="C89" t="str">
            <v>1 NAL</v>
          </cell>
          <cell r="D89" t="str">
            <v>3 C Liabilities</v>
          </cell>
          <cell r="E89">
            <v>3100</v>
          </cell>
          <cell r="F89" t="str">
            <v>Consumer Deposits</v>
          </cell>
        </row>
        <row r="90">
          <cell r="A90">
            <v>3199</v>
          </cell>
          <cell r="B90">
            <v>0</v>
          </cell>
          <cell r="C90" t="str">
            <v>1 NAL</v>
          </cell>
          <cell r="D90" t="str">
            <v>3 C Liabilities</v>
          </cell>
        </row>
        <row r="91">
          <cell r="A91">
            <v>3200</v>
          </cell>
          <cell r="B91" t="str">
            <v>Provisions</v>
          </cell>
          <cell r="C91" t="str">
            <v>1 NAL</v>
          </cell>
          <cell r="D91" t="str">
            <v>3 C Liabilities</v>
          </cell>
          <cell r="E91">
            <v>3200</v>
          </cell>
          <cell r="F91" t="str">
            <v>Provisions</v>
          </cell>
        </row>
        <row r="92">
          <cell r="A92">
            <v>3210</v>
          </cell>
          <cell r="B92" t="str">
            <v>Leave R &amp; G</v>
          </cell>
          <cell r="C92" t="str">
            <v>1 NAL</v>
          </cell>
          <cell r="D92" t="str">
            <v>3 C Liabilities</v>
          </cell>
          <cell r="E92">
            <v>3200</v>
          </cell>
          <cell r="F92" t="str">
            <v>Provisions</v>
          </cell>
        </row>
        <row r="93">
          <cell r="A93">
            <v>3220</v>
          </cell>
          <cell r="B93" t="str">
            <v>Leave Sewerage</v>
          </cell>
          <cell r="C93" t="str">
            <v>1 NAL</v>
          </cell>
          <cell r="D93" t="str">
            <v>3 C Liabilities</v>
          </cell>
          <cell r="E93">
            <v>3200</v>
          </cell>
          <cell r="F93" t="str">
            <v>Provisions</v>
          </cell>
        </row>
        <row r="94">
          <cell r="A94">
            <v>3230</v>
          </cell>
          <cell r="B94" t="str">
            <v>Leave Electricity</v>
          </cell>
          <cell r="C94" t="str">
            <v>1 NAL</v>
          </cell>
          <cell r="D94" t="str">
            <v>3 C Liabilities</v>
          </cell>
          <cell r="E94">
            <v>3200</v>
          </cell>
          <cell r="F94" t="str">
            <v>Provisions</v>
          </cell>
        </row>
        <row r="95">
          <cell r="A95">
            <v>3240</v>
          </cell>
          <cell r="B95" t="str">
            <v>Leave Water</v>
          </cell>
          <cell r="C95" t="str">
            <v>1 NAL</v>
          </cell>
          <cell r="D95" t="str">
            <v>3 C Liabilities</v>
          </cell>
          <cell r="E95">
            <v>3200</v>
          </cell>
          <cell r="F95" t="str">
            <v>Provisions</v>
          </cell>
        </row>
        <row r="96">
          <cell r="A96">
            <v>3260</v>
          </cell>
          <cell r="B96" t="str">
            <v>Leave Housing</v>
          </cell>
          <cell r="C96" t="str">
            <v>1 NAL</v>
          </cell>
          <cell r="D96" t="str">
            <v>3 C Liabilities</v>
          </cell>
          <cell r="E96">
            <v>3200</v>
          </cell>
          <cell r="F96" t="str">
            <v>Provisions</v>
          </cell>
        </row>
        <row r="97">
          <cell r="A97">
            <v>3270</v>
          </cell>
          <cell r="B97">
            <v>0</v>
          </cell>
          <cell r="C97" t="str">
            <v>1 NAL</v>
          </cell>
          <cell r="D97" t="str">
            <v>3 C Liabilities</v>
          </cell>
        </row>
        <row r="98">
          <cell r="A98">
            <v>3271</v>
          </cell>
          <cell r="B98" t="str">
            <v>Bonus</v>
          </cell>
          <cell r="C98" t="str">
            <v>1 NAL</v>
          </cell>
          <cell r="D98" t="str">
            <v>3 C Liabilities</v>
          </cell>
          <cell r="E98">
            <v>3200</v>
          </cell>
          <cell r="F98" t="str">
            <v>Provisions</v>
          </cell>
        </row>
        <row r="99">
          <cell r="A99">
            <v>3298</v>
          </cell>
          <cell r="B99" t="str">
            <v>ST Provisions</v>
          </cell>
          <cell r="C99" t="str">
            <v>1 NAL</v>
          </cell>
          <cell r="D99" t="str">
            <v>3 C Liabilities</v>
          </cell>
          <cell r="E99">
            <v>3200</v>
          </cell>
          <cell r="F99" t="str">
            <v>Provisions</v>
          </cell>
        </row>
        <row r="100">
          <cell r="A100">
            <v>3299</v>
          </cell>
          <cell r="B100">
            <v>0</v>
          </cell>
          <cell r="C100" t="str">
            <v>1 NAL</v>
          </cell>
          <cell r="D100" t="str">
            <v>3 C Liabilities</v>
          </cell>
        </row>
        <row r="101">
          <cell r="A101">
            <v>3300</v>
          </cell>
          <cell r="B101" t="str">
            <v>Creditors</v>
          </cell>
          <cell r="C101" t="str">
            <v>1 NAL</v>
          </cell>
          <cell r="D101" t="str">
            <v>3 C Liabilities</v>
          </cell>
          <cell r="E101">
            <v>3300</v>
          </cell>
          <cell r="F101" t="str">
            <v>Creditors</v>
          </cell>
        </row>
        <row r="102">
          <cell r="A102">
            <v>3302</v>
          </cell>
          <cell r="B102" t="str">
            <v>Sundry Creditors</v>
          </cell>
          <cell r="C102" t="str">
            <v>1 NAL</v>
          </cell>
          <cell r="D102" t="str">
            <v>3 C Liabilities</v>
          </cell>
          <cell r="E102">
            <v>3300</v>
          </cell>
          <cell r="F102" t="str">
            <v>Creditors</v>
          </cell>
        </row>
        <row r="103">
          <cell r="A103">
            <v>3303</v>
          </cell>
          <cell r="B103" t="str">
            <v>Payments in Advance</v>
          </cell>
          <cell r="C103" t="str">
            <v>1 NAL</v>
          </cell>
          <cell r="D103" t="str">
            <v>3 C Liabilities</v>
          </cell>
          <cell r="E103">
            <v>3300</v>
          </cell>
          <cell r="F103" t="str">
            <v>Creditors</v>
          </cell>
        </row>
        <row r="104">
          <cell r="A104">
            <v>3304</v>
          </cell>
          <cell r="B104" t="str">
            <v>Deposits other</v>
          </cell>
          <cell r="C104" t="str">
            <v>1 NAL</v>
          </cell>
          <cell r="D104" t="str">
            <v>3 C Liabilities</v>
          </cell>
          <cell r="E104">
            <v>3300</v>
          </cell>
          <cell r="F104" t="str">
            <v>Creditors</v>
          </cell>
        </row>
        <row r="105">
          <cell r="A105">
            <v>3305</v>
          </cell>
          <cell r="B105" t="str">
            <v>Trade Creditors</v>
          </cell>
          <cell r="C105" t="str">
            <v>1 NAL</v>
          </cell>
          <cell r="D105" t="str">
            <v>3 C Liabilities</v>
          </cell>
          <cell r="E105">
            <v>3300</v>
          </cell>
          <cell r="F105" t="str">
            <v>Creditors</v>
          </cell>
        </row>
        <row r="106">
          <cell r="A106">
            <v>3308</v>
          </cell>
          <cell r="B106" t="str">
            <v>Hoarding Fees</v>
          </cell>
          <cell r="C106" t="str">
            <v>1 NAL</v>
          </cell>
          <cell r="D106" t="str">
            <v>3 C Liabilities</v>
          </cell>
          <cell r="E106">
            <v>3300</v>
          </cell>
          <cell r="F106" t="str">
            <v>Creditors</v>
          </cell>
        </row>
        <row r="107">
          <cell r="A107">
            <v>3309</v>
          </cell>
          <cell r="B107" t="str">
            <v>Retention Monies</v>
          </cell>
          <cell r="C107" t="str">
            <v>1 NAL</v>
          </cell>
          <cell r="D107" t="str">
            <v>3 C Liabilities</v>
          </cell>
          <cell r="E107">
            <v>3300</v>
          </cell>
          <cell r="F107" t="str">
            <v>Creditors</v>
          </cell>
        </row>
        <row r="108">
          <cell r="A108">
            <v>3398</v>
          </cell>
          <cell r="B108" t="str">
            <v>ST Creditors</v>
          </cell>
          <cell r="C108" t="str">
            <v>1 NAL</v>
          </cell>
          <cell r="D108" t="str">
            <v>3 C Liabilities</v>
          </cell>
          <cell r="E108">
            <v>3300</v>
          </cell>
          <cell r="F108" t="str">
            <v>Creditors</v>
          </cell>
        </row>
        <row r="109">
          <cell r="A109">
            <v>3399</v>
          </cell>
          <cell r="B109">
            <v>0</v>
          </cell>
          <cell r="C109" t="str">
            <v>1 NAL</v>
          </cell>
          <cell r="D109" t="str">
            <v>3 C Liabilities</v>
          </cell>
        </row>
        <row r="110">
          <cell r="A110">
            <v>3400</v>
          </cell>
          <cell r="B110" t="str">
            <v>Unspent Public Contr</v>
          </cell>
          <cell r="C110" t="str">
            <v>1 NAL</v>
          </cell>
          <cell r="D110" t="str">
            <v>3 C Liabilities</v>
          </cell>
          <cell r="E110">
            <v>3400</v>
          </cell>
          <cell r="F110" t="str">
            <v>Unspent Public Contr</v>
          </cell>
        </row>
        <row r="111">
          <cell r="A111">
            <v>3410</v>
          </cell>
          <cell r="B111" t="str">
            <v>Rate and General</v>
          </cell>
          <cell r="C111" t="str">
            <v>1 NAL</v>
          </cell>
          <cell r="D111" t="str">
            <v>3 C Liabilities</v>
          </cell>
          <cell r="E111">
            <v>3400</v>
          </cell>
          <cell r="F111" t="str">
            <v>Unspent Public Contr</v>
          </cell>
        </row>
        <row r="112">
          <cell r="A112">
            <v>3420</v>
          </cell>
          <cell r="B112" t="str">
            <v>Sewerage</v>
          </cell>
          <cell r="C112" t="str">
            <v>1 NAL</v>
          </cell>
          <cell r="D112" t="str">
            <v>3 C Liabilities</v>
          </cell>
          <cell r="E112">
            <v>3400</v>
          </cell>
          <cell r="F112" t="str">
            <v>Unspent Public Contr</v>
          </cell>
        </row>
        <row r="113">
          <cell r="A113">
            <v>3430</v>
          </cell>
          <cell r="B113" t="str">
            <v>Electricity</v>
          </cell>
          <cell r="C113" t="str">
            <v>1 NAL</v>
          </cell>
          <cell r="D113" t="str">
            <v>3 C Liabilities</v>
          </cell>
          <cell r="E113">
            <v>3400</v>
          </cell>
          <cell r="F113" t="str">
            <v>Unspent Public Contr</v>
          </cell>
        </row>
        <row r="114">
          <cell r="A114">
            <v>3440</v>
          </cell>
          <cell r="B114" t="str">
            <v>Water</v>
          </cell>
          <cell r="C114" t="str">
            <v>1 NAL</v>
          </cell>
          <cell r="D114" t="str">
            <v>3 C Liabilities</v>
          </cell>
          <cell r="E114">
            <v>3400</v>
          </cell>
          <cell r="F114" t="str">
            <v>Unspent Public Contr</v>
          </cell>
        </row>
        <row r="115">
          <cell r="A115">
            <v>3498</v>
          </cell>
          <cell r="B115" t="str">
            <v>ST Unspent Pub Cont</v>
          </cell>
          <cell r="C115" t="str">
            <v>1 NAL</v>
          </cell>
          <cell r="D115" t="str">
            <v>3 C Liabilities</v>
          </cell>
          <cell r="E115">
            <v>3400</v>
          </cell>
          <cell r="F115" t="str">
            <v>Unspent Public Contr</v>
          </cell>
        </row>
        <row r="116">
          <cell r="A116">
            <v>3499</v>
          </cell>
          <cell r="B116">
            <v>0</v>
          </cell>
          <cell r="C116" t="str">
            <v>1 NAL</v>
          </cell>
          <cell r="D116" t="str">
            <v>3 C Liabilities</v>
          </cell>
        </row>
        <row r="117">
          <cell r="A117">
            <v>3500</v>
          </cell>
          <cell r="B117" t="str">
            <v>Unspt Cond Granr Rec</v>
          </cell>
          <cell r="C117" t="str">
            <v>1 NAL</v>
          </cell>
          <cell r="D117" t="str">
            <v>3 C Liabilities</v>
          </cell>
          <cell r="E117">
            <v>3500</v>
          </cell>
          <cell r="F117" t="str">
            <v>Unspt Cond Granr Rec</v>
          </cell>
        </row>
        <row r="118">
          <cell r="A118">
            <v>3510</v>
          </cell>
          <cell r="B118" t="str">
            <v>Rate and General</v>
          </cell>
          <cell r="C118" t="str">
            <v>1 NAL</v>
          </cell>
          <cell r="D118" t="str">
            <v>3 C Liabilities</v>
          </cell>
          <cell r="E118">
            <v>3500</v>
          </cell>
          <cell r="F118" t="str">
            <v>Unspt Cond Granr Rec</v>
          </cell>
        </row>
        <row r="119">
          <cell r="A119">
            <v>3520</v>
          </cell>
          <cell r="B119" t="str">
            <v>Sewer</v>
          </cell>
          <cell r="C119" t="str">
            <v>1 NAL</v>
          </cell>
          <cell r="D119" t="str">
            <v>3 C Liabilities</v>
          </cell>
          <cell r="E119">
            <v>3500</v>
          </cell>
          <cell r="F119" t="str">
            <v>Unspt Cond Granr Rec</v>
          </cell>
        </row>
        <row r="120">
          <cell r="A120">
            <v>3530</v>
          </cell>
          <cell r="B120" t="str">
            <v>Electricity</v>
          </cell>
          <cell r="C120" t="str">
            <v>1 NAL</v>
          </cell>
          <cell r="D120" t="str">
            <v>3 C Liabilities</v>
          </cell>
          <cell r="E120">
            <v>3500</v>
          </cell>
          <cell r="F120" t="str">
            <v>Unspt Cond Granr Rec</v>
          </cell>
        </row>
        <row r="121">
          <cell r="A121">
            <v>3540</v>
          </cell>
          <cell r="B121" t="str">
            <v>Water</v>
          </cell>
          <cell r="C121" t="str">
            <v>1 NAL</v>
          </cell>
          <cell r="D121" t="str">
            <v>3 C Liabilities</v>
          </cell>
          <cell r="E121">
            <v>3500</v>
          </cell>
          <cell r="F121" t="str">
            <v>Unspt Cond Granr Rec</v>
          </cell>
        </row>
        <row r="122">
          <cell r="A122">
            <v>3560</v>
          </cell>
          <cell r="B122" t="str">
            <v>Housing</v>
          </cell>
          <cell r="C122" t="str">
            <v>1 NAL</v>
          </cell>
          <cell r="D122" t="str">
            <v>3 C Liabilities</v>
          </cell>
          <cell r="E122">
            <v>3500</v>
          </cell>
          <cell r="F122" t="str">
            <v>Unspt Cond Granr Rec</v>
          </cell>
        </row>
        <row r="123">
          <cell r="A123">
            <v>3589</v>
          </cell>
          <cell r="B123" t="str">
            <v>ST  Un Con Grant Rec</v>
          </cell>
          <cell r="C123" t="str">
            <v>1 NAL</v>
          </cell>
          <cell r="D123" t="str">
            <v>3 C Liabilities</v>
          </cell>
          <cell r="E123">
            <v>3500</v>
          </cell>
          <cell r="F123" t="str">
            <v>Unspt Cond Granr Rec</v>
          </cell>
        </row>
        <row r="124">
          <cell r="A124">
            <v>3600</v>
          </cell>
          <cell r="B124" t="str">
            <v>VAT</v>
          </cell>
          <cell r="C124" t="str">
            <v>1 NAL</v>
          </cell>
          <cell r="D124" t="str">
            <v>3 C Liabilities</v>
          </cell>
          <cell r="E124">
            <v>3600</v>
          </cell>
          <cell r="F124" t="str">
            <v>VAT</v>
          </cell>
        </row>
        <row r="125">
          <cell r="A125">
            <v>3699</v>
          </cell>
          <cell r="B125">
            <v>0</v>
          </cell>
          <cell r="C125" t="str">
            <v>1 NAL</v>
          </cell>
          <cell r="D125" t="str">
            <v>3 C Liabilities</v>
          </cell>
        </row>
        <row r="126">
          <cell r="A126">
            <v>3710</v>
          </cell>
          <cell r="B126" t="str">
            <v>Oper Lease Liab</v>
          </cell>
          <cell r="C126" t="str">
            <v>1 NAL</v>
          </cell>
          <cell r="D126" t="str">
            <v>3 C Liabilities</v>
          </cell>
          <cell r="E126">
            <v>3710</v>
          </cell>
          <cell r="F126" t="str">
            <v>Oper Lease Liab</v>
          </cell>
        </row>
        <row r="127">
          <cell r="A127">
            <v>3798</v>
          </cell>
          <cell r="B127" t="str">
            <v>ST Op Lease Liab</v>
          </cell>
          <cell r="C127" t="str">
            <v>1 NAL</v>
          </cell>
          <cell r="D127" t="str">
            <v>3 C Liabilities</v>
          </cell>
          <cell r="E127">
            <v>3710</v>
          </cell>
          <cell r="F127" t="str">
            <v>Oper Lease Liab</v>
          </cell>
        </row>
        <row r="128">
          <cell r="A128">
            <v>3799</v>
          </cell>
          <cell r="B128">
            <v>0</v>
          </cell>
          <cell r="C128" t="str">
            <v>1 NAL</v>
          </cell>
          <cell r="D128" t="str">
            <v>3 C Liabilities</v>
          </cell>
        </row>
        <row r="129">
          <cell r="A129">
            <v>3800</v>
          </cell>
          <cell r="B129" t="str">
            <v>Bank Overdraft</v>
          </cell>
          <cell r="C129" t="str">
            <v>1 NAL</v>
          </cell>
          <cell r="D129" t="str">
            <v>3 C Liabilities</v>
          </cell>
          <cell r="E129">
            <v>3800</v>
          </cell>
          <cell r="F129" t="str">
            <v>Bank Overdraft</v>
          </cell>
        </row>
        <row r="130">
          <cell r="A130">
            <v>3801</v>
          </cell>
          <cell r="B130" t="str">
            <v>Wages Cash Control</v>
          </cell>
          <cell r="C130" t="str">
            <v>1 NAL</v>
          </cell>
          <cell r="D130" t="str">
            <v>3 C Liabilities</v>
          </cell>
          <cell r="E130">
            <v>3800</v>
          </cell>
          <cell r="F130" t="str">
            <v>Bank Overdraft</v>
          </cell>
        </row>
        <row r="131">
          <cell r="A131">
            <v>3802</v>
          </cell>
          <cell r="B131" t="str">
            <v>Cash Control</v>
          </cell>
          <cell r="C131" t="str">
            <v>1 NAL</v>
          </cell>
          <cell r="D131" t="str">
            <v>3 C Liabilities</v>
          </cell>
          <cell r="E131">
            <v>3800</v>
          </cell>
          <cell r="F131" t="str">
            <v>Bank Overdraft</v>
          </cell>
        </row>
        <row r="132">
          <cell r="A132">
            <v>3803</v>
          </cell>
          <cell r="B132" t="str">
            <v>Petty Cash</v>
          </cell>
          <cell r="C132" t="str">
            <v>1 NAL</v>
          </cell>
          <cell r="D132" t="str">
            <v>3 C Liabilities</v>
          </cell>
          <cell r="E132">
            <v>3800</v>
          </cell>
          <cell r="F132" t="str">
            <v>Bank Overdraft</v>
          </cell>
        </row>
        <row r="133">
          <cell r="A133">
            <v>3898</v>
          </cell>
          <cell r="B133" t="str">
            <v>ST Bank Overdraft</v>
          </cell>
          <cell r="C133" t="str">
            <v>1 NAL</v>
          </cell>
          <cell r="D133" t="str">
            <v>3 C Liabilities</v>
          </cell>
          <cell r="E133">
            <v>3800</v>
          </cell>
          <cell r="F133" t="str">
            <v>Bank Overdraft</v>
          </cell>
        </row>
        <row r="134">
          <cell r="A134">
            <v>3899</v>
          </cell>
          <cell r="B134">
            <v>0</v>
          </cell>
          <cell r="C134" t="str">
            <v>1 NAL</v>
          </cell>
          <cell r="D134" t="str">
            <v>3 C Liabilities</v>
          </cell>
        </row>
        <row r="135">
          <cell r="A135">
            <v>3900</v>
          </cell>
          <cell r="B135" t="str">
            <v>Cur P of Long T Liab</v>
          </cell>
          <cell r="C135" t="str">
            <v>1 NAL</v>
          </cell>
          <cell r="D135" t="str">
            <v>3 C Liabilities</v>
          </cell>
          <cell r="E135">
            <v>3900</v>
          </cell>
          <cell r="F135" t="str">
            <v>Cur P of Long T Liab</v>
          </cell>
        </row>
        <row r="136">
          <cell r="A136">
            <v>3999</v>
          </cell>
          <cell r="B136">
            <v>0</v>
          </cell>
          <cell r="C136" t="str">
            <v>1 NAL</v>
          </cell>
          <cell r="D136" t="str">
            <v>3 C Liabilities</v>
          </cell>
        </row>
        <row r="137">
          <cell r="A137">
            <v>4050</v>
          </cell>
          <cell r="B137" t="str">
            <v>T Net Asst &amp; Liab</v>
          </cell>
          <cell r="C137" t="str">
            <v>2 ASSETS</v>
          </cell>
          <cell r="D137" t="str">
            <v>1 NC Assets</v>
          </cell>
        </row>
        <row r="138">
          <cell r="A138">
            <v>4100</v>
          </cell>
          <cell r="B138" t="str">
            <v>Intangible Assets_x000D_</v>
          </cell>
          <cell r="C138" t="str">
            <v>2 ASSETS</v>
          </cell>
          <cell r="D138" t="str">
            <v>1 NC Assets</v>
          </cell>
          <cell r="E138">
            <v>4100</v>
          </cell>
          <cell r="F138" t="str">
            <v>Intangible Assets_x000D_</v>
          </cell>
        </row>
        <row r="139">
          <cell r="A139">
            <v>4110</v>
          </cell>
          <cell r="B139" t="str">
            <v>Cost</v>
          </cell>
          <cell r="C139" t="str">
            <v>2 ASSETS</v>
          </cell>
          <cell r="D139" t="str">
            <v>1 NC Assets</v>
          </cell>
          <cell r="E139">
            <v>4100</v>
          </cell>
          <cell r="F139" t="str">
            <v>Intangible Assets_x000D_</v>
          </cell>
        </row>
        <row r="140">
          <cell r="A140">
            <v>4120</v>
          </cell>
          <cell r="B140" t="str">
            <v>Depreciation</v>
          </cell>
          <cell r="C140" t="str">
            <v>2 ASSETS</v>
          </cell>
          <cell r="D140" t="str">
            <v>1 NC Assets</v>
          </cell>
          <cell r="E140">
            <v>4100</v>
          </cell>
          <cell r="F140" t="str">
            <v>Intangible Assets_x000D_</v>
          </cell>
        </row>
        <row r="141">
          <cell r="A141">
            <v>4198</v>
          </cell>
          <cell r="B141" t="str">
            <v>Rate and General</v>
          </cell>
          <cell r="C141" t="str">
            <v>2 ASSETS</v>
          </cell>
          <cell r="D141" t="str">
            <v>1 NC Assets</v>
          </cell>
          <cell r="E141">
            <v>4100</v>
          </cell>
          <cell r="F141" t="str">
            <v>Intangible Assets_x000D_</v>
          </cell>
        </row>
        <row r="142">
          <cell r="A142">
            <v>4199</v>
          </cell>
        </row>
        <row r="143">
          <cell r="A143">
            <v>4200</v>
          </cell>
          <cell r="B143" t="str">
            <v>Prop, Plant &amp; Equip</v>
          </cell>
          <cell r="C143" t="str">
            <v>2 ASSETS</v>
          </cell>
          <cell r="D143" t="str">
            <v>1 NC Assets</v>
          </cell>
          <cell r="E143">
            <v>4200</v>
          </cell>
          <cell r="F143" t="str">
            <v>Prop, Plant &amp; Equip</v>
          </cell>
        </row>
        <row r="144">
          <cell r="A144">
            <v>4210</v>
          </cell>
          <cell r="B144" t="str">
            <v>Rate and General</v>
          </cell>
          <cell r="C144" t="str">
            <v>2 ASSETS</v>
          </cell>
          <cell r="D144" t="str">
            <v>1 NC Assets</v>
          </cell>
          <cell r="E144">
            <v>4200</v>
          </cell>
          <cell r="F144" t="str">
            <v>Prop, Plant &amp; Equip</v>
          </cell>
        </row>
        <row r="145">
          <cell r="A145">
            <v>4211</v>
          </cell>
          <cell r="B145" t="str">
            <v>Infrastructure</v>
          </cell>
          <cell r="C145" t="str">
            <v>2 ASSETS</v>
          </cell>
          <cell r="D145" t="str">
            <v>1 NC Assets</v>
          </cell>
          <cell r="E145">
            <v>4200</v>
          </cell>
          <cell r="F145" t="str">
            <v>Prop, Plant &amp; Equip</v>
          </cell>
        </row>
        <row r="146">
          <cell r="A146">
            <v>4212</v>
          </cell>
          <cell r="B146" t="str">
            <v>Land &amp; Buildings</v>
          </cell>
          <cell r="C146" t="str">
            <v>2 ASSETS</v>
          </cell>
          <cell r="D146" t="str">
            <v>1 NC Assets</v>
          </cell>
          <cell r="E146">
            <v>4200</v>
          </cell>
          <cell r="F146" t="str">
            <v>Prop, Plant &amp; Equip</v>
          </cell>
        </row>
        <row r="147">
          <cell r="A147">
            <v>4213</v>
          </cell>
          <cell r="B147" t="str">
            <v>Investment</v>
          </cell>
          <cell r="C147" t="str">
            <v>2 ASSETS</v>
          </cell>
          <cell r="D147" t="str">
            <v>1 NC Assets</v>
          </cell>
          <cell r="E147">
            <v>4200</v>
          </cell>
          <cell r="F147" t="str">
            <v>Prop, Plant &amp; Equip</v>
          </cell>
        </row>
        <row r="148">
          <cell r="A148">
            <v>4214</v>
          </cell>
          <cell r="B148" t="str">
            <v>Other</v>
          </cell>
          <cell r="C148" t="str">
            <v>2 ASSETS</v>
          </cell>
          <cell r="D148" t="str">
            <v>1 NC Assets</v>
          </cell>
          <cell r="E148">
            <v>4200</v>
          </cell>
          <cell r="F148" t="str">
            <v>Prop, Plant &amp; Equip</v>
          </cell>
        </row>
        <row r="149">
          <cell r="A149">
            <v>4215</v>
          </cell>
          <cell r="B149" t="str">
            <v>Community</v>
          </cell>
          <cell r="C149" t="str">
            <v>2 ASSETS</v>
          </cell>
          <cell r="D149" t="str">
            <v>1 NC Assets</v>
          </cell>
          <cell r="E149">
            <v>4200</v>
          </cell>
          <cell r="F149" t="str">
            <v>Prop, Plant &amp; Equip</v>
          </cell>
        </row>
        <row r="150">
          <cell r="A150">
            <v>4216</v>
          </cell>
          <cell r="B150" t="str">
            <v>Heritage</v>
          </cell>
          <cell r="C150" t="str">
            <v>2 ASSETS</v>
          </cell>
          <cell r="D150" t="str">
            <v>1 NC Assets</v>
          </cell>
          <cell r="E150">
            <v>4200</v>
          </cell>
          <cell r="F150" t="str">
            <v>Prop, Plant &amp; Equip</v>
          </cell>
        </row>
        <row r="151">
          <cell r="A151">
            <v>4217</v>
          </cell>
          <cell r="B151" t="str">
            <v>Intangible</v>
          </cell>
          <cell r="C151" t="str">
            <v>2 ASSETS</v>
          </cell>
          <cell r="D151" t="str">
            <v>1 NC Assets</v>
          </cell>
          <cell r="E151">
            <v>4200</v>
          </cell>
          <cell r="F151" t="str">
            <v>Prop, Plant &amp; Equip</v>
          </cell>
        </row>
        <row r="152">
          <cell r="A152">
            <v>4218</v>
          </cell>
          <cell r="B152" t="str">
            <v>Capital Suspense</v>
          </cell>
          <cell r="C152" t="str">
            <v>2 ASSETS</v>
          </cell>
          <cell r="D152" t="str">
            <v>1 NC Assets</v>
          </cell>
          <cell r="E152">
            <v>4200</v>
          </cell>
          <cell r="F152" t="str">
            <v>Prop, Plant &amp; Equip</v>
          </cell>
        </row>
        <row r="153">
          <cell r="A153">
            <v>4219</v>
          </cell>
          <cell r="B153" t="str">
            <v>Depreciation</v>
          </cell>
          <cell r="C153" t="str">
            <v>2 ASSETS</v>
          </cell>
          <cell r="D153" t="str">
            <v>1 NC Assets</v>
          </cell>
          <cell r="E153">
            <v>4200</v>
          </cell>
          <cell r="F153" t="str">
            <v>Prop, Plant &amp; Equip</v>
          </cell>
        </row>
        <row r="154">
          <cell r="A154">
            <v>4220</v>
          </cell>
          <cell r="B154" t="str">
            <v>Sewerage</v>
          </cell>
          <cell r="C154" t="str">
            <v>2 ASSETS</v>
          </cell>
          <cell r="D154" t="str">
            <v>1 NC Assets</v>
          </cell>
          <cell r="E154">
            <v>4200</v>
          </cell>
          <cell r="F154" t="str">
            <v>Prop, Plant &amp; Equip</v>
          </cell>
        </row>
        <row r="155">
          <cell r="A155">
            <v>4221</v>
          </cell>
          <cell r="B155" t="str">
            <v>Infrastructure</v>
          </cell>
          <cell r="C155" t="str">
            <v>2 ASSETS</v>
          </cell>
          <cell r="D155" t="str">
            <v>1 NC Assets</v>
          </cell>
          <cell r="E155">
            <v>4200</v>
          </cell>
          <cell r="F155" t="str">
            <v>Prop, Plant &amp; Equip</v>
          </cell>
        </row>
        <row r="156">
          <cell r="A156">
            <v>4222</v>
          </cell>
          <cell r="B156" t="str">
            <v>Land &amp; Buildings</v>
          </cell>
          <cell r="C156" t="str">
            <v>2 ASSETS</v>
          </cell>
          <cell r="D156" t="str">
            <v>1 NC Assets</v>
          </cell>
          <cell r="E156">
            <v>4200</v>
          </cell>
          <cell r="F156" t="str">
            <v>Prop, Plant &amp; Equip</v>
          </cell>
        </row>
        <row r="157">
          <cell r="A157">
            <v>4223</v>
          </cell>
          <cell r="B157" t="str">
            <v>Investment</v>
          </cell>
          <cell r="C157" t="str">
            <v>2 ASSETS</v>
          </cell>
          <cell r="D157" t="str">
            <v>1 NC Assets</v>
          </cell>
          <cell r="E157">
            <v>4200</v>
          </cell>
          <cell r="F157" t="str">
            <v>Prop, Plant &amp; Equip</v>
          </cell>
        </row>
        <row r="158">
          <cell r="A158">
            <v>4224</v>
          </cell>
          <cell r="B158" t="str">
            <v>Other</v>
          </cell>
          <cell r="C158" t="str">
            <v>2 ASSETS</v>
          </cell>
          <cell r="D158" t="str">
            <v>1 NC Assets</v>
          </cell>
          <cell r="E158">
            <v>4200</v>
          </cell>
          <cell r="F158" t="str">
            <v>Prop, Plant &amp; Equip</v>
          </cell>
        </row>
        <row r="159">
          <cell r="A159">
            <v>4225</v>
          </cell>
          <cell r="B159" t="str">
            <v>Community</v>
          </cell>
          <cell r="C159" t="str">
            <v>2 ASSETS</v>
          </cell>
          <cell r="D159" t="str">
            <v>1 NC Assets</v>
          </cell>
          <cell r="E159">
            <v>4200</v>
          </cell>
          <cell r="F159" t="str">
            <v>Prop, Plant &amp; Equip</v>
          </cell>
        </row>
        <row r="160">
          <cell r="A160">
            <v>4226</v>
          </cell>
          <cell r="B160" t="str">
            <v>Cap Sus Don &amp; Pub C</v>
          </cell>
          <cell r="C160" t="str">
            <v>2 ASSETS</v>
          </cell>
          <cell r="D160" t="str">
            <v>1 NC Assets</v>
          </cell>
          <cell r="E160">
            <v>4200</v>
          </cell>
          <cell r="F160" t="str">
            <v>Prop, Plant &amp; Equip</v>
          </cell>
        </row>
        <row r="161">
          <cell r="A161">
            <v>4227</v>
          </cell>
          <cell r="B161" t="str">
            <v>Capital Suspense G</v>
          </cell>
          <cell r="C161" t="str">
            <v>2 ASSETS</v>
          </cell>
          <cell r="D161" t="str">
            <v>1 NC Assets</v>
          </cell>
          <cell r="E161">
            <v>4200</v>
          </cell>
          <cell r="F161" t="str">
            <v>Prop, Plant &amp; Equip</v>
          </cell>
        </row>
        <row r="162">
          <cell r="A162">
            <v>4228</v>
          </cell>
          <cell r="B162" t="str">
            <v>Capital Suspense L</v>
          </cell>
          <cell r="C162" t="str">
            <v>2 ASSETS</v>
          </cell>
          <cell r="D162" t="str">
            <v>1 NC Assets</v>
          </cell>
          <cell r="E162">
            <v>4200</v>
          </cell>
          <cell r="F162" t="str">
            <v>Prop, Plant &amp; Equip</v>
          </cell>
        </row>
        <row r="163">
          <cell r="A163">
            <v>4229</v>
          </cell>
          <cell r="B163" t="str">
            <v>Depreciaition</v>
          </cell>
          <cell r="C163" t="str">
            <v>2 ASSETS</v>
          </cell>
          <cell r="D163" t="str">
            <v>1 NC Assets</v>
          </cell>
          <cell r="E163">
            <v>4200</v>
          </cell>
          <cell r="F163" t="str">
            <v>Prop, Plant &amp; Equip</v>
          </cell>
        </row>
        <row r="164">
          <cell r="A164">
            <v>4230</v>
          </cell>
          <cell r="B164" t="str">
            <v>Electricity</v>
          </cell>
          <cell r="C164" t="str">
            <v>2 ASSETS</v>
          </cell>
          <cell r="D164" t="str">
            <v>1 NC Assets</v>
          </cell>
          <cell r="E164">
            <v>4200</v>
          </cell>
          <cell r="F164" t="str">
            <v>Prop, Plant &amp; Equip</v>
          </cell>
        </row>
        <row r="165">
          <cell r="A165">
            <v>4231</v>
          </cell>
          <cell r="B165" t="str">
            <v>Infrastructure</v>
          </cell>
          <cell r="C165" t="str">
            <v>2 ASSETS</v>
          </cell>
          <cell r="D165" t="str">
            <v>1 NC Assets</v>
          </cell>
          <cell r="E165">
            <v>4200</v>
          </cell>
          <cell r="F165" t="str">
            <v>Prop, Plant &amp; Equip</v>
          </cell>
        </row>
        <row r="166">
          <cell r="A166">
            <v>4232</v>
          </cell>
          <cell r="B166" t="str">
            <v>Land &amp; Buildings</v>
          </cell>
          <cell r="C166" t="str">
            <v>2 ASSETS</v>
          </cell>
          <cell r="D166" t="str">
            <v>1 NC Assets</v>
          </cell>
          <cell r="E166">
            <v>4200</v>
          </cell>
          <cell r="F166" t="str">
            <v>Prop, Plant &amp; Equip</v>
          </cell>
        </row>
        <row r="167">
          <cell r="A167">
            <v>4233</v>
          </cell>
          <cell r="B167" t="str">
            <v>Investment</v>
          </cell>
          <cell r="C167" t="str">
            <v>2 ASSETS</v>
          </cell>
          <cell r="D167" t="str">
            <v>1 NC Assets</v>
          </cell>
          <cell r="E167">
            <v>4200</v>
          </cell>
          <cell r="F167" t="str">
            <v>Prop, Plant &amp; Equip</v>
          </cell>
        </row>
        <row r="168">
          <cell r="A168">
            <v>4234</v>
          </cell>
          <cell r="B168" t="str">
            <v>Other</v>
          </cell>
          <cell r="C168" t="str">
            <v>2 ASSETS</v>
          </cell>
          <cell r="D168" t="str">
            <v>1 NC Assets</v>
          </cell>
          <cell r="E168">
            <v>4200</v>
          </cell>
          <cell r="F168" t="str">
            <v>Prop, Plant &amp; Equip</v>
          </cell>
        </row>
        <row r="169">
          <cell r="A169">
            <v>4235</v>
          </cell>
          <cell r="B169" t="str">
            <v>Cap Sus Rev &amp; Int Fd</v>
          </cell>
          <cell r="C169" t="str">
            <v>2 ASSETS</v>
          </cell>
          <cell r="D169" t="str">
            <v>1 NC Assets</v>
          </cell>
          <cell r="E169">
            <v>4200</v>
          </cell>
          <cell r="F169" t="str">
            <v>Prop, Plant &amp; Equip</v>
          </cell>
        </row>
        <row r="170">
          <cell r="A170">
            <v>4236</v>
          </cell>
          <cell r="B170" t="str">
            <v>CAp Sus Don &amp; Pub C</v>
          </cell>
          <cell r="C170" t="str">
            <v>2 ASSETS</v>
          </cell>
          <cell r="D170" t="str">
            <v>1 NC Assets</v>
          </cell>
          <cell r="E170">
            <v>4200</v>
          </cell>
          <cell r="F170" t="str">
            <v>Prop, Plant &amp; Equip</v>
          </cell>
        </row>
        <row r="171">
          <cell r="A171">
            <v>4237</v>
          </cell>
          <cell r="B171" t="str">
            <v>Capital Suspense G</v>
          </cell>
          <cell r="C171" t="str">
            <v>2 ASSETS</v>
          </cell>
          <cell r="D171" t="str">
            <v>1 NC Assets</v>
          </cell>
          <cell r="E171">
            <v>4200</v>
          </cell>
          <cell r="F171" t="str">
            <v>Prop, Plant &amp; Equip</v>
          </cell>
        </row>
        <row r="172">
          <cell r="A172">
            <v>4238</v>
          </cell>
          <cell r="B172" t="str">
            <v>Capital Suspense L</v>
          </cell>
          <cell r="C172" t="str">
            <v>2 ASSETS</v>
          </cell>
          <cell r="D172" t="str">
            <v>1 NC Assets</v>
          </cell>
          <cell r="E172">
            <v>4200</v>
          </cell>
          <cell r="F172" t="str">
            <v>Prop, Plant &amp; Equip</v>
          </cell>
        </row>
        <row r="173">
          <cell r="A173">
            <v>4239</v>
          </cell>
          <cell r="B173" t="str">
            <v>Depreciation</v>
          </cell>
          <cell r="C173" t="str">
            <v>2 ASSETS</v>
          </cell>
          <cell r="D173" t="str">
            <v>1 NC Assets</v>
          </cell>
          <cell r="E173">
            <v>4200</v>
          </cell>
          <cell r="F173" t="str">
            <v>Prop, Plant &amp; Equip</v>
          </cell>
        </row>
        <row r="174">
          <cell r="A174">
            <v>4240</v>
          </cell>
          <cell r="B174" t="str">
            <v>Water</v>
          </cell>
          <cell r="C174" t="str">
            <v>2 ASSETS</v>
          </cell>
          <cell r="D174" t="str">
            <v>1 NC Assets</v>
          </cell>
          <cell r="E174">
            <v>4200</v>
          </cell>
          <cell r="F174" t="str">
            <v>Prop, Plant &amp; Equip</v>
          </cell>
        </row>
        <row r="175">
          <cell r="A175">
            <v>4241</v>
          </cell>
          <cell r="B175" t="str">
            <v>Infrastructure</v>
          </cell>
          <cell r="C175" t="str">
            <v>2 ASSETS</v>
          </cell>
          <cell r="D175" t="str">
            <v>1 NC Assets</v>
          </cell>
          <cell r="E175">
            <v>4200</v>
          </cell>
          <cell r="F175" t="str">
            <v>Prop, Plant &amp; Equip</v>
          </cell>
        </row>
        <row r="176">
          <cell r="A176">
            <v>4242</v>
          </cell>
          <cell r="B176" t="str">
            <v>Land &amp; Buildings</v>
          </cell>
          <cell r="C176" t="str">
            <v>2 ASSETS</v>
          </cell>
          <cell r="D176" t="str">
            <v>1 NC Assets</v>
          </cell>
          <cell r="E176">
            <v>4200</v>
          </cell>
          <cell r="F176" t="str">
            <v>Prop, Plant &amp; Equip</v>
          </cell>
        </row>
        <row r="177">
          <cell r="A177">
            <v>4243</v>
          </cell>
          <cell r="B177" t="str">
            <v>Investment</v>
          </cell>
          <cell r="C177" t="str">
            <v>2 ASSETS</v>
          </cell>
          <cell r="D177" t="str">
            <v>1 NC Assets</v>
          </cell>
          <cell r="E177">
            <v>4200</v>
          </cell>
          <cell r="F177" t="str">
            <v>Prop, Plant &amp; Equip</v>
          </cell>
        </row>
        <row r="178">
          <cell r="A178">
            <v>4244</v>
          </cell>
          <cell r="B178" t="str">
            <v>Other</v>
          </cell>
          <cell r="C178" t="str">
            <v>2 ASSETS</v>
          </cell>
          <cell r="D178" t="str">
            <v>1 NC Assets</v>
          </cell>
          <cell r="E178">
            <v>4200</v>
          </cell>
          <cell r="F178" t="str">
            <v>Prop, Plant &amp; Equip</v>
          </cell>
        </row>
        <row r="179">
          <cell r="A179">
            <v>4245</v>
          </cell>
          <cell r="B179" t="str">
            <v>Community</v>
          </cell>
          <cell r="C179" t="str">
            <v>2 ASSETS</v>
          </cell>
          <cell r="D179" t="str">
            <v>1 NC Assets</v>
          </cell>
          <cell r="E179">
            <v>4200</v>
          </cell>
          <cell r="F179" t="str">
            <v>Prop, Plant &amp; Equip</v>
          </cell>
        </row>
        <row r="180">
          <cell r="A180">
            <v>4246</v>
          </cell>
          <cell r="B180" t="str">
            <v>Cap Sus Don &amp; Pub C</v>
          </cell>
          <cell r="C180" t="str">
            <v>2 ASSETS</v>
          </cell>
          <cell r="D180" t="str">
            <v>1 NC Assets</v>
          </cell>
          <cell r="E180">
            <v>4200</v>
          </cell>
          <cell r="F180" t="str">
            <v>Prop, Plant &amp; Equip</v>
          </cell>
        </row>
        <row r="181">
          <cell r="A181">
            <v>4247</v>
          </cell>
          <cell r="B181" t="str">
            <v>Capital Suspense G</v>
          </cell>
          <cell r="C181" t="str">
            <v>2 ASSETS</v>
          </cell>
          <cell r="D181" t="str">
            <v>1 NC Assets</v>
          </cell>
          <cell r="E181">
            <v>4200</v>
          </cell>
          <cell r="F181" t="str">
            <v>Prop, Plant &amp; Equip</v>
          </cell>
        </row>
        <row r="182">
          <cell r="A182">
            <v>4248</v>
          </cell>
          <cell r="B182" t="str">
            <v>Capital Suspense L</v>
          </cell>
          <cell r="C182" t="str">
            <v>2 ASSETS</v>
          </cell>
          <cell r="D182" t="str">
            <v>1 NC Assets</v>
          </cell>
          <cell r="E182">
            <v>4200</v>
          </cell>
          <cell r="F182" t="str">
            <v>Prop, Plant &amp; Equip</v>
          </cell>
        </row>
        <row r="183">
          <cell r="A183">
            <v>4249</v>
          </cell>
          <cell r="B183" t="str">
            <v>Depreciation</v>
          </cell>
          <cell r="C183" t="str">
            <v>2 ASSETS</v>
          </cell>
          <cell r="D183" t="str">
            <v>1 NC Assets</v>
          </cell>
          <cell r="E183">
            <v>4200</v>
          </cell>
          <cell r="F183" t="str">
            <v>Prop, Plant &amp; Equip</v>
          </cell>
        </row>
        <row r="184">
          <cell r="A184">
            <v>4260</v>
          </cell>
          <cell r="B184" t="str">
            <v>Housing</v>
          </cell>
          <cell r="C184" t="str">
            <v>2 ASSETS</v>
          </cell>
          <cell r="D184" t="str">
            <v>1 NC Assets</v>
          </cell>
          <cell r="E184">
            <v>4200</v>
          </cell>
          <cell r="F184" t="str">
            <v>Prop, Plant &amp; Equip</v>
          </cell>
        </row>
        <row r="185">
          <cell r="A185">
            <v>4261</v>
          </cell>
          <cell r="B185" t="str">
            <v>Infrastructure</v>
          </cell>
          <cell r="C185" t="str">
            <v>2 ASSETS</v>
          </cell>
          <cell r="D185" t="str">
            <v>1 NC Assets</v>
          </cell>
          <cell r="E185">
            <v>4200</v>
          </cell>
          <cell r="F185" t="str">
            <v>Prop, Plant &amp; Equip</v>
          </cell>
        </row>
        <row r="186">
          <cell r="A186">
            <v>4262</v>
          </cell>
          <cell r="B186" t="str">
            <v>Land &amp; Building</v>
          </cell>
          <cell r="C186" t="str">
            <v>2 ASSETS</v>
          </cell>
          <cell r="D186" t="str">
            <v>1 NC Assets</v>
          </cell>
          <cell r="E186">
            <v>4200</v>
          </cell>
          <cell r="F186" t="str">
            <v>Prop, Plant &amp; Equip</v>
          </cell>
        </row>
        <row r="187">
          <cell r="A187">
            <v>4263</v>
          </cell>
          <cell r="B187" t="str">
            <v>Investment</v>
          </cell>
          <cell r="C187" t="str">
            <v>2 ASSETS</v>
          </cell>
          <cell r="D187" t="str">
            <v>1 NC Assets</v>
          </cell>
          <cell r="E187">
            <v>4200</v>
          </cell>
          <cell r="F187" t="str">
            <v>Prop, Plant &amp; Equip</v>
          </cell>
        </row>
        <row r="188">
          <cell r="A188">
            <v>4264</v>
          </cell>
          <cell r="B188" t="str">
            <v>Other</v>
          </cell>
          <cell r="C188" t="str">
            <v>2 ASSETS</v>
          </cell>
          <cell r="D188" t="str">
            <v>1 NC Assets</v>
          </cell>
          <cell r="E188">
            <v>4200</v>
          </cell>
          <cell r="F188" t="str">
            <v>Prop, Plant &amp; Equip</v>
          </cell>
        </row>
        <row r="189">
          <cell r="A189">
            <v>4265</v>
          </cell>
          <cell r="B189" t="str">
            <v>Community</v>
          </cell>
          <cell r="C189" t="str">
            <v>2 ASSETS</v>
          </cell>
          <cell r="D189" t="str">
            <v>1 NC Assets</v>
          </cell>
          <cell r="E189">
            <v>4200</v>
          </cell>
          <cell r="F189" t="str">
            <v>Prop, Plant &amp; Equip</v>
          </cell>
        </row>
        <row r="190">
          <cell r="A190">
            <v>4266</v>
          </cell>
          <cell r="B190" t="str">
            <v>Cap Sus Don &amp; Pub C</v>
          </cell>
          <cell r="C190" t="str">
            <v>2 ASSETS</v>
          </cell>
          <cell r="D190" t="str">
            <v>1 NC Assets</v>
          </cell>
          <cell r="E190">
            <v>4200</v>
          </cell>
          <cell r="F190" t="str">
            <v>Prop, Plant &amp; Equip</v>
          </cell>
        </row>
        <row r="191">
          <cell r="A191">
            <v>4267</v>
          </cell>
          <cell r="B191" t="str">
            <v>Capital Suspense G</v>
          </cell>
          <cell r="C191" t="str">
            <v>2 ASSETS</v>
          </cell>
          <cell r="D191" t="str">
            <v>1 NC Assets</v>
          </cell>
          <cell r="E191">
            <v>4200</v>
          </cell>
          <cell r="F191" t="str">
            <v>Prop, Plant &amp; Equip</v>
          </cell>
        </row>
        <row r="192">
          <cell r="A192">
            <v>4268</v>
          </cell>
          <cell r="B192" t="str">
            <v>Capital Suspense L</v>
          </cell>
          <cell r="C192" t="str">
            <v>2 ASSETS</v>
          </cell>
          <cell r="D192" t="str">
            <v>1 NC Assets</v>
          </cell>
          <cell r="E192">
            <v>4200</v>
          </cell>
          <cell r="F192" t="str">
            <v>Prop, Plant &amp; Equip</v>
          </cell>
        </row>
        <row r="193">
          <cell r="A193">
            <v>4269</v>
          </cell>
          <cell r="B193" t="str">
            <v>Depreciation</v>
          </cell>
          <cell r="C193" t="str">
            <v>2 ASSETS</v>
          </cell>
          <cell r="D193" t="str">
            <v>1 NC Assets</v>
          </cell>
          <cell r="E193">
            <v>4200</v>
          </cell>
          <cell r="F193" t="str">
            <v>Prop, Plant &amp; Equip</v>
          </cell>
        </row>
        <row r="194">
          <cell r="A194">
            <v>4298</v>
          </cell>
          <cell r="B194" t="str">
            <v>ST PPE</v>
          </cell>
          <cell r="C194" t="str">
            <v>2 ASSETS</v>
          </cell>
          <cell r="D194" t="str">
            <v>1 NC Assets</v>
          </cell>
          <cell r="E194">
            <v>4200</v>
          </cell>
          <cell r="F194" t="str">
            <v>Prop, Plant &amp; Equip</v>
          </cell>
        </row>
        <row r="195">
          <cell r="A195">
            <v>4299</v>
          </cell>
          <cell r="B195">
            <v>0</v>
          </cell>
          <cell r="C195" t="str">
            <v>2 ASSETS</v>
          </cell>
          <cell r="D195" t="str">
            <v>1 NC Assets</v>
          </cell>
        </row>
        <row r="196">
          <cell r="A196">
            <v>4300</v>
          </cell>
          <cell r="B196" t="str">
            <v>Investment Property</v>
          </cell>
          <cell r="C196" t="str">
            <v>2 ASSETS</v>
          </cell>
          <cell r="D196" t="str">
            <v>1 NC Assets</v>
          </cell>
          <cell r="E196">
            <v>4300</v>
          </cell>
          <cell r="F196" t="str">
            <v>Investment Property</v>
          </cell>
        </row>
        <row r="197">
          <cell r="A197">
            <v>4310</v>
          </cell>
          <cell r="B197" t="str">
            <v>Cost</v>
          </cell>
          <cell r="C197" t="str">
            <v>2 ASSETS</v>
          </cell>
          <cell r="D197" t="str">
            <v>1 NC Assets</v>
          </cell>
          <cell r="E197">
            <v>4300</v>
          </cell>
          <cell r="F197" t="str">
            <v>Investment Property</v>
          </cell>
        </row>
        <row r="198">
          <cell r="A198">
            <v>4320</v>
          </cell>
          <cell r="B198" t="str">
            <v>Depreciation</v>
          </cell>
          <cell r="C198" t="str">
            <v>2 ASSETS</v>
          </cell>
          <cell r="D198" t="str">
            <v>1 NC Assets</v>
          </cell>
          <cell r="E198">
            <v>4300</v>
          </cell>
          <cell r="F198" t="str">
            <v>Investment Property</v>
          </cell>
        </row>
        <row r="199">
          <cell r="A199">
            <v>4378</v>
          </cell>
          <cell r="B199" t="str">
            <v>ST Investment Prop</v>
          </cell>
          <cell r="C199" t="str">
            <v>2 ASSETS</v>
          </cell>
          <cell r="D199" t="str">
            <v>1 NC Assets</v>
          </cell>
          <cell r="E199">
            <v>4300</v>
          </cell>
          <cell r="F199" t="str">
            <v>Investment Property</v>
          </cell>
        </row>
        <row r="200">
          <cell r="A200">
            <v>4379</v>
          </cell>
          <cell r="B200">
            <v>0</v>
          </cell>
          <cell r="C200" t="str">
            <v>2 ASSETS</v>
          </cell>
          <cell r="D200" t="str">
            <v>1 NC Assets</v>
          </cell>
        </row>
        <row r="201">
          <cell r="A201">
            <v>4380</v>
          </cell>
          <cell r="B201" t="str">
            <v>Non-Current Assets Held</v>
          </cell>
          <cell r="C201" t="str">
            <v>2 ASSETS</v>
          </cell>
          <cell r="D201" t="str">
            <v>1 NC Assets</v>
          </cell>
          <cell r="E201">
            <v>4380</v>
          </cell>
          <cell r="F201" t="str">
            <v>Non-Current Held for Sale</v>
          </cell>
        </row>
        <row r="202">
          <cell r="A202">
            <v>4381</v>
          </cell>
          <cell r="B202" t="str">
            <v>ST Held for Sale</v>
          </cell>
          <cell r="C202" t="str">
            <v>2 ASSETS</v>
          </cell>
          <cell r="D202" t="str">
            <v>1 NC Assets</v>
          </cell>
          <cell r="E202">
            <v>4380</v>
          </cell>
          <cell r="F202" t="str">
            <v>Non-Current Held for Sale</v>
          </cell>
        </row>
        <row r="203">
          <cell r="A203">
            <v>4399</v>
          </cell>
          <cell r="C203" t="str">
            <v>2 ASSETS</v>
          </cell>
          <cell r="D203" t="str">
            <v>1 NC Assets</v>
          </cell>
        </row>
        <row r="204">
          <cell r="A204">
            <v>4400</v>
          </cell>
          <cell r="B204" t="str">
            <v>Investments</v>
          </cell>
          <cell r="C204" t="str">
            <v>2 ASSETS</v>
          </cell>
          <cell r="D204" t="str">
            <v>1 NC Assets</v>
          </cell>
          <cell r="E204">
            <v>4400</v>
          </cell>
          <cell r="F204" t="str">
            <v>Investments</v>
          </cell>
        </row>
        <row r="205">
          <cell r="A205">
            <v>4410</v>
          </cell>
          <cell r="B205" t="str">
            <v>Rate &amp; General</v>
          </cell>
          <cell r="C205" t="str">
            <v>2 ASSETS</v>
          </cell>
          <cell r="D205" t="str">
            <v>1 NC Assets</v>
          </cell>
          <cell r="E205">
            <v>4400</v>
          </cell>
          <cell r="F205" t="str">
            <v>Investments</v>
          </cell>
        </row>
        <row r="206">
          <cell r="A206">
            <v>4498</v>
          </cell>
          <cell r="B206" t="str">
            <v>ST Investments</v>
          </cell>
          <cell r="C206" t="str">
            <v>2 ASSETS</v>
          </cell>
          <cell r="D206" t="str">
            <v>1 NC Assets</v>
          </cell>
          <cell r="E206">
            <v>4400</v>
          </cell>
          <cell r="F206" t="str">
            <v>Investments</v>
          </cell>
        </row>
        <row r="207">
          <cell r="A207">
            <v>4499</v>
          </cell>
          <cell r="B207">
            <v>0</v>
          </cell>
          <cell r="C207" t="str">
            <v>2 ASSETS</v>
          </cell>
          <cell r="D207" t="str">
            <v>1 NC Assets</v>
          </cell>
        </row>
        <row r="208">
          <cell r="A208">
            <v>4500</v>
          </cell>
          <cell r="B208" t="str">
            <v>Long Term Rec</v>
          </cell>
          <cell r="C208" t="str">
            <v>2 ASSETS</v>
          </cell>
          <cell r="D208" t="str">
            <v>1 NC Assets</v>
          </cell>
          <cell r="E208">
            <v>4500</v>
          </cell>
          <cell r="F208" t="str">
            <v>Long Term Rec</v>
          </cell>
        </row>
        <row r="209">
          <cell r="A209">
            <v>4510</v>
          </cell>
          <cell r="B209" t="str">
            <v>Rate &amp; General</v>
          </cell>
          <cell r="C209" t="str">
            <v>2 ASSETS</v>
          </cell>
          <cell r="D209" t="str">
            <v>1 NC Assets</v>
          </cell>
          <cell r="E209">
            <v>4500</v>
          </cell>
          <cell r="F209" t="str">
            <v>Long Term Rec</v>
          </cell>
        </row>
        <row r="210">
          <cell r="A210">
            <v>4519</v>
          </cell>
          <cell r="B210" t="str">
            <v>Prov for Bad Debt</v>
          </cell>
          <cell r="C210" t="str">
            <v>2 ASSETS</v>
          </cell>
          <cell r="D210" t="str">
            <v>1 NC Assets</v>
          </cell>
          <cell r="E210">
            <v>4500</v>
          </cell>
          <cell r="F210" t="str">
            <v>Long Term Rec</v>
          </cell>
        </row>
        <row r="211">
          <cell r="A211">
            <v>4560</v>
          </cell>
          <cell r="B211" t="str">
            <v>Housing</v>
          </cell>
          <cell r="C211" t="str">
            <v>2 ASSETS</v>
          </cell>
          <cell r="D211" t="str">
            <v>1 NC Assets</v>
          </cell>
          <cell r="E211">
            <v>4500</v>
          </cell>
          <cell r="F211" t="str">
            <v>Long Term Rec</v>
          </cell>
        </row>
        <row r="212">
          <cell r="A212">
            <v>4569</v>
          </cell>
          <cell r="B212" t="str">
            <v>Prov for Bad Debt</v>
          </cell>
          <cell r="C212" t="str">
            <v>2 ASSETS</v>
          </cell>
          <cell r="D212" t="str">
            <v>1 NC Assets</v>
          </cell>
          <cell r="E212">
            <v>4500</v>
          </cell>
          <cell r="F212" t="str">
            <v>Long Term Rec</v>
          </cell>
        </row>
        <row r="213">
          <cell r="A213">
            <v>4598</v>
          </cell>
          <cell r="B213" t="str">
            <v>ST Long Term Rec</v>
          </cell>
          <cell r="C213" t="str">
            <v>2 ASSETS</v>
          </cell>
          <cell r="D213" t="str">
            <v>1 NC Assets</v>
          </cell>
          <cell r="E213">
            <v>4500</v>
          </cell>
          <cell r="F213" t="str">
            <v>Long Term Rec</v>
          </cell>
        </row>
        <row r="214">
          <cell r="A214">
            <v>4599</v>
          </cell>
          <cell r="B214">
            <v>0</v>
          </cell>
          <cell r="C214" t="str">
            <v>2 ASSETS</v>
          </cell>
          <cell r="D214" t="str">
            <v>1 NC Assets</v>
          </cell>
        </row>
        <row r="215">
          <cell r="A215">
            <v>5100</v>
          </cell>
          <cell r="B215" t="str">
            <v>Inventory</v>
          </cell>
          <cell r="C215" t="str">
            <v>2 ASSETS</v>
          </cell>
          <cell r="D215" t="str">
            <v>2 C Assets</v>
          </cell>
          <cell r="E215">
            <v>5100</v>
          </cell>
          <cell r="F215" t="str">
            <v>Inventory</v>
          </cell>
        </row>
        <row r="216">
          <cell r="A216">
            <v>5110</v>
          </cell>
          <cell r="B216" t="str">
            <v>Rate &amp; General</v>
          </cell>
          <cell r="C216" t="str">
            <v>2 ASSETS</v>
          </cell>
          <cell r="D216" t="str">
            <v>2 C Assets</v>
          </cell>
          <cell r="E216">
            <v>5100</v>
          </cell>
          <cell r="F216" t="str">
            <v>Inventory</v>
          </cell>
        </row>
        <row r="217">
          <cell r="A217">
            <v>5120</v>
          </cell>
          <cell r="B217" t="str">
            <v>Sewerage</v>
          </cell>
          <cell r="C217" t="str">
            <v>2 ASSETS</v>
          </cell>
          <cell r="D217" t="str">
            <v>2 C Assets</v>
          </cell>
          <cell r="E217">
            <v>5100</v>
          </cell>
          <cell r="F217" t="str">
            <v>Inventory</v>
          </cell>
        </row>
        <row r="218">
          <cell r="A218">
            <v>5130</v>
          </cell>
          <cell r="B218" t="str">
            <v>Electricity</v>
          </cell>
          <cell r="C218" t="str">
            <v>2 ASSETS</v>
          </cell>
          <cell r="D218" t="str">
            <v>2 C Assets</v>
          </cell>
          <cell r="E218">
            <v>5100</v>
          </cell>
          <cell r="F218" t="str">
            <v>Inventory</v>
          </cell>
        </row>
        <row r="219">
          <cell r="A219">
            <v>5140</v>
          </cell>
          <cell r="B219" t="str">
            <v>Water</v>
          </cell>
          <cell r="C219" t="str">
            <v>2 ASSETS</v>
          </cell>
          <cell r="D219" t="str">
            <v>2 C Assets</v>
          </cell>
          <cell r="E219">
            <v>5100</v>
          </cell>
          <cell r="F219" t="str">
            <v>Inventory</v>
          </cell>
        </row>
        <row r="220">
          <cell r="A220">
            <v>5198</v>
          </cell>
          <cell r="B220" t="str">
            <v>ST Inventory</v>
          </cell>
          <cell r="C220" t="str">
            <v>2 ASSETS</v>
          </cell>
          <cell r="D220" t="str">
            <v>2 C Assets</v>
          </cell>
          <cell r="E220">
            <v>5100</v>
          </cell>
          <cell r="F220" t="str">
            <v>Inventory</v>
          </cell>
        </row>
        <row r="221">
          <cell r="A221">
            <v>5199</v>
          </cell>
          <cell r="B221">
            <v>0</v>
          </cell>
          <cell r="C221" t="str">
            <v>2 ASSETS</v>
          </cell>
          <cell r="D221" t="str">
            <v>2 C Assets</v>
          </cell>
        </row>
        <row r="222">
          <cell r="A222">
            <v>5200</v>
          </cell>
          <cell r="B222" t="str">
            <v>Exchange Receivables</v>
          </cell>
          <cell r="C222" t="str">
            <v>2 ASSETS</v>
          </cell>
          <cell r="D222" t="str">
            <v>2 C Assets</v>
          </cell>
          <cell r="E222">
            <v>5200</v>
          </cell>
          <cell r="F222" t="str">
            <v>Exchange Receivables</v>
          </cell>
        </row>
        <row r="223">
          <cell r="A223">
            <v>5210</v>
          </cell>
          <cell r="B223" t="str">
            <v>Rate &amp; General</v>
          </cell>
          <cell r="C223" t="str">
            <v>2 ASSETS</v>
          </cell>
          <cell r="D223" t="str">
            <v>2 C Assets</v>
          </cell>
          <cell r="E223">
            <v>5200</v>
          </cell>
          <cell r="F223" t="str">
            <v>Exchange Receivables</v>
          </cell>
        </row>
        <row r="224">
          <cell r="A224">
            <v>5211</v>
          </cell>
          <cell r="B224" t="str">
            <v>Consumer Debtors</v>
          </cell>
          <cell r="C224" t="str">
            <v>2 ASSETS</v>
          </cell>
          <cell r="D224" t="str">
            <v>2 C Assets</v>
          </cell>
          <cell r="E224">
            <v>5200</v>
          </cell>
          <cell r="F224" t="str">
            <v>Exchange Receivables</v>
          </cell>
        </row>
        <row r="225">
          <cell r="A225">
            <v>5212</v>
          </cell>
          <cell r="B225" t="str">
            <v>Sundry Debtors</v>
          </cell>
          <cell r="C225" t="str">
            <v>2 ASSETS</v>
          </cell>
          <cell r="D225" t="str">
            <v>2 C Assets</v>
          </cell>
          <cell r="E225">
            <v>5200</v>
          </cell>
          <cell r="F225" t="str">
            <v>Exchange Receivables</v>
          </cell>
        </row>
        <row r="226">
          <cell r="A226">
            <v>5213</v>
          </cell>
          <cell r="B226" t="str">
            <v>Payments in Advance</v>
          </cell>
          <cell r="C226" t="str">
            <v>2 ASSETS</v>
          </cell>
          <cell r="D226" t="str">
            <v>2 C Assets</v>
          </cell>
          <cell r="E226">
            <v>5200</v>
          </cell>
          <cell r="F226" t="str">
            <v>Exchange Receivables</v>
          </cell>
        </row>
        <row r="227">
          <cell r="A227">
            <v>5219</v>
          </cell>
          <cell r="B227" t="str">
            <v>Prov for Bad Debt</v>
          </cell>
          <cell r="C227" t="str">
            <v>2 ASSETS</v>
          </cell>
          <cell r="D227" t="str">
            <v>2 C Assets</v>
          </cell>
          <cell r="E227">
            <v>5200</v>
          </cell>
          <cell r="F227" t="str">
            <v>Exchange Receivables</v>
          </cell>
        </row>
        <row r="228">
          <cell r="A228">
            <v>5220</v>
          </cell>
          <cell r="B228" t="str">
            <v>Sewerage</v>
          </cell>
          <cell r="C228" t="str">
            <v>2 ASSETS</v>
          </cell>
          <cell r="D228" t="str">
            <v>2 C Assets</v>
          </cell>
          <cell r="E228">
            <v>5200</v>
          </cell>
          <cell r="F228" t="str">
            <v>Exchange Receivables</v>
          </cell>
        </row>
        <row r="229">
          <cell r="A229">
            <v>5221</v>
          </cell>
          <cell r="B229" t="str">
            <v>Consumer Debtors</v>
          </cell>
          <cell r="C229" t="str">
            <v>2 ASSETS</v>
          </cell>
          <cell r="D229" t="str">
            <v>2 C Assets</v>
          </cell>
          <cell r="E229">
            <v>5200</v>
          </cell>
          <cell r="F229" t="str">
            <v>Exchange Receivables</v>
          </cell>
        </row>
        <row r="230">
          <cell r="A230">
            <v>5222</v>
          </cell>
          <cell r="B230" t="str">
            <v>Sundry Debtors</v>
          </cell>
          <cell r="C230" t="str">
            <v>2 ASSETS</v>
          </cell>
          <cell r="D230" t="str">
            <v>2 C Assets</v>
          </cell>
          <cell r="E230">
            <v>5200</v>
          </cell>
          <cell r="F230" t="str">
            <v>Exchange Receivables</v>
          </cell>
        </row>
        <row r="231">
          <cell r="A231">
            <v>5223</v>
          </cell>
          <cell r="B231" t="str">
            <v>Payments in Advance</v>
          </cell>
          <cell r="C231" t="str">
            <v>2 ASSETS</v>
          </cell>
          <cell r="D231" t="str">
            <v>2 C Assets</v>
          </cell>
          <cell r="E231">
            <v>5200</v>
          </cell>
          <cell r="F231" t="str">
            <v>Exchange Receivables</v>
          </cell>
        </row>
        <row r="232">
          <cell r="A232">
            <v>5229</v>
          </cell>
          <cell r="B232" t="str">
            <v>Prov for Bad Debt</v>
          </cell>
          <cell r="C232" t="str">
            <v>2 ASSETS</v>
          </cell>
          <cell r="D232" t="str">
            <v>2 C Assets</v>
          </cell>
          <cell r="E232">
            <v>5200</v>
          </cell>
          <cell r="F232" t="str">
            <v>Exchange Receivables</v>
          </cell>
        </row>
        <row r="233">
          <cell r="A233">
            <v>5230</v>
          </cell>
          <cell r="B233" t="str">
            <v>Electricity</v>
          </cell>
          <cell r="C233" t="str">
            <v>2 ASSETS</v>
          </cell>
          <cell r="D233" t="str">
            <v>2 C Assets</v>
          </cell>
          <cell r="E233">
            <v>5200</v>
          </cell>
          <cell r="F233" t="str">
            <v>Exchange Receivables</v>
          </cell>
        </row>
        <row r="234">
          <cell r="A234">
            <v>5231</v>
          </cell>
          <cell r="B234" t="str">
            <v>Consumer Debtors</v>
          </cell>
          <cell r="C234" t="str">
            <v>2 ASSETS</v>
          </cell>
          <cell r="D234" t="str">
            <v>2 C Assets</v>
          </cell>
          <cell r="E234">
            <v>5200</v>
          </cell>
          <cell r="F234" t="str">
            <v>Exchange Receivables</v>
          </cell>
        </row>
        <row r="235">
          <cell r="A235">
            <v>5232</v>
          </cell>
          <cell r="B235" t="str">
            <v>Sundry Debtors</v>
          </cell>
          <cell r="C235" t="str">
            <v>2 ASSETS</v>
          </cell>
          <cell r="D235" t="str">
            <v>2 C Assets</v>
          </cell>
          <cell r="E235">
            <v>5200</v>
          </cell>
          <cell r="F235" t="str">
            <v>Exchange Receivables</v>
          </cell>
        </row>
        <row r="236">
          <cell r="A236">
            <v>5233</v>
          </cell>
          <cell r="B236" t="str">
            <v>Payments in Advance</v>
          </cell>
          <cell r="C236" t="str">
            <v>2 ASSETS</v>
          </cell>
          <cell r="D236" t="str">
            <v>2 C Assets</v>
          </cell>
          <cell r="E236">
            <v>5200</v>
          </cell>
          <cell r="F236" t="str">
            <v>Exchange Receivables</v>
          </cell>
        </row>
        <row r="237">
          <cell r="A237">
            <v>5239</v>
          </cell>
          <cell r="B237" t="str">
            <v>Prov for Bad Debt</v>
          </cell>
          <cell r="C237" t="str">
            <v>2 ASSETS</v>
          </cell>
          <cell r="D237" t="str">
            <v>2 C Assets</v>
          </cell>
          <cell r="E237">
            <v>5200</v>
          </cell>
          <cell r="F237" t="str">
            <v>Exchange Receivables</v>
          </cell>
        </row>
        <row r="238">
          <cell r="A238">
            <v>5240</v>
          </cell>
          <cell r="B238" t="str">
            <v>Water</v>
          </cell>
          <cell r="C238" t="str">
            <v>2 ASSETS</v>
          </cell>
          <cell r="D238" t="str">
            <v>2 C Assets</v>
          </cell>
          <cell r="E238">
            <v>5200</v>
          </cell>
          <cell r="F238" t="str">
            <v>Exchange Receivables</v>
          </cell>
        </row>
        <row r="239">
          <cell r="A239">
            <v>5241</v>
          </cell>
          <cell r="B239" t="str">
            <v>Consumer Debtors</v>
          </cell>
          <cell r="C239" t="str">
            <v>2 ASSETS</v>
          </cell>
          <cell r="D239" t="str">
            <v>2 C Assets</v>
          </cell>
          <cell r="E239">
            <v>5200</v>
          </cell>
          <cell r="F239" t="str">
            <v>Exchange Receivables</v>
          </cell>
        </row>
        <row r="240">
          <cell r="A240">
            <v>5242</v>
          </cell>
          <cell r="B240" t="str">
            <v>Sundry Debtors</v>
          </cell>
          <cell r="C240" t="str">
            <v>2 ASSETS</v>
          </cell>
          <cell r="D240" t="str">
            <v>2 C Assets</v>
          </cell>
          <cell r="E240">
            <v>5200</v>
          </cell>
          <cell r="F240" t="str">
            <v>Exchange Receivables</v>
          </cell>
        </row>
        <row r="241">
          <cell r="A241">
            <v>5243</v>
          </cell>
          <cell r="B241" t="str">
            <v>Payments in Advance</v>
          </cell>
          <cell r="C241" t="str">
            <v>2 ASSETS</v>
          </cell>
          <cell r="D241" t="str">
            <v>2 C Assets</v>
          </cell>
          <cell r="E241">
            <v>5200</v>
          </cell>
          <cell r="F241" t="str">
            <v>Exchange Receivables</v>
          </cell>
        </row>
        <row r="242">
          <cell r="A242">
            <v>5249</v>
          </cell>
          <cell r="B242" t="str">
            <v>Prov for Bad Debt</v>
          </cell>
          <cell r="C242" t="str">
            <v>2 ASSETS</v>
          </cell>
          <cell r="D242" t="str">
            <v>2 C Assets</v>
          </cell>
          <cell r="E242">
            <v>5200</v>
          </cell>
          <cell r="F242" t="str">
            <v>Exchange Receivables</v>
          </cell>
        </row>
        <row r="243">
          <cell r="A243">
            <v>5260</v>
          </cell>
          <cell r="B243" t="str">
            <v>Housing</v>
          </cell>
          <cell r="C243" t="str">
            <v>2 ASSETS</v>
          </cell>
          <cell r="D243" t="str">
            <v>2 C Assets</v>
          </cell>
          <cell r="E243">
            <v>5200</v>
          </cell>
          <cell r="F243" t="str">
            <v>Exchange Receivables</v>
          </cell>
        </row>
        <row r="244">
          <cell r="A244">
            <v>5261</v>
          </cell>
          <cell r="B244" t="str">
            <v>Consumer Debtors</v>
          </cell>
          <cell r="C244" t="str">
            <v>2 ASSETS</v>
          </cell>
          <cell r="D244" t="str">
            <v>2 C Assets</v>
          </cell>
          <cell r="E244">
            <v>5200</v>
          </cell>
          <cell r="F244" t="str">
            <v>Exchange Receivables</v>
          </cell>
        </row>
        <row r="245">
          <cell r="A245">
            <v>5262</v>
          </cell>
          <cell r="B245" t="str">
            <v>Sundry Debtors</v>
          </cell>
          <cell r="C245" t="str">
            <v>2 ASSETS</v>
          </cell>
          <cell r="D245" t="str">
            <v>2 C Assets</v>
          </cell>
          <cell r="E245">
            <v>5200</v>
          </cell>
          <cell r="F245" t="str">
            <v>Exchange Receivables</v>
          </cell>
        </row>
        <row r="246">
          <cell r="A246">
            <v>5263</v>
          </cell>
          <cell r="B246" t="str">
            <v>Payments in Advance</v>
          </cell>
          <cell r="C246" t="str">
            <v>2 ASSETS</v>
          </cell>
          <cell r="D246" t="str">
            <v>2 C Assets</v>
          </cell>
          <cell r="E246">
            <v>5200</v>
          </cell>
          <cell r="F246" t="str">
            <v>Exchange Receivables</v>
          </cell>
        </row>
        <row r="247">
          <cell r="A247">
            <v>5269</v>
          </cell>
          <cell r="B247" t="str">
            <v>Prov for Bad Debt</v>
          </cell>
          <cell r="C247" t="str">
            <v>2 ASSETS</v>
          </cell>
          <cell r="D247" t="str">
            <v>2 C Assets</v>
          </cell>
          <cell r="E247">
            <v>5200</v>
          </cell>
          <cell r="F247" t="str">
            <v>Exchange Receivables</v>
          </cell>
        </row>
        <row r="248">
          <cell r="A248">
            <v>5298</v>
          </cell>
          <cell r="B248" t="str">
            <v>ST Consumer Debtors</v>
          </cell>
          <cell r="C248" t="str">
            <v>2 ASSETS</v>
          </cell>
          <cell r="D248" t="str">
            <v>2 C Assets</v>
          </cell>
          <cell r="E248">
            <v>5200</v>
          </cell>
          <cell r="F248" t="str">
            <v>Exchange Receivables</v>
          </cell>
        </row>
        <row r="249">
          <cell r="A249">
            <v>5299</v>
          </cell>
          <cell r="B249">
            <v>0</v>
          </cell>
          <cell r="C249" t="str">
            <v>2 ASSETS</v>
          </cell>
          <cell r="D249" t="str">
            <v>2 C Assets</v>
          </cell>
        </row>
        <row r="250">
          <cell r="A250">
            <v>5300</v>
          </cell>
          <cell r="B250" t="str">
            <v>Non-Exchange Receive</v>
          </cell>
          <cell r="C250" t="str">
            <v>2 ASSETS</v>
          </cell>
          <cell r="D250" t="str">
            <v>2 C Assets</v>
          </cell>
          <cell r="E250">
            <v>5300</v>
          </cell>
          <cell r="F250" t="str">
            <v>Non-Exchange Receive</v>
          </cell>
        </row>
        <row r="251">
          <cell r="A251">
            <v>5310</v>
          </cell>
          <cell r="B251" t="str">
            <v>Rate &amp; General</v>
          </cell>
          <cell r="C251" t="str">
            <v>2 ASSETS</v>
          </cell>
          <cell r="D251" t="str">
            <v>2 C Assets</v>
          </cell>
          <cell r="E251">
            <v>5300</v>
          </cell>
          <cell r="F251" t="str">
            <v>Non-Exchange Receive</v>
          </cell>
        </row>
        <row r="252">
          <cell r="A252">
            <v>5311</v>
          </cell>
          <cell r="B252" t="str">
            <v>Payments in Advance</v>
          </cell>
          <cell r="C252" t="str">
            <v>2 ASSETS</v>
          </cell>
          <cell r="D252" t="str">
            <v>2 C Assets</v>
          </cell>
          <cell r="E252">
            <v>5300</v>
          </cell>
          <cell r="F252" t="str">
            <v>Non-Exchange Receive</v>
          </cell>
        </row>
        <row r="253">
          <cell r="A253">
            <v>5312</v>
          </cell>
          <cell r="B253" t="str">
            <v>Payments in Advance</v>
          </cell>
          <cell r="C253" t="str">
            <v>2 ASSETS</v>
          </cell>
          <cell r="D253" t="str">
            <v>2 C Assets</v>
          </cell>
          <cell r="E253">
            <v>5300</v>
          </cell>
          <cell r="F253" t="str">
            <v>Non-Exchange Receive</v>
          </cell>
        </row>
        <row r="254">
          <cell r="A254">
            <v>5313</v>
          </cell>
          <cell r="B254" t="str">
            <v>Sundry Debtors</v>
          </cell>
          <cell r="C254" t="str">
            <v>2 ASSETS</v>
          </cell>
          <cell r="D254" t="str">
            <v>2 C Assets</v>
          </cell>
          <cell r="E254">
            <v>5300</v>
          </cell>
          <cell r="F254" t="str">
            <v>Non-Exchange Receive</v>
          </cell>
        </row>
        <row r="255">
          <cell r="A255">
            <v>5314</v>
          </cell>
          <cell r="B255" t="str">
            <v>Gov Subs and Grants</v>
          </cell>
          <cell r="C255" t="str">
            <v>2 ASSETS</v>
          </cell>
          <cell r="D255" t="str">
            <v>2 C Assets</v>
          </cell>
          <cell r="E255">
            <v>5300</v>
          </cell>
          <cell r="F255" t="str">
            <v>Non-Exchange Receive</v>
          </cell>
        </row>
        <row r="256">
          <cell r="A256">
            <v>5319</v>
          </cell>
          <cell r="B256" t="str">
            <v>Prov for Bad Debt</v>
          </cell>
          <cell r="C256" t="str">
            <v>2 ASSETS</v>
          </cell>
          <cell r="D256" t="str">
            <v>2 C Assets</v>
          </cell>
          <cell r="E256">
            <v>5300</v>
          </cell>
          <cell r="F256" t="str">
            <v>Non-Exchange Receive</v>
          </cell>
        </row>
        <row r="257">
          <cell r="A257">
            <v>5320</v>
          </cell>
          <cell r="B257" t="str">
            <v>Sewerage</v>
          </cell>
          <cell r="C257" t="str">
            <v>2 ASSETS</v>
          </cell>
          <cell r="D257" t="str">
            <v>2 C Assets</v>
          </cell>
          <cell r="E257">
            <v>5300</v>
          </cell>
          <cell r="F257" t="str">
            <v>Non-Exchange Receive</v>
          </cell>
        </row>
        <row r="258">
          <cell r="A258">
            <v>5321</v>
          </cell>
          <cell r="B258" t="str">
            <v>Payments in Advance</v>
          </cell>
          <cell r="C258" t="str">
            <v>2 ASSETS</v>
          </cell>
          <cell r="D258" t="str">
            <v>2 C Assets</v>
          </cell>
          <cell r="E258">
            <v>5300</v>
          </cell>
          <cell r="F258" t="str">
            <v>Non-Exchange Receive</v>
          </cell>
        </row>
        <row r="259">
          <cell r="A259">
            <v>5324</v>
          </cell>
          <cell r="B259" t="str">
            <v>Gov Subs and Grants</v>
          </cell>
          <cell r="C259" t="str">
            <v>2 ASSETS</v>
          </cell>
          <cell r="D259" t="str">
            <v>2 C Assets</v>
          </cell>
          <cell r="E259">
            <v>5300</v>
          </cell>
          <cell r="F259" t="str">
            <v>Non-Exchange Receive</v>
          </cell>
        </row>
        <row r="260">
          <cell r="A260">
            <v>5330</v>
          </cell>
          <cell r="B260" t="str">
            <v>Electricity</v>
          </cell>
          <cell r="C260" t="str">
            <v>2 ASSETS</v>
          </cell>
          <cell r="D260" t="str">
            <v>2 C Assets</v>
          </cell>
          <cell r="E260">
            <v>5300</v>
          </cell>
          <cell r="F260" t="str">
            <v>Non-Exchange Receive</v>
          </cell>
        </row>
        <row r="261">
          <cell r="A261">
            <v>5331</v>
          </cell>
          <cell r="B261" t="str">
            <v>Payments in Advance</v>
          </cell>
          <cell r="C261" t="str">
            <v>2 ASSETS</v>
          </cell>
          <cell r="D261" t="str">
            <v>2 C Assets</v>
          </cell>
          <cell r="E261">
            <v>5300</v>
          </cell>
          <cell r="F261" t="str">
            <v>Non-Exchange Receive</v>
          </cell>
        </row>
        <row r="262">
          <cell r="A262">
            <v>5333</v>
          </cell>
          <cell r="B262" t="str">
            <v>Sundry Debtors</v>
          </cell>
          <cell r="C262" t="str">
            <v>2 ASSETS</v>
          </cell>
          <cell r="D262" t="str">
            <v>2 C Assets</v>
          </cell>
          <cell r="E262">
            <v>5300</v>
          </cell>
          <cell r="F262" t="str">
            <v>Non-Exchange Receive</v>
          </cell>
        </row>
        <row r="263">
          <cell r="A263">
            <v>5334</v>
          </cell>
          <cell r="B263" t="str">
            <v>Gov Subs and Grants</v>
          </cell>
          <cell r="C263" t="str">
            <v>2 ASSETS</v>
          </cell>
          <cell r="D263" t="str">
            <v>2 C Assets</v>
          </cell>
          <cell r="E263">
            <v>5300</v>
          </cell>
          <cell r="F263" t="str">
            <v>Non-Exchange Receive</v>
          </cell>
        </row>
        <row r="264">
          <cell r="A264">
            <v>5339</v>
          </cell>
          <cell r="B264" t="str">
            <v>Bad Debt Provision</v>
          </cell>
          <cell r="C264" t="str">
            <v>2 ASSETS</v>
          </cell>
          <cell r="D264" t="str">
            <v>2 C Assets</v>
          </cell>
          <cell r="E264">
            <v>5300</v>
          </cell>
          <cell r="F264" t="str">
            <v>Non-Exchange Receive</v>
          </cell>
        </row>
        <row r="265">
          <cell r="A265">
            <v>5340</v>
          </cell>
          <cell r="B265" t="str">
            <v>Water</v>
          </cell>
          <cell r="C265" t="str">
            <v>2 ASSETS</v>
          </cell>
          <cell r="D265" t="str">
            <v>2 C Assets</v>
          </cell>
          <cell r="E265">
            <v>5300</v>
          </cell>
          <cell r="F265" t="str">
            <v>Non-Exchange Receive</v>
          </cell>
        </row>
        <row r="266">
          <cell r="A266">
            <v>5341</v>
          </cell>
          <cell r="B266" t="str">
            <v>Payments In Advance</v>
          </cell>
          <cell r="C266" t="str">
            <v>2 ASSETS</v>
          </cell>
          <cell r="D266" t="str">
            <v>2 C Assets</v>
          </cell>
          <cell r="E266">
            <v>5300</v>
          </cell>
          <cell r="F266" t="str">
            <v>Non-Exchange Receive</v>
          </cell>
        </row>
        <row r="267">
          <cell r="A267">
            <v>5344</v>
          </cell>
          <cell r="B267" t="str">
            <v>Gov Subs and Grants</v>
          </cell>
          <cell r="C267" t="str">
            <v>2 ASSETS</v>
          </cell>
          <cell r="D267" t="str">
            <v>2 C Assets</v>
          </cell>
          <cell r="E267">
            <v>5300</v>
          </cell>
          <cell r="F267" t="str">
            <v>Non-Exchange Receive</v>
          </cell>
        </row>
        <row r="268">
          <cell r="A268">
            <v>5360</v>
          </cell>
          <cell r="B268" t="str">
            <v>Housing</v>
          </cell>
          <cell r="C268" t="str">
            <v>2 ASSETS</v>
          </cell>
          <cell r="D268" t="str">
            <v>2 C Assets</v>
          </cell>
          <cell r="E268">
            <v>5300</v>
          </cell>
          <cell r="F268" t="str">
            <v>Non-Exchange Receive</v>
          </cell>
        </row>
        <row r="269">
          <cell r="A269">
            <v>5361</v>
          </cell>
          <cell r="B269" t="str">
            <v>Payments in Advance</v>
          </cell>
          <cell r="C269" t="str">
            <v>2 ASSETS</v>
          </cell>
          <cell r="D269" t="str">
            <v>2 C Assets</v>
          </cell>
          <cell r="E269">
            <v>5300</v>
          </cell>
          <cell r="F269" t="str">
            <v>Non-Exchange Receive</v>
          </cell>
        </row>
        <row r="270">
          <cell r="A270">
            <v>5363</v>
          </cell>
          <cell r="B270" t="str">
            <v>Sundry Debtors</v>
          </cell>
          <cell r="C270" t="str">
            <v>2 ASSETS</v>
          </cell>
          <cell r="D270" t="str">
            <v>2 C Assets</v>
          </cell>
          <cell r="E270">
            <v>5300</v>
          </cell>
          <cell r="F270" t="str">
            <v>Non-Exchange Receive</v>
          </cell>
        </row>
        <row r="271">
          <cell r="A271">
            <v>5364</v>
          </cell>
          <cell r="B271" t="str">
            <v>Gov Subs and Grants</v>
          </cell>
          <cell r="C271" t="str">
            <v>2 ASSETS</v>
          </cell>
          <cell r="D271" t="str">
            <v>2 C Assets</v>
          </cell>
          <cell r="E271">
            <v>5300</v>
          </cell>
          <cell r="F271" t="str">
            <v>Non-Exchange Receive</v>
          </cell>
        </row>
        <row r="272">
          <cell r="A272">
            <v>5398</v>
          </cell>
          <cell r="B272" t="str">
            <v>ST Non-Exchange</v>
          </cell>
          <cell r="C272" t="str">
            <v>2 ASSETS</v>
          </cell>
          <cell r="D272" t="str">
            <v>2 C Assets</v>
          </cell>
          <cell r="E272">
            <v>5300</v>
          </cell>
          <cell r="F272" t="str">
            <v>Non-Exchange Receive</v>
          </cell>
        </row>
        <row r="273">
          <cell r="A273">
            <v>5399</v>
          </cell>
          <cell r="B273">
            <v>0</v>
          </cell>
          <cell r="C273" t="str">
            <v>2 ASSETS</v>
          </cell>
          <cell r="D273" t="str">
            <v>2 C Assets</v>
          </cell>
        </row>
        <row r="274">
          <cell r="A274">
            <v>5400</v>
          </cell>
          <cell r="B274" t="str">
            <v>Unpaid grants &amp; subs</v>
          </cell>
          <cell r="C274" t="str">
            <v>2 ASSETS</v>
          </cell>
          <cell r="D274" t="str">
            <v>2 C Assets</v>
          </cell>
          <cell r="E274">
            <v>5400</v>
          </cell>
          <cell r="F274" t="str">
            <v>Unpaid grants &amp; subs</v>
          </cell>
        </row>
        <row r="275">
          <cell r="A275">
            <v>5410</v>
          </cell>
          <cell r="B275" t="str">
            <v>Rate &amp; General</v>
          </cell>
          <cell r="C275" t="str">
            <v>2 ASSETS</v>
          </cell>
          <cell r="D275" t="str">
            <v>2 C Assets</v>
          </cell>
          <cell r="E275">
            <v>5400</v>
          </cell>
          <cell r="F275" t="str">
            <v>Unpaid grants &amp; subs</v>
          </cell>
        </row>
        <row r="276">
          <cell r="A276">
            <v>5420</v>
          </cell>
          <cell r="B276" t="str">
            <v>Sewerage</v>
          </cell>
          <cell r="C276" t="str">
            <v>2 ASSETS</v>
          </cell>
          <cell r="D276" t="str">
            <v>2 C Assets</v>
          </cell>
          <cell r="E276">
            <v>5400</v>
          </cell>
          <cell r="F276" t="str">
            <v>Unpaid grants &amp; subs</v>
          </cell>
        </row>
        <row r="277">
          <cell r="A277">
            <v>5430</v>
          </cell>
          <cell r="B277" t="str">
            <v>Electricity</v>
          </cell>
          <cell r="C277" t="str">
            <v>2 ASSETS</v>
          </cell>
          <cell r="D277" t="str">
            <v>2 C Assets</v>
          </cell>
          <cell r="E277">
            <v>5400</v>
          </cell>
          <cell r="F277" t="str">
            <v>Unpaid grants &amp; subs</v>
          </cell>
        </row>
        <row r="278">
          <cell r="A278">
            <v>5440</v>
          </cell>
          <cell r="B278" t="str">
            <v>Water</v>
          </cell>
          <cell r="C278" t="str">
            <v>2 ASSETS</v>
          </cell>
          <cell r="D278" t="str">
            <v>2 C Assets</v>
          </cell>
          <cell r="E278">
            <v>5400</v>
          </cell>
          <cell r="F278" t="str">
            <v>Unpaid grants &amp; subs</v>
          </cell>
        </row>
        <row r="279">
          <cell r="A279">
            <v>5460</v>
          </cell>
          <cell r="B279" t="str">
            <v>Housing</v>
          </cell>
          <cell r="C279" t="str">
            <v>2 ASSETS</v>
          </cell>
          <cell r="D279" t="str">
            <v>2 C Assets</v>
          </cell>
          <cell r="E279">
            <v>5400</v>
          </cell>
          <cell r="F279" t="str">
            <v>Unpaid grants &amp; subs</v>
          </cell>
        </row>
        <row r="280">
          <cell r="A280">
            <v>5498</v>
          </cell>
          <cell r="B280" t="str">
            <v>ST Unpaid Grants</v>
          </cell>
          <cell r="C280" t="str">
            <v>2 ASSETS</v>
          </cell>
          <cell r="D280" t="str">
            <v>2 C Assets</v>
          </cell>
          <cell r="E280">
            <v>5400</v>
          </cell>
          <cell r="F280" t="str">
            <v>Unpaid grants &amp; subs</v>
          </cell>
        </row>
        <row r="281">
          <cell r="A281">
            <v>5499</v>
          </cell>
          <cell r="C281" t="str">
            <v>2 ASSETS</v>
          </cell>
          <cell r="D281" t="str">
            <v>2 C Assets</v>
          </cell>
        </row>
        <row r="282">
          <cell r="A282">
            <v>5500</v>
          </cell>
          <cell r="B282" t="str">
            <v>S Term Invest Dep</v>
          </cell>
          <cell r="C282" t="str">
            <v>2 ASSETS</v>
          </cell>
          <cell r="D282" t="str">
            <v>2 C Assets</v>
          </cell>
          <cell r="E282">
            <v>5500</v>
          </cell>
          <cell r="F282" t="str">
            <v>S Term Invest Dep</v>
          </cell>
        </row>
        <row r="283">
          <cell r="A283">
            <v>5510</v>
          </cell>
          <cell r="B283" t="str">
            <v>Rate and General</v>
          </cell>
          <cell r="C283" t="str">
            <v>2 ASSETS</v>
          </cell>
          <cell r="D283" t="str">
            <v>2 C Assets</v>
          </cell>
          <cell r="E283">
            <v>5500</v>
          </cell>
          <cell r="F283" t="str">
            <v>S Term Invest Dep</v>
          </cell>
        </row>
        <row r="284">
          <cell r="A284">
            <v>5598</v>
          </cell>
          <cell r="B284" t="str">
            <v>ST S Term Inv Dep</v>
          </cell>
          <cell r="C284" t="str">
            <v>2 ASSETS</v>
          </cell>
          <cell r="D284" t="str">
            <v>2 C Assets</v>
          </cell>
          <cell r="E284">
            <v>5500</v>
          </cell>
          <cell r="F284" t="str">
            <v>S Term Invest Dep</v>
          </cell>
        </row>
        <row r="285">
          <cell r="A285">
            <v>5599</v>
          </cell>
          <cell r="B285">
            <v>0</v>
          </cell>
          <cell r="C285" t="str">
            <v>2 ASSETS</v>
          </cell>
          <cell r="D285" t="str">
            <v>2 C Assets</v>
          </cell>
        </row>
        <row r="286">
          <cell r="A286">
            <v>5600</v>
          </cell>
          <cell r="B286" t="str">
            <v>VAT</v>
          </cell>
          <cell r="C286" t="str">
            <v>2 ASSETS</v>
          </cell>
          <cell r="D286" t="str">
            <v>2 C Assets</v>
          </cell>
          <cell r="E286">
            <v>5600</v>
          </cell>
          <cell r="F286" t="str">
            <v>VAT</v>
          </cell>
        </row>
        <row r="287">
          <cell r="A287">
            <v>5698</v>
          </cell>
          <cell r="B287" t="str">
            <v>ST VAT</v>
          </cell>
          <cell r="C287" t="str">
            <v>2 ASSETS</v>
          </cell>
          <cell r="D287" t="str">
            <v>2 C Assets</v>
          </cell>
          <cell r="E287">
            <v>5600</v>
          </cell>
          <cell r="F287" t="str">
            <v>VAT</v>
          </cell>
        </row>
        <row r="288">
          <cell r="A288">
            <v>5699</v>
          </cell>
          <cell r="B288">
            <v>0</v>
          </cell>
          <cell r="C288" t="str">
            <v>2 ASSETS</v>
          </cell>
          <cell r="D288" t="str">
            <v>2 C Assets</v>
          </cell>
        </row>
        <row r="289">
          <cell r="A289">
            <v>5700</v>
          </cell>
          <cell r="B289" t="str">
            <v>Oper Lease Asset</v>
          </cell>
          <cell r="C289" t="str">
            <v>2 ASSETS</v>
          </cell>
          <cell r="D289" t="str">
            <v>2 C Assets</v>
          </cell>
          <cell r="E289">
            <v>5700</v>
          </cell>
          <cell r="F289" t="str">
            <v>Oper Lease Asset</v>
          </cell>
        </row>
        <row r="290">
          <cell r="A290">
            <v>5710</v>
          </cell>
          <cell r="B290" t="str">
            <v>Rates and General</v>
          </cell>
          <cell r="C290" t="str">
            <v>2 ASSETS</v>
          </cell>
          <cell r="D290" t="str">
            <v>2 C Assets</v>
          </cell>
          <cell r="E290">
            <v>5700</v>
          </cell>
          <cell r="F290" t="str">
            <v>Oper Lease Asset</v>
          </cell>
        </row>
        <row r="291">
          <cell r="A291">
            <v>5798</v>
          </cell>
          <cell r="B291" t="str">
            <v>ST Oper Lease Asset</v>
          </cell>
          <cell r="C291" t="str">
            <v>2 ASSETS</v>
          </cell>
          <cell r="D291" t="str">
            <v>2 C Assets</v>
          </cell>
          <cell r="E291">
            <v>5700</v>
          </cell>
          <cell r="F291" t="str">
            <v>Oper Lease Asset</v>
          </cell>
        </row>
        <row r="292">
          <cell r="A292">
            <v>5799</v>
          </cell>
          <cell r="B292">
            <v>0</v>
          </cell>
          <cell r="C292" t="str">
            <v>2 ASSETS</v>
          </cell>
          <cell r="D292" t="str">
            <v>2 C Assets</v>
          </cell>
        </row>
        <row r="293">
          <cell r="A293">
            <v>5800</v>
          </cell>
          <cell r="B293" t="str">
            <v>Bank Balances &amp; Cash</v>
          </cell>
          <cell r="C293" t="str">
            <v>2 ASSETS</v>
          </cell>
          <cell r="D293" t="str">
            <v>2 C Assets</v>
          </cell>
          <cell r="E293">
            <v>5800</v>
          </cell>
          <cell r="F293" t="str">
            <v>Bank Balances &amp; Cash</v>
          </cell>
        </row>
        <row r="294">
          <cell r="A294">
            <v>5801</v>
          </cell>
          <cell r="B294" t="str">
            <v>Wages Cash Control</v>
          </cell>
          <cell r="C294" t="str">
            <v>2 ASSETS</v>
          </cell>
          <cell r="D294" t="str">
            <v>2 C Assets</v>
          </cell>
          <cell r="E294">
            <v>5800</v>
          </cell>
          <cell r="F294" t="str">
            <v>Bank Balances &amp; Cash</v>
          </cell>
        </row>
        <row r="295">
          <cell r="A295">
            <v>5802</v>
          </cell>
          <cell r="B295" t="str">
            <v>Cash Control</v>
          </cell>
          <cell r="C295" t="str">
            <v>2 ASSETS</v>
          </cell>
          <cell r="D295" t="str">
            <v>2 C Assets</v>
          </cell>
          <cell r="E295">
            <v>5800</v>
          </cell>
          <cell r="F295" t="str">
            <v>Bank Balances &amp; Cash</v>
          </cell>
        </row>
        <row r="296">
          <cell r="A296">
            <v>5803</v>
          </cell>
          <cell r="B296" t="str">
            <v>Petty Cash</v>
          </cell>
          <cell r="C296" t="str">
            <v>2 ASSETS</v>
          </cell>
          <cell r="D296" t="str">
            <v>2 C Assets</v>
          </cell>
          <cell r="E296">
            <v>5800</v>
          </cell>
          <cell r="F296" t="str">
            <v>Bank Balances &amp; Cash</v>
          </cell>
        </row>
        <row r="297">
          <cell r="A297">
            <v>5898</v>
          </cell>
          <cell r="B297" t="str">
            <v>ST Bank And Cash</v>
          </cell>
          <cell r="C297" t="str">
            <v>2 ASSETS</v>
          </cell>
          <cell r="D297" t="str">
            <v>2 C Assets</v>
          </cell>
          <cell r="E297">
            <v>5800</v>
          </cell>
          <cell r="F297" t="str">
            <v>Bank Balances &amp; Cash</v>
          </cell>
        </row>
        <row r="298">
          <cell r="A298">
            <v>5899</v>
          </cell>
          <cell r="B298">
            <v>0</v>
          </cell>
          <cell r="C298" t="str">
            <v>2 ASSETS</v>
          </cell>
          <cell r="D298" t="str">
            <v>2 C Assets</v>
          </cell>
        </row>
        <row r="299">
          <cell r="A299">
            <v>9000</v>
          </cell>
          <cell r="B299" t="str">
            <v>Total Assets</v>
          </cell>
          <cell r="C299" t="str">
            <v>2 ASSETS</v>
          </cell>
          <cell r="D299" t="str">
            <v>2 C Assets</v>
          </cell>
        </row>
        <row r="300">
          <cell r="A300">
            <v>9500</v>
          </cell>
          <cell r="C300" t="str">
            <v>2 ASSETS</v>
          </cell>
          <cell r="D300" t="str">
            <v>2 C Assets</v>
          </cell>
        </row>
        <row r="301">
          <cell r="A301">
            <v>9999</v>
          </cell>
          <cell r="B301" t="str">
            <v>Used by Reports Only</v>
          </cell>
          <cell r="C301" t="str">
            <v>2 ASSETS</v>
          </cell>
          <cell r="D301" t="str">
            <v>2 C Assets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ournals"/>
      <sheetName val="Main Ledger 2003"/>
      <sheetName val="Balansstaat"/>
      <sheetName val="Cashflow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a"/>
      <sheetName val="SA12b"/>
      <sheetName val="SA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4d"/>
      <sheetName val="SA35"/>
      <sheetName val="SA36"/>
      <sheetName val="SA37"/>
      <sheetName val="NERF"/>
      <sheetName val="MSCOA"/>
      <sheetName val="Compliance assessment"/>
    </sheetNames>
    <sheetDataSet>
      <sheetData sheetId="0" refreshError="1"/>
      <sheetData sheetId="1" refreshError="1"/>
      <sheetData sheetId="2">
        <row r="93">
          <cell r="B93" t="str">
            <v>Choose name from list</v>
          </cell>
        </row>
        <row r="145">
          <cell r="B145" t="str">
            <v>Supporting Table SA34a Capital expenditure on new assets by asset class</v>
          </cell>
        </row>
        <row r="146">
          <cell r="B146" t="str">
            <v>Supporting Table SA34b Capital expenditure on the renewal of existing assets by asset class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9">
          <cell r="C4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a"/>
      <sheetName val="SA12b"/>
      <sheetName val="SA13a"/>
      <sheetName val="SA13b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4d"/>
      <sheetName val="SA35"/>
      <sheetName val="SA36"/>
      <sheetName val="SA37"/>
    </sheetNames>
    <sheetDataSet>
      <sheetData sheetId="0" refreshError="1"/>
      <sheetData sheetId="1" refreshError="1"/>
      <sheetData sheetId="2" refreshError="1">
        <row r="135">
          <cell r="B135" t="str">
            <v>Supporting Table SA23 Salaries, allowances &amp; benefits (political office bearers/councillors/senior managers)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a"/>
      <sheetName val="SA12b"/>
      <sheetName val="SA13a"/>
      <sheetName val="SA13b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4d"/>
      <sheetName val="SA35"/>
      <sheetName val="SA36"/>
      <sheetName val="SA37"/>
    </sheetNames>
    <sheetDataSet>
      <sheetData sheetId="0" refreshError="1"/>
      <sheetData sheetId="1" refreshError="1"/>
      <sheetData sheetId="2" refreshError="1">
        <row r="33">
          <cell r="B33" t="str">
            <v>Ref</v>
          </cell>
        </row>
        <row r="135">
          <cell r="B135" t="str">
            <v>Supporting Table SA23 Salaries, allowances &amp; benefits (political office bearers/councillors/senior managers)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a"/>
      <sheetName val="SA12b"/>
      <sheetName val="SA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4d"/>
      <sheetName val="SA35"/>
      <sheetName val="SA36"/>
      <sheetName val="SA37"/>
      <sheetName val="NERF"/>
      <sheetName val="MSCOA"/>
      <sheetName val="Compliance assessment"/>
    </sheetNames>
    <sheetDataSet>
      <sheetData sheetId="0"/>
      <sheetData sheetId="1"/>
      <sheetData sheetId="2">
        <row r="114">
          <cell r="B114" t="str">
            <v>Supporting Table SA4 Reconciliation of IDP strategic objectives and budget (revenue)</v>
          </cell>
        </row>
        <row r="115">
          <cell r="B115" t="str">
            <v>Supporting Table SA5 Reconciliation of IDP strategic objectives and budget (operating expenditure)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BUDGET 2021-22  Summary"/>
      <sheetName val="DETAILED OCT GS560"/>
      <sheetName val="Proposed CAPEX Adj"/>
      <sheetName val="Total Emp Cost"/>
      <sheetName val="MS"/>
      <sheetName val="SM"/>
      <sheetName val="Feb 12 Month"/>
      <sheetName val="Tariff SUMMARY"/>
      <sheetName val="MSCOA - Tariff Structure"/>
      <sheetName val="Annexure A"/>
      <sheetName val="Tariff Rand Values "/>
      <sheetName val="Notes"/>
      <sheetName val="Votes to be created"/>
      <sheetName val="Impairment projection"/>
      <sheetName val="AFS Extract"/>
      <sheetName val="Collection rate summary"/>
      <sheetName val="CollectionRateCalc Q1"/>
      <sheetName val="CollectionRateCalc Q2"/>
      <sheetName val="CollectionRateCalc Q3"/>
      <sheetName val="CollectionRateCalc Apr 22"/>
      <sheetName val="Sheet6"/>
      <sheetName val="Sheet10"/>
      <sheetName val="Sheet1"/>
    </sheetNames>
    <sheetDataSet>
      <sheetData sheetId="0"/>
      <sheetData sheetId="1">
        <row r="1">
          <cell r="E1" t="str">
            <v>Unique ID Per Catergory</v>
          </cell>
          <cell r="F1" t="str">
            <v>Description</v>
          </cell>
          <cell r="G1" t="str">
            <v>Unique ID Per Catergory</v>
          </cell>
          <cell r="H1" t="str">
            <v>Unique ID Per Departments</v>
          </cell>
          <cell r="I1" t="str">
            <v>Unique ID For Salary From Annexure G</v>
          </cell>
          <cell r="J1" t="str">
            <v>Salary Pre-fix</v>
          </cell>
          <cell r="K1" t="str">
            <v>DIRECTORATE</v>
          </cell>
          <cell r="L1" t="str">
            <v>COST CENTRE</v>
          </cell>
          <cell r="M1" t="str">
            <v>TYPE</v>
          </cell>
          <cell r="N1" t="str">
            <v>CATEGORY</v>
          </cell>
          <cell r="O1" t="str">
            <v>ITEM</v>
          </cell>
          <cell r="P1" t="str">
            <v>SUB-ITEM</v>
          </cell>
          <cell r="Q1" t="str">
            <v>FUND</v>
          </cell>
          <cell r="R1" t="str">
            <v>PROJECT</v>
          </cell>
          <cell r="S1" t="str">
            <v>COST</v>
          </cell>
          <cell r="T1" t="str">
            <v>REGION</v>
          </cell>
          <cell r="U1" t="str">
            <v>Votenumber</v>
          </cell>
          <cell r="V1" t="str">
            <v>Typ</v>
          </cell>
          <cell r="W1" t="str">
            <v>Description</v>
          </cell>
          <cell r="X1" t="str">
            <v>Original Budget</v>
          </cell>
          <cell r="Y1" t="str">
            <v>YEAR TO DATE APRIL 2022</v>
          </cell>
          <cell r="Z1" t="str">
            <v>Projection for the year 2021-22</v>
          </cell>
          <cell r="AA1" t="str">
            <v>Increase/(Decrease)</v>
          </cell>
          <cell r="AB1" t="str">
            <v>Adjustment Budget 2021-22</v>
          </cell>
          <cell r="AC1" t="str">
            <v>MTREF 22-23</v>
          </cell>
        </row>
        <row r="2">
          <cell r="F2" t="str">
            <v>MS: SAL &amp; ALL: BASIC SALARY &amp; WAGES</v>
          </cell>
          <cell r="G2" t="str">
            <v>P211001</v>
          </cell>
          <cell r="H2" t="str">
            <v>P211001</v>
          </cell>
          <cell r="I2" t="str">
            <v>501001</v>
          </cell>
          <cell r="J2">
            <v>50</v>
          </cell>
          <cell r="K2">
            <v>10</v>
          </cell>
          <cell r="L2" t="str">
            <v>01</v>
          </cell>
          <cell r="M2">
            <v>2</v>
          </cell>
          <cell r="N2">
            <v>11</v>
          </cell>
          <cell r="O2">
            <v>1</v>
          </cell>
          <cell r="P2">
            <v>0</v>
          </cell>
          <cell r="Q2">
            <v>18</v>
          </cell>
          <cell r="R2" t="str">
            <v>MRC</v>
          </cell>
          <cell r="S2" t="str">
            <v>ZZ</v>
          </cell>
          <cell r="T2">
            <v>11</v>
          </cell>
          <cell r="U2" t="str">
            <v>1001211001018MRCZZ11</v>
          </cell>
          <cell r="V2">
            <v>1</v>
          </cell>
          <cell r="W2" t="str">
            <v>MS: SAL &amp; ALL: BASIC SALARY &amp; WAGES</v>
          </cell>
          <cell r="X2">
            <v>63184</v>
          </cell>
          <cell r="Y2">
            <v>0</v>
          </cell>
          <cell r="Z2">
            <v>0</v>
          </cell>
          <cell r="AA2"/>
          <cell r="AB2">
            <v>63184</v>
          </cell>
          <cell r="AC2">
            <v>0</v>
          </cell>
        </row>
        <row r="3">
          <cell r="F3" t="str">
            <v>MS: SOC CONTR - UNEMPLOYMENT INSUR FUND</v>
          </cell>
          <cell r="G3" t="str">
            <v>P213040</v>
          </cell>
          <cell r="H3" t="str">
            <v>P213040</v>
          </cell>
          <cell r="I3" t="str">
            <v>501001</v>
          </cell>
          <cell r="J3">
            <v>50</v>
          </cell>
          <cell r="K3" t="str">
            <v>10</v>
          </cell>
          <cell r="L3" t="str">
            <v>01</v>
          </cell>
          <cell r="M3" t="str">
            <v>2</v>
          </cell>
          <cell r="N3" t="str">
            <v>13</v>
          </cell>
          <cell r="O3" t="str">
            <v>040</v>
          </cell>
          <cell r="P3" t="str">
            <v>0</v>
          </cell>
          <cell r="Q3">
            <v>18</v>
          </cell>
          <cell r="R3" t="str">
            <v>MRC</v>
          </cell>
          <cell r="S3" t="str">
            <v>ZZ</v>
          </cell>
          <cell r="T3">
            <v>11</v>
          </cell>
          <cell r="U3" t="str">
            <v>1001213040018MRCZZ11</v>
          </cell>
          <cell r="V3">
            <v>2</v>
          </cell>
          <cell r="W3" t="str">
            <v>MS: SOC CONTR - UNEMPLOYMENT INSUR FUND</v>
          </cell>
          <cell r="X3">
            <v>4273</v>
          </cell>
          <cell r="Y3">
            <v>0</v>
          </cell>
          <cell r="Z3">
            <v>0</v>
          </cell>
          <cell r="AA3"/>
          <cell r="AB3">
            <v>4273</v>
          </cell>
          <cell r="AC3">
            <v>0</v>
          </cell>
        </row>
        <row r="4">
          <cell r="F4" t="str">
            <v>BM D01: SAL &amp; ALL - BASIC SALARY</v>
          </cell>
          <cell r="G4" t="str">
            <v>P216005</v>
          </cell>
          <cell r="H4" t="str">
            <v>P216005</v>
          </cell>
          <cell r="I4"/>
          <cell r="J4"/>
          <cell r="K4" t="str">
            <v>10</v>
          </cell>
          <cell r="L4" t="str">
            <v>01</v>
          </cell>
          <cell r="M4" t="str">
            <v>2</v>
          </cell>
          <cell r="N4" t="str">
            <v>16</v>
          </cell>
          <cell r="O4" t="str">
            <v>005</v>
          </cell>
          <cell r="P4" t="str">
            <v>0</v>
          </cell>
          <cell r="Q4">
            <v>18</v>
          </cell>
          <cell r="R4" t="str">
            <v>MRC</v>
          </cell>
          <cell r="S4" t="str">
            <v>ZZ</v>
          </cell>
          <cell r="T4">
            <v>11</v>
          </cell>
          <cell r="U4" t="str">
            <v>1001216005018MRCZZ11</v>
          </cell>
          <cell r="V4">
            <v>3</v>
          </cell>
          <cell r="W4" t="str">
            <v>BM D01: SAL &amp; ALL - BASIC SALARY</v>
          </cell>
          <cell r="X4">
            <v>158937</v>
          </cell>
          <cell r="Y4">
            <v>0</v>
          </cell>
          <cell r="Z4">
            <v>0</v>
          </cell>
          <cell r="AA4"/>
          <cell r="AB4">
            <v>158937</v>
          </cell>
          <cell r="AC4">
            <v>0</v>
          </cell>
        </row>
        <row r="5">
          <cell r="F5" t="str">
            <v>BM D02: SAL &amp; ALL - BASIC SALARY</v>
          </cell>
          <cell r="G5" t="str">
            <v>P216045</v>
          </cell>
          <cell r="H5" t="str">
            <v>P216045</v>
          </cell>
          <cell r="I5"/>
          <cell r="J5"/>
          <cell r="K5" t="str">
            <v>10</v>
          </cell>
          <cell r="L5" t="str">
            <v>01</v>
          </cell>
          <cell r="M5" t="str">
            <v>2</v>
          </cell>
          <cell r="N5" t="str">
            <v>16</v>
          </cell>
          <cell r="O5" t="str">
            <v>045</v>
          </cell>
          <cell r="P5" t="str">
            <v>0</v>
          </cell>
          <cell r="Q5">
            <v>18</v>
          </cell>
          <cell r="R5" t="str">
            <v>MRC</v>
          </cell>
          <cell r="S5" t="str">
            <v>ZZ</v>
          </cell>
          <cell r="T5">
            <v>11</v>
          </cell>
          <cell r="U5" t="str">
            <v>1001216045018MRCZZ11</v>
          </cell>
          <cell r="V5">
            <v>4</v>
          </cell>
          <cell r="W5" t="str">
            <v>BM D02: SAL &amp; ALL - BASIC SALARY</v>
          </cell>
          <cell r="X5">
            <v>73983</v>
          </cell>
          <cell r="Y5">
            <v>0</v>
          </cell>
          <cell r="Z5">
            <v>0</v>
          </cell>
          <cell r="AA5"/>
          <cell r="AB5">
            <v>73983</v>
          </cell>
          <cell r="AC5">
            <v>0</v>
          </cell>
        </row>
        <row r="6">
          <cell r="F6" t="str">
            <v>BM D03: SAL &amp; ALL - BASIC SALARY</v>
          </cell>
          <cell r="G6" t="str">
            <v>P216085</v>
          </cell>
          <cell r="H6" t="str">
            <v>P216085</v>
          </cell>
          <cell r="I6"/>
          <cell r="J6"/>
          <cell r="K6" t="str">
            <v>10</v>
          </cell>
          <cell r="L6" t="str">
            <v>01</v>
          </cell>
          <cell r="M6" t="str">
            <v>2</v>
          </cell>
          <cell r="N6" t="str">
            <v>16</v>
          </cell>
          <cell r="O6" t="str">
            <v>085</v>
          </cell>
          <cell r="P6" t="str">
            <v>0</v>
          </cell>
          <cell r="Q6">
            <v>18</v>
          </cell>
          <cell r="R6" t="str">
            <v>MRC</v>
          </cell>
          <cell r="S6" t="str">
            <v>ZZ</v>
          </cell>
          <cell r="T6">
            <v>11</v>
          </cell>
          <cell r="U6" t="str">
            <v>1001216085018MRCZZ11</v>
          </cell>
          <cell r="V6">
            <v>5</v>
          </cell>
          <cell r="W6" t="str">
            <v>BM D03: SAL &amp; ALL - BASIC SALARY</v>
          </cell>
          <cell r="X6">
            <v>749519</v>
          </cell>
          <cell r="Y6">
            <v>162286.54</v>
          </cell>
          <cell r="Z6">
            <v>194743.848</v>
          </cell>
          <cell r="AA6"/>
          <cell r="AB6">
            <v>749519</v>
          </cell>
          <cell r="AC6">
            <v>785495.91200000001</v>
          </cell>
        </row>
        <row r="7">
          <cell r="F7" t="str">
            <v>OS: CATERING SERVICES(REFRESHMENTS)</v>
          </cell>
          <cell r="G7" t="str">
            <v>P226060</v>
          </cell>
          <cell r="H7" t="str">
            <v>P226060</v>
          </cell>
          <cell r="I7"/>
          <cell r="J7"/>
          <cell r="K7" t="str">
            <v>10</v>
          </cell>
          <cell r="L7" t="str">
            <v>01</v>
          </cell>
          <cell r="M7" t="str">
            <v>2</v>
          </cell>
          <cell r="N7" t="str">
            <v>26</v>
          </cell>
          <cell r="O7" t="str">
            <v>060</v>
          </cell>
          <cell r="P7" t="str">
            <v>H</v>
          </cell>
          <cell r="Q7">
            <v>18</v>
          </cell>
          <cell r="R7" t="str">
            <v>MRC</v>
          </cell>
          <cell r="S7" t="str">
            <v>ZZ</v>
          </cell>
          <cell r="T7">
            <v>11</v>
          </cell>
          <cell r="U7" t="str">
            <v>1001226060H18MRCZZ11</v>
          </cell>
          <cell r="V7">
            <v>6</v>
          </cell>
          <cell r="W7" t="str">
            <v>OS: CATERING SERVICES(REFRESHMENTS)</v>
          </cell>
          <cell r="X7">
            <v>9416</v>
          </cell>
          <cell r="Y7">
            <v>0</v>
          </cell>
          <cell r="Z7">
            <v>0</v>
          </cell>
          <cell r="AA7"/>
          <cell r="AB7">
            <v>9416</v>
          </cell>
          <cell r="AC7">
            <v>10000</v>
          </cell>
        </row>
        <row r="8">
          <cell r="F8" t="str">
            <v>C&amp;PS: LEGAL COST ADVICE &amp; LITIGATION</v>
          </cell>
          <cell r="G8" t="str">
            <v>P227334</v>
          </cell>
          <cell r="H8" t="str">
            <v>P227334</v>
          </cell>
          <cell r="I8"/>
          <cell r="J8"/>
          <cell r="K8" t="str">
            <v>10</v>
          </cell>
          <cell r="L8" t="str">
            <v>01</v>
          </cell>
          <cell r="M8" t="str">
            <v>2</v>
          </cell>
          <cell r="N8" t="str">
            <v>27</v>
          </cell>
          <cell r="O8" t="str">
            <v>334</v>
          </cell>
          <cell r="P8" t="str">
            <v>0</v>
          </cell>
          <cell r="Q8">
            <v>18</v>
          </cell>
          <cell r="R8" t="str">
            <v>MRC</v>
          </cell>
          <cell r="S8" t="str">
            <v>ZZ</v>
          </cell>
          <cell r="T8">
            <v>11</v>
          </cell>
          <cell r="U8" t="str">
            <v>1001227334018MRCZZ11</v>
          </cell>
          <cell r="V8">
            <v>7</v>
          </cell>
          <cell r="W8" t="str">
            <v>C&amp;PS: LEGAL COST ADVICE &amp; LITIGATION</v>
          </cell>
          <cell r="X8">
            <v>0</v>
          </cell>
          <cell r="Y8">
            <v>0</v>
          </cell>
          <cell r="Z8">
            <v>0</v>
          </cell>
          <cell r="AA8"/>
          <cell r="AB8">
            <v>0</v>
          </cell>
          <cell r="AC8">
            <v>300000</v>
          </cell>
        </row>
        <row r="9">
          <cell r="F9" t="str">
            <v>OC: PROFESSIONAL BODIES M/SHIP &amp; SUBS</v>
          </cell>
          <cell r="G9" t="str">
            <v>P230452</v>
          </cell>
          <cell r="H9" t="str">
            <v>P230452</v>
          </cell>
          <cell r="I9"/>
          <cell r="J9"/>
          <cell r="K9" t="str">
            <v>10</v>
          </cell>
          <cell r="L9" t="str">
            <v>01</v>
          </cell>
          <cell r="M9" t="str">
            <v>2</v>
          </cell>
          <cell r="N9" t="str">
            <v>30</v>
          </cell>
          <cell r="O9" t="str">
            <v>452</v>
          </cell>
          <cell r="P9" t="str">
            <v>0</v>
          </cell>
          <cell r="Q9">
            <v>18</v>
          </cell>
          <cell r="R9" t="str">
            <v>MRC</v>
          </cell>
          <cell r="S9" t="str">
            <v>ZZ</v>
          </cell>
          <cell r="T9">
            <v>11</v>
          </cell>
          <cell r="U9" t="str">
            <v>1001230452018MRCZZ11</v>
          </cell>
          <cell r="V9">
            <v>8</v>
          </cell>
          <cell r="W9" t="str">
            <v>OC: PROFESSIONAL BODIES M/SHIP &amp; SUBS</v>
          </cell>
          <cell r="X9">
            <v>0</v>
          </cell>
          <cell r="Y9">
            <v>0</v>
          </cell>
          <cell r="Z9">
            <v>0</v>
          </cell>
          <cell r="AA9">
            <v>148650</v>
          </cell>
          <cell r="AB9">
            <v>148650</v>
          </cell>
          <cell r="AC9">
            <v>70000</v>
          </cell>
        </row>
        <row r="10">
          <cell r="F10" t="str">
            <v>OC: REG FEES NATIONAL</v>
          </cell>
          <cell r="G10" t="str">
            <v>P230452</v>
          </cell>
          <cell r="H10" t="str">
            <v>P230511</v>
          </cell>
          <cell r="I10"/>
          <cell r="J10"/>
          <cell r="K10" t="str">
            <v>10</v>
          </cell>
          <cell r="L10" t="str">
            <v>01</v>
          </cell>
          <cell r="M10" t="str">
            <v>2</v>
          </cell>
          <cell r="N10" t="str">
            <v>30</v>
          </cell>
          <cell r="O10" t="str">
            <v>511</v>
          </cell>
          <cell r="P10" t="str">
            <v>0</v>
          </cell>
          <cell r="Q10">
            <v>18</v>
          </cell>
          <cell r="R10" t="str">
            <v>MRC</v>
          </cell>
          <cell r="S10" t="str">
            <v>ZZ</v>
          </cell>
          <cell r="T10">
            <v>11</v>
          </cell>
          <cell r="U10" t="str">
            <v>1001230511018MRCZZ11</v>
          </cell>
          <cell r="V10">
            <v>9</v>
          </cell>
          <cell r="W10" t="str">
            <v>OC: REG FEES NATIONAL</v>
          </cell>
          <cell r="X10">
            <v>0</v>
          </cell>
          <cell r="Y10">
            <v>0</v>
          </cell>
          <cell r="Z10">
            <v>0</v>
          </cell>
          <cell r="AA10"/>
          <cell r="AB10">
            <v>0</v>
          </cell>
          <cell r="AC10">
            <v>0</v>
          </cell>
        </row>
        <row r="11">
          <cell r="F11" t="str">
            <v>OC: SKILLS DEVELOPMENT FUND LEVY</v>
          </cell>
          <cell r="G11" t="str">
            <v>P230452</v>
          </cell>
          <cell r="H11" t="str">
            <v>P230541</v>
          </cell>
          <cell r="I11"/>
          <cell r="J11"/>
          <cell r="K11" t="str">
            <v>10</v>
          </cell>
          <cell r="L11" t="str">
            <v>01</v>
          </cell>
          <cell r="M11" t="str">
            <v>2</v>
          </cell>
          <cell r="N11" t="str">
            <v>30</v>
          </cell>
          <cell r="O11" t="str">
            <v>541</v>
          </cell>
          <cell r="P11" t="str">
            <v>0</v>
          </cell>
          <cell r="Q11">
            <v>18</v>
          </cell>
          <cell r="R11" t="str">
            <v>MRC</v>
          </cell>
          <cell r="S11" t="str">
            <v>ZZ</v>
          </cell>
          <cell r="T11">
            <v>11</v>
          </cell>
          <cell r="U11" t="str">
            <v>1001230541018MRCZZ11</v>
          </cell>
          <cell r="V11">
            <v>10</v>
          </cell>
          <cell r="W11" t="str">
            <v>OC: SKILLS DEVELOPMENT FUND LEVY</v>
          </cell>
          <cell r="X11">
            <v>0</v>
          </cell>
          <cell r="Y11">
            <v>0</v>
          </cell>
          <cell r="Z11">
            <v>0</v>
          </cell>
          <cell r="AA11"/>
          <cell r="AB11">
            <v>0</v>
          </cell>
          <cell r="AC11">
            <v>0</v>
          </cell>
        </row>
        <row r="12">
          <cell r="F12" t="str">
            <v>OC: T&amp;S DOM - ACCOMMODATION</v>
          </cell>
          <cell r="G12" t="str">
            <v>P230452</v>
          </cell>
          <cell r="H12" t="str">
            <v>P230576</v>
          </cell>
          <cell r="I12"/>
          <cell r="J12"/>
          <cell r="K12" t="str">
            <v>10</v>
          </cell>
          <cell r="L12" t="str">
            <v>01</v>
          </cell>
          <cell r="M12" t="str">
            <v>2</v>
          </cell>
          <cell r="N12" t="str">
            <v>30</v>
          </cell>
          <cell r="O12" t="str">
            <v>576</v>
          </cell>
          <cell r="P12" t="str">
            <v>0</v>
          </cell>
          <cell r="Q12">
            <v>18</v>
          </cell>
          <cell r="R12" t="str">
            <v>MRC</v>
          </cell>
          <cell r="S12" t="str">
            <v>ZZ</v>
          </cell>
          <cell r="T12">
            <v>11</v>
          </cell>
          <cell r="U12" t="str">
            <v>1001230576018MRCZZ11</v>
          </cell>
          <cell r="V12">
            <v>11</v>
          </cell>
          <cell r="W12" t="str">
            <v>OC: T&amp;S DOM - ACCOMMODATION</v>
          </cell>
          <cell r="X12">
            <v>9762</v>
          </cell>
          <cell r="Y12">
            <v>0</v>
          </cell>
          <cell r="Z12">
            <v>0</v>
          </cell>
          <cell r="AA12"/>
          <cell r="AB12">
            <v>9762</v>
          </cell>
          <cell r="AC12">
            <v>10230.576000000001</v>
          </cell>
        </row>
        <row r="13">
          <cell r="F13" t="str">
            <v>OC: T&amp;S DOM - DAILY ALLOWANCE</v>
          </cell>
          <cell r="G13" t="str">
            <v>P230452</v>
          </cell>
          <cell r="H13" t="str">
            <v>P230577</v>
          </cell>
          <cell r="I13"/>
          <cell r="J13"/>
          <cell r="K13" t="str">
            <v>10</v>
          </cell>
          <cell r="L13" t="str">
            <v>01</v>
          </cell>
          <cell r="M13" t="str">
            <v>2</v>
          </cell>
          <cell r="N13" t="str">
            <v>30</v>
          </cell>
          <cell r="O13" t="str">
            <v>577</v>
          </cell>
          <cell r="P13" t="str">
            <v>0</v>
          </cell>
          <cell r="Q13">
            <v>18</v>
          </cell>
          <cell r="R13" t="str">
            <v>MRC</v>
          </cell>
          <cell r="S13" t="str">
            <v>ZZ</v>
          </cell>
          <cell r="T13">
            <v>11</v>
          </cell>
          <cell r="U13" t="str">
            <v>1001230577018MRCZZ11</v>
          </cell>
          <cell r="V13">
            <v>12</v>
          </cell>
          <cell r="W13" t="str">
            <v>OC: T&amp;S DOM - DAILY ALLOWANCE</v>
          </cell>
          <cell r="X13">
            <v>0</v>
          </cell>
          <cell r="Y13">
            <v>0</v>
          </cell>
          <cell r="Z13">
            <v>0</v>
          </cell>
          <cell r="AA13"/>
          <cell r="AB13">
            <v>0</v>
          </cell>
          <cell r="AC13">
            <v>0</v>
          </cell>
        </row>
        <row r="14">
          <cell r="F14" t="str">
            <v>OC: T&amp;S DOM TRP - WITHOUT OPR CAR RENTAL</v>
          </cell>
          <cell r="G14" t="str">
            <v>P230452</v>
          </cell>
          <cell r="H14" t="str">
            <v>P230580</v>
          </cell>
          <cell r="I14"/>
          <cell r="J14"/>
          <cell r="K14" t="str">
            <v>10</v>
          </cell>
          <cell r="L14" t="str">
            <v>01</v>
          </cell>
          <cell r="M14" t="str">
            <v>2</v>
          </cell>
          <cell r="N14" t="str">
            <v>30</v>
          </cell>
          <cell r="O14" t="str">
            <v>580</v>
          </cell>
          <cell r="P14" t="str">
            <v>0</v>
          </cell>
          <cell r="Q14">
            <v>18</v>
          </cell>
          <cell r="R14" t="str">
            <v>MRC</v>
          </cell>
          <cell r="S14" t="str">
            <v>ZZ</v>
          </cell>
          <cell r="T14">
            <v>11</v>
          </cell>
          <cell r="U14" t="str">
            <v>1001230580018MRCZZ11</v>
          </cell>
          <cell r="V14">
            <v>13</v>
          </cell>
          <cell r="W14" t="str">
            <v>OC: T&amp;S DOM TRP - WITHOUT OPR CAR RENTAL</v>
          </cell>
          <cell r="X14">
            <v>23922</v>
          </cell>
          <cell r="Y14">
            <v>0</v>
          </cell>
          <cell r="Z14">
            <v>0</v>
          </cell>
          <cell r="AA14"/>
          <cell r="AB14">
            <v>23922</v>
          </cell>
          <cell r="AC14">
            <v>25070.256000000001</v>
          </cell>
        </row>
        <row r="15">
          <cell r="F15" t="str">
            <v>OC: T&amp;S DOM PUB TRP - AIR TRANSPORT</v>
          </cell>
          <cell r="G15" t="str">
            <v>P230452</v>
          </cell>
          <cell r="H15" t="str">
            <v>P230583</v>
          </cell>
          <cell r="I15"/>
          <cell r="J15"/>
          <cell r="K15" t="str">
            <v>10</v>
          </cell>
          <cell r="L15" t="str">
            <v>01</v>
          </cell>
          <cell r="M15" t="str">
            <v>2</v>
          </cell>
          <cell r="N15" t="str">
            <v>30</v>
          </cell>
          <cell r="O15" t="str">
            <v>583</v>
          </cell>
          <cell r="P15" t="str">
            <v>0</v>
          </cell>
          <cell r="Q15">
            <v>18</v>
          </cell>
          <cell r="R15" t="str">
            <v>MRC</v>
          </cell>
          <cell r="S15" t="str">
            <v>ZZ</v>
          </cell>
          <cell r="T15">
            <v>11</v>
          </cell>
          <cell r="U15" t="str">
            <v>1001230583018MRCZZ11</v>
          </cell>
          <cell r="V15">
            <v>14</v>
          </cell>
          <cell r="W15" t="str">
            <v>OC: T&amp;S DOM PUB TRP - AIR TRANSPORT</v>
          </cell>
          <cell r="X15">
            <v>14555</v>
          </cell>
          <cell r="Y15">
            <v>0</v>
          </cell>
          <cell r="Z15">
            <v>0</v>
          </cell>
          <cell r="AA15"/>
          <cell r="AB15">
            <v>14555</v>
          </cell>
          <cell r="AC15">
            <v>15253.64</v>
          </cell>
        </row>
        <row r="16">
          <cell r="F16" t="str">
            <v>SM D10: SAL &amp; ALL -  BASIC SALARY</v>
          </cell>
          <cell r="G16" t="str">
            <v>P1002203445</v>
          </cell>
          <cell r="H16" t="str">
            <v>P1002203445</v>
          </cell>
          <cell r="I16" t="str">
            <v>501002</v>
          </cell>
          <cell r="J16">
            <v>50</v>
          </cell>
          <cell r="K16" t="str">
            <v>10</v>
          </cell>
          <cell r="L16" t="str">
            <v>02</v>
          </cell>
          <cell r="M16" t="str">
            <v>2</v>
          </cell>
          <cell r="N16" t="str">
            <v>03</v>
          </cell>
          <cell r="O16" t="str">
            <v>445</v>
          </cell>
          <cell r="P16" t="str">
            <v>0</v>
          </cell>
          <cell r="Q16">
            <v>18</v>
          </cell>
          <cell r="R16" t="str">
            <v>MRC</v>
          </cell>
          <cell r="S16" t="str">
            <v>ZZ</v>
          </cell>
          <cell r="T16">
            <v>11</v>
          </cell>
          <cell r="U16" t="str">
            <v>1002203445018MRCZZ11</v>
          </cell>
          <cell r="V16">
            <v>15</v>
          </cell>
          <cell r="W16" t="str">
            <v>SM D10: SAL &amp; ALL -  BASIC SALARY</v>
          </cell>
          <cell r="X16">
            <v>1605322</v>
          </cell>
          <cell r="Y16">
            <v>123062.75</v>
          </cell>
          <cell r="Z16">
            <v>147675.29999999999</v>
          </cell>
          <cell r="AA16"/>
          <cell r="AB16">
            <v>1605322</v>
          </cell>
          <cell r="AC16">
            <v>1621913.8220544001</v>
          </cell>
        </row>
        <row r="17">
          <cell r="F17" t="str">
            <v>SM D10: ALLOW - CELLULAR &amp; TELEPHONE</v>
          </cell>
          <cell r="G17" t="str">
            <v>P1002203447</v>
          </cell>
          <cell r="H17" t="str">
            <v>P1002203447</v>
          </cell>
          <cell r="I17" t="str">
            <v>501002</v>
          </cell>
          <cell r="J17">
            <v>50</v>
          </cell>
          <cell r="K17" t="str">
            <v>10</v>
          </cell>
          <cell r="L17" t="str">
            <v>02</v>
          </cell>
          <cell r="M17" t="str">
            <v>2</v>
          </cell>
          <cell r="N17" t="str">
            <v>03</v>
          </cell>
          <cell r="O17" t="str">
            <v>447</v>
          </cell>
          <cell r="P17" t="str">
            <v>0</v>
          </cell>
          <cell r="Q17">
            <v>18</v>
          </cell>
          <cell r="R17" t="str">
            <v>MRC</v>
          </cell>
          <cell r="S17" t="str">
            <v>ZZ</v>
          </cell>
          <cell r="T17">
            <v>11</v>
          </cell>
          <cell r="U17" t="str">
            <v>1002203447018MRCZZ11</v>
          </cell>
          <cell r="V17">
            <v>16</v>
          </cell>
          <cell r="W17" t="str">
            <v>SM D10: ALLOW - CELLULAR &amp; TELEPHONE</v>
          </cell>
          <cell r="X17">
            <v>19343</v>
          </cell>
          <cell r="Y17">
            <v>1200</v>
          </cell>
          <cell r="Z17">
            <v>1440</v>
          </cell>
          <cell r="AA17"/>
          <cell r="AB17">
            <v>19343</v>
          </cell>
          <cell r="AC17">
            <v>15091.2</v>
          </cell>
        </row>
        <row r="18">
          <cell r="F18" t="str">
            <v>SM D10: SOC CONTR: UIF</v>
          </cell>
          <cell r="G18" t="str">
            <v>P1002205463</v>
          </cell>
          <cell r="H18" t="str">
            <v>P1002205463</v>
          </cell>
          <cell r="I18" t="str">
            <v>501002</v>
          </cell>
          <cell r="J18">
            <v>50</v>
          </cell>
          <cell r="K18" t="str">
            <v>10</v>
          </cell>
          <cell r="L18" t="str">
            <v>02</v>
          </cell>
          <cell r="M18" t="str">
            <v>2</v>
          </cell>
          <cell r="N18" t="str">
            <v>05</v>
          </cell>
          <cell r="O18" t="str">
            <v>463</v>
          </cell>
          <cell r="P18" t="str">
            <v>0</v>
          </cell>
          <cell r="Q18">
            <v>18</v>
          </cell>
          <cell r="R18" t="str">
            <v>MRC</v>
          </cell>
          <cell r="S18" t="str">
            <v>ZZ</v>
          </cell>
          <cell r="T18">
            <v>11</v>
          </cell>
          <cell r="U18" t="str">
            <v>1002205463018MRCZZ11</v>
          </cell>
          <cell r="V18">
            <v>17</v>
          </cell>
          <cell r="W18" t="str">
            <v>SM D10: SOC CONTR: UIF</v>
          </cell>
          <cell r="X18">
            <v>2700</v>
          </cell>
          <cell r="Y18">
            <v>177.12</v>
          </cell>
          <cell r="Z18">
            <v>212.54399999999998</v>
          </cell>
          <cell r="AA18"/>
          <cell r="AB18">
            <v>2700</v>
          </cell>
          <cell r="AC18">
            <v>0</v>
          </cell>
        </row>
        <row r="19">
          <cell r="F19" t="str">
            <v>MS: SAL &amp; ALL: BASIC SALARY &amp; WAGES</v>
          </cell>
          <cell r="G19" t="str">
            <v>P211001</v>
          </cell>
          <cell r="H19" t="str">
            <v>P211001</v>
          </cell>
          <cell r="I19" t="str">
            <v>501002</v>
          </cell>
          <cell r="J19">
            <v>50</v>
          </cell>
          <cell r="K19" t="str">
            <v>10</v>
          </cell>
          <cell r="L19" t="str">
            <v>02</v>
          </cell>
          <cell r="M19" t="str">
            <v>2</v>
          </cell>
          <cell r="N19" t="str">
            <v>11</v>
          </cell>
          <cell r="O19" t="str">
            <v>001</v>
          </cell>
          <cell r="P19" t="str">
            <v>0</v>
          </cell>
          <cell r="Q19">
            <v>18</v>
          </cell>
          <cell r="R19" t="str">
            <v>MRC</v>
          </cell>
          <cell r="S19" t="str">
            <v>ZZ</v>
          </cell>
          <cell r="T19">
            <v>11</v>
          </cell>
          <cell r="U19" t="str">
            <v>1002211001018MRCZZ11</v>
          </cell>
          <cell r="V19">
            <v>18</v>
          </cell>
          <cell r="W19" t="str">
            <v>MS: SAL &amp; ALL: BASIC SALARY &amp; WAGES</v>
          </cell>
          <cell r="X19">
            <v>2022060</v>
          </cell>
          <cell r="Y19">
            <v>1644996.8</v>
          </cell>
          <cell r="Z19">
            <v>1973996.16</v>
          </cell>
          <cell r="AA19"/>
          <cell r="AB19">
            <v>2022060</v>
          </cell>
          <cell r="AC19">
            <v>563291.61600000004</v>
          </cell>
        </row>
        <row r="20">
          <cell r="F20" t="str">
            <v>MS: ALL - CELLULAR &amp; TELEPHONE</v>
          </cell>
          <cell r="G20" t="str">
            <v>P211022</v>
          </cell>
          <cell r="H20" t="str">
            <v>P211022</v>
          </cell>
          <cell r="I20" t="str">
            <v>501002</v>
          </cell>
          <cell r="J20">
            <v>50</v>
          </cell>
          <cell r="K20" t="str">
            <v>10</v>
          </cell>
          <cell r="L20" t="str">
            <v>02</v>
          </cell>
          <cell r="M20" t="str">
            <v>2</v>
          </cell>
          <cell r="N20" t="str">
            <v>11</v>
          </cell>
          <cell r="O20" t="str">
            <v>022</v>
          </cell>
          <cell r="P20" t="str">
            <v>0</v>
          </cell>
          <cell r="Q20">
            <v>18</v>
          </cell>
          <cell r="R20" t="str">
            <v>MRC</v>
          </cell>
          <cell r="S20" t="str">
            <v>ZZ</v>
          </cell>
          <cell r="T20">
            <v>11</v>
          </cell>
          <cell r="U20" t="str">
            <v>1002211022018MRCZZ11</v>
          </cell>
          <cell r="V20">
            <v>19</v>
          </cell>
          <cell r="W20" t="str">
            <v>MS: ALL - CELLULAR &amp; TELEPHONE</v>
          </cell>
          <cell r="X20">
            <v>17887</v>
          </cell>
          <cell r="Y20">
            <v>18000</v>
          </cell>
          <cell r="Z20">
            <v>21600</v>
          </cell>
          <cell r="AA20"/>
          <cell r="AB20">
            <v>17887</v>
          </cell>
          <cell r="AC20">
            <v>0</v>
          </cell>
        </row>
        <row r="21">
          <cell r="F21" t="str">
            <v>MS: HB &amp; INC: HOUSING BENEFITS</v>
          </cell>
          <cell r="G21" t="str">
            <v>P211026</v>
          </cell>
          <cell r="H21" t="str">
            <v>P211026</v>
          </cell>
          <cell r="I21" t="str">
            <v>501002</v>
          </cell>
          <cell r="J21">
            <v>50</v>
          </cell>
          <cell r="K21" t="str">
            <v>10</v>
          </cell>
          <cell r="L21" t="str">
            <v>02</v>
          </cell>
          <cell r="M21" t="str">
            <v>2</v>
          </cell>
          <cell r="N21" t="str">
            <v>11</v>
          </cell>
          <cell r="O21" t="str">
            <v>026</v>
          </cell>
          <cell r="P21" t="str">
            <v>0</v>
          </cell>
          <cell r="Q21">
            <v>18</v>
          </cell>
          <cell r="R21" t="str">
            <v>MRC</v>
          </cell>
          <cell r="S21" t="str">
            <v>ZZ</v>
          </cell>
          <cell r="T21">
            <v>11</v>
          </cell>
          <cell r="U21" t="str">
            <v>1002211026018MRCZZ11</v>
          </cell>
          <cell r="V21">
            <v>20</v>
          </cell>
          <cell r="W21" t="str">
            <v>MS: HB &amp; INC: HOUSING BENEFITS</v>
          </cell>
          <cell r="X21">
            <v>0</v>
          </cell>
          <cell r="Y21">
            <v>0</v>
          </cell>
          <cell r="Z21">
            <v>0</v>
          </cell>
          <cell r="AA21"/>
          <cell r="AB21">
            <v>0</v>
          </cell>
          <cell r="AC21">
            <v>12129.677759999999</v>
          </cell>
        </row>
        <row r="22">
          <cell r="F22" t="str">
            <v>MS: ALL - LEAVE PAY</v>
          </cell>
          <cell r="G22" t="str">
            <v>P211032</v>
          </cell>
          <cell r="H22" t="str">
            <v>P211032</v>
          </cell>
          <cell r="I22" t="str">
            <v>501002</v>
          </cell>
          <cell r="J22">
            <v>50</v>
          </cell>
          <cell r="K22" t="str">
            <v>10</v>
          </cell>
          <cell r="L22" t="str">
            <v>02</v>
          </cell>
          <cell r="M22" t="str">
            <v>2</v>
          </cell>
          <cell r="N22" t="str">
            <v>11</v>
          </cell>
          <cell r="O22" t="str">
            <v>032</v>
          </cell>
          <cell r="P22" t="str">
            <v>0</v>
          </cell>
          <cell r="Q22">
            <v>18</v>
          </cell>
          <cell r="R22" t="str">
            <v>MRC</v>
          </cell>
          <cell r="S22" t="str">
            <v>ZZ</v>
          </cell>
          <cell r="T22">
            <v>11</v>
          </cell>
          <cell r="U22" t="str">
            <v>1002211032018MRCZZ11</v>
          </cell>
          <cell r="V22">
            <v>21</v>
          </cell>
          <cell r="W22" t="str">
            <v>MS: ALL - LEAVE PAY</v>
          </cell>
          <cell r="X22">
            <v>0</v>
          </cell>
          <cell r="Y22">
            <v>0</v>
          </cell>
          <cell r="Z22">
            <v>0</v>
          </cell>
          <cell r="AA22"/>
          <cell r="AB22">
            <v>0</v>
          </cell>
          <cell r="AC22">
            <v>0</v>
          </cell>
        </row>
        <row r="23">
          <cell r="F23" t="str">
            <v>MS: ALL - TRAVEL OR MOTOR VEHICLE (SUBS</v>
          </cell>
          <cell r="G23" t="str">
            <v>P211034</v>
          </cell>
          <cell r="H23" t="str">
            <v>P211034</v>
          </cell>
          <cell r="I23" t="str">
            <v>501002</v>
          </cell>
          <cell r="J23">
            <v>50</v>
          </cell>
          <cell r="K23" t="str">
            <v>10</v>
          </cell>
          <cell r="L23" t="str">
            <v>02</v>
          </cell>
          <cell r="M23" t="str">
            <v>2</v>
          </cell>
          <cell r="N23" t="str">
            <v>11</v>
          </cell>
          <cell r="O23" t="str">
            <v>034</v>
          </cell>
          <cell r="P23" t="str">
            <v>1</v>
          </cell>
          <cell r="Q23">
            <v>18</v>
          </cell>
          <cell r="R23" t="str">
            <v>MRC</v>
          </cell>
          <cell r="S23" t="str">
            <v>ZZ</v>
          </cell>
          <cell r="T23">
            <v>11</v>
          </cell>
          <cell r="U23" t="str">
            <v>1002211034118MRCZZ11</v>
          </cell>
          <cell r="V23">
            <v>22</v>
          </cell>
          <cell r="W23" t="str">
            <v>MS: ALL - TRAVEL OR MOTOR VEHICLE (SUBS</v>
          </cell>
          <cell r="X23">
            <v>141864</v>
          </cell>
          <cell r="Y23">
            <v>115000</v>
          </cell>
          <cell r="Z23">
            <v>138000</v>
          </cell>
          <cell r="AA23"/>
          <cell r="AB23">
            <v>141864</v>
          </cell>
          <cell r="AC23">
            <v>0</v>
          </cell>
        </row>
        <row r="24">
          <cell r="F24" t="str">
            <v>MS: OVERTIME - STRUCTURED</v>
          </cell>
          <cell r="G24" t="str">
            <v>P211038</v>
          </cell>
          <cell r="H24" t="str">
            <v>P211038</v>
          </cell>
          <cell r="I24" t="str">
            <v>501002</v>
          </cell>
          <cell r="J24">
            <v>50</v>
          </cell>
          <cell r="K24" t="str">
            <v>10</v>
          </cell>
          <cell r="L24" t="str">
            <v>02</v>
          </cell>
          <cell r="M24" t="str">
            <v>2</v>
          </cell>
          <cell r="N24" t="str">
            <v>11</v>
          </cell>
          <cell r="O24" t="str">
            <v>038</v>
          </cell>
          <cell r="P24" t="str">
            <v>0</v>
          </cell>
          <cell r="Q24">
            <v>18</v>
          </cell>
          <cell r="R24" t="str">
            <v>MRC</v>
          </cell>
          <cell r="S24" t="str">
            <v>ZZ</v>
          </cell>
          <cell r="T24">
            <v>11</v>
          </cell>
          <cell r="U24" t="str">
            <v>1002211038018MRCZZ11</v>
          </cell>
          <cell r="V24">
            <v>23</v>
          </cell>
          <cell r="W24" t="str">
            <v>MS: OVERTIME - STRUCTURED</v>
          </cell>
          <cell r="X24">
            <v>0</v>
          </cell>
          <cell r="Y24">
            <v>0</v>
          </cell>
          <cell r="Z24">
            <v>0</v>
          </cell>
          <cell r="AA24"/>
          <cell r="AB24">
            <v>0</v>
          </cell>
          <cell r="AC24">
            <v>0</v>
          </cell>
        </row>
        <row r="25">
          <cell r="F25" t="str">
            <v>MS: OVERTIME - NIGHT SHIFT</v>
          </cell>
          <cell r="G25" t="str">
            <v>P211042</v>
          </cell>
          <cell r="H25" t="str">
            <v>P211042</v>
          </cell>
          <cell r="I25" t="str">
            <v>501002</v>
          </cell>
          <cell r="J25">
            <v>50</v>
          </cell>
          <cell r="K25" t="str">
            <v>10</v>
          </cell>
          <cell r="L25" t="str">
            <v>02</v>
          </cell>
          <cell r="M25" t="str">
            <v>2</v>
          </cell>
          <cell r="N25" t="str">
            <v>11</v>
          </cell>
          <cell r="O25" t="str">
            <v>042</v>
          </cell>
          <cell r="P25" t="str">
            <v>0</v>
          </cell>
          <cell r="Q25">
            <v>18</v>
          </cell>
          <cell r="R25" t="str">
            <v>MRC</v>
          </cell>
          <cell r="S25" t="str">
            <v>ZZ</v>
          </cell>
          <cell r="T25">
            <v>11</v>
          </cell>
          <cell r="U25" t="str">
            <v>1002211042018MRCZZ11</v>
          </cell>
          <cell r="V25">
            <v>24</v>
          </cell>
          <cell r="W25" t="str">
            <v>MS: OVERTIME - NIGHT SHIFT</v>
          </cell>
          <cell r="X25">
            <v>0</v>
          </cell>
          <cell r="Y25">
            <v>0</v>
          </cell>
          <cell r="Z25">
            <v>0</v>
          </cell>
          <cell r="AA25"/>
          <cell r="AB25">
            <v>0</v>
          </cell>
          <cell r="AC25">
            <v>0</v>
          </cell>
        </row>
        <row r="26">
          <cell r="F26" t="str">
            <v>MS: SRB - ANNUAL BONUS</v>
          </cell>
          <cell r="G26" t="str">
            <v>P211046</v>
          </cell>
          <cell r="H26" t="str">
            <v>P211046</v>
          </cell>
          <cell r="I26" t="str">
            <v>501002</v>
          </cell>
          <cell r="J26">
            <v>50</v>
          </cell>
          <cell r="K26" t="str">
            <v>10</v>
          </cell>
          <cell r="L26" t="str">
            <v>02</v>
          </cell>
          <cell r="M26" t="str">
            <v>2</v>
          </cell>
          <cell r="N26" t="str">
            <v>11</v>
          </cell>
          <cell r="O26" t="str">
            <v>046</v>
          </cell>
          <cell r="P26" t="str">
            <v>0</v>
          </cell>
          <cell r="Q26">
            <v>18</v>
          </cell>
          <cell r="R26" t="str">
            <v>MRC</v>
          </cell>
          <cell r="S26" t="str">
            <v>ZZ</v>
          </cell>
          <cell r="T26">
            <v>11</v>
          </cell>
          <cell r="U26" t="str">
            <v>1002211046018MRCZZ11</v>
          </cell>
          <cell r="V26">
            <v>25</v>
          </cell>
          <cell r="W26" t="str">
            <v>MS: SRB - ANNUAL BONUS</v>
          </cell>
          <cell r="X26">
            <v>59317</v>
          </cell>
          <cell r="Y26">
            <v>44791</v>
          </cell>
          <cell r="Z26">
            <v>53749.200000000004</v>
          </cell>
          <cell r="AA26"/>
          <cell r="AB26">
            <v>59317</v>
          </cell>
          <cell r="AC26">
            <v>46940.968000000001</v>
          </cell>
        </row>
        <row r="27">
          <cell r="F27" t="str">
            <v>MS: SOC CONTR - BARGAINING COUNCIL</v>
          </cell>
          <cell r="G27" t="str">
            <v>P213001</v>
          </cell>
          <cell r="H27" t="str">
            <v>P213001</v>
          </cell>
          <cell r="I27" t="str">
            <v>501002</v>
          </cell>
          <cell r="J27">
            <v>50</v>
          </cell>
          <cell r="K27" t="str">
            <v>10</v>
          </cell>
          <cell r="L27" t="str">
            <v>02</v>
          </cell>
          <cell r="M27" t="str">
            <v>2</v>
          </cell>
          <cell r="N27" t="str">
            <v>13</v>
          </cell>
          <cell r="O27" t="str">
            <v>001</v>
          </cell>
          <cell r="P27" t="str">
            <v>0</v>
          </cell>
          <cell r="Q27">
            <v>18</v>
          </cell>
          <cell r="R27" t="str">
            <v>MRC</v>
          </cell>
          <cell r="S27" t="str">
            <v>ZZ</v>
          </cell>
          <cell r="T27">
            <v>11</v>
          </cell>
          <cell r="U27" t="str">
            <v>1002213001018MRCZZ11</v>
          </cell>
          <cell r="V27">
            <v>26</v>
          </cell>
          <cell r="W27" t="str">
            <v>MS: SOC CONTR - BARGAINING COUNCIL</v>
          </cell>
          <cell r="X27">
            <v>244</v>
          </cell>
          <cell r="Y27">
            <v>226.6</v>
          </cell>
          <cell r="Z27">
            <v>271.92</v>
          </cell>
          <cell r="AA27"/>
          <cell r="AB27">
            <v>244</v>
          </cell>
          <cell r="AC27">
            <v>129.53280000000001</v>
          </cell>
        </row>
        <row r="28">
          <cell r="F28" t="str">
            <v>MS: SOC CONTR - GROUP LIFE INSURANCE</v>
          </cell>
          <cell r="G28" t="str">
            <v>P213010</v>
          </cell>
          <cell r="H28" t="str">
            <v>P213010</v>
          </cell>
          <cell r="I28" t="str">
            <v>501002</v>
          </cell>
          <cell r="J28">
            <v>50</v>
          </cell>
          <cell r="K28" t="str">
            <v>10</v>
          </cell>
          <cell r="L28" t="str">
            <v>02</v>
          </cell>
          <cell r="M28" t="str">
            <v>2</v>
          </cell>
          <cell r="N28" t="str">
            <v>13</v>
          </cell>
          <cell r="O28" t="str">
            <v>010</v>
          </cell>
          <cell r="P28" t="str">
            <v>0</v>
          </cell>
          <cell r="Q28">
            <v>18</v>
          </cell>
          <cell r="R28" t="str">
            <v>MRC</v>
          </cell>
          <cell r="S28" t="str">
            <v>ZZ</v>
          </cell>
          <cell r="T28">
            <v>11</v>
          </cell>
          <cell r="U28" t="str">
            <v>1002213010018MRCZZ11</v>
          </cell>
          <cell r="V28">
            <v>27</v>
          </cell>
          <cell r="W28" t="str">
            <v>MS: SOC CONTR - GROUP LIFE INSURANCE</v>
          </cell>
          <cell r="X28">
            <v>8953</v>
          </cell>
          <cell r="Y28">
            <v>8223.0499999999993</v>
          </cell>
          <cell r="Z28">
            <v>9867.66</v>
          </cell>
          <cell r="AA28"/>
          <cell r="AB28">
            <v>8953</v>
          </cell>
          <cell r="AC28">
            <v>9575.9574720000019</v>
          </cell>
        </row>
        <row r="29">
          <cell r="F29" t="str">
            <v>MS: SOC CONTR - MEDICAL</v>
          </cell>
          <cell r="G29" t="str">
            <v>P213020</v>
          </cell>
          <cell r="H29" t="str">
            <v>P213020</v>
          </cell>
          <cell r="I29" t="str">
            <v>501002</v>
          </cell>
          <cell r="J29">
            <v>50</v>
          </cell>
          <cell r="K29" t="str">
            <v>10</v>
          </cell>
          <cell r="L29" t="str">
            <v>02</v>
          </cell>
          <cell r="M29" t="str">
            <v>2</v>
          </cell>
          <cell r="N29" t="str">
            <v>13</v>
          </cell>
          <cell r="O29" t="str">
            <v>020</v>
          </cell>
          <cell r="P29" t="str">
            <v>0</v>
          </cell>
          <cell r="Q29">
            <v>18</v>
          </cell>
          <cell r="R29" t="str">
            <v>MRC</v>
          </cell>
          <cell r="S29" t="str">
            <v>ZZ</v>
          </cell>
          <cell r="T29">
            <v>11</v>
          </cell>
          <cell r="U29" t="str">
            <v>1002213020018MRCZZ11</v>
          </cell>
          <cell r="V29">
            <v>28</v>
          </cell>
          <cell r="W29" t="str">
            <v>MS: SOC CONTR - MEDICAL</v>
          </cell>
          <cell r="X29">
            <v>36135</v>
          </cell>
          <cell r="Y29">
            <v>33591.599999999999</v>
          </cell>
          <cell r="Z29">
            <v>40309.919999999998</v>
          </cell>
          <cell r="AA29"/>
          <cell r="AB29">
            <v>36135</v>
          </cell>
          <cell r="AC29">
            <v>60026.757120000002</v>
          </cell>
        </row>
        <row r="30">
          <cell r="F30" t="str">
            <v>MS: SOC CONTR - PENSION</v>
          </cell>
          <cell r="G30" t="str">
            <v>P213030</v>
          </cell>
          <cell r="H30" t="str">
            <v>P213030</v>
          </cell>
          <cell r="I30" t="str">
            <v>501002</v>
          </cell>
          <cell r="J30">
            <v>50</v>
          </cell>
          <cell r="K30" t="str">
            <v>10</v>
          </cell>
          <cell r="L30" t="str">
            <v>02</v>
          </cell>
          <cell r="M30" t="str">
            <v>2</v>
          </cell>
          <cell r="N30" t="str">
            <v>13</v>
          </cell>
          <cell r="O30" t="str">
            <v>030</v>
          </cell>
          <cell r="P30" t="str">
            <v>0</v>
          </cell>
          <cell r="Q30">
            <v>18</v>
          </cell>
          <cell r="R30" t="str">
            <v>MRC</v>
          </cell>
          <cell r="S30" t="str">
            <v>ZZ</v>
          </cell>
          <cell r="T30">
            <v>11</v>
          </cell>
          <cell r="U30" t="str">
            <v>1002213030018MRCZZ11</v>
          </cell>
          <cell r="V30">
            <v>29</v>
          </cell>
          <cell r="W30" t="str">
            <v>MS: SOC CONTR - PENSION</v>
          </cell>
          <cell r="X30">
            <v>96467</v>
          </cell>
          <cell r="Y30">
            <v>89031.039999999994</v>
          </cell>
          <cell r="Z30">
            <v>106837.24799999999</v>
          </cell>
          <cell r="AA30"/>
          <cell r="AB30">
            <v>96467</v>
          </cell>
          <cell r="AC30">
            <v>101786.7950112</v>
          </cell>
        </row>
        <row r="31">
          <cell r="F31" t="str">
            <v>MS: SOC CONTR - UNEMPLOYMENT INSUR FUND</v>
          </cell>
          <cell r="G31" t="str">
            <v>P213040</v>
          </cell>
          <cell r="H31" t="str">
            <v>P213040</v>
          </cell>
          <cell r="I31" t="str">
            <v>501002</v>
          </cell>
          <cell r="J31">
            <v>50</v>
          </cell>
          <cell r="K31" t="str">
            <v>10</v>
          </cell>
          <cell r="L31" t="str">
            <v>02</v>
          </cell>
          <cell r="M31" t="str">
            <v>2</v>
          </cell>
          <cell r="N31" t="str">
            <v>13</v>
          </cell>
          <cell r="O31" t="str">
            <v>040</v>
          </cell>
          <cell r="P31" t="str">
            <v>0</v>
          </cell>
          <cell r="Q31">
            <v>18</v>
          </cell>
          <cell r="R31" t="str">
            <v>MRC</v>
          </cell>
          <cell r="S31" t="str">
            <v>ZZ</v>
          </cell>
          <cell r="T31">
            <v>11</v>
          </cell>
          <cell r="U31" t="str">
            <v>1002213040018MRCZZ11</v>
          </cell>
          <cell r="V31">
            <v>30</v>
          </cell>
          <cell r="W31" t="str">
            <v>MS: SOC CONTR - UNEMPLOYMENT INSUR FUND</v>
          </cell>
          <cell r="X31">
            <v>3669</v>
          </cell>
          <cell r="Y31">
            <v>3719.52</v>
          </cell>
          <cell r="Z31">
            <v>4463.424</v>
          </cell>
          <cell r="AA31"/>
          <cell r="AB31">
            <v>3669</v>
          </cell>
          <cell r="AC31">
            <v>2227.4611199999999</v>
          </cell>
        </row>
        <row r="32">
          <cell r="F32" t="str">
            <v>OS: CATERING SERVICES(REFRESHMENTS)</v>
          </cell>
          <cell r="G32" t="str">
            <v>P226060</v>
          </cell>
          <cell r="H32" t="str">
            <v>P226060</v>
          </cell>
          <cell r="I32"/>
          <cell r="J32"/>
          <cell r="K32" t="str">
            <v>10</v>
          </cell>
          <cell r="L32" t="str">
            <v>02</v>
          </cell>
          <cell r="M32" t="str">
            <v>2</v>
          </cell>
          <cell r="N32" t="str">
            <v>26</v>
          </cell>
          <cell r="O32" t="str">
            <v>060</v>
          </cell>
          <cell r="P32" t="str">
            <v>H</v>
          </cell>
          <cell r="Q32">
            <v>18</v>
          </cell>
          <cell r="R32" t="str">
            <v>MRC</v>
          </cell>
          <cell r="S32" t="str">
            <v>ZZ</v>
          </cell>
          <cell r="T32">
            <v>11</v>
          </cell>
          <cell r="U32" t="str">
            <v>1002226060H18MRCZZ11</v>
          </cell>
          <cell r="V32">
            <v>31</v>
          </cell>
          <cell r="W32" t="str">
            <v>OS: CATERING SERVICES(REFRESHMENTS)</v>
          </cell>
          <cell r="X32">
            <v>4909</v>
          </cell>
          <cell r="Y32">
            <v>0</v>
          </cell>
          <cell r="Z32">
            <v>0</v>
          </cell>
          <cell r="AA32"/>
          <cell r="AB32">
            <v>4909</v>
          </cell>
          <cell r="AC32">
            <v>5144.6319999999996</v>
          </cell>
        </row>
        <row r="33">
          <cell r="F33" t="str">
            <v>C&amp;PS: LEGAL COST ADVICE &amp; LITIGATION</v>
          </cell>
          <cell r="G33" t="str">
            <v>P227334</v>
          </cell>
          <cell r="H33" t="str">
            <v>P227334</v>
          </cell>
          <cell r="I33"/>
          <cell r="J33"/>
          <cell r="K33" t="str">
            <v>10</v>
          </cell>
          <cell r="L33" t="str">
            <v>02</v>
          </cell>
          <cell r="M33" t="str">
            <v>2</v>
          </cell>
          <cell r="N33" t="str">
            <v>27</v>
          </cell>
          <cell r="O33" t="str">
            <v>334</v>
          </cell>
          <cell r="P33" t="str">
            <v>0</v>
          </cell>
          <cell r="Q33">
            <v>18</v>
          </cell>
          <cell r="R33" t="str">
            <v>MRC</v>
          </cell>
          <cell r="S33" t="str">
            <v>ZZ</v>
          </cell>
          <cell r="T33">
            <v>11</v>
          </cell>
          <cell r="U33" t="str">
            <v>1002227334018MRCZZ11</v>
          </cell>
          <cell r="V33">
            <v>32</v>
          </cell>
          <cell r="W33" t="str">
            <v>C&amp;PS: LEGAL COST ADVICE &amp; LITIGATION</v>
          </cell>
          <cell r="X33">
            <v>0</v>
          </cell>
          <cell r="Y33">
            <v>0</v>
          </cell>
          <cell r="Z33">
            <v>0</v>
          </cell>
          <cell r="AA33"/>
          <cell r="AB33">
            <v>0</v>
          </cell>
          <cell r="AC33">
            <v>10000000</v>
          </cell>
        </row>
        <row r="34">
          <cell r="F34" t="str">
            <v>CONTR: MAINTENANCE OF EQUIPMENT</v>
          </cell>
          <cell r="G34" t="str">
            <v>P228361</v>
          </cell>
          <cell r="H34" t="str">
            <v>P228361</v>
          </cell>
          <cell r="I34"/>
          <cell r="J34"/>
          <cell r="K34" t="str">
            <v>10</v>
          </cell>
          <cell r="L34" t="str">
            <v>02</v>
          </cell>
          <cell r="M34" t="str">
            <v>2</v>
          </cell>
          <cell r="N34" t="str">
            <v>28</v>
          </cell>
          <cell r="O34" t="str">
            <v>361</v>
          </cell>
          <cell r="P34" t="str">
            <v>0</v>
          </cell>
          <cell r="Q34">
            <v>18</v>
          </cell>
          <cell r="R34" t="str">
            <v>NSP</v>
          </cell>
          <cell r="S34" t="str">
            <v>ZZ</v>
          </cell>
          <cell r="T34">
            <v>11</v>
          </cell>
          <cell r="U34" t="str">
            <v>1002228361018NSPZZ11</v>
          </cell>
          <cell r="V34">
            <v>33</v>
          </cell>
          <cell r="W34" t="str">
            <v>CONTR: MAINTENANCE OF EQUIPMENT</v>
          </cell>
          <cell r="X34">
            <v>0</v>
          </cell>
          <cell r="Y34">
            <v>0</v>
          </cell>
          <cell r="Z34">
            <v>0</v>
          </cell>
          <cell r="AA34"/>
          <cell r="AB34">
            <v>0</v>
          </cell>
          <cell r="AC34">
            <v>0</v>
          </cell>
        </row>
        <row r="35">
          <cell r="F35" t="str">
            <v>OC: REG FEES NATIONAL</v>
          </cell>
          <cell r="G35" t="str">
            <v>P230452</v>
          </cell>
          <cell r="H35" t="str">
            <v>P230511</v>
          </cell>
          <cell r="I35"/>
          <cell r="J35"/>
          <cell r="K35" t="str">
            <v>10</v>
          </cell>
          <cell r="L35" t="str">
            <v>02</v>
          </cell>
          <cell r="M35" t="str">
            <v>2</v>
          </cell>
          <cell r="N35" t="str">
            <v>30</v>
          </cell>
          <cell r="O35" t="str">
            <v>511</v>
          </cell>
          <cell r="P35" t="str">
            <v>0</v>
          </cell>
          <cell r="Q35">
            <v>18</v>
          </cell>
          <cell r="R35" t="str">
            <v>MRC</v>
          </cell>
          <cell r="S35" t="str">
            <v>ZZ</v>
          </cell>
          <cell r="T35">
            <v>11</v>
          </cell>
          <cell r="U35" t="str">
            <v>1002230511018MRCZZ11</v>
          </cell>
          <cell r="V35">
            <v>34</v>
          </cell>
          <cell r="W35" t="str">
            <v>OC: REG FEES NATIONAL</v>
          </cell>
          <cell r="X35">
            <v>0</v>
          </cell>
          <cell r="Y35">
            <v>0</v>
          </cell>
          <cell r="Z35">
            <v>0</v>
          </cell>
          <cell r="AA35"/>
          <cell r="AB35">
            <v>0</v>
          </cell>
          <cell r="AC35">
            <v>0</v>
          </cell>
        </row>
        <row r="36">
          <cell r="F36" t="str">
            <v>OC: SKILLS DEVELOPMENT FUND LEVY</v>
          </cell>
          <cell r="G36" t="str">
            <v>P230452</v>
          </cell>
          <cell r="H36" t="str">
            <v>P230541</v>
          </cell>
          <cell r="I36"/>
          <cell r="J36"/>
          <cell r="K36" t="str">
            <v>10</v>
          </cell>
          <cell r="L36" t="str">
            <v>02</v>
          </cell>
          <cell r="M36" t="str">
            <v>2</v>
          </cell>
          <cell r="N36" t="str">
            <v>30</v>
          </cell>
          <cell r="O36" t="str">
            <v>541</v>
          </cell>
          <cell r="P36" t="str">
            <v>0</v>
          </cell>
          <cell r="Q36">
            <v>18</v>
          </cell>
          <cell r="R36" t="str">
            <v>MRC</v>
          </cell>
          <cell r="S36" t="str">
            <v>ZZ</v>
          </cell>
          <cell r="T36">
            <v>11</v>
          </cell>
          <cell r="U36" t="str">
            <v>1002230541018MRCZZ11</v>
          </cell>
          <cell r="V36">
            <v>35</v>
          </cell>
          <cell r="W36" t="str">
            <v>OC: SKILLS DEVELOPMENT FUND LEVY</v>
          </cell>
          <cell r="X36">
            <v>0</v>
          </cell>
          <cell r="Y36">
            <v>0</v>
          </cell>
          <cell r="Z36">
            <v>0</v>
          </cell>
          <cell r="AA36"/>
          <cell r="AB36">
            <v>0</v>
          </cell>
          <cell r="AC36">
            <v>0</v>
          </cell>
        </row>
        <row r="37">
          <cell r="F37" t="str">
            <v>OC: T&amp;S DOM - ACCOMMODATION</v>
          </cell>
          <cell r="G37" t="str">
            <v>P230452</v>
          </cell>
          <cell r="H37" t="str">
            <v>P230576</v>
          </cell>
          <cell r="I37"/>
          <cell r="J37"/>
          <cell r="K37" t="str">
            <v>10</v>
          </cell>
          <cell r="L37" t="str">
            <v>02</v>
          </cell>
          <cell r="M37" t="str">
            <v>2</v>
          </cell>
          <cell r="N37" t="str">
            <v>30</v>
          </cell>
          <cell r="O37" t="str">
            <v>576</v>
          </cell>
          <cell r="P37" t="str">
            <v>0</v>
          </cell>
          <cell r="Q37">
            <v>18</v>
          </cell>
          <cell r="R37" t="str">
            <v>MRC</v>
          </cell>
          <cell r="S37" t="str">
            <v>ZZ</v>
          </cell>
          <cell r="T37">
            <v>11</v>
          </cell>
          <cell r="U37" t="str">
            <v>1002230576018MRCZZ11</v>
          </cell>
          <cell r="V37">
            <v>36</v>
          </cell>
          <cell r="W37" t="str">
            <v>OC: T&amp;S DOM - ACCOMMODATION</v>
          </cell>
          <cell r="X37">
            <v>0</v>
          </cell>
          <cell r="Y37">
            <v>0</v>
          </cell>
          <cell r="Z37">
            <v>0</v>
          </cell>
          <cell r="AA37"/>
          <cell r="AB37">
            <v>0</v>
          </cell>
          <cell r="AC37">
            <v>0</v>
          </cell>
        </row>
        <row r="38">
          <cell r="F38" t="str">
            <v>OC: T&amp;S DOM - DAILY ALLOWANCE</v>
          </cell>
          <cell r="G38" t="str">
            <v>P230452</v>
          </cell>
          <cell r="H38" t="str">
            <v>P230577</v>
          </cell>
          <cell r="I38"/>
          <cell r="J38"/>
          <cell r="K38" t="str">
            <v>10</v>
          </cell>
          <cell r="L38" t="str">
            <v>02</v>
          </cell>
          <cell r="M38" t="str">
            <v>2</v>
          </cell>
          <cell r="N38" t="str">
            <v>30</v>
          </cell>
          <cell r="O38" t="str">
            <v>577</v>
          </cell>
          <cell r="P38" t="str">
            <v>0</v>
          </cell>
          <cell r="Q38">
            <v>18</v>
          </cell>
          <cell r="R38" t="str">
            <v>MRC</v>
          </cell>
          <cell r="S38" t="str">
            <v>ZZ</v>
          </cell>
          <cell r="T38">
            <v>11</v>
          </cell>
          <cell r="U38" t="str">
            <v>1002230577018MRCZZ11</v>
          </cell>
          <cell r="V38">
            <v>37</v>
          </cell>
          <cell r="W38" t="str">
            <v>OC: T&amp;S DOM - DAILY ALLOWANCE</v>
          </cell>
          <cell r="X38">
            <v>0</v>
          </cell>
          <cell r="Y38">
            <v>0</v>
          </cell>
          <cell r="Z38">
            <v>0</v>
          </cell>
          <cell r="AA38"/>
          <cell r="AB38">
            <v>0</v>
          </cell>
          <cell r="AC38">
            <v>0</v>
          </cell>
        </row>
        <row r="39">
          <cell r="F39" t="str">
            <v>OC: T&amp;S DOM TRP - WITHOUT OPR CAR RENTAL</v>
          </cell>
          <cell r="G39" t="str">
            <v>P230452</v>
          </cell>
          <cell r="H39" t="str">
            <v>P230580</v>
          </cell>
          <cell r="I39"/>
          <cell r="J39"/>
          <cell r="K39" t="str">
            <v>10</v>
          </cell>
          <cell r="L39" t="str">
            <v>02</v>
          </cell>
          <cell r="M39" t="str">
            <v>2</v>
          </cell>
          <cell r="N39" t="str">
            <v>30</v>
          </cell>
          <cell r="O39" t="str">
            <v>580</v>
          </cell>
          <cell r="P39" t="str">
            <v>0</v>
          </cell>
          <cell r="Q39">
            <v>18</v>
          </cell>
          <cell r="R39" t="str">
            <v>MRC</v>
          </cell>
          <cell r="S39" t="str">
            <v>ZZ</v>
          </cell>
          <cell r="T39">
            <v>11</v>
          </cell>
          <cell r="U39" t="str">
            <v>1002230580018MRCZZ11</v>
          </cell>
          <cell r="V39">
            <v>38</v>
          </cell>
          <cell r="W39" t="str">
            <v>OC: T&amp;S DOM TRP - WITHOUT OPR CAR RENTAL</v>
          </cell>
          <cell r="X39">
            <v>0</v>
          </cell>
          <cell r="Y39">
            <v>0</v>
          </cell>
          <cell r="Z39">
            <v>0</v>
          </cell>
          <cell r="AA39"/>
          <cell r="AB39">
            <v>0</v>
          </cell>
          <cell r="AC39">
            <v>0</v>
          </cell>
        </row>
        <row r="40">
          <cell r="F40" t="str">
            <v>OC: T&amp;S DOM PUB TRP - AIR TRANSPORT</v>
          </cell>
          <cell r="G40" t="str">
            <v>P230452</v>
          </cell>
          <cell r="H40" t="str">
            <v>P230583</v>
          </cell>
          <cell r="I40"/>
          <cell r="J40"/>
          <cell r="K40" t="str">
            <v>10</v>
          </cell>
          <cell r="L40" t="str">
            <v>02</v>
          </cell>
          <cell r="M40" t="str">
            <v>2</v>
          </cell>
          <cell r="N40" t="str">
            <v>30</v>
          </cell>
          <cell r="O40" t="str">
            <v>583</v>
          </cell>
          <cell r="P40" t="str">
            <v>0</v>
          </cell>
          <cell r="Q40">
            <v>18</v>
          </cell>
          <cell r="R40" t="str">
            <v>MRC</v>
          </cell>
          <cell r="S40" t="str">
            <v>ZZ</v>
          </cell>
          <cell r="T40">
            <v>11</v>
          </cell>
          <cell r="U40" t="str">
            <v>1002230583018MRCZZ11</v>
          </cell>
          <cell r="V40">
            <v>39</v>
          </cell>
          <cell r="W40" t="str">
            <v>OC: T&amp;S DOM PUB TRP - AIR TRANSPORT</v>
          </cell>
          <cell r="X40">
            <v>0</v>
          </cell>
          <cell r="Y40">
            <v>0</v>
          </cell>
          <cell r="Z40">
            <v>0</v>
          </cell>
          <cell r="AA40"/>
          <cell r="AB40">
            <v>0</v>
          </cell>
          <cell r="AC40">
            <v>0</v>
          </cell>
        </row>
        <row r="41">
          <cell r="F41" t="str">
            <v>INVENTORY - MATERIALS &amp; SUPPLIES(PRINT&amp;</v>
          </cell>
          <cell r="G41" t="str">
            <v>P232360</v>
          </cell>
          <cell r="H41" t="str">
            <v>P232360</v>
          </cell>
          <cell r="I41"/>
          <cell r="J41"/>
          <cell r="K41" t="str">
            <v>10</v>
          </cell>
          <cell r="L41" t="str">
            <v>02</v>
          </cell>
          <cell r="M41" t="str">
            <v>2</v>
          </cell>
          <cell r="N41" t="str">
            <v>32</v>
          </cell>
          <cell r="O41" t="str">
            <v>360</v>
          </cell>
          <cell r="P41" t="str">
            <v>D</v>
          </cell>
          <cell r="Q41">
            <v>18</v>
          </cell>
          <cell r="R41" t="str">
            <v>MRC</v>
          </cell>
          <cell r="S41" t="str">
            <v>ZZ</v>
          </cell>
          <cell r="T41">
            <v>11</v>
          </cell>
          <cell r="U41" t="str">
            <v>1002232360D18MRCZZ11</v>
          </cell>
          <cell r="V41">
            <v>40</v>
          </cell>
          <cell r="W41" t="str">
            <v>INVENTORY - MATERIALS &amp; SUPPLIES(PRINT&amp;</v>
          </cell>
          <cell r="X41">
            <v>44568</v>
          </cell>
          <cell r="Y41">
            <v>5034.83</v>
          </cell>
          <cell r="Z41">
            <v>6041.7960000000003</v>
          </cell>
          <cell r="AA41"/>
          <cell r="AB41">
            <v>44568</v>
          </cell>
          <cell r="AC41">
            <v>40000</v>
          </cell>
        </row>
        <row r="42">
          <cell r="F42" t="str">
            <v>OS: CATERING SERVICES(REFRESHMENTS)</v>
          </cell>
          <cell r="G42" t="str">
            <v>P226060</v>
          </cell>
          <cell r="H42" t="str">
            <v>P226060</v>
          </cell>
          <cell r="I42"/>
          <cell r="J42"/>
          <cell r="K42" t="str">
            <v>10</v>
          </cell>
          <cell r="L42" t="str">
            <v>03</v>
          </cell>
          <cell r="M42" t="str">
            <v>2</v>
          </cell>
          <cell r="N42" t="str">
            <v>26</v>
          </cell>
          <cell r="O42" t="str">
            <v>060</v>
          </cell>
          <cell r="P42" t="str">
            <v>H</v>
          </cell>
          <cell r="Q42">
            <v>18</v>
          </cell>
          <cell r="R42" t="str">
            <v>MRC</v>
          </cell>
          <cell r="S42" t="str">
            <v>ZZ</v>
          </cell>
          <cell r="T42">
            <v>11</v>
          </cell>
          <cell r="U42" t="str">
            <v>1003226060H18MRCZZ11</v>
          </cell>
          <cell r="V42">
            <v>41</v>
          </cell>
          <cell r="W42" t="str">
            <v>OS: CATERING SERVICES(REFRESHMENTS)</v>
          </cell>
          <cell r="X42">
            <v>8229</v>
          </cell>
          <cell r="Y42">
            <v>0</v>
          </cell>
          <cell r="Z42">
            <v>0</v>
          </cell>
          <cell r="AA42"/>
          <cell r="AB42">
            <v>8229</v>
          </cell>
          <cell r="AC42">
            <v>8500</v>
          </cell>
        </row>
        <row r="43">
          <cell r="F43" t="str">
            <v>C&amp;PS: B&amp;A BOARD MEMBER</v>
          </cell>
          <cell r="G43" t="str">
            <v>P227334</v>
          </cell>
          <cell r="H43" t="str">
            <v>P227033</v>
          </cell>
          <cell r="I43"/>
          <cell r="J43"/>
          <cell r="K43" t="str">
            <v>10</v>
          </cell>
          <cell r="L43" t="str">
            <v>03</v>
          </cell>
          <cell r="M43" t="str">
            <v>2</v>
          </cell>
          <cell r="N43" t="str">
            <v>27</v>
          </cell>
          <cell r="O43" t="str">
            <v>033</v>
          </cell>
          <cell r="P43" t="str">
            <v>0</v>
          </cell>
          <cell r="Q43">
            <v>18</v>
          </cell>
          <cell r="R43" t="str">
            <v>MRC</v>
          </cell>
          <cell r="S43" t="str">
            <v>ZZ</v>
          </cell>
          <cell r="T43">
            <v>11</v>
          </cell>
          <cell r="U43" t="str">
            <v>1003227033018MRCZZ11</v>
          </cell>
          <cell r="V43">
            <v>42</v>
          </cell>
          <cell r="W43" t="str">
            <v>C&amp;PS: B&amp;A BOARD MEMBER</v>
          </cell>
          <cell r="X43">
            <v>94811</v>
          </cell>
          <cell r="Y43">
            <v>0</v>
          </cell>
          <cell r="Z43">
            <v>0</v>
          </cell>
          <cell r="AA43"/>
          <cell r="AB43">
            <v>94811</v>
          </cell>
          <cell r="AC43">
            <v>75000</v>
          </cell>
        </row>
        <row r="44">
          <cell r="F44" t="str">
            <v>OC: REG FEES NATIONAL</v>
          </cell>
          <cell r="G44" t="str">
            <v>P230452</v>
          </cell>
          <cell r="H44" t="str">
            <v>P230511</v>
          </cell>
          <cell r="I44"/>
          <cell r="J44"/>
          <cell r="K44" t="str">
            <v>10</v>
          </cell>
          <cell r="L44" t="str">
            <v>03</v>
          </cell>
          <cell r="M44" t="str">
            <v>2</v>
          </cell>
          <cell r="N44" t="str">
            <v>30</v>
          </cell>
          <cell r="O44" t="str">
            <v>511</v>
          </cell>
          <cell r="P44" t="str">
            <v>0</v>
          </cell>
          <cell r="Q44">
            <v>18</v>
          </cell>
          <cell r="R44" t="str">
            <v>MRC</v>
          </cell>
          <cell r="S44" t="str">
            <v>ZZ</v>
          </cell>
          <cell r="T44">
            <v>11</v>
          </cell>
          <cell r="U44" t="str">
            <v>1003230511018MRCZZ11</v>
          </cell>
          <cell r="V44">
            <v>43</v>
          </cell>
          <cell r="W44" t="str">
            <v>OC: REG FEES NATIONAL</v>
          </cell>
          <cell r="X44">
            <v>0</v>
          </cell>
          <cell r="Y44">
            <v>0</v>
          </cell>
          <cell r="Z44">
            <v>0</v>
          </cell>
          <cell r="AA44"/>
          <cell r="AB44">
            <v>0</v>
          </cell>
          <cell r="AC44">
            <v>0</v>
          </cell>
        </row>
        <row r="45">
          <cell r="F45" t="str">
            <v>OC: T&amp;S DOM - ACCOMMODATION</v>
          </cell>
          <cell r="G45" t="str">
            <v>P230452</v>
          </cell>
          <cell r="H45" t="str">
            <v>P230576</v>
          </cell>
          <cell r="I45"/>
          <cell r="J45"/>
          <cell r="K45" t="str">
            <v>10</v>
          </cell>
          <cell r="L45" t="str">
            <v>03</v>
          </cell>
          <cell r="M45" t="str">
            <v>2</v>
          </cell>
          <cell r="N45" t="str">
            <v>30</v>
          </cell>
          <cell r="O45" t="str">
            <v>576</v>
          </cell>
          <cell r="P45" t="str">
            <v>0</v>
          </cell>
          <cell r="Q45">
            <v>18</v>
          </cell>
          <cell r="R45" t="str">
            <v>MRC</v>
          </cell>
          <cell r="S45" t="str">
            <v>ZZ</v>
          </cell>
          <cell r="T45">
            <v>11</v>
          </cell>
          <cell r="U45" t="str">
            <v>1003230576018MRCZZ11</v>
          </cell>
          <cell r="V45">
            <v>44</v>
          </cell>
          <cell r="W45" t="str">
            <v>OC: T&amp;S DOM - ACCOMMODATION</v>
          </cell>
          <cell r="X45">
            <v>35021</v>
          </cell>
          <cell r="Y45">
            <v>0</v>
          </cell>
          <cell r="Z45">
            <v>0</v>
          </cell>
          <cell r="AA45"/>
          <cell r="AB45">
            <v>35021</v>
          </cell>
          <cell r="AC45">
            <v>35000</v>
          </cell>
        </row>
        <row r="46">
          <cell r="F46" t="str">
            <v>OC: T&amp;S DOM - DAILY ALLOWANCE</v>
          </cell>
          <cell r="G46" t="str">
            <v>P230452</v>
          </cell>
          <cell r="H46" t="str">
            <v>P230577</v>
          </cell>
          <cell r="I46"/>
          <cell r="J46"/>
          <cell r="K46" t="str">
            <v>10</v>
          </cell>
          <cell r="L46" t="str">
            <v>03</v>
          </cell>
          <cell r="M46" t="str">
            <v>2</v>
          </cell>
          <cell r="N46" t="str">
            <v>30</v>
          </cell>
          <cell r="O46" t="str">
            <v>577</v>
          </cell>
          <cell r="P46" t="str">
            <v>0</v>
          </cell>
          <cell r="Q46">
            <v>18</v>
          </cell>
          <cell r="R46" t="str">
            <v>MRC</v>
          </cell>
          <cell r="S46" t="str">
            <v>ZZ</v>
          </cell>
          <cell r="T46">
            <v>11</v>
          </cell>
          <cell r="U46" t="str">
            <v>1003230577018MRCZZ11</v>
          </cell>
          <cell r="V46">
            <v>45</v>
          </cell>
          <cell r="W46" t="str">
            <v>OC: T&amp;S DOM - DAILY ALLOWANCE</v>
          </cell>
          <cell r="X46">
            <v>0</v>
          </cell>
          <cell r="Y46">
            <v>0</v>
          </cell>
          <cell r="Z46">
            <v>0</v>
          </cell>
          <cell r="AA46"/>
          <cell r="AB46">
            <v>0</v>
          </cell>
          <cell r="AC46">
            <v>0</v>
          </cell>
        </row>
        <row r="47">
          <cell r="F47" t="str">
            <v>OC: T&amp;S DOM TRP - WITHOUT OPR CAR RENTAL</v>
          </cell>
          <cell r="G47" t="str">
            <v>P230452</v>
          </cell>
          <cell r="H47" t="str">
            <v>P230580</v>
          </cell>
          <cell r="I47"/>
          <cell r="J47"/>
          <cell r="K47" t="str">
            <v>10</v>
          </cell>
          <cell r="L47" t="str">
            <v>03</v>
          </cell>
          <cell r="M47" t="str">
            <v>2</v>
          </cell>
          <cell r="N47" t="str">
            <v>30</v>
          </cell>
          <cell r="O47" t="str">
            <v>580</v>
          </cell>
          <cell r="P47" t="str">
            <v>0</v>
          </cell>
          <cell r="Q47">
            <v>18</v>
          </cell>
          <cell r="R47" t="str">
            <v>MRC</v>
          </cell>
          <cell r="S47" t="str">
            <v>ZZ</v>
          </cell>
          <cell r="T47">
            <v>11</v>
          </cell>
          <cell r="U47" t="str">
            <v>1003230580018MRCZZ11</v>
          </cell>
          <cell r="V47">
            <v>46</v>
          </cell>
          <cell r="W47" t="str">
            <v>OC: T&amp;S DOM TRP - WITHOUT OPR CAR RENTAL</v>
          </cell>
          <cell r="X47">
            <v>96446</v>
          </cell>
          <cell r="Y47">
            <v>0</v>
          </cell>
          <cell r="Z47">
            <v>0</v>
          </cell>
          <cell r="AA47"/>
          <cell r="AB47">
            <v>96446</v>
          </cell>
          <cell r="AC47">
            <v>75000</v>
          </cell>
        </row>
        <row r="48">
          <cell r="F48" t="str">
            <v>OC: T&amp;S DOM PUB TRP - AIR TRANSPORT</v>
          </cell>
          <cell r="G48" t="str">
            <v>P230452</v>
          </cell>
          <cell r="H48" t="str">
            <v>P230583</v>
          </cell>
          <cell r="I48"/>
          <cell r="J48"/>
          <cell r="K48" t="str">
            <v>10</v>
          </cell>
          <cell r="L48" t="str">
            <v>03</v>
          </cell>
          <cell r="M48" t="str">
            <v>2</v>
          </cell>
          <cell r="N48" t="str">
            <v>30</v>
          </cell>
          <cell r="O48" t="str">
            <v>583</v>
          </cell>
          <cell r="P48" t="str">
            <v>0</v>
          </cell>
          <cell r="Q48">
            <v>18</v>
          </cell>
          <cell r="R48" t="str">
            <v>MRC</v>
          </cell>
          <cell r="S48" t="str">
            <v>ZZ</v>
          </cell>
          <cell r="T48">
            <v>11</v>
          </cell>
          <cell r="U48" t="str">
            <v>1003230583018MRCZZ11</v>
          </cell>
          <cell r="V48">
            <v>47</v>
          </cell>
          <cell r="W48" t="str">
            <v>OC: T&amp;S DOM PUB TRP - AIR TRANSPORT</v>
          </cell>
          <cell r="X48">
            <v>148650</v>
          </cell>
          <cell r="Y48">
            <v>0</v>
          </cell>
          <cell r="Z48">
            <v>0</v>
          </cell>
          <cell r="AA48">
            <v>-50000</v>
          </cell>
          <cell r="AB48">
            <v>98650</v>
          </cell>
          <cell r="AC48">
            <v>75000</v>
          </cell>
        </row>
        <row r="49">
          <cell r="F49" t="str">
            <v>SM CEO: SAL &amp; ALL -  BASIC SALARY</v>
          </cell>
          <cell r="G49" t="str">
            <v>P1101203005</v>
          </cell>
          <cell r="H49" t="str">
            <v>P1101203005</v>
          </cell>
          <cell r="I49" t="str">
            <v>501101</v>
          </cell>
          <cell r="J49">
            <v>50</v>
          </cell>
          <cell r="K49" t="str">
            <v>11</v>
          </cell>
          <cell r="L49" t="str">
            <v>01</v>
          </cell>
          <cell r="M49" t="str">
            <v>2</v>
          </cell>
          <cell r="N49" t="str">
            <v>03</v>
          </cell>
          <cell r="O49" t="str">
            <v>005</v>
          </cell>
          <cell r="P49" t="str">
            <v>0</v>
          </cell>
          <cell r="Q49">
            <v>18</v>
          </cell>
          <cell r="R49" t="str">
            <v>MRC</v>
          </cell>
          <cell r="S49" t="str">
            <v>ZZ</v>
          </cell>
          <cell r="T49">
            <v>11</v>
          </cell>
          <cell r="U49" t="str">
            <v>1101203005018MRCZZ11</v>
          </cell>
          <cell r="V49">
            <v>48</v>
          </cell>
          <cell r="W49" t="str">
            <v>SM CEO: SAL &amp; ALL -  BASIC SALARY</v>
          </cell>
          <cell r="X49">
            <v>1990069</v>
          </cell>
          <cell r="Y49">
            <v>195247.58</v>
          </cell>
          <cell r="Z49">
            <v>234297.09599999996</v>
          </cell>
          <cell r="AA49"/>
          <cell r="AB49">
            <v>1990069</v>
          </cell>
          <cell r="AC49">
            <v>2571832.0419840002</v>
          </cell>
        </row>
        <row r="50">
          <cell r="F50" t="str">
            <v>SM CEO: ALLOW - CELLULAR &amp; TELEPHONE</v>
          </cell>
          <cell r="G50" t="str">
            <v>P1101203007</v>
          </cell>
          <cell r="H50" t="str">
            <v>P1101203007</v>
          </cell>
          <cell r="I50" t="str">
            <v>501101</v>
          </cell>
          <cell r="J50">
            <v>50</v>
          </cell>
          <cell r="K50" t="str">
            <v>11</v>
          </cell>
          <cell r="L50" t="str">
            <v>01</v>
          </cell>
          <cell r="M50" t="str">
            <v>2</v>
          </cell>
          <cell r="N50" t="str">
            <v>03</v>
          </cell>
          <cell r="O50" t="str">
            <v>007</v>
          </cell>
          <cell r="P50" t="str">
            <v>0</v>
          </cell>
          <cell r="Q50">
            <v>18</v>
          </cell>
          <cell r="R50" t="str">
            <v>MRC</v>
          </cell>
          <cell r="S50" t="str">
            <v>ZZ</v>
          </cell>
          <cell r="T50">
            <v>11</v>
          </cell>
          <cell r="U50" t="str">
            <v>1101203007018MRCZZ11</v>
          </cell>
          <cell r="V50">
            <v>49</v>
          </cell>
          <cell r="W50" t="str">
            <v>SM CEO: ALLOW - CELLULAR &amp; TELEPHONE</v>
          </cell>
          <cell r="X50">
            <v>29211</v>
          </cell>
          <cell r="Y50">
            <v>2000</v>
          </cell>
          <cell r="Z50">
            <v>2400</v>
          </cell>
          <cell r="AA50"/>
          <cell r="AB50">
            <v>29211</v>
          </cell>
          <cell r="AC50">
            <v>25152</v>
          </cell>
        </row>
        <row r="51">
          <cell r="F51" t="str">
            <v>SM CEO: SOC CONTR: MEDICAL</v>
          </cell>
          <cell r="G51" t="str">
            <v>P1101205021</v>
          </cell>
          <cell r="H51" t="str">
            <v>P1101205021</v>
          </cell>
          <cell r="I51" t="str">
            <v>501101</v>
          </cell>
          <cell r="J51">
            <v>50</v>
          </cell>
          <cell r="K51" t="str">
            <v>11</v>
          </cell>
          <cell r="L51" t="str">
            <v>01</v>
          </cell>
          <cell r="M51" t="str">
            <v>2</v>
          </cell>
          <cell r="N51" t="str">
            <v>05</v>
          </cell>
          <cell r="O51" t="str">
            <v>021</v>
          </cell>
          <cell r="P51" t="str">
            <v>0</v>
          </cell>
          <cell r="Q51">
            <v>18</v>
          </cell>
          <cell r="R51" t="str">
            <v>MRC</v>
          </cell>
          <cell r="S51" t="str">
            <v>ZZ</v>
          </cell>
          <cell r="T51">
            <v>11</v>
          </cell>
          <cell r="U51" t="str">
            <v>1101205021018MRCZZ11</v>
          </cell>
          <cell r="V51">
            <v>50</v>
          </cell>
          <cell r="W51" t="str">
            <v>SM CEO: SOC CONTR: MEDICAL</v>
          </cell>
          <cell r="X51">
            <v>70702</v>
          </cell>
          <cell r="Y51">
            <v>0</v>
          </cell>
          <cell r="Z51">
            <v>0</v>
          </cell>
          <cell r="AA51"/>
          <cell r="AB51">
            <v>70702</v>
          </cell>
          <cell r="AC51">
            <v>0</v>
          </cell>
        </row>
        <row r="52">
          <cell r="F52" t="str">
            <v>SM CEO: SOC CONTR: PENSION FUNDS</v>
          </cell>
          <cell r="G52" t="str">
            <v>P1101205022</v>
          </cell>
          <cell r="H52" t="str">
            <v>P1101205022</v>
          </cell>
          <cell r="I52" t="str">
            <v>501101</v>
          </cell>
          <cell r="J52">
            <v>50</v>
          </cell>
          <cell r="K52" t="str">
            <v>11</v>
          </cell>
          <cell r="L52" t="str">
            <v>01</v>
          </cell>
          <cell r="M52" t="str">
            <v>2</v>
          </cell>
          <cell r="N52" t="str">
            <v>05</v>
          </cell>
          <cell r="O52" t="str">
            <v>022</v>
          </cell>
          <cell r="P52" t="str">
            <v>0</v>
          </cell>
          <cell r="Q52">
            <v>18</v>
          </cell>
          <cell r="R52" t="str">
            <v>MRC</v>
          </cell>
          <cell r="S52" t="str">
            <v>ZZ</v>
          </cell>
          <cell r="T52">
            <v>11</v>
          </cell>
          <cell r="U52" t="str">
            <v>1101205022018MRCZZ11</v>
          </cell>
          <cell r="V52">
            <v>51</v>
          </cell>
          <cell r="W52" t="str">
            <v>SM CEO: SOC CONTR: PENSION FUNDS</v>
          </cell>
          <cell r="X52">
            <v>61554</v>
          </cell>
          <cell r="Y52">
            <v>0</v>
          </cell>
          <cell r="Z52">
            <v>0</v>
          </cell>
          <cell r="AA52"/>
          <cell r="AB52">
            <v>61554</v>
          </cell>
          <cell r="AC52">
            <v>0</v>
          </cell>
        </row>
        <row r="53">
          <cell r="F53" t="str">
            <v>SM CEO: SOC CONTR: UIF</v>
          </cell>
          <cell r="G53" t="str">
            <v>P1101205023</v>
          </cell>
          <cell r="H53" t="str">
            <v>P1101205023</v>
          </cell>
          <cell r="I53" t="str">
            <v>501101</v>
          </cell>
          <cell r="J53">
            <v>50</v>
          </cell>
          <cell r="K53" t="str">
            <v>11</v>
          </cell>
          <cell r="L53" t="str">
            <v>01</v>
          </cell>
          <cell r="M53" t="str">
            <v>2</v>
          </cell>
          <cell r="N53" t="str">
            <v>05</v>
          </cell>
          <cell r="O53" t="str">
            <v>023</v>
          </cell>
          <cell r="P53" t="str">
            <v>0</v>
          </cell>
          <cell r="Q53">
            <v>18</v>
          </cell>
          <cell r="R53" t="str">
            <v>MRC</v>
          </cell>
          <cell r="S53" t="str">
            <v>ZZ</v>
          </cell>
          <cell r="T53">
            <v>11</v>
          </cell>
          <cell r="U53" t="str">
            <v>1101205023018MRCZZ11</v>
          </cell>
          <cell r="V53">
            <v>52</v>
          </cell>
          <cell r="W53" t="str">
            <v>SM CEO: SOC CONTR: UIF</v>
          </cell>
          <cell r="X53">
            <v>2248</v>
          </cell>
          <cell r="Y53">
            <v>177.12</v>
          </cell>
          <cell r="Z53">
            <v>212.54399999999998</v>
          </cell>
          <cell r="AA53"/>
          <cell r="AB53">
            <v>2248</v>
          </cell>
          <cell r="AC53">
            <v>0</v>
          </cell>
        </row>
        <row r="54">
          <cell r="F54" t="str">
            <v>SM CEO: SOC CONTR: BARGAINING COUNCIL</v>
          </cell>
          <cell r="G54" t="str">
            <v>P1101205024</v>
          </cell>
          <cell r="H54" t="str">
            <v>P1101205024</v>
          </cell>
          <cell r="I54" t="str">
            <v>501101</v>
          </cell>
          <cell r="J54">
            <v>50</v>
          </cell>
          <cell r="K54" t="str">
            <v>11</v>
          </cell>
          <cell r="L54" t="str">
            <v>01</v>
          </cell>
          <cell r="M54" t="str">
            <v>2</v>
          </cell>
          <cell r="N54" t="str">
            <v>05</v>
          </cell>
          <cell r="O54" t="str">
            <v>024</v>
          </cell>
          <cell r="P54" t="str">
            <v>0</v>
          </cell>
          <cell r="Q54">
            <v>18</v>
          </cell>
          <cell r="R54" t="str">
            <v>MRC</v>
          </cell>
          <cell r="S54" t="str">
            <v>ZZ</v>
          </cell>
          <cell r="T54">
            <v>11</v>
          </cell>
          <cell r="U54" t="str">
            <v>1101205024018MRCZZ11</v>
          </cell>
          <cell r="V54">
            <v>53</v>
          </cell>
          <cell r="W54" t="str">
            <v>SM CEO: SOC CONTR: BARGAINING COUNCIL</v>
          </cell>
          <cell r="X54">
            <v>124</v>
          </cell>
          <cell r="Y54">
            <v>10.3</v>
          </cell>
          <cell r="Z54">
            <v>12.36</v>
          </cell>
          <cell r="AA54"/>
          <cell r="AB54">
            <v>124</v>
          </cell>
          <cell r="AC54">
            <v>0</v>
          </cell>
        </row>
        <row r="55">
          <cell r="F55" t="str">
            <v>MS: SAL &amp; ALL: BASIC SALARY &amp; WAGES</v>
          </cell>
          <cell r="G55" t="str">
            <v>P211001</v>
          </cell>
          <cell r="H55" t="str">
            <v>P211001</v>
          </cell>
          <cell r="I55" t="str">
            <v>501101</v>
          </cell>
          <cell r="J55">
            <v>50</v>
          </cell>
          <cell r="K55" t="str">
            <v>11</v>
          </cell>
          <cell r="L55" t="str">
            <v>01</v>
          </cell>
          <cell r="M55" t="str">
            <v>2</v>
          </cell>
          <cell r="N55" t="str">
            <v>11</v>
          </cell>
          <cell r="O55" t="str">
            <v>001</v>
          </cell>
          <cell r="P55" t="str">
            <v>0</v>
          </cell>
          <cell r="Q55">
            <v>18</v>
          </cell>
          <cell r="R55" t="str">
            <v>MRC</v>
          </cell>
          <cell r="S55" t="str">
            <v>ZZ</v>
          </cell>
          <cell r="T55">
            <v>11</v>
          </cell>
          <cell r="U55" t="str">
            <v>1101211001018MRCZZ11</v>
          </cell>
          <cell r="V55">
            <v>54</v>
          </cell>
          <cell r="W55" t="str">
            <v>MS: SAL &amp; ALL: BASIC SALARY &amp; WAGES</v>
          </cell>
          <cell r="X55">
            <v>12765992</v>
          </cell>
          <cell r="Y55">
            <v>13330480.68</v>
          </cell>
          <cell r="Z55">
            <v>15996576.816</v>
          </cell>
          <cell r="AA55"/>
          <cell r="AB55">
            <v>12765992</v>
          </cell>
          <cell r="AC55">
            <v>6911759.1200000001</v>
          </cell>
        </row>
        <row r="56">
          <cell r="F56" t="str">
            <v>MS: ALL - CELLULAR &amp; TELEPHONE</v>
          </cell>
          <cell r="G56" t="str">
            <v>P211022</v>
          </cell>
          <cell r="H56" t="str">
            <v>P211022</v>
          </cell>
          <cell r="I56" t="str">
            <v>501101</v>
          </cell>
          <cell r="J56">
            <v>50</v>
          </cell>
          <cell r="K56" t="str">
            <v>11</v>
          </cell>
          <cell r="L56" t="str">
            <v>01</v>
          </cell>
          <cell r="M56" t="str">
            <v>2</v>
          </cell>
          <cell r="N56" t="str">
            <v>11</v>
          </cell>
          <cell r="O56" t="str">
            <v>022</v>
          </cell>
          <cell r="P56" t="str">
            <v>0</v>
          </cell>
          <cell r="Q56">
            <v>18</v>
          </cell>
          <cell r="R56" t="str">
            <v>MRC</v>
          </cell>
          <cell r="S56" t="str">
            <v>ZZ</v>
          </cell>
          <cell r="T56">
            <v>11</v>
          </cell>
          <cell r="U56" t="str">
            <v>1101211022018MRCZZ11</v>
          </cell>
          <cell r="V56">
            <v>55</v>
          </cell>
          <cell r="W56" t="str">
            <v>MS: ALL - CELLULAR &amp; TELEPHONE</v>
          </cell>
          <cell r="X56">
            <v>48110</v>
          </cell>
          <cell r="Y56">
            <v>51150</v>
          </cell>
          <cell r="Z56">
            <v>61380</v>
          </cell>
          <cell r="AA56"/>
          <cell r="AB56">
            <v>48110</v>
          </cell>
          <cell r="AC56">
            <v>58071.776000000005</v>
          </cell>
        </row>
        <row r="57">
          <cell r="F57" t="str">
            <v>MS: HB &amp; INC: HOUSING BENEFITS</v>
          </cell>
          <cell r="G57" t="str">
            <v>P211026</v>
          </cell>
          <cell r="H57" t="str">
            <v>P211026</v>
          </cell>
          <cell r="I57" t="str">
            <v>501101</v>
          </cell>
          <cell r="J57">
            <v>50</v>
          </cell>
          <cell r="K57" t="str">
            <v>11</v>
          </cell>
          <cell r="L57" t="str">
            <v>01</v>
          </cell>
          <cell r="M57" t="str">
            <v>2</v>
          </cell>
          <cell r="N57" t="str">
            <v>11</v>
          </cell>
          <cell r="O57" t="str">
            <v>026</v>
          </cell>
          <cell r="P57" t="str">
            <v>0</v>
          </cell>
          <cell r="Q57">
            <v>18</v>
          </cell>
          <cell r="R57" t="str">
            <v>MRC</v>
          </cell>
          <cell r="S57" t="str">
            <v>ZZ</v>
          </cell>
          <cell r="T57">
            <v>11</v>
          </cell>
          <cell r="U57" t="str">
            <v>1101211026018MRCZZ11</v>
          </cell>
          <cell r="V57">
            <v>56</v>
          </cell>
          <cell r="W57" t="str">
            <v>MS: HB &amp; INC: HOUSING BENEFITS</v>
          </cell>
          <cell r="X57">
            <v>0</v>
          </cell>
          <cell r="Y57">
            <v>0</v>
          </cell>
          <cell r="Z57">
            <v>0</v>
          </cell>
          <cell r="AA57"/>
          <cell r="AB57">
            <v>0</v>
          </cell>
          <cell r="AC57">
            <v>230463.87743999995</v>
          </cell>
        </row>
        <row r="58">
          <cell r="F58" t="str">
            <v>MS: ALL - LEAVE PAY</v>
          </cell>
          <cell r="G58" t="str">
            <v>P211032</v>
          </cell>
          <cell r="H58" t="str">
            <v>P211032</v>
          </cell>
          <cell r="I58" t="str">
            <v>501101</v>
          </cell>
          <cell r="J58">
            <v>50</v>
          </cell>
          <cell r="K58" t="str">
            <v>11</v>
          </cell>
          <cell r="L58" t="str">
            <v>01</v>
          </cell>
          <cell r="M58" t="str">
            <v>2</v>
          </cell>
          <cell r="N58" t="str">
            <v>11</v>
          </cell>
          <cell r="O58" t="str">
            <v>032</v>
          </cell>
          <cell r="P58" t="str">
            <v>0</v>
          </cell>
          <cell r="Q58">
            <v>18</v>
          </cell>
          <cell r="R58" t="str">
            <v>MRC</v>
          </cell>
          <cell r="S58" t="str">
            <v>ZZ</v>
          </cell>
          <cell r="T58">
            <v>11</v>
          </cell>
          <cell r="U58" t="str">
            <v>1101211032018MRCZZ11</v>
          </cell>
          <cell r="V58">
            <v>57</v>
          </cell>
          <cell r="W58" t="str">
            <v>MS: ALL - LEAVE PAY</v>
          </cell>
          <cell r="X58">
            <v>0</v>
          </cell>
          <cell r="Y58">
            <v>0</v>
          </cell>
          <cell r="Z58">
            <v>0</v>
          </cell>
          <cell r="AA58"/>
          <cell r="AB58">
            <v>0</v>
          </cell>
          <cell r="AC58">
            <v>0</v>
          </cell>
        </row>
        <row r="59">
          <cell r="F59" t="str">
            <v>MS: ALL - TRAVEL OR MOTOR VEHICLE (SUBS</v>
          </cell>
          <cell r="G59" t="str">
            <v>P211034</v>
          </cell>
          <cell r="H59" t="str">
            <v>P211034</v>
          </cell>
          <cell r="I59" t="str">
            <v>501101</v>
          </cell>
          <cell r="J59">
            <v>50</v>
          </cell>
          <cell r="K59" t="str">
            <v>11</v>
          </cell>
          <cell r="L59" t="str">
            <v>01</v>
          </cell>
          <cell r="M59" t="str">
            <v>2</v>
          </cell>
          <cell r="N59" t="str">
            <v>11</v>
          </cell>
          <cell r="O59" t="str">
            <v>034</v>
          </cell>
          <cell r="P59" t="str">
            <v>1</v>
          </cell>
          <cell r="Q59">
            <v>18</v>
          </cell>
          <cell r="R59" t="str">
            <v>MRC</v>
          </cell>
          <cell r="S59" t="str">
            <v>ZZ</v>
          </cell>
          <cell r="T59">
            <v>11</v>
          </cell>
          <cell r="U59" t="str">
            <v>1101211034118MRCZZ11</v>
          </cell>
          <cell r="V59">
            <v>58</v>
          </cell>
          <cell r="W59" t="str">
            <v>MS: ALL - TRAVEL OR MOTOR VEHICLE (SUBS</v>
          </cell>
          <cell r="X59">
            <v>1260908</v>
          </cell>
          <cell r="Y59">
            <v>1066742.7</v>
          </cell>
          <cell r="Z59">
            <v>1280091.2399999998</v>
          </cell>
          <cell r="AA59"/>
          <cell r="AB59">
            <v>1260908</v>
          </cell>
          <cell r="AC59">
            <v>43274.016000000003</v>
          </cell>
        </row>
        <row r="60">
          <cell r="F60" t="str">
            <v>MS: OVERTIME - STRUCTURED</v>
          </cell>
          <cell r="G60" t="str">
            <v>P211038</v>
          </cell>
          <cell r="H60" t="str">
            <v>P211038</v>
          </cell>
          <cell r="I60" t="str">
            <v>501101</v>
          </cell>
          <cell r="J60">
            <v>50</v>
          </cell>
          <cell r="K60" t="str">
            <v>11</v>
          </cell>
          <cell r="L60" t="str">
            <v>01</v>
          </cell>
          <cell r="M60" t="str">
            <v>2</v>
          </cell>
          <cell r="N60" t="str">
            <v>11</v>
          </cell>
          <cell r="O60" t="str">
            <v>038</v>
          </cell>
          <cell r="P60" t="str">
            <v>0</v>
          </cell>
          <cell r="Q60">
            <v>18</v>
          </cell>
          <cell r="R60" t="str">
            <v>MRC</v>
          </cell>
          <cell r="S60" t="str">
            <v>ZZ</v>
          </cell>
          <cell r="T60">
            <v>11</v>
          </cell>
          <cell r="U60" t="str">
            <v>1101211038018MRCZZ11</v>
          </cell>
          <cell r="V60">
            <v>59</v>
          </cell>
          <cell r="W60" t="str">
            <v>MS: OVERTIME - STRUCTURED</v>
          </cell>
          <cell r="X60">
            <v>2054036</v>
          </cell>
          <cell r="Y60">
            <v>1600107.28</v>
          </cell>
          <cell r="Z60">
            <v>1920128.736</v>
          </cell>
          <cell r="AA60"/>
          <cell r="AB60">
            <v>2054036</v>
          </cell>
          <cell r="AC60">
            <v>1848632.4000000001</v>
          </cell>
        </row>
        <row r="61">
          <cell r="F61" t="str">
            <v>MS: OVERTIME - NIGHT SHIFT</v>
          </cell>
          <cell r="G61" t="str">
            <v>P211042</v>
          </cell>
          <cell r="H61" t="str">
            <v>P211042</v>
          </cell>
          <cell r="I61" t="str">
            <v>501101</v>
          </cell>
          <cell r="J61">
            <v>50</v>
          </cell>
          <cell r="K61" t="str">
            <v>11</v>
          </cell>
          <cell r="L61" t="str">
            <v>01</v>
          </cell>
          <cell r="M61" t="str">
            <v>2</v>
          </cell>
          <cell r="N61" t="str">
            <v>11</v>
          </cell>
          <cell r="O61" t="str">
            <v>042</v>
          </cell>
          <cell r="P61" t="str">
            <v>0</v>
          </cell>
          <cell r="Q61">
            <v>18</v>
          </cell>
          <cell r="R61" t="str">
            <v>MRC</v>
          </cell>
          <cell r="S61" t="str">
            <v>ZZ</v>
          </cell>
          <cell r="T61">
            <v>11</v>
          </cell>
          <cell r="U61" t="str">
            <v>1101211042018MRCZZ11</v>
          </cell>
          <cell r="V61">
            <v>60</v>
          </cell>
          <cell r="W61" t="str">
            <v>MS: OVERTIME - NIGHT SHIFT</v>
          </cell>
          <cell r="X61">
            <v>130725</v>
          </cell>
          <cell r="Y61">
            <v>98390.93</v>
          </cell>
          <cell r="Z61">
            <v>118069.11599999998</v>
          </cell>
          <cell r="AA61"/>
          <cell r="AB61">
            <v>130725</v>
          </cell>
          <cell r="AC61">
            <v>117652.5</v>
          </cell>
        </row>
        <row r="62">
          <cell r="F62" t="str">
            <v>MS: SRB - ACTING ALLOWANCE</v>
          </cell>
          <cell r="G62" t="str">
            <v>P211044</v>
          </cell>
          <cell r="H62" t="str">
            <v>P211044</v>
          </cell>
          <cell r="I62" t="str">
            <v>501101</v>
          </cell>
          <cell r="J62">
            <v>50</v>
          </cell>
          <cell r="K62" t="str">
            <v>11</v>
          </cell>
          <cell r="L62" t="str">
            <v>01</v>
          </cell>
          <cell r="M62" t="str">
            <v>2</v>
          </cell>
          <cell r="N62" t="str">
            <v>11</v>
          </cell>
          <cell r="O62" t="str">
            <v>044</v>
          </cell>
          <cell r="P62" t="str">
            <v>0</v>
          </cell>
          <cell r="Q62">
            <v>18</v>
          </cell>
          <cell r="R62" t="str">
            <v>MRC</v>
          </cell>
          <cell r="S62" t="str">
            <v>ZZ</v>
          </cell>
          <cell r="T62">
            <v>11</v>
          </cell>
          <cell r="U62" t="str">
            <v>1101211044018MRCZZ11</v>
          </cell>
          <cell r="V62">
            <v>61</v>
          </cell>
          <cell r="W62" t="str">
            <v>MS: SRB - ACTING ALLOWANCE</v>
          </cell>
          <cell r="X62">
            <v>0</v>
          </cell>
          <cell r="Y62">
            <v>349109</v>
          </cell>
          <cell r="Z62">
            <v>418930.80000000005</v>
          </cell>
          <cell r="AA62"/>
          <cell r="AB62">
            <v>0</v>
          </cell>
          <cell r="AC62">
            <v>0</v>
          </cell>
        </row>
        <row r="63">
          <cell r="F63" t="str">
            <v>MS: SRB - ANNUAL BONUS</v>
          </cell>
          <cell r="G63" t="str">
            <v>P211046</v>
          </cell>
          <cell r="H63" t="str">
            <v>P211046</v>
          </cell>
          <cell r="I63" t="str">
            <v>501101</v>
          </cell>
          <cell r="J63">
            <v>50</v>
          </cell>
          <cell r="K63" t="str">
            <v>11</v>
          </cell>
          <cell r="L63" t="str">
            <v>01</v>
          </cell>
          <cell r="M63" t="str">
            <v>2</v>
          </cell>
          <cell r="N63" t="str">
            <v>11</v>
          </cell>
          <cell r="O63" t="str">
            <v>046</v>
          </cell>
          <cell r="P63" t="str">
            <v>0</v>
          </cell>
          <cell r="Q63">
            <v>18</v>
          </cell>
          <cell r="R63" t="str">
            <v>MRC</v>
          </cell>
          <cell r="S63" t="str">
            <v>ZZ</v>
          </cell>
          <cell r="T63">
            <v>11</v>
          </cell>
          <cell r="U63" t="str">
            <v>1101211046018MRCZZ11</v>
          </cell>
          <cell r="V63">
            <v>62</v>
          </cell>
          <cell r="W63" t="str">
            <v>MS: SRB - ANNUAL BONUS</v>
          </cell>
          <cell r="X63">
            <v>1254339</v>
          </cell>
          <cell r="Y63">
            <v>702153.54</v>
          </cell>
          <cell r="Z63">
            <v>842584.24800000014</v>
          </cell>
          <cell r="AA63"/>
          <cell r="AB63">
            <v>1254339</v>
          </cell>
          <cell r="AC63">
            <v>405874.68</v>
          </cell>
        </row>
        <row r="64">
          <cell r="F64" t="str">
            <v>MS: SRB - STANDBY ALLOWANCE</v>
          </cell>
          <cell r="G64" t="str">
            <v>P211056</v>
          </cell>
          <cell r="H64" t="str">
            <v>P211056</v>
          </cell>
          <cell r="I64" t="str">
            <v>501101</v>
          </cell>
          <cell r="J64">
            <v>50</v>
          </cell>
          <cell r="K64" t="str">
            <v>11</v>
          </cell>
          <cell r="L64" t="str">
            <v>01</v>
          </cell>
          <cell r="M64" t="str">
            <v>2</v>
          </cell>
          <cell r="N64" t="str">
            <v>11</v>
          </cell>
          <cell r="O64" t="str">
            <v>056</v>
          </cell>
          <cell r="P64" t="str">
            <v>0</v>
          </cell>
          <cell r="Q64">
            <v>18</v>
          </cell>
          <cell r="R64" t="str">
            <v>MRC</v>
          </cell>
          <cell r="S64" t="str">
            <v>ZZ</v>
          </cell>
          <cell r="T64">
            <v>11</v>
          </cell>
          <cell r="U64" t="str">
            <v>1101211056018MRCZZ11</v>
          </cell>
          <cell r="V64">
            <v>63</v>
          </cell>
          <cell r="W64" t="str">
            <v>MS: SRB - STANDBY ALLOWANCE</v>
          </cell>
          <cell r="X64">
            <v>712722</v>
          </cell>
          <cell r="Y64">
            <v>661393.51</v>
          </cell>
          <cell r="Z64">
            <v>793672.21199999994</v>
          </cell>
          <cell r="AA64"/>
          <cell r="AB64">
            <v>712722</v>
          </cell>
          <cell r="AC64">
            <v>641449.80000000005</v>
          </cell>
        </row>
        <row r="65">
          <cell r="F65" t="str">
            <v>MS: SRB - TOOLS ALLOWANCE</v>
          </cell>
          <cell r="G65" t="str">
            <v>P211058</v>
          </cell>
          <cell r="H65" t="str">
            <v>P211058</v>
          </cell>
          <cell r="I65" t="str">
            <v>501101</v>
          </cell>
          <cell r="J65">
            <v>50</v>
          </cell>
          <cell r="K65" t="str">
            <v>11</v>
          </cell>
          <cell r="L65" t="str">
            <v>01</v>
          </cell>
          <cell r="M65" t="str">
            <v>2</v>
          </cell>
          <cell r="N65" t="str">
            <v>11</v>
          </cell>
          <cell r="O65" t="str">
            <v>058</v>
          </cell>
          <cell r="P65" t="str">
            <v>0</v>
          </cell>
          <cell r="Q65">
            <v>18</v>
          </cell>
          <cell r="R65" t="str">
            <v>MRC</v>
          </cell>
          <cell r="S65" t="str">
            <v>ZZ</v>
          </cell>
          <cell r="T65">
            <v>11</v>
          </cell>
          <cell r="U65" t="str">
            <v>1101211058018MRCZZ11</v>
          </cell>
          <cell r="V65">
            <v>64</v>
          </cell>
          <cell r="W65" t="str">
            <v>MS: SRB - TOOLS ALLOWANCE</v>
          </cell>
          <cell r="X65">
            <v>0</v>
          </cell>
          <cell r="Y65">
            <v>0</v>
          </cell>
          <cell r="Z65">
            <v>0</v>
          </cell>
          <cell r="AA65"/>
          <cell r="AB65">
            <v>0</v>
          </cell>
          <cell r="AC65">
            <v>0</v>
          </cell>
        </row>
        <row r="66">
          <cell r="F66" t="str">
            <v>MS: SOC CONTR - BARGAINING COUNCIL</v>
          </cell>
          <cell r="G66" t="str">
            <v>P213001</v>
          </cell>
          <cell r="H66" t="str">
            <v>P213001</v>
          </cell>
          <cell r="I66" t="str">
            <v>501101</v>
          </cell>
          <cell r="J66">
            <v>50</v>
          </cell>
          <cell r="K66" t="str">
            <v>11</v>
          </cell>
          <cell r="L66" t="str">
            <v>01</v>
          </cell>
          <cell r="M66" t="str">
            <v>2</v>
          </cell>
          <cell r="N66" t="str">
            <v>13</v>
          </cell>
          <cell r="O66" t="str">
            <v>001</v>
          </cell>
          <cell r="P66" t="str">
            <v>0</v>
          </cell>
          <cell r="Q66">
            <v>18</v>
          </cell>
          <cell r="R66" t="str">
            <v>MRC</v>
          </cell>
          <cell r="S66" t="str">
            <v>ZZ</v>
          </cell>
          <cell r="T66">
            <v>11</v>
          </cell>
          <cell r="U66" t="str">
            <v>1101213001018MRCZZ11</v>
          </cell>
          <cell r="V66">
            <v>65</v>
          </cell>
          <cell r="W66" t="str">
            <v>MS: SOC CONTR - BARGAINING COUNCIL</v>
          </cell>
          <cell r="X66">
            <v>6731</v>
          </cell>
          <cell r="Y66">
            <v>5294.2</v>
          </cell>
          <cell r="Z66">
            <v>6353.0399999999991</v>
          </cell>
          <cell r="AA66"/>
          <cell r="AB66">
            <v>6731</v>
          </cell>
          <cell r="AC66">
            <v>2461.1231999999991</v>
          </cell>
        </row>
        <row r="67">
          <cell r="F67" t="str">
            <v>MS: SOC CONTR - GROUP LIFE INSURANCE</v>
          </cell>
          <cell r="G67" t="str">
            <v>P213010</v>
          </cell>
          <cell r="H67" t="str">
            <v>P213010</v>
          </cell>
          <cell r="I67" t="str">
            <v>501101</v>
          </cell>
          <cell r="J67">
            <v>50</v>
          </cell>
          <cell r="K67" t="str">
            <v>11</v>
          </cell>
          <cell r="L67" t="str">
            <v>01</v>
          </cell>
          <cell r="M67" t="str">
            <v>2</v>
          </cell>
          <cell r="N67" t="str">
            <v>13</v>
          </cell>
          <cell r="O67" t="str">
            <v>010</v>
          </cell>
          <cell r="P67" t="str">
            <v>0</v>
          </cell>
          <cell r="Q67">
            <v>18</v>
          </cell>
          <cell r="R67" t="str">
            <v>MRC</v>
          </cell>
          <cell r="S67" t="str">
            <v>ZZ</v>
          </cell>
          <cell r="T67">
            <v>11</v>
          </cell>
          <cell r="U67" t="str">
            <v>1101213010018MRCZZ11</v>
          </cell>
          <cell r="V67">
            <v>66</v>
          </cell>
          <cell r="W67" t="str">
            <v>MS: SOC CONTR - GROUP LIFE INSURANCE</v>
          </cell>
          <cell r="X67">
            <v>148985</v>
          </cell>
          <cell r="Y67">
            <v>110963.31</v>
          </cell>
          <cell r="Z67">
            <v>133155.97200000001</v>
          </cell>
          <cell r="AA67"/>
          <cell r="AB67">
            <v>148985</v>
          </cell>
          <cell r="AC67">
            <v>117499.90504000003</v>
          </cell>
        </row>
        <row r="68">
          <cell r="F68" t="str">
            <v>MS: SOC CONTR - MEDICAL</v>
          </cell>
          <cell r="G68" t="str">
            <v>P213020</v>
          </cell>
          <cell r="H68" t="str">
            <v>P213020</v>
          </cell>
          <cell r="I68" t="str">
            <v>501101</v>
          </cell>
          <cell r="J68">
            <v>50</v>
          </cell>
          <cell r="K68" t="str">
            <v>11</v>
          </cell>
          <cell r="L68" t="str">
            <v>01</v>
          </cell>
          <cell r="M68" t="str">
            <v>2</v>
          </cell>
          <cell r="N68" t="str">
            <v>13</v>
          </cell>
          <cell r="O68" t="str">
            <v>020</v>
          </cell>
          <cell r="P68" t="str">
            <v>0</v>
          </cell>
          <cell r="Q68">
            <v>18</v>
          </cell>
          <cell r="R68" t="str">
            <v>MRC</v>
          </cell>
          <cell r="S68" t="str">
            <v>ZZ</v>
          </cell>
          <cell r="T68">
            <v>11</v>
          </cell>
          <cell r="U68" t="str">
            <v>1101213020018MRCZZ11</v>
          </cell>
          <cell r="V68">
            <v>67</v>
          </cell>
          <cell r="W68" t="str">
            <v>MS: SOC CONTR - MEDICAL</v>
          </cell>
          <cell r="X68">
            <v>1757398</v>
          </cell>
          <cell r="Y68">
            <v>1394923.28</v>
          </cell>
          <cell r="Z68">
            <v>1673907.9360000002</v>
          </cell>
          <cell r="AA68"/>
          <cell r="AB68">
            <v>1757398</v>
          </cell>
          <cell r="AC68">
            <v>1200535.1423999995</v>
          </cell>
        </row>
        <row r="69">
          <cell r="F69" t="str">
            <v>MS: SOC CONTR - PENSION</v>
          </cell>
          <cell r="G69" t="str">
            <v>P213030</v>
          </cell>
          <cell r="H69" t="str">
            <v>P213030</v>
          </cell>
          <cell r="I69" t="str">
            <v>501101</v>
          </cell>
          <cell r="J69">
            <v>50</v>
          </cell>
          <cell r="K69" t="str">
            <v>11</v>
          </cell>
          <cell r="L69" t="str">
            <v>01</v>
          </cell>
          <cell r="M69" t="str">
            <v>2</v>
          </cell>
          <cell r="N69" t="str">
            <v>13</v>
          </cell>
          <cell r="O69" t="str">
            <v>030</v>
          </cell>
          <cell r="P69" t="str">
            <v>0</v>
          </cell>
          <cell r="Q69">
            <v>18</v>
          </cell>
          <cell r="R69" t="str">
            <v>MRC</v>
          </cell>
          <cell r="S69" t="str">
            <v>ZZ</v>
          </cell>
          <cell r="T69">
            <v>11</v>
          </cell>
          <cell r="U69" t="str">
            <v>1101213030018MRCZZ11</v>
          </cell>
          <cell r="V69">
            <v>68</v>
          </cell>
          <cell r="W69" t="str">
            <v>MS: SOC CONTR - PENSION</v>
          </cell>
          <cell r="X69">
            <v>2316827</v>
          </cell>
          <cell r="Y69">
            <v>1865325.58</v>
          </cell>
          <cell r="Z69">
            <v>2238390.6960000005</v>
          </cell>
          <cell r="AA69"/>
          <cell r="AB69">
            <v>2316827</v>
          </cell>
          <cell r="AC69">
            <v>1248954.872984</v>
          </cell>
        </row>
        <row r="70">
          <cell r="F70" t="str">
            <v>MS: SOC CONTR - UNEMPLOYMENT INSUR FUND</v>
          </cell>
          <cell r="G70" t="str">
            <v>P213040</v>
          </cell>
          <cell r="H70" t="str">
            <v>P213040</v>
          </cell>
          <cell r="I70" t="str">
            <v>501101</v>
          </cell>
          <cell r="J70">
            <v>50</v>
          </cell>
          <cell r="K70" t="str">
            <v>11</v>
          </cell>
          <cell r="L70" t="str">
            <v>01</v>
          </cell>
          <cell r="M70" t="str">
            <v>2</v>
          </cell>
          <cell r="N70" t="str">
            <v>13</v>
          </cell>
          <cell r="O70" t="str">
            <v>040</v>
          </cell>
          <cell r="P70" t="str">
            <v>0</v>
          </cell>
          <cell r="Q70">
            <v>18</v>
          </cell>
          <cell r="R70" t="str">
            <v>MRC</v>
          </cell>
          <cell r="S70" t="str">
            <v>ZZ</v>
          </cell>
          <cell r="T70">
            <v>11</v>
          </cell>
          <cell r="U70" t="str">
            <v>1101213040018MRCZZ11</v>
          </cell>
          <cell r="V70">
            <v>69</v>
          </cell>
          <cell r="W70" t="str">
            <v>MS: SOC CONTR - UNEMPLOYMENT INSUR FUND</v>
          </cell>
          <cell r="X70">
            <v>100934</v>
          </cell>
          <cell r="Y70">
            <v>90944.39</v>
          </cell>
          <cell r="Z70">
            <v>109133.26800000001</v>
          </cell>
          <cell r="AA70"/>
          <cell r="AB70">
            <v>100934</v>
          </cell>
          <cell r="AC70">
            <v>44549.222400000006</v>
          </cell>
        </row>
        <row r="71">
          <cell r="F71" t="str">
            <v>OS: CATERING SERVICES(REFRESHMENTS)</v>
          </cell>
          <cell r="G71" t="str">
            <v>P226060</v>
          </cell>
          <cell r="H71" t="str">
            <v>P1101226060</v>
          </cell>
          <cell r="I71"/>
          <cell r="J71"/>
          <cell r="K71" t="str">
            <v>11</v>
          </cell>
          <cell r="L71" t="str">
            <v>01</v>
          </cell>
          <cell r="M71" t="str">
            <v>2</v>
          </cell>
          <cell r="N71" t="str">
            <v>26</v>
          </cell>
          <cell r="O71" t="str">
            <v>060</v>
          </cell>
          <cell r="P71" t="str">
            <v>H</v>
          </cell>
          <cell r="Q71">
            <v>18</v>
          </cell>
          <cell r="R71" t="str">
            <v>MRC</v>
          </cell>
          <cell r="S71" t="str">
            <v>ZZ</v>
          </cell>
          <cell r="T71">
            <v>11</v>
          </cell>
          <cell r="U71" t="str">
            <v>1101226060H18MRCZZ11</v>
          </cell>
          <cell r="V71">
            <v>70</v>
          </cell>
          <cell r="W71" t="str">
            <v>OS: CATERING SERVICES(REFRESHMENTS)</v>
          </cell>
          <cell r="X71">
            <v>25000</v>
          </cell>
          <cell r="Y71">
            <v>11152.27</v>
          </cell>
          <cell r="Z71">
            <v>13382.724000000002</v>
          </cell>
          <cell r="AA71"/>
          <cell r="AB71">
            <v>25000</v>
          </cell>
          <cell r="AC71">
            <v>25000</v>
          </cell>
        </row>
        <row r="72">
          <cell r="F72" t="str">
            <v>C&amp;PS: B&amp;A PROJECT MANAGEMENT</v>
          </cell>
          <cell r="G72" t="str">
            <v>P227334</v>
          </cell>
          <cell r="H72" t="str">
            <v>P1101227041</v>
          </cell>
          <cell r="I72"/>
          <cell r="J72"/>
          <cell r="K72" t="str">
            <v>11</v>
          </cell>
          <cell r="L72" t="str">
            <v>01</v>
          </cell>
          <cell r="M72" t="str">
            <v>2</v>
          </cell>
          <cell r="N72" t="str">
            <v>27</v>
          </cell>
          <cell r="O72" t="str">
            <v>041</v>
          </cell>
          <cell r="P72" t="str">
            <v>0</v>
          </cell>
          <cell r="Q72">
            <v>18</v>
          </cell>
          <cell r="R72" t="str">
            <v>MRC</v>
          </cell>
          <cell r="S72" t="str">
            <v>ZZ</v>
          </cell>
          <cell r="T72">
            <v>11</v>
          </cell>
          <cell r="U72" t="str">
            <v>1101227041018MRCZZ11</v>
          </cell>
          <cell r="V72">
            <v>71</v>
          </cell>
          <cell r="W72" t="str">
            <v>C&amp;PS: B&amp;A PROJECT MANAGEMENT</v>
          </cell>
          <cell r="X72">
            <v>410433</v>
          </cell>
          <cell r="Y72">
            <v>117778.26</v>
          </cell>
          <cell r="Z72">
            <v>141333.91199999998</v>
          </cell>
          <cell r="AA72"/>
          <cell r="AB72">
            <v>410433</v>
          </cell>
          <cell r="AC72">
            <v>1500000</v>
          </cell>
        </row>
        <row r="73">
          <cell r="F73" t="str">
            <v>OC: ADV/PUB/MARK - CORP &amp; MUN ACTIVITIES</v>
          </cell>
          <cell r="G73" t="str">
            <v>P230452</v>
          </cell>
          <cell r="H73" t="str">
            <v>P1101230012</v>
          </cell>
          <cell r="I73"/>
          <cell r="J73"/>
          <cell r="K73" t="str">
            <v>11</v>
          </cell>
          <cell r="L73" t="str">
            <v>01</v>
          </cell>
          <cell r="M73" t="str">
            <v>2</v>
          </cell>
          <cell r="N73" t="str">
            <v>30</v>
          </cell>
          <cell r="O73" t="str">
            <v>012</v>
          </cell>
          <cell r="P73" t="str">
            <v>0</v>
          </cell>
          <cell r="Q73">
            <v>18</v>
          </cell>
          <cell r="R73" t="str">
            <v>MRC</v>
          </cell>
          <cell r="S73" t="str">
            <v>ZZ</v>
          </cell>
          <cell r="T73">
            <v>11</v>
          </cell>
          <cell r="U73" t="str">
            <v>1101230012018MRCZZ11</v>
          </cell>
          <cell r="V73">
            <v>72</v>
          </cell>
          <cell r="W73" t="str">
            <v>OC: ADV/PUB/MARK - CORP &amp; MUN ACTIVITIES</v>
          </cell>
          <cell r="X73">
            <v>0</v>
          </cell>
          <cell r="Y73">
            <v>-5238</v>
          </cell>
          <cell r="Z73">
            <v>-6285.5999999999995</v>
          </cell>
          <cell r="AA73"/>
          <cell r="AB73">
            <v>0</v>
          </cell>
          <cell r="AC73">
            <v>0</v>
          </cell>
        </row>
        <row r="74">
          <cell r="F74" t="str">
            <v>OC: REG FEES NATIONAL</v>
          </cell>
          <cell r="G74" t="str">
            <v>P230452</v>
          </cell>
          <cell r="H74" t="str">
            <v>P1101230511</v>
          </cell>
          <cell r="I74"/>
          <cell r="J74"/>
          <cell r="K74" t="str">
            <v>11</v>
          </cell>
          <cell r="L74" t="str">
            <v>01</v>
          </cell>
          <cell r="M74" t="str">
            <v>2</v>
          </cell>
          <cell r="N74" t="str">
            <v>30</v>
          </cell>
          <cell r="O74" t="str">
            <v>511</v>
          </cell>
          <cell r="P74" t="str">
            <v>0</v>
          </cell>
          <cell r="Q74">
            <v>18</v>
          </cell>
          <cell r="R74" t="str">
            <v>MRC</v>
          </cell>
          <cell r="S74" t="str">
            <v>ZZ</v>
          </cell>
          <cell r="T74">
            <v>11</v>
          </cell>
          <cell r="U74" t="str">
            <v>1101230511018MRCZZ11</v>
          </cell>
          <cell r="V74">
            <v>73</v>
          </cell>
          <cell r="W74" t="str">
            <v>OC: REG FEES NATIONAL</v>
          </cell>
          <cell r="X74">
            <v>37163</v>
          </cell>
          <cell r="Y74">
            <v>4050</v>
          </cell>
          <cell r="Z74">
            <v>4860</v>
          </cell>
          <cell r="AA74"/>
          <cell r="AB74">
            <v>37163</v>
          </cell>
          <cell r="AC74">
            <v>35000</v>
          </cell>
        </row>
        <row r="75">
          <cell r="F75" t="str">
            <v>OC: SKILLS DEVELOPMENT FUND LEVY</v>
          </cell>
          <cell r="G75" t="str">
            <v>P230452</v>
          </cell>
          <cell r="H75" t="str">
            <v>P1101230541</v>
          </cell>
          <cell r="I75"/>
          <cell r="J75"/>
          <cell r="K75" t="str">
            <v>11</v>
          </cell>
          <cell r="L75" t="str">
            <v>01</v>
          </cell>
          <cell r="M75" t="str">
            <v>2</v>
          </cell>
          <cell r="N75" t="str">
            <v>30</v>
          </cell>
          <cell r="O75" t="str">
            <v>541</v>
          </cell>
          <cell r="P75" t="str">
            <v>0</v>
          </cell>
          <cell r="Q75">
            <v>18</v>
          </cell>
          <cell r="R75" t="str">
            <v>MRC</v>
          </cell>
          <cell r="S75" t="str">
            <v>ZZ</v>
          </cell>
          <cell r="T75">
            <v>11</v>
          </cell>
          <cell r="U75" t="str">
            <v>1101230541018MRCZZ11</v>
          </cell>
          <cell r="V75">
            <v>74</v>
          </cell>
          <cell r="W75" t="str">
            <v>OC: SKILLS DEVELOPMENT FUND LEVY</v>
          </cell>
          <cell r="X75">
            <v>0</v>
          </cell>
          <cell r="Y75">
            <v>0</v>
          </cell>
          <cell r="Z75">
            <v>0</v>
          </cell>
          <cell r="AA75"/>
          <cell r="AB75">
            <v>0</v>
          </cell>
          <cell r="AC75">
            <v>0</v>
          </cell>
        </row>
        <row r="76">
          <cell r="F76" t="str">
            <v>OC: T&amp;S DOM - ACCOMMODATION</v>
          </cell>
          <cell r="G76" t="str">
            <v>P230452</v>
          </cell>
          <cell r="H76" t="str">
            <v>P1101230576</v>
          </cell>
          <cell r="I76"/>
          <cell r="J76"/>
          <cell r="K76" t="str">
            <v>11</v>
          </cell>
          <cell r="L76" t="str">
            <v>01</v>
          </cell>
          <cell r="M76" t="str">
            <v>2</v>
          </cell>
          <cell r="N76" t="str">
            <v>30</v>
          </cell>
          <cell r="O76" t="str">
            <v>576</v>
          </cell>
          <cell r="P76" t="str">
            <v>0</v>
          </cell>
          <cell r="Q76">
            <v>18</v>
          </cell>
          <cell r="R76" t="str">
            <v>MRC</v>
          </cell>
          <cell r="S76" t="str">
            <v>ZZ</v>
          </cell>
          <cell r="T76">
            <v>11</v>
          </cell>
          <cell r="U76" t="str">
            <v>1101230576018MRCZZ11</v>
          </cell>
          <cell r="V76">
            <v>75</v>
          </cell>
          <cell r="W76" t="str">
            <v>OC: T&amp;S DOM - ACCOMMODATION</v>
          </cell>
          <cell r="X76">
            <v>15855</v>
          </cell>
          <cell r="Y76">
            <v>2542.92</v>
          </cell>
          <cell r="Z76">
            <v>3051.5039999999999</v>
          </cell>
          <cell r="AA76">
            <v>-5000</v>
          </cell>
          <cell r="AB76">
            <v>10855</v>
          </cell>
          <cell r="AC76">
            <v>10000</v>
          </cell>
        </row>
        <row r="77">
          <cell r="F77" t="str">
            <v>OC: T&amp;S DOM - DAILY ALLOWANCE</v>
          </cell>
          <cell r="G77" t="str">
            <v>P230452</v>
          </cell>
          <cell r="H77" t="str">
            <v>P1101230577</v>
          </cell>
          <cell r="I77"/>
          <cell r="J77"/>
          <cell r="K77" t="str">
            <v>11</v>
          </cell>
          <cell r="L77" t="str">
            <v>01</v>
          </cell>
          <cell r="M77" t="str">
            <v>2</v>
          </cell>
          <cell r="N77" t="str">
            <v>30</v>
          </cell>
          <cell r="O77" t="str">
            <v>577</v>
          </cell>
          <cell r="P77" t="str">
            <v>0</v>
          </cell>
          <cell r="Q77">
            <v>18</v>
          </cell>
          <cell r="R77" t="str">
            <v>MRC</v>
          </cell>
          <cell r="S77" t="str">
            <v>ZZ</v>
          </cell>
          <cell r="T77">
            <v>11</v>
          </cell>
          <cell r="U77" t="str">
            <v>1101230577018MRCZZ11</v>
          </cell>
          <cell r="V77">
            <v>76</v>
          </cell>
          <cell r="W77" t="str">
            <v>OC: T&amp;S DOM - DAILY ALLOWANCE</v>
          </cell>
          <cell r="X77">
            <v>0</v>
          </cell>
          <cell r="Y77">
            <v>0</v>
          </cell>
          <cell r="Z77">
            <v>0</v>
          </cell>
          <cell r="AA77"/>
          <cell r="AB77">
            <v>0</v>
          </cell>
          <cell r="AC77">
            <v>0</v>
          </cell>
        </row>
        <row r="78">
          <cell r="F78" t="str">
            <v>OC: T&amp;S DOM TRP - WITHOUT OPR CAR RENTAL</v>
          </cell>
          <cell r="G78" t="str">
            <v>P230452</v>
          </cell>
          <cell r="H78" t="str">
            <v>P1101230580</v>
          </cell>
          <cell r="I78"/>
          <cell r="J78"/>
          <cell r="K78" t="str">
            <v>11</v>
          </cell>
          <cell r="L78" t="str">
            <v>01</v>
          </cell>
          <cell r="M78" t="str">
            <v>2</v>
          </cell>
          <cell r="N78" t="str">
            <v>30</v>
          </cell>
          <cell r="O78" t="str">
            <v>580</v>
          </cell>
          <cell r="P78" t="str">
            <v>0</v>
          </cell>
          <cell r="Q78">
            <v>18</v>
          </cell>
          <cell r="R78" t="str">
            <v>MRC</v>
          </cell>
          <cell r="S78" t="str">
            <v>ZZ</v>
          </cell>
          <cell r="T78">
            <v>11</v>
          </cell>
          <cell r="U78" t="str">
            <v>1101230580018MRCZZ11</v>
          </cell>
          <cell r="V78">
            <v>77</v>
          </cell>
          <cell r="W78" t="str">
            <v>OC: T&amp;S DOM TRP - WITHOUT OPR CAR RENTAL</v>
          </cell>
          <cell r="X78">
            <v>0</v>
          </cell>
          <cell r="Y78">
            <v>0</v>
          </cell>
          <cell r="Z78">
            <v>0</v>
          </cell>
          <cell r="AA78"/>
          <cell r="AB78">
            <v>0</v>
          </cell>
          <cell r="AC78">
            <v>0</v>
          </cell>
        </row>
        <row r="79">
          <cell r="F79" t="str">
            <v>OC: T&amp;S DOM PUB TRP - AIR TRANSPORT</v>
          </cell>
          <cell r="G79" t="str">
            <v>P230452</v>
          </cell>
          <cell r="H79" t="str">
            <v>P1101230583</v>
          </cell>
          <cell r="I79"/>
          <cell r="J79"/>
          <cell r="K79" t="str">
            <v>11</v>
          </cell>
          <cell r="L79" t="str">
            <v>01</v>
          </cell>
          <cell r="M79" t="str">
            <v>2</v>
          </cell>
          <cell r="N79" t="str">
            <v>30</v>
          </cell>
          <cell r="O79" t="str">
            <v>583</v>
          </cell>
          <cell r="P79" t="str">
            <v>0</v>
          </cell>
          <cell r="Q79">
            <v>18</v>
          </cell>
          <cell r="R79" t="str">
            <v>MRC</v>
          </cell>
          <cell r="S79" t="str">
            <v>ZZ</v>
          </cell>
          <cell r="T79">
            <v>11</v>
          </cell>
          <cell r="U79" t="str">
            <v>1101230583018MRCZZ11</v>
          </cell>
          <cell r="V79">
            <v>78</v>
          </cell>
          <cell r="W79" t="str">
            <v>OC: T&amp;S DOM PUB TRP - AIR TRANSPORT</v>
          </cell>
          <cell r="X79">
            <v>17313</v>
          </cell>
          <cell r="Y79">
            <v>0</v>
          </cell>
          <cell r="Z79">
            <v>0</v>
          </cell>
          <cell r="AA79">
            <v>-7000</v>
          </cell>
          <cell r="AB79">
            <v>10313</v>
          </cell>
          <cell r="AC79">
            <v>10000</v>
          </cell>
        </row>
        <row r="80">
          <cell r="F80" t="str">
            <v>INVENTORY - MATERIALS &amp; SUPPLIES(PRINT&amp;</v>
          </cell>
          <cell r="G80" t="str">
            <v>P232360</v>
          </cell>
          <cell r="H80" t="str">
            <v>P1101232360</v>
          </cell>
          <cell r="I80"/>
          <cell r="J80"/>
          <cell r="K80" t="str">
            <v>11</v>
          </cell>
          <cell r="L80" t="str">
            <v>01</v>
          </cell>
          <cell r="M80" t="str">
            <v>2</v>
          </cell>
          <cell r="N80" t="str">
            <v>32</v>
          </cell>
          <cell r="O80" t="str">
            <v>360</v>
          </cell>
          <cell r="P80" t="str">
            <v>D</v>
          </cell>
          <cell r="Q80">
            <v>18</v>
          </cell>
          <cell r="R80" t="str">
            <v>MRC</v>
          </cell>
          <cell r="S80" t="str">
            <v>ZZ</v>
          </cell>
          <cell r="T80">
            <v>11</v>
          </cell>
          <cell r="U80" t="str">
            <v>1101232360D18MRCZZ11</v>
          </cell>
          <cell r="V80">
            <v>79</v>
          </cell>
          <cell r="W80" t="str">
            <v>INVENTORY - MATERIALS &amp; SUPPLIES(PRINT&amp;</v>
          </cell>
          <cell r="X80">
            <v>35000</v>
          </cell>
          <cell r="Y80">
            <v>27858.04</v>
          </cell>
          <cell r="Z80">
            <v>33429.648000000001</v>
          </cell>
          <cell r="AA80"/>
          <cell r="AB80">
            <v>35000</v>
          </cell>
          <cell r="AC80">
            <v>35000</v>
          </cell>
        </row>
        <row r="81">
          <cell r="F81" t="str">
            <v>DEPRECIATION FURNITURE &amp; OFFICE EQUIPM</v>
          </cell>
          <cell r="G81" t="str">
            <v>P272150</v>
          </cell>
          <cell r="H81" t="str">
            <v>P1101272150</v>
          </cell>
          <cell r="I81"/>
          <cell r="J81"/>
          <cell r="K81" t="str">
            <v>11</v>
          </cell>
          <cell r="L81" t="str">
            <v>01</v>
          </cell>
          <cell r="M81" t="str">
            <v>2</v>
          </cell>
          <cell r="N81" t="str">
            <v>72</v>
          </cell>
          <cell r="O81" t="str">
            <v>150</v>
          </cell>
          <cell r="P81" t="str">
            <v>0</v>
          </cell>
          <cell r="Q81">
            <v>18</v>
          </cell>
          <cell r="R81" t="str">
            <v>MRC</v>
          </cell>
          <cell r="S81" t="str">
            <v>ZZ</v>
          </cell>
          <cell r="T81">
            <v>11</v>
          </cell>
          <cell r="U81" t="str">
            <v>1101272150018MRCZZ11</v>
          </cell>
          <cell r="V81">
            <v>80</v>
          </cell>
          <cell r="W81" t="str">
            <v>DEPRECIATION FURNITURE &amp; OFFICE EQUIPM</v>
          </cell>
          <cell r="X81">
            <v>0</v>
          </cell>
          <cell r="Y81">
            <v>0</v>
          </cell>
          <cell r="Z81">
            <v>0</v>
          </cell>
          <cell r="AA81"/>
          <cell r="AB81">
            <v>0</v>
          </cell>
          <cell r="AC81">
            <v>0</v>
          </cell>
        </row>
        <row r="82">
          <cell r="F82" t="str">
            <v>MS: SAL &amp; ALL: BASIC SALARY &amp; WAGES</v>
          </cell>
          <cell r="G82" t="str">
            <v>P211001</v>
          </cell>
          <cell r="H82" t="str">
            <v>P211001</v>
          </cell>
          <cell r="I82" t="str">
            <v>501103</v>
          </cell>
          <cell r="J82">
            <v>50</v>
          </cell>
          <cell r="K82" t="str">
            <v>11</v>
          </cell>
          <cell r="L82" t="str">
            <v>03</v>
          </cell>
          <cell r="M82" t="str">
            <v>2</v>
          </cell>
          <cell r="N82" t="str">
            <v>11</v>
          </cell>
          <cell r="O82" t="str">
            <v>001</v>
          </cell>
          <cell r="P82" t="str">
            <v>0</v>
          </cell>
          <cell r="Q82">
            <v>18</v>
          </cell>
          <cell r="R82" t="str">
            <v>MRC</v>
          </cell>
          <cell r="S82" t="str">
            <v>ZZ</v>
          </cell>
          <cell r="T82">
            <v>11</v>
          </cell>
          <cell r="U82" t="str">
            <v>1103211001018MRCZZ11</v>
          </cell>
          <cell r="V82">
            <v>81</v>
          </cell>
          <cell r="W82" t="str">
            <v>MS: SAL &amp; ALL: BASIC SALARY &amp; WAGES</v>
          </cell>
          <cell r="X82">
            <v>2392385</v>
          </cell>
          <cell r="Y82">
            <v>1750873.36</v>
          </cell>
          <cell r="Z82">
            <v>2101048.0320000001</v>
          </cell>
          <cell r="AA82"/>
          <cell r="AB82">
            <v>2392385</v>
          </cell>
          <cell r="AC82">
            <v>1890524.9280000001</v>
          </cell>
        </row>
        <row r="83">
          <cell r="F83" t="str">
            <v>MS: ALL - CELLULAR &amp; TELEPHONE</v>
          </cell>
          <cell r="G83" t="str">
            <v>P211022</v>
          </cell>
          <cell r="H83" t="str">
            <v>P211022</v>
          </cell>
          <cell r="I83" t="str">
            <v>501103</v>
          </cell>
          <cell r="J83">
            <v>50</v>
          </cell>
          <cell r="K83" t="str">
            <v>11</v>
          </cell>
          <cell r="L83" t="str">
            <v>03</v>
          </cell>
          <cell r="M83" t="str">
            <v>2</v>
          </cell>
          <cell r="N83" t="str">
            <v>11</v>
          </cell>
          <cell r="O83" t="str">
            <v>022</v>
          </cell>
          <cell r="P83" t="str">
            <v>0</v>
          </cell>
          <cell r="Q83">
            <v>18</v>
          </cell>
          <cell r="R83" t="str">
            <v>MRC</v>
          </cell>
          <cell r="S83" t="str">
            <v>ZZ</v>
          </cell>
          <cell r="T83">
            <v>11</v>
          </cell>
          <cell r="U83" t="str">
            <v>1103211022018MRCZZ11</v>
          </cell>
          <cell r="V83">
            <v>82</v>
          </cell>
          <cell r="W83" t="str">
            <v>MS: ALL - CELLULAR &amp; TELEPHONE</v>
          </cell>
          <cell r="X83">
            <v>12747</v>
          </cell>
          <cell r="Y83">
            <v>15950</v>
          </cell>
          <cell r="Z83">
            <v>19140</v>
          </cell>
          <cell r="AA83"/>
          <cell r="AB83">
            <v>12747</v>
          </cell>
          <cell r="AC83">
            <v>18864</v>
          </cell>
        </row>
        <row r="84">
          <cell r="F84" t="str">
            <v>MS: HB &amp; INC: HOUSING BENEFITS</v>
          </cell>
          <cell r="G84" t="str">
            <v>P211026</v>
          </cell>
          <cell r="H84" t="str">
            <v>P211026</v>
          </cell>
          <cell r="I84" t="str">
            <v>501103</v>
          </cell>
          <cell r="J84">
            <v>50</v>
          </cell>
          <cell r="K84" t="str">
            <v>11</v>
          </cell>
          <cell r="L84" t="str">
            <v>03</v>
          </cell>
          <cell r="M84" t="str">
            <v>2</v>
          </cell>
          <cell r="N84" t="str">
            <v>11</v>
          </cell>
          <cell r="O84" t="str">
            <v>026</v>
          </cell>
          <cell r="P84" t="str">
            <v>0</v>
          </cell>
          <cell r="Q84">
            <v>18</v>
          </cell>
          <cell r="R84" t="str">
            <v>MRC</v>
          </cell>
          <cell r="S84" t="str">
            <v>ZZ</v>
          </cell>
          <cell r="T84">
            <v>11</v>
          </cell>
          <cell r="U84" t="str">
            <v>1103211026018MRCZZ11</v>
          </cell>
          <cell r="V84">
            <v>83</v>
          </cell>
          <cell r="W84" t="str">
            <v>MS: HB &amp; INC: HOUSING BENEFITS</v>
          </cell>
          <cell r="X84">
            <v>22474</v>
          </cell>
          <cell r="Y84">
            <v>21219.22</v>
          </cell>
          <cell r="Z84">
            <v>25463.063999999998</v>
          </cell>
          <cell r="AA84"/>
          <cell r="AB84">
            <v>22474</v>
          </cell>
          <cell r="AC84">
            <v>48518.711039999995</v>
          </cell>
        </row>
        <row r="85">
          <cell r="F85" t="str">
            <v>MS: ALL - LEAVE PAY</v>
          </cell>
          <cell r="G85" t="str">
            <v>P211032</v>
          </cell>
          <cell r="H85" t="str">
            <v>P211032</v>
          </cell>
          <cell r="I85" t="str">
            <v>501103</v>
          </cell>
          <cell r="J85">
            <v>50</v>
          </cell>
          <cell r="K85" t="str">
            <v>11</v>
          </cell>
          <cell r="L85" t="str">
            <v>03</v>
          </cell>
          <cell r="M85" t="str">
            <v>2</v>
          </cell>
          <cell r="N85" t="str">
            <v>11</v>
          </cell>
          <cell r="O85" t="str">
            <v>032</v>
          </cell>
          <cell r="P85" t="str">
            <v>0</v>
          </cell>
          <cell r="Q85">
            <v>18</v>
          </cell>
          <cell r="R85" t="str">
            <v>MRC</v>
          </cell>
          <cell r="S85" t="str">
            <v>ZZ</v>
          </cell>
          <cell r="T85">
            <v>11</v>
          </cell>
          <cell r="U85" t="str">
            <v>1103211032018MRCZZ11</v>
          </cell>
          <cell r="V85">
            <v>84</v>
          </cell>
          <cell r="W85" t="str">
            <v>MS: ALL - LEAVE PAY</v>
          </cell>
          <cell r="X85">
            <v>0</v>
          </cell>
          <cell r="Y85">
            <v>0</v>
          </cell>
          <cell r="Z85">
            <v>0</v>
          </cell>
          <cell r="AA85"/>
          <cell r="AB85">
            <v>0</v>
          </cell>
          <cell r="AC85">
            <v>0</v>
          </cell>
        </row>
        <row r="86">
          <cell r="F86" t="str">
            <v>MS: ALL - TRAVEL OR MOTOR VEHICLE</v>
          </cell>
          <cell r="G86" t="str">
            <v>P211034</v>
          </cell>
          <cell r="H86" t="str">
            <v>P211034</v>
          </cell>
          <cell r="I86" t="str">
            <v>501103</v>
          </cell>
          <cell r="J86">
            <v>50</v>
          </cell>
          <cell r="K86" t="str">
            <v>11</v>
          </cell>
          <cell r="L86" t="str">
            <v>03</v>
          </cell>
          <cell r="M86" t="str">
            <v>2</v>
          </cell>
          <cell r="N86" t="str">
            <v>11</v>
          </cell>
          <cell r="O86" t="str">
            <v>034</v>
          </cell>
          <cell r="P86" t="str">
            <v>0</v>
          </cell>
          <cell r="Q86">
            <v>18</v>
          </cell>
          <cell r="R86" t="str">
            <v>MRC</v>
          </cell>
          <cell r="S86" t="str">
            <v>ZZ</v>
          </cell>
          <cell r="T86">
            <v>11</v>
          </cell>
          <cell r="U86" t="str">
            <v>1103211034018MRCZZ11</v>
          </cell>
          <cell r="V86">
            <v>85</v>
          </cell>
          <cell r="W86" t="str">
            <v>MS: ALL - TRAVEL OR MOTOR VEHICLE</v>
          </cell>
          <cell r="X86">
            <v>0</v>
          </cell>
          <cell r="Y86">
            <v>0</v>
          </cell>
          <cell r="Z86">
            <v>0</v>
          </cell>
          <cell r="AA86"/>
          <cell r="AB86">
            <v>0</v>
          </cell>
          <cell r="AC86">
            <v>0</v>
          </cell>
        </row>
        <row r="87">
          <cell r="F87" t="str">
            <v>MS: ALL - TRAVEL OR MOTOR VEHICLE (SUBS</v>
          </cell>
          <cell r="G87" t="str">
            <v>P211034</v>
          </cell>
          <cell r="H87" t="str">
            <v>P211034</v>
          </cell>
          <cell r="I87" t="str">
            <v>501103</v>
          </cell>
          <cell r="J87">
            <v>50</v>
          </cell>
          <cell r="K87" t="str">
            <v>11</v>
          </cell>
          <cell r="L87" t="str">
            <v>03</v>
          </cell>
          <cell r="M87" t="str">
            <v>2</v>
          </cell>
          <cell r="N87" t="str">
            <v>11</v>
          </cell>
          <cell r="O87" t="str">
            <v>034</v>
          </cell>
          <cell r="P87" t="str">
            <v>1</v>
          </cell>
          <cell r="Q87">
            <v>18</v>
          </cell>
          <cell r="R87" t="str">
            <v>MRC</v>
          </cell>
          <cell r="S87" t="str">
            <v>ZZ</v>
          </cell>
          <cell r="T87">
            <v>11</v>
          </cell>
          <cell r="U87" t="str">
            <v>1103211034118MRCZZ11</v>
          </cell>
          <cell r="V87">
            <v>86</v>
          </cell>
          <cell r="W87" t="str">
            <v>MS: ALL - TRAVEL OR MOTOR VEHICLE (SUBS</v>
          </cell>
          <cell r="X87">
            <v>502661</v>
          </cell>
          <cell r="Y87">
            <v>566445.72</v>
          </cell>
          <cell r="Z87">
            <v>679734.86400000006</v>
          </cell>
          <cell r="AA87"/>
          <cell r="AB87">
            <v>502661</v>
          </cell>
          <cell r="AC87">
            <v>31354.326000000001</v>
          </cell>
        </row>
        <row r="88">
          <cell r="F88" t="str">
            <v>MS: OVERTIME - STRUCTURED</v>
          </cell>
          <cell r="G88" t="str">
            <v>P211038</v>
          </cell>
          <cell r="H88" t="str">
            <v>P211038</v>
          </cell>
          <cell r="I88" t="str">
            <v>501103</v>
          </cell>
          <cell r="J88">
            <v>50</v>
          </cell>
          <cell r="K88" t="str">
            <v>11</v>
          </cell>
          <cell r="L88" t="str">
            <v>03</v>
          </cell>
          <cell r="M88" t="str">
            <v>2</v>
          </cell>
          <cell r="N88" t="str">
            <v>11</v>
          </cell>
          <cell r="O88" t="str">
            <v>038</v>
          </cell>
          <cell r="P88" t="str">
            <v>0</v>
          </cell>
          <cell r="Q88">
            <v>18</v>
          </cell>
          <cell r="R88" t="str">
            <v>MRC</v>
          </cell>
          <cell r="S88" t="str">
            <v>ZZ</v>
          </cell>
          <cell r="T88">
            <v>11</v>
          </cell>
          <cell r="U88" t="str">
            <v>1103211038018MRCZZ11</v>
          </cell>
          <cell r="V88">
            <v>87</v>
          </cell>
          <cell r="W88" t="str">
            <v>MS: OVERTIME - STRUCTURED</v>
          </cell>
          <cell r="X88">
            <v>5612</v>
          </cell>
          <cell r="Y88">
            <v>9456.5300000000007</v>
          </cell>
          <cell r="Z88">
            <v>11347.835999999999</v>
          </cell>
          <cell r="AA88"/>
          <cell r="AB88">
            <v>5612</v>
          </cell>
          <cell r="AC88">
            <v>5050.8</v>
          </cell>
        </row>
        <row r="89">
          <cell r="F89" t="str">
            <v>MS: OVERTIME - NIGHT SHIFT</v>
          </cell>
          <cell r="G89" t="str">
            <v>P211042</v>
          </cell>
          <cell r="H89" t="str">
            <v>P211042</v>
          </cell>
          <cell r="I89" t="str">
            <v>501103</v>
          </cell>
          <cell r="J89">
            <v>50</v>
          </cell>
          <cell r="K89" t="str">
            <v>11</v>
          </cell>
          <cell r="L89" t="str">
            <v>03</v>
          </cell>
          <cell r="M89" t="str">
            <v>2</v>
          </cell>
          <cell r="N89" t="str">
            <v>11</v>
          </cell>
          <cell r="O89" t="str">
            <v>042</v>
          </cell>
          <cell r="P89" t="str">
            <v>0</v>
          </cell>
          <cell r="Q89">
            <v>18</v>
          </cell>
          <cell r="R89" t="str">
            <v>MRC</v>
          </cell>
          <cell r="S89" t="str">
            <v>ZZ</v>
          </cell>
          <cell r="T89">
            <v>11</v>
          </cell>
          <cell r="U89" t="str">
            <v>1103211042018MRCZZ11</v>
          </cell>
          <cell r="V89">
            <v>88</v>
          </cell>
          <cell r="W89" t="str">
            <v>MS: OVERTIME - NIGHT SHIFT</v>
          </cell>
          <cell r="X89">
            <v>0</v>
          </cell>
          <cell r="Y89">
            <v>425.91</v>
          </cell>
          <cell r="Z89">
            <v>511.09199999999998</v>
          </cell>
          <cell r="AA89"/>
          <cell r="AB89">
            <v>0</v>
          </cell>
          <cell r="AC89">
            <v>0</v>
          </cell>
        </row>
        <row r="90">
          <cell r="F90" t="str">
            <v>MS: SRB - ACTING ALLOWANCE</v>
          </cell>
          <cell r="G90" t="str">
            <v>P211044</v>
          </cell>
          <cell r="H90" t="str">
            <v>P211044</v>
          </cell>
          <cell r="I90" t="str">
            <v>501103</v>
          </cell>
          <cell r="J90">
            <v>50</v>
          </cell>
          <cell r="K90" t="str">
            <v>11</v>
          </cell>
          <cell r="L90" t="str">
            <v>03</v>
          </cell>
          <cell r="M90" t="str">
            <v>2</v>
          </cell>
          <cell r="N90" t="str">
            <v>11</v>
          </cell>
          <cell r="O90" t="str">
            <v>044</v>
          </cell>
          <cell r="P90" t="str">
            <v>0</v>
          </cell>
          <cell r="Q90">
            <v>18</v>
          </cell>
          <cell r="R90" t="str">
            <v>MRC</v>
          </cell>
          <cell r="S90" t="str">
            <v>ZZ</v>
          </cell>
          <cell r="T90">
            <v>11</v>
          </cell>
          <cell r="U90" t="str">
            <v>1103211044018MRCZZ11</v>
          </cell>
          <cell r="V90">
            <v>89</v>
          </cell>
          <cell r="W90" t="str">
            <v>MS: SRB - ACTING ALLOWANCE</v>
          </cell>
          <cell r="X90">
            <v>0</v>
          </cell>
          <cell r="Y90">
            <v>0</v>
          </cell>
          <cell r="Z90">
            <v>0</v>
          </cell>
          <cell r="AA90"/>
          <cell r="AB90">
            <v>0</v>
          </cell>
          <cell r="AC90">
            <v>0</v>
          </cell>
        </row>
        <row r="91">
          <cell r="F91" t="str">
            <v>MS: SRB - ANNUAL BONUS</v>
          </cell>
          <cell r="G91" t="str">
            <v>P211046</v>
          </cell>
          <cell r="H91" t="str">
            <v>P211046</v>
          </cell>
          <cell r="I91" t="str">
            <v>501103</v>
          </cell>
          <cell r="J91">
            <v>50</v>
          </cell>
          <cell r="K91" t="str">
            <v>11</v>
          </cell>
          <cell r="L91" t="str">
            <v>03</v>
          </cell>
          <cell r="M91" t="str">
            <v>2</v>
          </cell>
          <cell r="N91" t="str">
            <v>11</v>
          </cell>
          <cell r="O91" t="str">
            <v>046</v>
          </cell>
          <cell r="P91" t="str">
            <v>0</v>
          </cell>
          <cell r="Q91">
            <v>18</v>
          </cell>
          <cell r="R91" t="str">
            <v>MRC</v>
          </cell>
          <cell r="S91" t="str">
            <v>ZZ</v>
          </cell>
          <cell r="T91">
            <v>11</v>
          </cell>
          <cell r="U91" t="str">
            <v>1103211046018MRCZZ11</v>
          </cell>
          <cell r="V91">
            <v>90</v>
          </cell>
          <cell r="W91" t="str">
            <v>MS: SRB - ANNUAL BONUS</v>
          </cell>
          <cell r="X91">
            <v>235099</v>
          </cell>
          <cell r="Y91">
            <v>187166.66</v>
          </cell>
          <cell r="Z91">
            <v>224599.99200000003</v>
          </cell>
          <cell r="AA91"/>
          <cell r="AB91">
            <v>235099</v>
          </cell>
          <cell r="AC91">
            <v>157543.74400000001</v>
          </cell>
        </row>
        <row r="92">
          <cell r="F92" t="str">
            <v>MS: SRB - STANDBY ALLOWANCE</v>
          </cell>
          <cell r="G92" t="str">
            <v>P211056</v>
          </cell>
          <cell r="H92" t="str">
            <v>P211056</v>
          </cell>
          <cell r="I92" t="str">
            <v>501103</v>
          </cell>
          <cell r="J92">
            <v>50</v>
          </cell>
          <cell r="K92" t="str">
            <v>11</v>
          </cell>
          <cell r="L92" t="str">
            <v>03</v>
          </cell>
          <cell r="M92" t="str">
            <v>2</v>
          </cell>
          <cell r="N92" t="str">
            <v>11</v>
          </cell>
          <cell r="O92" t="str">
            <v>056</v>
          </cell>
          <cell r="P92" t="str">
            <v>0</v>
          </cell>
          <cell r="Q92">
            <v>18</v>
          </cell>
          <cell r="R92" t="str">
            <v>MRC</v>
          </cell>
          <cell r="S92" t="str">
            <v>ZZ</v>
          </cell>
          <cell r="T92">
            <v>11</v>
          </cell>
          <cell r="U92" t="str">
            <v>1103211056018MRCZZ11</v>
          </cell>
          <cell r="V92">
            <v>91</v>
          </cell>
          <cell r="W92" t="str">
            <v>MS: SRB - STANDBY ALLOWANCE</v>
          </cell>
          <cell r="X92">
            <v>227340</v>
          </cell>
          <cell r="Y92">
            <v>186007.58</v>
          </cell>
          <cell r="Z92">
            <v>223209.09599999996</v>
          </cell>
          <cell r="AA92"/>
          <cell r="AB92">
            <v>227340</v>
          </cell>
          <cell r="AC92">
            <v>204606</v>
          </cell>
        </row>
        <row r="93">
          <cell r="F93" t="str">
            <v>MS: SOC CONTR - BARGAINING COUNCIL</v>
          </cell>
          <cell r="G93" t="str">
            <v>P213001</v>
          </cell>
          <cell r="H93" t="str">
            <v>P213001</v>
          </cell>
          <cell r="I93" t="str">
            <v>501103</v>
          </cell>
          <cell r="J93">
            <v>50</v>
          </cell>
          <cell r="K93" t="str">
            <v>11</v>
          </cell>
          <cell r="L93" t="str">
            <v>03</v>
          </cell>
          <cell r="M93" t="str">
            <v>2</v>
          </cell>
          <cell r="N93" t="str">
            <v>13</v>
          </cell>
          <cell r="O93" t="str">
            <v>001</v>
          </cell>
          <cell r="P93" t="str">
            <v>0</v>
          </cell>
          <cell r="Q93">
            <v>18</v>
          </cell>
          <cell r="R93" t="str">
            <v>MRC</v>
          </cell>
          <cell r="S93" t="str">
            <v>ZZ</v>
          </cell>
          <cell r="T93">
            <v>11</v>
          </cell>
          <cell r="U93" t="str">
            <v>1103213001018MRCZZ11</v>
          </cell>
          <cell r="V93">
            <v>92</v>
          </cell>
          <cell r="W93" t="str">
            <v>MS: SOC CONTR - BARGAINING COUNCIL</v>
          </cell>
          <cell r="X93">
            <v>611</v>
          </cell>
          <cell r="Y93">
            <v>463.5</v>
          </cell>
          <cell r="Z93">
            <v>556.20000000000005</v>
          </cell>
          <cell r="AA93"/>
          <cell r="AB93">
            <v>611</v>
          </cell>
          <cell r="AC93">
            <v>518.13120000000004</v>
          </cell>
        </row>
        <row r="94">
          <cell r="F94" t="str">
            <v>MS: SOC CONTR - GROUP LIFE INSURANCE</v>
          </cell>
          <cell r="G94" t="str">
            <v>P213010</v>
          </cell>
          <cell r="H94" t="str">
            <v>P213010</v>
          </cell>
          <cell r="I94" t="str">
            <v>501103</v>
          </cell>
          <cell r="J94">
            <v>50</v>
          </cell>
          <cell r="K94" t="str">
            <v>11</v>
          </cell>
          <cell r="L94" t="str">
            <v>03</v>
          </cell>
          <cell r="M94" t="str">
            <v>2</v>
          </cell>
          <cell r="N94" t="str">
            <v>13</v>
          </cell>
          <cell r="O94" t="str">
            <v>010</v>
          </cell>
          <cell r="P94" t="str">
            <v>0</v>
          </cell>
          <cell r="Q94">
            <v>18</v>
          </cell>
          <cell r="R94" t="str">
            <v>MRC</v>
          </cell>
          <cell r="S94" t="str">
            <v>ZZ</v>
          </cell>
          <cell r="T94">
            <v>11</v>
          </cell>
          <cell r="U94" t="str">
            <v>1103213010018MRCZZ11</v>
          </cell>
          <cell r="V94">
            <v>93</v>
          </cell>
          <cell r="W94" t="str">
            <v>MS: SOC CONTR - GROUP LIFE INSURANCE</v>
          </cell>
          <cell r="X94">
            <v>23906</v>
          </cell>
          <cell r="Y94">
            <v>23141.89</v>
          </cell>
          <cell r="Z94">
            <v>27770.267999999996</v>
          </cell>
          <cell r="AA94"/>
          <cell r="AB94">
            <v>23906</v>
          </cell>
          <cell r="AC94">
            <v>32138.923776000007</v>
          </cell>
        </row>
        <row r="95">
          <cell r="F95" t="str">
            <v>MS: SOC CONTR - MEDICAL</v>
          </cell>
          <cell r="G95" t="str">
            <v>P213020</v>
          </cell>
          <cell r="H95" t="str">
            <v>P213020</v>
          </cell>
          <cell r="I95" t="str">
            <v>501103</v>
          </cell>
          <cell r="J95">
            <v>50</v>
          </cell>
          <cell r="K95" t="str">
            <v>11</v>
          </cell>
          <cell r="L95" t="str">
            <v>03</v>
          </cell>
          <cell r="M95" t="str">
            <v>2</v>
          </cell>
          <cell r="N95" t="str">
            <v>13</v>
          </cell>
          <cell r="O95" t="str">
            <v>020</v>
          </cell>
          <cell r="P95" t="str">
            <v>0</v>
          </cell>
          <cell r="Q95">
            <v>18</v>
          </cell>
          <cell r="R95" t="str">
            <v>MRC</v>
          </cell>
          <cell r="S95" t="str">
            <v>ZZ</v>
          </cell>
          <cell r="T95">
            <v>11</v>
          </cell>
          <cell r="U95" t="str">
            <v>1103213020018MRCZZ11</v>
          </cell>
          <cell r="V95">
            <v>94</v>
          </cell>
          <cell r="W95" t="str">
            <v>MS: SOC CONTR - MEDICAL</v>
          </cell>
          <cell r="X95">
            <v>180433</v>
          </cell>
          <cell r="Y95">
            <v>190884.12</v>
          </cell>
          <cell r="Z95">
            <v>229060.94400000002</v>
          </cell>
          <cell r="AA95"/>
          <cell r="AB95">
            <v>180433</v>
          </cell>
          <cell r="AC95">
            <v>240107.02848000001</v>
          </cell>
        </row>
        <row r="96">
          <cell r="F96" t="str">
            <v>MS: SOC CONTR - PENSION</v>
          </cell>
          <cell r="G96" t="str">
            <v>P213030</v>
          </cell>
          <cell r="H96" t="str">
            <v>P213030</v>
          </cell>
          <cell r="I96" t="str">
            <v>501103</v>
          </cell>
          <cell r="J96">
            <v>50</v>
          </cell>
          <cell r="K96" t="str">
            <v>11</v>
          </cell>
          <cell r="L96" t="str">
            <v>03</v>
          </cell>
          <cell r="M96" t="str">
            <v>2</v>
          </cell>
          <cell r="N96" t="str">
            <v>13</v>
          </cell>
          <cell r="O96" t="str">
            <v>030</v>
          </cell>
          <cell r="P96" t="str">
            <v>0</v>
          </cell>
          <cell r="Q96">
            <v>18</v>
          </cell>
          <cell r="R96" t="str">
            <v>MRC</v>
          </cell>
          <cell r="S96" t="str">
            <v>ZZ</v>
          </cell>
          <cell r="T96">
            <v>11</v>
          </cell>
          <cell r="U96" t="str">
            <v>1103213030018MRCZZ11</v>
          </cell>
          <cell r="V96">
            <v>95</v>
          </cell>
          <cell r="W96" t="str">
            <v>MS: SOC CONTR - PENSION</v>
          </cell>
          <cell r="X96">
            <v>370276</v>
          </cell>
          <cell r="Y96">
            <v>347444.07</v>
          </cell>
          <cell r="Z96">
            <v>416932.88399999996</v>
          </cell>
          <cell r="AA96"/>
          <cell r="AB96">
            <v>370276</v>
          </cell>
          <cell r="AC96">
            <v>341617.85448959999</v>
          </cell>
        </row>
        <row r="97">
          <cell r="F97" t="str">
            <v>MS: SOC CONTR - UNEMPLOYMENT INSUR FUND</v>
          </cell>
          <cell r="G97" t="str">
            <v>P213040</v>
          </cell>
          <cell r="H97" t="str">
            <v>P213040</v>
          </cell>
          <cell r="I97" t="str">
            <v>501103</v>
          </cell>
          <cell r="J97">
            <v>50</v>
          </cell>
          <cell r="K97" t="str">
            <v>11</v>
          </cell>
          <cell r="L97" t="str">
            <v>03</v>
          </cell>
          <cell r="M97" t="str">
            <v>2</v>
          </cell>
          <cell r="N97" t="str">
            <v>13</v>
          </cell>
          <cell r="O97" t="str">
            <v>040</v>
          </cell>
          <cell r="P97" t="str">
            <v>0</v>
          </cell>
          <cell r="Q97">
            <v>18</v>
          </cell>
          <cell r="R97" t="str">
            <v>MRC</v>
          </cell>
          <cell r="S97" t="str">
            <v>ZZ</v>
          </cell>
          <cell r="T97">
            <v>11</v>
          </cell>
          <cell r="U97" t="str">
            <v>1103213040018MRCZZ11</v>
          </cell>
          <cell r="V97">
            <v>96</v>
          </cell>
          <cell r="W97" t="str">
            <v>MS: SOC CONTR - UNEMPLOYMENT INSUR FUND</v>
          </cell>
          <cell r="X97">
            <v>9173</v>
          </cell>
          <cell r="Y97">
            <v>7970.4</v>
          </cell>
          <cell r="Z97">
            <v>9564.48</v>
          </cell>
          <cell r="AA97"/>
          <cell r="AB97">
            <v>9173</v>
          </cell>
          <cell r="AC97">
            <v>8909.8444799999997</v>
          </cell>
        </row>
        <row r="98">
          <cell r="F98" t="str">
            <v>C&amp;PS: B&amp;A PROJECT MANAGEMENT</v>
          </cell>
          <cell r="G98" t="str">
            <v>P227334</v>
          </cell>
          <cell r="H98" t="str">
            <v>P1103227041</v>
          </cell>
          <cell r="I98"/>
          <cell r="J98"/>
          <cell r="K98" t="str">
            <v>11</v>
          </cell>
          <cell r="L98" t="str">
            <v>03</v>
          </cell>
          <cell r="M98" t="str">
            <v>2</v>
          </cell>
          <cell r="N98" t="str">
            <v>27</v>
          </cell>
          <cell r="O98" t="str">
            <v>041</v>
          </cell>
          <cell r="P98" t="str">
            <v>0</v>
          </cell>
          <cell r="Q98">
            <v>18</v>
          </cell>
          <cell r="R98" t="str">
            <v>MRC</v>
          </cell>
          <cell r="S98" t="str">
            <v>ZZ</v>
          </cell>
          <cell r="T98">
            <v>11</v>
          </cell>
          <cell r="U98" t="str">
            <v>1103227041018MRCZZ11</v>
          </cell>
          <cell r="V98">
            <v>97</v>
          </cell>
          <cell r="W98" t="str">
            <v>C&amp;PS: B&amp;A PROJECT MANAGEMENT</v>
          </cell>
          <cell r="X98">
            <v>1442721</v>
          </cell>
          <cell r="Y98">
            <v>810702.08</v>
          </cell>
          <cell r="Z98">
            <v>972842.49600000004</v>
          </cell>
          <cell r="AA98">
            <v>666527.07999999996</v>
          </cell>
          <cell r="AB98">
            <v>2109248.08</v>
          </cell>
          <cell r="AC98">
            <v>1142721</v>
          </cell>
        </row>
        <row r="99">
          <cell r="F99" t="str">
            <v>OC: REG FEES NATIONAL</v>
          </cell>
          <cell r="G99" t="str">
            <v>P230452</v>
          </cell>
          <cell r="H99" t="str">
            <v>P1103230511</v>
          </cell>
          <cell r="I99"/>
          <cell r="J99"/>
          <cell r="K99" t="str">
            <v>11</v>
          </cell>
          <cell r="L99" t="str">
            <v>03</v>
          </cell>
          <cell r="M99" t="str">
            <v>2</v>
          </cell>
          <cell r="N99" t="str">
            <v>30</v>
          </cell>
          <cell r="O99" t="str">
            <v>511</v>
          </cell>
          <cell r="P99" t="str">
            <v>0</v>
          </cell>
          <cell r="Q99">
            <v>18</v>
          </cell>
          <cell r="R99" t="str">
            <v>MRC</v>
          </cell>
          <cell r="S99" t="str">
            <v>ZZ</v>
          </cell>
          <cell r="T99">
            <v>11</v>
          </cell>
          <cell r="U99" t="str">
            <v>1103230511018MRCZZ11</v>
          </cell>
          <cell r="V99">
            <v>98</v>
          </cell>
          <cell r="W99" t="str">
            <v>OC: REG FEES NATIONAL</v>
          </cell>
          <cell r="X99">
            <v>0</v>
          </cell>
          <cell r="Y99">
            <v>0</v>
          </cell>
          <cell r="Z99">
            <v>0</v>
          </cell>
          <cell r="AA99"/>
          <cell r="AB99">
            <v>0</v>
          </cell>
          <cell r="AC99">
            <v>0</v>
          </cell>
        </row>
        <row r="100">
          <cell r="F100" t="str">
            <v>OC: SKILLS DEVELOPMENT FUND LEVY</v>
          </cell>
          <cell r="G100" t="str">
            <v>P230452</v>
          </cell>
          <cell r="H100" t="str">
            <v>P1103230541</v>
          </cell>
          <cell r="I100"/>
          <cell r="J100"/>
          <cell r="K100" t="str">
            <v>11</v>
          </cell>
          <cell r="L100" t="str">
            <v>03</v>
          </cell>
          <cell r="M100" t="str">
            <v>2</v>
          </cell>
          <cell r="N100" t="str">
            <v>30</v>
          </cell>
          <cell r="O100" t="str">
            <v>541</v>
          </cell>
          <cell r="P100" t="str">
            <v>0</v>
          </cell>
          <cell r="Q100">
            <v>18</v>
          </cell>
          <cell r="R100" t="str">
            <v>MRC</v>
          </cell>
          <cell r="S100" t="str">
            <v>ZZ</v>
          </cell>
          <cell r="T100">
            <v>11</v>
          </cell>
          <cell r="U100" t="str">
            <v>1103230541018MRCZZ11</v>
          </cell>
          <cell r="V100">
            <v>99</v>
          </cell>
          <cell r="W100" t="str">
            <v>OC: SKILLS DEVELOPMENT FUND LEVY</v>
          </cell>
          <cell r="X100">
            <v>0</v>
          </cell>
          <cell r="Y100">
            <v>0</v>
          </cell>
          <cell r="Z100">
            <v>0</v>
          </cell>
          <cell r="AA100"/>
          <cell r="AB100">
            <v>0</v>
          </cell>
          <cell r="AC100">
            <v>0</v>
          </cell>
        </row>
        <row r="101">
          <cell r="F101" t="str">
            <v>OC: UNIFORM &amp; PROTECTIVE CLOTHING</v>
          </cell>
          <cell r="G101" t="str">
            <v>P230452</v>
          </cell>
          <cell r="H101" t="str">
            <v>P1103230610</v>
          </cell>
          <cell r="I101"/>
          <cell r="J101"/>
          <cell r="K101" t="str">
            <v>11</v>
          </cell>
          <cell r="L101" t="str">
            <v>03</v>
          </cell>
          <cell r="M101" t="str">
            <v>2</v>
          </cell>
          <cell r="N101" t="str">
            <v>30</v>
          </cell>
          <cell r="O101" t="str">
            <v>610</v>
          </cell>
          <cell r="P101" t="str">
            <v>0</v>
          </cell>
          <cell r="Q101">
            <v>18</v>
          </cell>
          <cell r="R101" t="str">
            <v>MRC</v>
          </cell>
          <cell r="S101" t="str">
            <v>ZZ</v>
          </cell>
          <cell r="T101">
            <v>11</v>
          </cell>
          <cell r="U101" t="str">
            <v>1103230610018MRCZZ11</v>
          </cell>
          <cell r="V101">
            <v>100</v>
          </cell>
          <cell r="W101" t="str">
            <v>OC: UNIFORM &amp; PROTECTIVE CLOTHING</v>
          </cell>
          <cell r="X101">
            <v>0</v>
          </cell>
          <cell r="Y101">
            <v>0</v>
          </cell>
          <cell r="Z101">
            <v>0</v>
          </cell>
          <cell r="AA101"/>
          <cell r="AB101">
            <v>0</v>
          </cell>
          <cell r="AC101">
            <v>160000</v>
          </cell>
        </row>
        <row r="102">
          <cell r="F102" t="str">
            <v>OC: WORKMEN'S COMPENSATION FUND</v>
          </cell>
          <cell r="G102" t="str">
            <v>P230452</v>
          </cell>
          <cell r="H102" t="str">
            <v>P1103230662</v>
          </cell>
          <cell r="I102"/>
          <cell r="J102"/>
          <cell r="K102" t="str">
            <v>11</v>
          </cell>
          <cell r="L102" t="str">
            <v>03</v>
          </cell>
          <cell r="M102" t="str">
            <v>2</v>
          </cell>
          <cell r="N102" t="str">
            <v>30</v>
          </cell>
          <cell r="O102" t="str">
            <v>662</v>
          </cell>
          <cell r="P102" t="str">
            <v>0</v>
          </cell>
          <cell r="Q102">
            <v>18</v>
          </cell>
          <cell r="R102" t="str">
            <v>MRC</v>
          </cell>
          <cell r="S102" t="str">
            <v>ZZ</v>
          </cell>
          <cell r="T102">
            <v>11</v>
          </cell>
          <cell r="U102" t="str">
            <v>1103230662018MRCZZ11</v>
          </cell>
          <cell r="V102">
            <v>101</v>
          </cell>
          <cell r="W102" t="str">
            <v>OC: WORKMEN'S COMPENSATION FUND</v>
          </cell>
          <cell r="X102">
            <v>6116315</v>
          </cell>
          <cell r="Y102">
            <v>5721404.71</v>
          </cell>
          <cell r="Z102">
            <v>6865685.6520000007</v>
          </cell>
          <cell r="AA102"/>
          <cell r="AB102">
            <v>6116315</v>
          </cell>
          <cell r="AC102">
            <v>6116315</v>
          </cell>
        </row>
        <row r="103">
          <cell r="F103" t="str">
            <v>INVENTORY - MATERIALS &amp; SUPPLIES(PRINT&amp;</v>
          </cell>
          <cell r="G103" t="str">
            <v>P232360</v>
          </cell>
          <cell r="H103" t="str">
            <v>P1103232360</v>
          </cell>
          <cell r="I103"/>
          <cell r="J103"/>
          <cell r="K103" t="str">
            <v>11</v>
          </cell>
          <cell r="L103" t="str">
            <v>03</v>
          </cell>
          <cell r="M103" t="str">
            <v>2</v>
          </cell>
          <cell r="N103" t="str">
            <v>32</v>
          </cell>
          <cell r="O103" t="str">
            <v>360</v>
          </cell>
          <cell r="P103" t="str">
            <v>D</v>
          </cell>
          <cell r="Q103">
            <v>18</v>
          </cell>
          <cell r="R103" t="str">
            <v>MRC</v>
          </cell>
          <cell r="S103" t="str">
            <v>ZZ</v>
          </cell>
          <cell r="T103">
            <v>11</v>
          </cell>
          <cell r="U103" t="str">
            <v>1103232360D18MRCZZ11</v>
          </cell>
          <cell r="V103">
            <v>102</v>
          </cell>
          <cell r="W103" t="str">
            <v>INVENTORY - MATERIALS &amp; SUPPLIES(PRINT&amp;</v>
          </cell>
          <cell r="X103">
            <v>0</v>
          </cell>
          <cell r="Y103">
            <v>0</v>
          </cell>
          <cell r="Z103">
            <v>0</v>
          </cell>
          <cell r="AA103"/>
          <cell r="AB103">
            <v>0</v>
          </cell>
          <cell r="AC103">
            <v>10000</v>
          </cell>
        </row>
        <row r="104">
          <cell r="F104" t="str">
            <v>INVENTORY - MATERIALS &amp; SUPPLIES(STOCK &amp;</v>
          </cell>
          <cell r="G104" t="str">
            <v>P232360</v>
          </cell>
          <cell r="H104" t="str">
            <v>P1103232360</v>
          </cell>
          <cell r="I104"/>
          <cell r="J104"/>
          <cell r="K104" t="str">
            <v>11</v>
          </cell>
          <cell r="L104" t="str">
            <v>03</v>
          </cell>
          <cell r="M104" t="str">
            <v>2</v>
          </cell>
          <cell r="N104" t="str">
            <v>32</v>
          </cell>
          <cell r="O104" t="str">
            <v>360</v>
          </cell>
          <cell r="P104" t="str">
            <v>R</v>
          </cell>
          <cell r="Q104">
            <v>18</v>
          </cell>
          <cell r="R104" t="str">
            <v>MRC</v>
          </cell>
          <cell r="S104" t="str">
            <v>ZZ</v>
          </cell>
          <cell r="T104">
            <v>11</v>
          </cell>
          <cell r="U104" t="str">
            <v>1103232360R18MRCZZ11</v>
          </cell>
          <cell r="V104">
            <v>103</v>
          </cell>
          <cell r="W104" t="str">
            <v>INVENTORY - MATERIALS &amp; SUPPLIES(STOCK &amp;</v>
          </cell>
          <cell r="X104">
            <v>0</v>
          </cell>
          <cell r="Y104">
            <v>0</v>
          </cell>
          <cell r="Z104">
            <v>0</v>
          </cell>
          <cell r="AA104"/>
          <cell r="AB104">
            <v>0</v>
          </cell>
          <cell r="AC104">
            <v>30000</v>
          </cell>
        </row>
        <row r="105">
          <cell r="F105" t="str">
            <v>DEPRECIATION FURNITURE &amp; OFFICE EQUIPM</v>
          </cell>
          <cell r="G105" t="str">
            <v>P272150</v>
          </cell>
          <cell r="H105" t="str">
            <v>P1103272150</v>
          </cell>
          <cell r="I105"/>
          <cell r="J105"/>
          <cell r="K105" t="str">
            <v>11</v>
          </cell>
          <cell r="L105" t="str">
            <v>03</v>
          </cell>
          <cell r="M105" t="str">
            <v>2</v>
          </cell>
          <cell r="N105" t="str">
            <v>72</v>
          </cell>
          <cell r="O105" t="str">
            <v>150</v>
          </cell>
          <cell r="P105" t="str">
            <v>0</v>
          </cell>
          <cell r="Q105">
            <v>18</v>
          </cell>
          <cell r="R105" t="str">
            <v>MRC</v>
          </cell>
          <cell r="S105" t="str">
            <v>ZZ</v>
          </cell>
          <cell r="T105">
            <v>11</v>
          </cell>
          <cell r="U105" t="str">
            <v>1103272150018MRCZZ11</v>
          </cell>
          <cell r="V105">
            <v>104</v>
          </cell>
          <cell r="W105" t="str">
            <v>DEPRECIATION FURNITURE &amp; OFFICE EQUIPM</v>
          </cell>
          <cell r="X105">
            <v>0</v>
          </cell>
          <cell r="Y105">
            <v>0</v>
          </cell>
          <cell r="Z105">
            <v>0</v>
          </cell>
          <cell r="AA105"/>
          <cell r="AB105">
            <v>0</v>
          </cell>
          <cell r="AC105">
            <v>0</v>
          </cell>
        </row>
        <row r="106">
          <cell r="F106" t="str">
            <v>MS: SAL &amp; ALL: BASIC SALARY &amp; WAGES</v>
          </cell>
          <cell r="G106" t="str">
            <v>P211001</v>
          </cell>
          <cell r="H106" t="str">
            <v>P211001</v>
          </cell>
          <cell r="I106" t="str">
            <v>501104</v>
          </cell>
          <cell r="J106">
            <v>50</v>
          </cell>
          <cell r="K106" t="str">
            <v>11</v>
          </cell>
          <cell r="L106" t="str">
            <v>04</v>
          </cell>
          <cell r="M106" t="str">
            <v>2</v>
          </cell>
          <cell r="N106" t="str">
            <v>11</v>
          </cell>
          <cell r="O106" t="str">
            <v>001</v>
          </cell>
          <cell r="P106" t="str">
            <v>0</v>
          </cell>
          <cell r="Q106">
            <v>18</v>
          </cell>
          <cell r="R106" t="str">
            <v>MRC</v>
          </cell>
          <cell r="S106" t="str">
            <v>ZZ</v>
          </cell>
          <cell r="T106">
            <v>11</v>
          </cell>
          <cell r="U106" t="str">
            <v>1104211001018MRCZZ11</v>
          </cell>
          <cell r="V106">
            <v>105</v>
          </cell>
          <cell r="W106" t="str">
            <v>MS: SAL &amp; ALL: BASIC SALARY &amp; WAGES</v>
          </cell>
          <cell r="X106">
            <v>0</v>
          </cell>
          <cell r="Y106">
            <v>0</v>
          </cell>
          <cell r="Z106">
            <v>0</v>
          </cell>
          <cell r="AA106"/>
          <cell r="AB106">
            <v>0</v>
          </cell>
          <cell r="AC106">
            <v>0</v>
          </cell>
        </row>
        <row r="107">
          <cell r="F107" t="str">
            <v>MS: ALL - CELLULAR &amp; TELEPHONE</v>
          </cell>
          <cell r="G107" t="str">
            <v>P211022</v>
          </cell>
          <cell r="H107" t="str">
            <v>P211022</v>
          </cell>
          <cell r="I107" t="str">
            <v>501104</v>
          </cell>
          <cell r="J107">
            <v>50</v>
          </cell>
          <cell r="K107" t="str">
            <v>11</v>
          </cell>
          <cell r="L107" t="str">
            <v>04</v>
          </cell>
          <cell r="M107" t="str">
            <v>2</v>
          </cell>
          <cell r="N107" t="str">
            <v>11</v>
          </cell>
          <cell r="O107" t="str">
            <v>022</v>
          </cell>
          <cell r="P107" t="str">
            <v>0</v>
          </cell>
          <cell r="Q107">
            <v>18</v>
          </cell>
          <cell r="R107" t="str">
            <v>MRC</v>
          </cell>
          <cell r="S107" t="str">
            <v>ZZ</v>
          </cell>
          <cell r="T107">
            <v>11</v>
          </cell>
          <cell r="U107" t="str">
            <v>1104211022018MRCZZ11</v>
          </cell>
          <cell r="V107">
            <v>106</v>
          </cell>
          <cell r="W107" t="str">
            <v>MS: ALL - CELLULAR &amp; TELEPHONE</v>
          </cell>
          <cell r="X107">
            <v>0</v>
          </cell>
          <cell r="Y107">
            <v>0</v>
          </cell>
          <cell r="Z107">
            <v>0</v>
          </cell>
          <cell r="AA107"/>
          <cell r="AB107">
            <v>0</v>
          </cell>
          <cell r="AC107">
            <v>0</v>
          </cell>
        </row>
        <row r="108">
          <cell r="F108" t="str">
            <v>MS: HB &amp; INC: HOUSING BENEFITS</v>
          </cell>
          <cell r="G108" t="str">
            <v>P211026</v>
          </cell>
          <cell r="H108" t="str">
            <v>P211026</v>
          </cell>
          <cell r="I108" t="str">
            <v>501104</v>
          </cell>
          <cell r="J108">
            <v>50</v>
          </cell>
          <cell r="K108" t="str">
            <v>11</v>
          </cell>
          <cell r="L108" t="str">
            <v>04</v>
          </cell>
          <cell r="M108" t="str">
            <v>2</v>
          </cell>
          <cell r="N108" t="str">
            <v>11</v>
          </cell>
          <cell r="O108" t="str">
            <v>026</v>
          </cell>
          <cell r="P108" t="str">
            <v>0</v>
          </cell>
          <cell r="Q108">
            <v>18</v>
          </cell>
          <cell r="R108" t="str">
            <v>MRC</v>
          </cell>
          <cell r="S108" t="str">
            <v>ZZ</v>
          </cell>
          <cell r="T108">
            <v>11</v>
          </cell>
          <cell r="U108" t="str">
            <v>1104211026018MRCZZ11</v>
          </cell>
          <cell r="V108">
            <v>107</v>
          </cell>
          <cell r="W108" t="str">
            <v>MS: HB &amp; INC: HOUSING BENEFITS</v>
          </cell>
          <cell r="X108">
            <v>0</v>
          </cell>
          <cell r="Y108">
            <v>0</v>
          </cell>
          <cell r="Z108">
            <v>0</v>
          </cell>
          <cell r="AA108"/>
          <cell r="AB108">
            <v>0</v>
          </cell>
          <cell r="AC108">
            <v>0</v>
          </cell>
        </row>
        <row r="109">
          <cell r="F109" t="str">
            <v>MS: ALL - TRAVEL OR MOTOR VEHICLE (SUBS</v>
          </cell>
          <cell r="G109" t="str">
            <v>P211034</v>
          </cell>
          <cell r="H109" t="str">
            <v>P211034</v>
          </cell>
          <cell r="I109" t="str">
            <v>501104</v>
          </cell>
          <cell r="J109">
            <v>50</v>
          </cell>
          <cell r="K109" t="str">
            <v>11</v>
          </cell>
          <cell r="L109" t="str">
            <v>04</v>
          </cell>
          <cell r="M109" t="str">
            <v>2</v>
          </cell>
          <cell r="N109" t="str">
            <v>11</v>
          </cell>
          <cell r="O109" t="str">
            <v>034</v>
          </cell>
          <cell r="P109" t="str">
            <v>1</v>
          </cell>
          <cell r="Q109">
            <v>18</v>
          </cell>
          <cell r="R109" t="str">
            <v>MRC</v>
          </cell>
          <cell r="S109" t="str">
            <v>ZZ</v>
          </cell>
          <cell r="T109">
            <v>11</v>
          </cell>
          <cell r="U109" t="str">
            <v>1104211034118MRCZZ11</v>
          </cell>
          <cell r="V109">
            <v>108</v>
          </cell>
          <cell r="W109" t="str">
            <v>MS: ALL - TRAVEL OR MOTOR VEHICLE (SUBS</v>
          </cell>
          <cell r="X109">
            <v>0</v>
          </cell>
          <cell r="Y109">
            <v>0</v>
          </cell>
          <cell r="Z109">
            <v>0</v>
          </cell>
          <cell r="AA109"/>
          <cell r="AB109">
            <v>0</v>
          </cell>
          <cell r="AC109">
            <v>0</v>
          </cell>
        </row>
        <row r="110">
          <cell r="F110" t="str">
            <v>MS: SRB - ANNUAL BONUS</v>
          </cell>
          <cell r="G110" t="str">
            <v>P211046</v>
          </cell>
          <cell r="H110" t="str">
            <v>P211046</v>
          </cell>
          <cell r="I110" t="str">
            <v>501104</v>
          </cell>
          <cell r="J110">
            <v>50</v>
          </cell>
          <cell r="K110" t="str">
            <v>11</v>
          </cell>
          <cell r="L110" t="str">
            <v>04</v>
          </cell>
          <cell r="M110" t="str">
            <v>2</v>
          </cell>
          <cell r="N110" t="str">
            <v>11</v>
          </cell>
          <cell r="O110" t="str">
            <v>046</v>
          </cell>
          <cell r="P110" t="str">
            <v>0</v>
          </cell>
          <cell r="Q110">
            <v>18</v>
          </cell>
          <cell r="R110" t="str">
            <v>MRC</v>
          </cell>
          <cell r="S110" t="str">
            <v>ZZ</v>
          </cell>
          <cell r="T110">
            <v>11</v>
          </cell>
          <cell r="U110" t="str">
            <v>1104211046018MRCZZ11</v>
          </cell>
          <cell r="V110">
            <v>109</v>
          </cell>
          <cell r="W110" t="str">
            <v>MS: SRB - ANNUAL BONUS</v>
          </cell>
          <cell r="X110">
            <v>0</v>
          </cell>
          <cell r="Y110">
            <v>0</v>
          </cell>
          <cell r="Z110">
            <v>0</v>
          </cell>
          <cell r="AA110"/>
          <cell r="AB110">
            <v>0</v>
          </cell>
          <cell r="AC110">
            <v>0</v>
          </cell>
        </row>
        <row r="111">
          <cell r="F111" t="str">
            <v>MS: SOC CONTR - BARGAINING COUNCIL</v>
          </cell>
          <cell r="G111" t="str">
            <v>P213001</v>
          </cell>
          <cell r="H111" t="str">
            <v>P213001</v>
          </cell>
          <cell r="I111" t="str">
            <v>501104</v>
          </cell>
          <cell r="J111">
            <v>50</v>
          </cell>
          <cell r="K111" t="str">
            <v>11</v>
          </cell>
          <cell r="L111" t="str">
            <v>04</v>
          </cell>
          <cell r="M111" t="str">
            <v>2</v>
          </cell>
          <cell r="N111" t="str">
            <v>13</v>
          </cell>
          <cell r="O111" t="str">
            <v>001</v>
          </cell>
          <cell r="P111" t="str">
            <v>0</v>
          </cell>
          <cell r="Q111">
            <v>18</v>
          </cell>
          <cell r="R111" t="str">
            <v>MRC</v>
          </cell>
          <cell r="S111" t="str">
            <v>ZZ</v>
          </cell>
          <cell r="T111">
            <v>11</v>
          </cell>
          <cell r="U111" t="str">
            <v>1104213001018MRCZZ11</v>
          </cell>
          <cell r="V111">
            <v>110</v>
          </cell>
          <cell r="W111" t="str">
            <v>MS: SOC CONTR - BARGAINING COUNCIL</v>
          </cell>
          <cell r="X111">
            <v>0</v>
          </cell>
          <cell r="Y111">
            <v>0</v>
          </cell>
          <cell r="Z111">
            <v>0</v>
          </cell>
          <cell r="AA111"/>
          <cell r="AB111">
            <v>0</v>
          </cell>
          <cell r="AC111">
            <v>0</v>
          </cell>
        </row>
        <row r="112">
          <cell r="F112" t="str">
            <v>MS: SOC CONTR - MEDICAL</v>
          </cell>
          <cell r="G112" t="str">
            <v>P213020</v>
          </cell>
          <cell r="H112" t="str">
            <v>P213020</v>
          </cell>
          <cell r="I112" t="str">
            <v>501104</v>
          </cell>
          <cell r="J112">
            <v>50</v>
          </cell>
          <cell r="K112" t="str">
            <v>11</v>
          </cell>
          <cell r="L112" t="str">
            <v>04</v>
          </cell>
          <cell r="M112" t="str">
            <v>2</v>
          </cell>
          <cell r="N112" t="str">
            <v>13</v>
          </cell>
          <cell r="O112" t="str">
            <v>020</v>
          </cell>
          <cell r="P112" t="str">
            <v>0</v>
          </cell>
          <cell r="Q112">
            <v>18</v>
          </cell>
          <cell r="R112" t="str">
            <v>MRC</v>
          </cell>
          <cell r="S112" t="str">
            <v>ZZ</v>
          </cell>
          <cell r="T112">
            <v>11</v>
          </cell>
          <cell r="U112" t="str">
            <v>1104213020018MRCZZ11</v>
          </cell>
          <cell r="V112">
            <v>111</v>
          </cell>
          <cell r="W112" t="str">
            <v>MS: SOC CONTR - MEDICAL</v>
          </cell>
          <cell r="X112">
            <v>0</v>
          </cell>
          <cell r="Y112">
            <v>0</v>
          </cell>
          <cell r="Z112">
            <v>0</v>
          </cell>
          <cell r="AA112"/>
          <cell r="AB112">
            <v>0</v>
          </cell>
          <cell r="AC112">
            <v>0</v>
          </cell>
        </row>
        <row r="113">
          <cell r="F113" t="str">
            <v>MS: SOC CONTR - PENSION</v>
          </cell>
          <cell r="G113" t="str">
            <v>P213030</v>
          </cell>
          <cell r="H113" t="str">
            <v>P213030</v>
          </cell>
          <cell r="I113" t="str">
            <v>501104</v>
          </cell>
          <cell r="J113">
            <v>50</v>
          </cell>
          <cell r="K113" t="str">
            <v>11</v>
          </cell>
          <cell r="L113" t="str">
            <v>04</v>
          </cell>
          <cell r="M113" t="str">
            <v>2</v>
          </cell>
          <cell r="N113" t="str">
            <v>13</v>
          </cell>
          <cell r="O113" t="str">
            <v>030</v>
          </cell>
          <cell r="P113" t="str">
            <v>0</v>
          </cell>
          <cell r="Q113">
            <v>18</v>
          </cell>
          <cell r="R113" t="str">
            <v>MRC</v>
          </cell>
          <cell r="S113" t="str">
            <v>ZZ</v>
          </cell>
          <cell r="T113">
            <v>11</v>
          </cell>
          <cell r="U113" t="str">
            <v>1104213030018MRCZZ11</v>
          </cell>
          <cell r="V113">
            <v>112</v>
          </cell>
          <cell r="W113" t="str">
            <v>MS: SOC CONTR - PENSION</v>
          </cell>
          <cell r="X113">
            <v>0</v>
          </cell>
          <cell r="Y113">
            <v>0</v>
          </cell>
          <cell r="Z113">
            <v>0</v>
          </cell>
          <cell r="AA113"/>
          <cell r="AB113">
            <v>0</v>
          </cell>
          <cell r="AC113">
            <v>0</v>
          </cell>
        </row>
        <row r="114">
          <cell r="F114" t="str">
            <v>MS: SOC CONTR - UNEMPLOYMENT INSUR FUND</v>
          </cell>
          <cell r="G114" t="str">
            <v>P213040</v>
          </cell>
          <cell r="H114" t="str">
            <v>P213040</v>
          </cell>
          <cell r="I114" t="str">
            <v>501104</v>
          </cell>
          <cell r="J114">
            <v>50</v>
          </cell>
          <cell r="K114" t="str">
            <v>11</v>
          </cell>
          <cell r="L114" t="str">
            <v>04</v>
          </cell>
          <cell r="M114" t="str">
            <v>2</v>
          </cell>
          <cell r="N114" t="str">
            <v>13</v>
          </cell>
          <cell r="O114" t="str">
            <v>040</v>
          </cell>
          <cell r="P114" t="str">
            <v>0</v>
          </cell>
          <cell r="Q114">
            <v>18</v>
          </cell>
          <cell r="R114" t="str">
            <v>MRC</v>
          </cell>
          <cell r="S114" t="str">
            <v>ZZ</v>
          </cell>
          <cell r="T114">
            <v>11</v>
          </cell>
          <cell r="U114" t="str">
            <v>1104213040018MRCZZ11</v>
          </cell>
          <cell r="V114">
            <v>113</v>
          </cell>
          <cell r="W114" t="str">
            <v>MS: SOC CONTR - UNEMPLOYMENT INSUR FUND</v>
          </cell>
          <cell r="X114">
            <v>0</v>
          </cell>
          <cell r="Y114">
            <v>0</v>
          </cell>
          <cell r="Z114">
            <v>0</v>
          </cell>
          <cell r="AA114"/>
          <cell r="AB114">
            <v>0</v>
          </cell>
          <cell r="AC114">
            <v>0</v>
          </cell>
        </row>
        <row r="115">
          <cell r="F115" t="str">
            <v>OC: SKILLS DEVELOPMENT FUND LEVY</v>
          </cell>
          <cell r="G115" t="str">
            <v>P230452</v>
          </cell>
          <cell r="H115" t="str">
            <v>P230541</v>
          </cell>
          <cell r="I115"/>
          <cell r="J115"/>
          <cell r="K115" t="str">
            <v>11</v>
          </cell>
          <cell r="L115" t="str">
            <v>04</v>
          </cell>
          <cell r="M115" t="str">
            <v>2</v>
          </cell>
          <cell r="N115" t="str">
            <v>30</v>
          </cell>
          <cell r="O115" t="str">
            <v>541</v>
          </cell>
          <cell r="P115" t="str">
            <v>0</v>
          </cell>
          <cell r="Q115">
            <v>18</v>
          </cell>
          <cell r="R115" t="str">
            <v>MRC</v>
          </cell>
          <cell r="S115" t="str">
            <v>ZZ</v>
          </cell>
          <cell r="T115">
            <v>11</v>
          </cell>
          <cell r="U115" t="str">
            <v>1104230541018MRCZZ11</v>
          </cell>
          <cell r="V115">
            <v>114</v>
          </cell>
          <cell r="W115" t="str">
            <v>OC: SKILLS DEVELOPMENT FUND LEVY</v>
          </cell>
          <cell r="X115">
            <v>0</v>
          </cell>
          <cell r="Y115">
            <v>0</v>
          </cell>
          <cell r="Z115">
            <v>0</v>
          </cell>
          <cell r="AA115"/>
          <cell r="AB115">
            <v>0</v>
          </cell>
          <cell r="AC115">
            <v>0</v>
          </cell>
        </row>
        <row r="116">
          <cell r="F116" t="str">
            <v>ADVERTISEMENTS</v>
          </cell>
          <cell r="G116" t="str">
            <v>P142008</v>
          </cell>
          <cell r="H116" t="str">
            <v>P142008</v>
          </cell>
          <cell r="I116"/>
          <cell r="J116"/>
          <cell r="K116" t="str">
            <v>11</v>
          </cell>
          <cell r="L116" t="str">
            <v>05</v>
          </cell>
          <cell r="M116" t="str">
            <v>1</v>
          </cell>
          <cell r="N116" t="str">
            <v>42</v>
          </cell>
          <cell r="O116" t="str">
            <v>008</v>
          </cell>
          <cell r="P116" t="str">
            <v>0</v>
          </cell>
          <cell r="Q116">
            <v>29</v>
          </cell>
          <cell r="R116" t="str">
            <v>ZZZ</v>
          </cell>
          <cell r="S116" t="str">
            <v>ZZ</v>
          </cell>
          <cell r="T116">
            <v>11</v>
          </cell>
          <cell r="U116" t="str">
            <v>1105142008029ZZZZZ11</v>
          </cell>
          <cell r="V116">
            <v>115</v>
          </cell>
          <cell r="W116" t="str">
            <v>ADVERTISEMENTS</v>
          </cell>
          <cell r="X116">
            <v>-32669</v>
          </cell>
          <cell r="Y116">
            <v>0</v>
          </cell>
          <cell r="Z116">
            <v>0</v>
          </cell>
          <cell r="AA116"/>
          <cell r="AB116">
            <v>-32669</v>
          </cell>
          <cell r="AC116">
            <v>-34237.112000000001</v>
          </cell>
        </row>
        <row r="117">
          <cell r="F117" t="str">
            <v>MS: SAL &amp; ALL: BASIC SALARY &amp; WAGES</v>
          </cell>
          <cell r="G117" t="str">
            <v>P211001</v>
          </cell>
          <cell r="H117" t="str">
            <v>P211001</v>
          </cell>
          <cell r="I117" t="str">
            <v>501105</v>
          </cell>
          <cell r="J117">
            <v>50</v>
          </cell>
          <cell r="K117" t="str">
            <v>11</v>
          </cell>
          <cell r="L117" t="str">
            <v>05</v>
          </cell>
          <cell r="M117" t="str">
            <v>2</v>
          </cell>
          <cell r="N117" t="str">
            <v>11</v>
          </cell>
          <cell r="O117" t="str">
            <v>001</v>
          </cell>
          <cell r="P117" t="str">
            <v>0</v>
          </cell>
          <cell r="Q117">
            <v>18</v>
          </cell>
          <cell r="R117" t="str">
            <v>MRC</v>
          </cell>
          <cell r="S117" t="str">
            <v>ZZ</v>
          </cell>
          <cell r="T117">
            <v>11</v>
          </cell>
          <cell r="U117" t="str">
            <v>1105211001018MRCZZ11</v>
          </cell>
          <cell r="V117">
            <v>116</v>
          </cell>
          <cell r="W117" t="str">
            <v>MS: SAL &amp; ALL: BASIC SALARY &amp; WAGES</v>
          </cell>
          <cell r="X117">
            <v>1658847</v>
          </cell>
          <cell r="Y117">
            <v>1313567.56</v>
          </cell>
          <cell r="Z117">
            <v>1576281.0719999999</v>
          </cell>
          <cell r="AA117"/>
          <cell r="AB117">
            <v>1658847</v>
          </cell>
          <cell r="AC117">
            <v>1893367.1040000001</v>
          </cell>
        </row>
        <row r="118">
          <cell r="F118" t="str">
            <v>MS: ALL - CELLULAR &amp; TELEPHONE</v>
          </cell>
          <cell r="G118" t="str">
            <v>P211022</v>
          </cell>
          <cell r="H118" t="str">
            <v>P211022</v>
          </cell>
          <cell r="I118" t="str">
            <v>501105</v>
          </cell>
          <cell r="J118">
            <v>50</v>
          </cell>
          <cell r="K118" t="str">
            <v>11</v>
          </cell>
          <cell r="L118" t="str">
            <v>05</v>
          </cell>
          <cell r="M118" t="str">
            <v>2</v>
          </cell>
          <cell r="N118" t="str">
            <v>11</v>
          </cell>
          <cell r="O118" t="str">
            <v>022</v>
          </cell>
          <cell r="P118" t="str">
            <v>0</v>
          </cell>
          <cell r="Q118">
            <v>18</v>
          </cell>
          <cell r="R118" t="str">
            <v>MRC</v>
          </cell>
          <cell r="S118" t="str">
            <v>ZZ</v>
          </cell>
          <cell r="T118">
            <v>11</v>
          </cell>
          <cell r="U118" t="str">
            <v>1105211022018MRCZZ11</v>
          </cell>
          <cell r="V118">
            <v>117</v>
          </cell>
          <cell r="W118" t="str">
            <v>MS: ALL - CELLULAR &amp; TELEPHONE</v>
          </cell>
          <cell r="X118">
            <v>13570</v>
          </cell>
          <cell r="Y118">
            <v>12100</v>
          </cell>
          <cell r="Z118">
            <v>14520</v>
          </cell>
          <cell r="AA118"/>
          <cell r="AB118">
            <v>13570</v>
          </cell>
          <cell r="AC118">
            <v>13833.6</v>
          </cell>
        </row>
        <row r="119">
          <cell r="F119" t="str">
            <v>MS: HB &amp; INC: HOUSING BENEFITS</v>
          </cell>
          <cell r="G119" t="str">
            <v>P211026</v>
          </cell>
          <cell r="H119" t="str">
            <v>P211026</v>
          </cell>
          <cell r="I119" t="str">
            <v>501105</v>
          </cell>
          <cell r="J119">
            <v>50</v>
          </cell>
          <cell r="K119" t="str">
            <v>11</v>
          </cell>
          <cell r="L119" t="str">
            <v>05</v>
          </cell>
          <cell r="M119" t="str">
            <v>2</v>
          </cell>
          <cell r="N119" t="str">
            <v>11</v>
          </cell>
          <cell r="O119" t="str">
            <v>026</v>
          </cell>
          <cell r="P119" t="str">
            <v>0</v>
          </cell>
          <cell r="Q119">
            <v>18</v>
          </cell>
          <cell r="R119" t="str">
            <v>MRC</v>
          </cell>
          <cell r="S119" t="str">
            <v>ZZ</v>
          </cell>
          <cell r="T119">
            <v>11</v>
          </cell>
          <cell r="U119" t="str">
            <v>1105211026018MRCZZ11</v>
          </cell>
          <cell r="V119">
            <v>118</v>
          </cell>
          <cell r="W119" t="str">
            <v>MS: HB &amp; INC: HOUSING BENEFITS</v>
          </cell>
          <cell r="X119">
            <v>35695</v>
          </cell>
          <cell r="Y119">
            <v>24112.75</v>
          </cell>
          <cell r="Z119">
            <v>28935.300000000003</v>
          </cell>
          <cell r="AA119"/>
          <cell r="AB119">
            <v>35695</v>
          </cell>
          <cell r="AC119">
            <v>48518.711039999995</v>
          </cell>
        </row>
        <row r="120">
          <cell r="F120" t="str">
            <v>MS: ALL - TRAVEL OR MOTOR VEHICLE</v>
          </cell>
          <cell r="G120" t="str">
            <v>P211034</v>
          </cell>
          <cell r="H120" t="str">
            <v>P211034</v>
          </cell>
          <cell r="I120" t="str">
            <v>501105</v>
          </cell>
          <cell r="J120">
            <v>50</v>
          </cell>
          <cell r="K120" t="str">
            <v>11</v>
          </cell>
          <cell r="L120" t="str">
            <v>05</v>
          </cell>
          <cell r="M120" t="str">
            <v>2</v>
          </cell>
          <cell r="N120" t="str">
            <v>11</v>
          </cell>
          <cell r="O120" t="str">
            <v>034</v>
          </cell>
          <cell r="P120" t="str">
            <v>0</v>
          </cell>
          <cell r="Q120">
            <v>18</v>
          </cell>
          <cell r="R120" t="str">
            <v>MRC</v>
          </cell>
          <cell r="S120" t="str">
            <v>ZZ</v>
          </cell>
          <cell r="T120">
            <v>11</v>
          </cell>
          <cell r="U120" t="str">
            <v>1105211034018MRCZZ11</v>
          </cell>
          <cell r="V120">
            <v>119</v>
          </cell>
          <cell r="W120" t="str">
            <v>MS: ALL - TRAVEL OR MOTOR VEHICLE</v>
          </cell>
          <cell r="X120">
            <v>0</v>
          </cell>
          <cell r="Y120">
            <v>0</v>
          </cell>
          <cell r="Z120">
            <v>0</v>
          </cell>
          <cell r="AA120"/>
          <cell r="AB120">
            <v>0</v>
          </cell>
          <cell r="AC120">
            <v>0</v>
          </cell>
        </row>
        <row r="121">
          <cell r="F121" t="str">
            <v>MS: ALL - TRAVEL OR MOTOR VEHICLE (SUBS</v>
          </cell>
          <cell r="G121" t="str">
            <v>P211034</v>
          </cell>
          <cell r="H121" t="str">
            <v>P211034</v>
          </cell>
          <cell r="I121" t="str">
            <v>501105</v>
          </cell>
          <cell r="J121">
            <v>50</v>
          </cell>
          <cell r="K121" t="str">
            <v>11</v>
          </cell>
          <cell r="L121" t="str">
            <v>05</v>
          </cell>
          <cell r="M121" t="str">
            <v>2</v>
          </cell>
          <cell r="N121" t="str">
            <v>11</v>
          </cell>
          <cell r="O121" t="str">
            <v>034</v>
          </cell>
          <cell r="P121" t="str">
            <v>1</v>
          </cell>
          <cell r="Q121">
            <v>18</v>
          </cell>
          <cell r="R121" t="str">
            <v>MRC</v>
          </cell>
          <cell r="S121" t="str">
            <v>ZZ</v>
          </cell>
          <cell r="T121">
            <v>11</v>
          </cell>
          <cell r="U121" t="str">
            <v>1105211034118MRCZZ11</v>
          </cell>
          <cell r="V121">
            <v>120</v>
          </cell>
          <cell r="W121" t="str">
            <v>MS: ALL - TRAVEL OR MOTOR VEHICLE (SUBS</v>
          </cell>
          <cell r="X121">
            <v>451535</v>
          </cell>
          <cell r="Y121">
            <v>339815.74</v>
          </cell>
          <cell r="Z121">
            <v>407778.88800000004</v>
          </cell>
          <cell r="AA121"/>
          <cell r="AB121">
            <v>451535</v>
          </cell>
          <cell r="AC121">
            <v>27728.77</v>
          </cell>
        </row>
        <row r="122">
          <cell r="F122" t="str">
            <v>MS: SRB - ACTING ALLOWANCE</v>
          </cell>
          <cell r="G122" t="str">
            <v>P211044</v>
          </cell>
          <cell r="H122" t="str">
            <v>P211044</v>
          </cell>
          <cell r="I122" t="str">
            <v>501105</v>
          </cell>
          <cell r="J122">
            <v>50</v>
          </cell>
          <cell r="K122" t="str">
            <v>11</v>
          </cell>
          <cell r="L122" t="str">
            <v>05</v>
          </cell>
          <cell r="M122" t="str">
            <v>2</v>
          </cell>
          <cell r="N122" t="str">
            <v>11</v>
          </cell>
          <cell r="O122" t="str">
            <v>044</v>
          </cell>
          <cell r="P122" t="str">
            <v>0</v>
          </cell>
          <cell r="Q122">
            <v>18</v>
          </cell>
          <cell r="R122" t="str">
            <v>MRC</v>
          </cell>
          <cell r="S122" t="str">
            <v>ZZ</v>
          </cell>
          <cell r="T122">
            <v>11</v>
          </cell>
          <cell r="U122" t="str">
            <v>1105211044018MRCZZ11</v>
          </cell>
          <cell r="V122">
            <v>121</v>
          </cell>
          <cell r="W122" t="str">
            <v>MS: SRB - ACTING ALLOWANCE</v>
          </cell>
          <cell r="X122">
            <v>0</v>
          </cell>
          <cell r="Y122">
            <v>5158</v>
          </cell>
          <cell r="Z122">
            <v>6189.5999999999995</v>
          </cell>
          <cell r="AA122"/>
          <cell r="AB122">
            <v>0</v>
          </cell>
          <cell r="AC122">
            <v>0</v>
          </cell>
        </row>
        <row r="123">
          <cell r="F123" t="str">
            <v>MS: SRB - ANNUAL BONUS</v>
          </cell>
          <cell r="G123" t="str">
            <v>P211046</v>
          </cell>
          <cell r="H123" t="str">
            <v>P211046</v>
          </cell>
          <cell r="I123" t="str">
            <v>501105</v>
          </cell>
          <cell r="J123">
            <v>50</v>
          </cell>
          <cell r="K123" t="str">
            <v>11</v>
          </cell>
          <cell r="L123" t="str">
            <v>05</v>
          </cell>
          <cell r="M123" t="str">
            <v>2</v>
          </cell>
          <cell r="N123" t="str">
            <v>11</v>
          </cell>
          <cell r="O123" t="str">
            <v>046</v>
          </cell>
          <cell r="P123" t="str">
            <v>0</v>
          </cell>
          <cell r="Q123">
            <v>18</v>
          </cell>
          <cell r="R123" t="str">
            <v>MRC</v>
          </cell>
          <cell r="S123" t="str">
            <v>ZZ</v>
          </cell>
          <cell r="T123">
            <v>11</v>
          </cell>
          <cell r="U123" t="str">
            <v>1105211046018MRCZZ11</v>
          </cell>
          <cell r="V123">
            <v>122</v>
          </cell>
          <cell r="W123" t="str">
            <v>MS: SRB - ANNUAL BONUS</v>
          </cell>
          <cell r="X123">
            <v>166180</v>
          </cell>
          <cell r="Y123">
            <v>125558</v>
          </cell>
          <cell r="Z123">
            <v>150669.59999999998</v>
          </cell>
          <cell r="AA123"/>
          <cell r="AB123">
            <v>166180</v>
          </cell>
          <cell r="AC123">
            <v>157780.592</v>
          </cell>
        </row>
        <row r="124">
          <cell r="F124" t="str">
            <v>MS: SOC CONTR - BARGAINING COUNCIL</v>
          </cell>
          <cell r="G124" t="str">
            <v>P213001</v>
          </cell>
          <cell r="H124" t="str">
            <v>P213001</v>
          </cell>
          <cell r="I124" t="str">
            <v>501105</v>
          </cell>
          <cell r="J124">
            <v>50</v>
          </cell>
          <cell r="K124" t="str">
            <v>11</v>
          </cell>
          <cell r="L124" t="str">
            <v>05</v>
          </cell>
          <cell r="M124" t="str">
            <v>2</v>
          </cell>
          <cell r="N124" t="str">
            <v>13</v>
          </cell>
          <cell r="O124" t="str">
            <v>001</v>
          </cell>
          <cell r="P124" t="str">
            <v>0</v>
          </cell>
          <cell r="Q124">
            <v>18</v>
          </cell>
          <cell r="R124" t="str">
            <v>MRC</v>
          </cell>
          <cell r="S124" t="str">
            <v>ZZ</v>
          </cell>
          <cell r="T124">
            <v>11</v>
          </cell>
          <cell r="U124" t="str">
            <v>1105213001018MRCZZ11</v>
          </cell>
          <cell r="V124">
            <v>123</v>
          </cell>
          <cell r="W124" t="str">
            <v>MS: SOC CONTR - BARGAINING COUNCIL</v>
          </cell>
          <cell r="X124">
            <v>366</v>
          </cell>
          <cell r="Y124">
            <v>288.39999999999998</v>
          </cell>
          <cell r="Z124">
            <v>346.07999999999993</v>
          </cell>
          <cell r="AA124"/>
          <cell r="AB124">
            <v>366</v>
          </cell>
          <cell r="AC124">
            <v>518.13120000000004</v>
          </cell>
        </row>
        <row r="125">
          <cell r="F125" t="str">
            <v>MS: SOC CONTR - GROUP LIFE INSURANCE</v>
          </cell>
          <cell r="G125" t="str">
            <v>P213010</v>
          </cell>
          <cell r="H125" t="str">
            <v>P213010</v>
          </cell>
          <cell r="I125" t="str">
            <v>501105</v>
          </cell>
          <cell r="J125">
            <v>50</v>
          </cell>
          <cell r="K125" t="str">
            <v>11</v>
          </cell>
          <cell r="L125" t="str">
            <v>05</v>
          </cell>
          <cell r="M125" t="str">
            <v>2</v>
          </cell>
          <cell r="N125" t="str">
            <v>13</v>
          </cell>
          <cell r="O125" t="str">
            <v>010</v>
          </cell>
          <cell r="P125" t="str">
            <v>0</v>
          </cell>
          <cell r="Q125">
            <v>18</v>
          </cell>
          <cell r="R125" t="str">
            <v>MRC</v>
          </cell>
          <cell r="S125" t="str">
            <v>ZZ</v>
          </cell>
          <cell r="T125">
            <v>11</v>
          </cell>
          <cell r="U125" t="str">
            <v>1105213010018MRCZZ11</v>
          </cell>
          <cell r="V125">
            <v>124</v>
          </cell>
          <cell r="W125" t="str">
            <v>MS: SOC CONTR - GROUP LIFE INSURANCE</v>
          </cell>
          <cell r="X125">
            <v>3402</v>
          </cell>
          <cell r="Y125">
            <v>852.06</v>
          </cell>
          <cell r="Z125">
            <v>1022.4719999999999</v>
          </cell>
          <cell r="AA125"/>
          <cell r="AB125">
            <v>3402</v>
          </cell>
          <cell r="AC125">
            <v>32187.240768</v>
          </cell>
        </row>
        <row r="126">
          <cell r="F126" t="str">
            <v>MS: SOC CONTR - MEDICAL</v>
          </cell>
          <cell r="G126" t="str">
            <v>P213020</v>
          </cell>
          <cell r="H126" t="str">
            <v>P213020</v>
          </cell>
          <cell r="I126" t="str">
            <v>501105</v>
          </cell>
          <cell r="J126">
            <v>50</v>
          </cell>
          <cell r="K126" t="str">
            <v>11</v>
          </cell>
          <cell r="L126" t="str">
            <v>05</v>
          </cell>
          <cell r="M126" t="str">
            <v>2</v>
          </cell>
          <cell r="N126" t="str">
            <v>13</v>
          </cell>
          <cell r="O126" t="str">
            <v>020</v>
          </cell>
          <cell r="P126" t="str">
            <v>0</v>
          </cell>
          <cell r="Q126">
            <v>18</v>
          </cell>
          <cell r="R126" t="str">
            <v>MRC</v>
          </cell>
          <cell r="S126" t="str">
            <v>ZZ</v>
          </cell>
          <cell r="T126">
            <v>11</v>
          </cell>
          <cell r="U126" t="str">
            <v>1105213020018MRCZZ11</v>
          </cell>
          <cell r="V126">
            <v>125</v>
          </cell>
          <cell r="W126" t="str">
            <v>MS: SOC CONTR - MEDICAL</v>
          </cell>
          <cell r="X126">
            <v>176644</v>
          </cell>
          <cell r="Y126">
            <v>157010.88</v>
          </cell>
          <cell r="Z126">
            <v>188413.05599999998</v>
          </cell>
          <cell r="AA126"/>
          <cell r="AB126">
            <v>176644</v>
          </cell>
          <cell r="AC126">
            <v>240107.02848000001</v>
          </cell>
        </row>
        <row r="127">
          <cell r="F127" t="str">
            <v>MS: SOC CONTR - PENSION</v>
          </cell>
          <cell r="G127" t="str">
            <v>P213030</v>
          </cell>
          <cell r="H127" t="str">
            <v>P213030</v>
          </cell>
          <cell r="I127" t="str">
            <v>501105</v>
          </cell>
          <cell r="J127">
            <v>50</v>
          </cell>
          <cell r="K127" t="str">
            <v>11</v>
          </cell>
          <cell r="L127" t="str">
            <v>05</v>
          </cell>
          <cell r="M127" t="str">
            <v>2</v>
          </cell>
          <cell r="N127" t="str">
            <v>13</v>
          </cell>
          <cell r="O127" t="str">
            <v>030</v>
          </cell>
          <cell r="P127" t="str">
            <v>0</v>
          </cell>
          <cell r="Q127">
            <v>18</v>
          </cell>
          <cell r="R127" t="str">
            <v>MRC</v>
          </cell>
          <cell r="S127" t="str">
            <v>ZZ</v>
          </cell>
          <cell r="T127">
            <v>11</v>
          </cell>
          <cell r="U127" t="str">
            <v>1105213030018MRCZZ11</v>
          </cell>
          <cell r="V127">
            <v>126</v>
          </cell>
          <cell r="W127" t="str">
            <v>MS: SOC CONTR - PENSION</v>
          </cell>
          <cell r="X127">
            <v>286256</v>
          </cell>
          <cell r="Y127">
            <v>228962.99</v>
          </cell>
          <cell r="Z127">
            <v>274755.58799999999</v>
          </cell>
          <cell r="AA127"/>
          <cell r="AB127">
            <v>286256</v>
          </cell>
          <cell r="AC127">
            <v>342131.43569279998</v>
          </cell>
        </row>
        <row r="128">
          <cell r="F128" t="str">
            <v>MS: SOC CONTR - UNEMPLOYMENT INSUR FUND</v>
          </cell>
          <cell r="G128" t="str">
            <v>P213040</v>
          </cell>
          <cell r="H128" t="str">
            <v>P213040</v>
          </cell>
          <cell r="I128" t="str">
            <v>501105</v>
          </cell>
          <cell r="J128">
            <v>50</v>
          </cell>
          <cell r="K128" t="str">
            <v>11</v>
          </cell>
          <cell r="L128" t="str">
            <v>05</v>
          </cell>
          <cell r="M128" t="str">
            <v>2</v>
          </cell>
          <cell r="N128" t="str">
            <v>13</v>
          </cell>
          <cell r="O128" t="str">
            <v>040</v>
          </cell>
          <cell r="P128" t="str">
            <v>0</v>
          </cell>
          <cell r="Q128">
            <v>18</v>
          </cell>
          <cell r="R128" t="str">
            <v>MRC</v>
          </cell>
          <cell r="S128" t="str">
            <v>ZZ</v>
          </cell>
          <cell r="T128">
            <v>11</v>
          </cell>
          <cell r="U128" t="str">
            <v>1105213040018MRCZZ11</v>
          </cell>
          <cell r="V128">
            <v>127</v>
          </cell>
          <cell r="W128" t="str">
            <v>MS: SOC CONTR - UNEMPLOYMENT INSUR FUND</v>
          </cell>
          <cell r="X128">
            <v>5504</v>
          </cell>
          <cell r="Y128">
            <v>4959.3599999999997</v>
          </cell>
          <cell r="Z128">
            <v>5951.232</v>
          </cell>
          <cell r="AA128"/>
          <cell r="AB128">
            <v>5504</v>
          </cell>
          <cell r="AC128">
            <v>8909.8444799999997</v>
          </cell>
        </row>
        <row r="129">
          <cell r="F129" t="str">
            <v>OS: CATERING SERVICES(REFRESHMENTS)</v>
          </cell>
          <cell r="G129" t="str">
            <v>P226060</v>
          </cell>
          <cell r="H129" t="str">
            <v>P226060</v>
          </cell>
          <cell r="I129"/>
          <cell r="J129"/>
          <cell r="K129" t="str">
            <v>11</v>
          </cell>
          <cell r="L129" t="str">
            <v>05</v>
          </cell>
          <cell r="M129" t="str">
            <v>2</v>
          </cell>
          <cell r="N129" t="str">
            <v>26</v>
          </cell>
          <cell r="O129" t="str">
            <v>060</v>
          </cell>
          <cell r="P129" t="str">
            <v>H</v>
          </cell>
          <cell r="Q129">
            <v>18</v>
          </cell>
          <cell r="R129" t="str">
            <v>MRC</v>
          </cell>
          <cell r="S129" t="str">
            <v>ZZ</v>
          </cell>
          <cell r="T129">
            <v>11</v>
          </cell>
          <cell r="U129" t="str">
            <v>1105226060H18MRCZZ11</v>
          </cell>
          <cell r="V129">
            <v>128</v>
          </cell>
          <cell r="W129" t="str">
            <v>OS: CATERING SERVICES(REFRESHMENTS)</v>
          </cell>
          <cell r="X129">
            <v>0</v>
          </cell>
          <cell r="Y129">
            <v>0</v>
          </cell>
          <cell r="Z129">
            <v>0</v>
          </cell>
          <cell r="AA129"/>
          <cell r="AB129">
            <v>0</v>
          </cell>
          <cell r="AC129">
            <v>0</v>
          </cell>
        </row>
        <row r="130">
          <cell r="F130" t="str">
            <v>OS: TRANSLATORS &amp; INTERPRETERS</v>
          </cell>
          <cell r="G130" t="str">
            <v>P226060</v>
          </cell>
          <cell r="H130" t="str">
            <v>P226570</v>
          </cell>
          <cell r="I130"/>
          <cell r="J130"/>
          <cell r="K130" t="str">
            <v>11</v>
          </cell>
          <cell r="L130" t="str">
            <v>05</v>
          </cell>
          <cell r="M130" t="str">
            <v>2</v>
          </cell>
          <cell r="N130" t="str">
            <v>26</v>
          </cell>
          <cell r="O130" t="str">
            <v>570</v>
          </cell>
          <cell r="P130" t="str">
            <v>1</v>
          </cell>
          <cell r="Q130">
            <v>18</v>
          </cell>
          <cell r="R130" t="str">
            <v>MRC</v>
          </cell>
          <cell r="S130" t="str">
            <v>ZZ</v>
          </cell>
          <cell r="T130">
            <v>11</v>
          </cell>
          <cell r="U130" t="str">
            <v>1105226570118MRCZZ11</v>
          </cell>
          <cell r="V130">
            <v>129</v>
          </cell>
          <cell r="W130" t="str">
            <v>OS: TRANSLATORS &amp; INTERPRETERS</v>
          </cell>
          <cell r="X130">
            <v>0</v>
          </cell>
          <cell r="Y130">
            <v>0</v>
          </cell>
          <cell r="Z130">
            <v>0</v>
          </cell>
          <cell r="AA130"/>
          <cell r="AB130">
            <v>0</v>
          </cell>
          <cell r="AC130">
            <v>0</v>
          </cell>
        </row>
        <row r="131">
          <cell r="F131" t="str">
            <v>OC:ADV/PUB/MARK - CORP &amp; MUN ACT ( GEN A</v>
          </cell>
          <cell r="G131" t="str">
            <v>P230452</v>
          </cell>
          <cell r="H131" t="str">
            <v>P230012</v>
          </cell>
          <cell r="I131"/>
          <cell r="J131"/>
          <cell r="K131" t="str">
            <v>11</v>
          </cell>
          <cell r="L131" t="str">
            <v>05</v>
          </cell>
          <cell r="M131" t="str">
            <v>2</v>
          </cell>
          <cell r="N131" t="str">
            <v>30</v>
          </cell>
          <cell r="O131" t="str">
            <v>012</v>
          </cell>
          <cell r="P131" t="str">
            <v>1</v>
          </cell>
          <cell r="Q131">
            <v>18</v>
          </cell>
          <cell r="R131" t="str">
            <v>MRC</v>
          </cell>
          <cell r="S131" t="str">
            <v>ZZ</v>
          </cell>
          <cell r="T131">
            <v>11</v>
          </cell>
          <cell r="U131" t="str">
            <v>1105230012118MRCZZ11</v>
          </cell>
          <cell r="V131">
            <v>130</v>
          </cell>
          <cell r="W131" t="str">
            <v>OC:ADV/PUB/MARK - CORP &amp; MUN ACT ( GEN A</v>
          </cell>
          <cell r="X131">
            <v>1677672</v>
          </cell>
          <cell r="Y131">
            <v>1229610.26</v>
          </cell>
          <cell r="Z131">
            <v>1475532.3119999999</v>
          </cell>
          <cell r="AA131"/>
          <cell r="AB131">
            <v>1677672</v>
          </cell>
          <cell r="AC131">
            <v>800000</v>
          </cell>
        </row>
        <row r="132">
          <cell r="F132" t="str">
            <v>OC:ADV/PUB/MARK - CORP &amp; MUN ACT (ADVERT</v>
          </cell>
          <cell r="G132" t="str">
            <v>P230452</v>
          </cell>
          <cell r="H132" t="str">
            <v>P230012</v>
          </cell>
          <cell r="I132"/>
          <cell r="J132"/>
          <cell r="K132" t="str">
            <v>11</v>
          </cell>
          <cell r="L132" t="str">
            <v>05</v>
          </cell>
          <cell r="M132" t="str">
            <v>2</v>
          </cell>
          <cell r="N132" t="str">
            <v>30</v>
          </cell>
          <cell r="O132" t="str">
            <v>012</v>
          </cell>
          <cell r="P132" t="str">
            <v>2</v>
          </cell>
          <cell r="Q132">
            <v>18</v>
          </cell>
          <cell r="R132" t="str">
            <v>MRC</v>
          </cell>
          <cell r="S132" t="str">
            <v>ZZ</v>
          </cell>
          <cell r="T132">
            <v>11</v>
          </cell>
          <cell r="U132" t="str">
            <v>1105230012218MRCZZ11</v>
          </cell>
          <cell r="V132">
            <v>131</v>
          </cell>
          <cell r="W132" t="str">
            <v>OC:ADV/PUB/MARK - CORP &amp; MUN ACT (ADVERT</v>
          </cell>
          <cell r="X132">
            <v>421567</v>
          </cell>
          <cell r="Y132">
            <v>351698.31</v>
          </cell>
          <cell r="Z132">
            <v>422037.97199999995</v>
          </cell>
          <cell r="AA132"/>
          <cell r="AB132">
            <v>421567</v>
          </cell>
          <cell r="AC132">
            <v>900000</v>
          </cell>
        </row>
        <row r="133">
          <cell r="F133" t="str">
            <v>OC: PRINTING &amp; PUBLICATIONS (OTHER)</v>
          </cell>
          <cell r="G133" t="str">
            <v>P230452</v>
          </cell>
          <cell r="H133" t="str">
            <v>P230451</v>
          </cell>
          <cell r="I133"/>
          <cell r="J133"/>
          <cell r="K133" t="str">
            <v>11</v>
          </cell>
          <cell r="L133" t="str">
            <v>05</v>
          </cell>
          <cell r="M133" t="str">
            <v>2</v>
          </cell>
          <cell r="N133" t="str">
            <v>30</v>
          </cell>
          <cell r="O133" t="str">
            <v>451</v>
          </cell>
          <cell r="P133" t="str">
            <v>3</v>
          </cell>
          <cell r="Q133">
            <v>18</v>
          </cell>
          <cell r="R133" t="str">
            <v>MRC</v>
          </cell>
          <cell r="S133" t="str">
            <v>ZZ</v>
          </cell>
          <cell r="T133">
            <v>11</v>
          </cell>
          <cell r="U133" t="str">
            <v>1105230451318MRCZZ11</v>
          </cell>
          <cell r="V133">
            <v>132</v>
          </cell>
          <cell r="W133" t="str">
            <v xml:space="preserve">OC: CORPORATE BRANDING </v>
          </cell>
          <cell r="X133">
            <v>0</v>
          </cell>
          <cell r="Y133">
            <v>0</v>
          </cell>
          <cell r="Z133">
            <v>0</v>
          </cell>
          <cell r="AA133"/>
          <cell r="AB133">
            <v>0</v>
          </cell>
          <cell r="AC133">
            <v>900000</v>
          </cell>
        </row>
        <row r="134">
          <cell r="F134" t="str">
            <v>OC: SKILLS DEVELOPMENT FUND LEVY</v>
          </cell>
          <cell r="G134" t="str">
            <v>P230452</v>
          </cell>
          <cell r="H134" t="str">
            <v>P230541</v>
          </cell>
          <cell r="I134"/>
          <cell r="J134"/>
          <cell r="K134" t="str">
            <v>11</v>
          </cell>
          <cell r="L134" t="str">
            <v>05</v>
          </cell>
          <cell r="M134" t="str">
            <v>2</v>
          </cell>
          <cell r="N134" t="str">
            <v>30</v>
          </cell>
          <cell r="O134" t="str">
            <v>541</v>
          </cell>
          <cell r="P134" t="str">
            <v>0</v>
          </cell>
          <cell r="Q134">
            <v>18</v>
          </cell>
          <cell r="R134" t="str">
            <v>MRC</v>
          </cell>
          <cell r="S134" t="str">
            <v>ZZ</v>
          </cell>
          <cell r="T134">
            <v>11</v>
          </cell>
          <cell r="U134" t="str">
            <v>1105230541018MRCZZ11</v>
          </cell>
          <cell r="V134">
            <v>133</v>
          </cell>
          <cell r="W134" t="str">
            <v>OC: SKILLS DEVELOPMENT FUND LEVY</v>
          </cell>
          <cell r="X134">
            <v>0</v>
          </cell>
          <cell r="Y134">
            <v>0</v>
          </cell>
          <cell r="Z134">
            <v>0</v>
          </cell>
          <cell r="AA134"/>
          <cell r="AB134">
            <v>0</v>
          </cell>
          <cell r="AC134">
            <v>0</v>
          </cell>
        </row>
        <row r="135">
          <cell r="F135" t="str">
            <v>OC: UNIFORM &amp; PROTECTIVE CLOTHING</v>
          </cell>
          <cell r="G135" t="str">
            <v>P230452</v>
          </cell>
          <cell r="H135" t="str">
            <v>P230610</v>
          </cell>
          <cell r="I135"/>
          <cell r="J135"/>
          <cell r="K135" t="str">
            <v>11</v>
          </cell>
          <cell r="L135" t="str">
            <v>05</v>
          </cell>
          <cell r="M135" t="str">
            <v>2</v>
          </cell>
          <cell r="N135" t="str">
            <v>30</v>
          </cell>
          <cell r="O135" t="str">
            <v>610</v>
          </cell>
          <cell r="P135" t="str">
            <v>0</v>
          </cell>
          <cell r="Q135">
            <v>18</v>
          </cell>
          <cell r="R135" t="str">
            <v>MRC</v>
          </cell>
          <cell r="S135" t="str">
            <v>ZZ</v>
          </cell>
          <cell r="T135">
            <v>11</v>
          </cell>
          <cell r="U135" t="str">
            <v>1105230610018MRCZZ11</v>
          </cell>
          <cell r="V135">
            <v>134</v>
          </cell>
          <cell r="W135" t="str">
            <v>OC: UNIFORM &amp; PROTECTIVE CLOTHING</v>
          </cell>
          <cell r="X135">
            <v>0</v>
          </cell>
          <cell r="Y135">
            <v>0</v>
          </cell>
          <cell r="Z135">
            <v>0</v>
          </cell>
          <cell r="AA135"/>
          <cell r="AB135">
            <v>0</v>
          </cell>
          <cell r="AC135">
            <v>0</v>
          </cell>
        </row>
        <row r="136">
          <cell r="F136" t="str">
            <v>INVENTORY - MATERIALS &amp; SUPPLIES(PRINT&amp;</v>
          </cell>
          <cell r="G136" t="str">
            <v>P232360</v>
          </cell>
          <cell r="H136" t="str">
            <v>P232360</v>
          </cell>
          <cell r="I136"/>
          <cell r="J136"/>
          <cell r="K136" t="str">
            <v>11</v>
          </cell>
          <cell r="L136" t="str">
            <v>05</v>
          </cell>
          <cell r="M136" t="str">
            <v>2</v>
          </cell>
          <cell r="N136" t="str">
            <v>32</v>
          </cell>
          <cell r="O136" t="str">
            <v>360</v>
          </cell>
          <cell r="P136" t="str">
            <v>D</v>
          </cell>
          <cell r="Q136">
            <v>18</v>
          </cell>
          <cell r="R136" t="str">
            <v>MRC</v>
          </cell>
          <cell r="S136" t="str">
            <v>ZZ</v>
          </cell>
          <cell r="T136">
            <v>11</v>
          </cell>
          <cell r="U136" t="str">
            <v>1105232360D18MRCZZ11</v>
          </cell>
          <cell r="V136">
            <v>135</v>
          </cell>
          <cell r="W136" t="str">
            <v>INVENTORY - MATERIALS &amp; SUPPLIES(PRINT&amp;</v>
          </cell>
          <cell r="X136">
            <v>0</v>
          </cell>
          <cell r="Y136">
            <v>0</v>
          </cell>
          <cell r="Z136">
            <v>0</v>
          </cell>
          <cell r="AA136"/>
          <cell r="AB136">
            <v>0</v>
          </cell>
          <cell r="AC136">
            <v>0</v>
          </cell>
        </row>
        <row r="137">
          <cell r="F137" t="str">
            <v>INVENTORY - MATERIALS &amp; SUPPLIES(STOCK &amp;</v>
          </cell>
          <cell r="G137" t="str">
            <v>P232360</v>
          </cell>
          <cell r="H137" t="str">
            <v>P232360</v>
          </cell>
          <cell r="I137"/>
          <cell r="J137"/>
          <cell r="K137" t="str">
            <v>11</v>
          </cell>
          <cell r="L137" t="str">
            <v>05</v>
          </cell>
          <cell r="M137" t="str">
            <v>2</v>
          </cell>
          <cell r="N137" t="str">
            <v>32</v>
          </cell>
          <cell r="O137" t="str">
            <v>360</v>
          </cell>
          <cell r="P137" t="str">
            <v>R</v>
          </cell>
          <cell r="Q137">
            <v>18</v>
          </cell>
          <cell r="R137" t="str">
            <v>MRC</v>
          </cell>
          <cell r="S137" t="str">
            <v>ZZ</v>
          </cell>
          <cell r="T137">
            <v>11</v>
          </cell>
          <cell r="U137" t="str">
            <v>1105232360R18MRCZZ11</v>
          </cell>
          <cell r="V137">
            <v>136</v>
          </cell>
          <cell r="W137" t="str">
            <v>INVENTORY - MATERIALS &amp; SUPPLIES(STOCK &amp;</v>
          </cell>
          <cell r="X137">
            <v>0</v>
          </cell>
          <cell r="Y137">
            <v>0</v>
          </cell>
          <cell r="Z137">
            <v>0</v>
          </cell>
          <cell r="AA137"/>
          <cell r="AB137">
            <v>0</v>
          </cell>
          <cell r="AC137">
            <v>0</v>
          </cell>
        </row>
        <row r="138">
          <cell r="F138" t="str">
            <v>MS: SAL &amp; ALL: BASIC SALARY &amp; WAGES</v>
          </cell>
          <cell r="G138" t="str">
            <v>P211001</v>
          </cell>
          <cell r="H138" t="str">
            <v>P211001</v>
          </cell>
          <cell r="I138">
            <v>110721</v>
          </cell>
          <cell r="J138">
            <v>50</v>
          </cell>
          <cell r="K138" t="str">
            <v>11</v>
          </cell>
          <cell r="L138" t="str">
            <v>07</v>
          </cell>
          <cell r="M138" t="str">
            <v>2</v>
          </cell>
          <cell r="N138" t="str">
            <v>11</v>
          </cell>
          <cell r="O138" t="str">
            <v>001</v>
          </cell>
          <cell r="P138" t="str">
            <v>0</v>
          </cell>
          <cell r="Q138">
            <v>18</v>
          </cell>
          <cell r="R138" t="str">
            <v>MRC</v>
          </cell>
          <cell r="S138" t="str">
            <v>ZZ</v>
          </cell>
          <cell r="T138">
            <v>11</v>
          </cell>
          <cell r="U138" t="str">
            <v>1107211001018MRCZZ11</v>
          </cell>
          <cell r="V138">
            <v>137</v>
          </cell>
          <cell r="W138" t="str">
            <v>MS: SAL &amp; ALL: BASIC SALARY &amp; WAGES</v>
          </cell>
          <cell r="X138">
            <v>3625272</v>
          </cell>
          <cell r="Y138">
            <v>3599729.02</v>
          </cell>
          <cell r="Z138">
            <v>4319674.824</v>
          </cell>
          <cell r="AA138"/>
          <cell r="AB138">
            <v>3625272</v>
          </cell>
          <cell r="AC138">
            <v>4709203.72</v>
          </cell>
        </row>
        <row r="139">
          <cell r="F139" t="str">
            <v>MS: ALL - CELLULAR &amp; TELEPHONE</v>
          </cell>
          <cell r="G139" t="str">
            <v>P211022</v>
          </cell>
          <cell r="H139" t="str">
            <v>P211022</v>
          </cell>
          <cell r="I139">
            <v>110721</v>
          </cell>
          <cell r="J139">
            <v>50</v>
          </cell>
          <cell r="K139" t="str">
            <v>11</v>
          </cell>
          <cell r="L139" t="str">
            <v>07</v>
          </cell>
          <cell r="M139" t="str">
            <v>2</v>
          </cell>
          <cell r="N139" t="str">
            <v>11</v>
          </cell>
          <cell r="O139" t="str">
            <v>022</v>
          </cell>
          <cell r="P139" t="str">
            <v>0</v>
          </cell>
          <cell r="Q139">
            <v>18</v>
          </cell>
          <cell r="R139" t="str">
            <v>MRC</v>
          </cell>
          <cell r="S139" t="str">
            <v>ZZ</v>
          </cell>
          <cell r="T139">
            <v>11</v>
          </cell>
          <cell r="U139" t="str">
            <v>1107211022018MRCZZ11</v>
          </cell>
          <cell r="V139">
            <v>138</v>
          </cell>
          <cell r="W139" t="str">
            <v>MS: ALL - CELLULAR &amp; TELEPHONE</v>
          </cell>
          <cell r="X139">
            <v>12336</v>
          </cell>
          <cell r="Y139">
            <v>11000</v>
          </cell>
          <cell r="Z139">
            <v>13200</v>
          </cell>
          <cell r="AA139"/>
          <cell r="AB139">
            <v>12336</v>
          </cell>
          <cell r="AC139">
            <v>12576</v>
          </cell>
        </row>
        <row r="140">
          <cell r="F140" t="str">
            <v>MS: HB &amp; INC: HOUSING BENEFITS</v>
          </cell>
          <cell r="G140" t="str">
            <v>P211026</v>
          </cell>
          <cell r="H140" t="str">
            <v>P211026</v>
          </cell>
          <cell r="I140">
            <v>110721</v>
          </cell>
          <cell r="J140">
            <v>50</v>
          </cell>
          <cell r="K140" t="str">
            <v>11</v>
          </cell>
          <cell r="L140" t="str">
            <v>07</v>
          </cell>
          <cell r="M140" t="str">
            <v>2</v>
          </cell>
          <cell r="N140" t="str">
            <v>11</v>
          </cell>
          <cell r="O140" t="str">
            <v>026</v>
          </cell>
          <cell r="P140" t="str">
            <v>0</v>
          </cell>
          <cell r="Q140">
            <v>18</v>
          </cell>
          <cell r="R140" t="str">
            <v>MRC</v>
          </cell>
          <cell r="S140" t="str">
            <v>ZZ</v>
          </cell>
          <cell r="T140">
            <v>11</v>
          </cell>
          <cell r="U140" t="str">
            <v>1107211026018MRCZZ11</v>
          </cell>
          <cell r="V140">
            <v>139</v>
          </cell>
          <cell r="W140" t="str">
            <v>MS: HB &amp; INC: HOUSING BENEFITS</v>
          </cell>
          <cell r="X140">
            <v>3966</v>
          </cell>
          <cell r="Y140">
            <v>10609.61</v>
          </cell>
          <cell r="Z140">
            <v>12731.531999999999</v>
          </cell>
          <cell r="AA140"/>
          <cell r="AB140">
            <v>3966</v>
          </cell>
          <cell r="AC140">
            <v>145556.13311999998</v>
          </cell>
        </row>
        <row r="141">
          <cell r="F141" t="str">
            <v>MS: ALL - TRAVEL OR MOTOR VEHICLE (SUBS</v>
          </cell>
          <cell r="G141" t="str">
            <v>P211034</v>
          </cell>
          <cell r="H141" t="str">
            <v>P211034</v>
          </cell>
          <cell r="I141">
            <v>110721</v>
          </cell>
          <cell r="J141">
            <v>50</v>
          </cell>
          <cell r="K141" t="str">
            <v>11</v>
          </cell>
          <cell r="L141" t="str">
            <v>07</v>
          </cell>
          <cell r="M141" t="str">
            <v>2</v>
          </cell>
          <cell r="N141" t="str">
            <v>11</v>
          </cell>
          <cell r="O141" t="str">
            <v>034</v>
          </cell>
          <cell r="P141" t="str">
            <v>1</v>
          </cell>
          <cell r="Q141">
            <v>18</v>
          </cell>
          <cell r="R141" t="str">
            <v>MRC</v>
          </cell>
          <cell r="S141" t="str">
            <v>ZZ</v>
          </cell>
          <cell r="T141">
            <v>11</v>
          </cell>
          <cell r="U141" t="str">
            <v>1107211034118MRCZZ11</v>
          </cell>
          <cell r="V141">
            <v>140</v>
          </cell>
          <cell r="W141" t="str">
            <v>MS: ALL - TRAVEL OR MOTOR VEHICLE (SUBS</v>
          </cell>
          <cell r="X141">
            <v>182614</v>
          </cell>
          <cell r="Y141">
            <v>171358.9</v>
          </cell>
          <cell r="Z141">
            <v>205630.68</v>
          </cell>
          <cell r="AA141"/>
          <cell r="AB141">
            <v>182614</v>
          </cell>
          <cell r="AC141">
            <v>14994.784000000001</v>
          </cell>
        </row>
        <row r="142">
          <cell r="F142" t="str">
            <v>MS: OVERTIME - NON STRUCTURED</v>
          </cell>
          <cell r="G142" t="str">
            <v>P211036</v>
          </cell>
          <cell r="H142" t="str">
            <v>P211036</v>
          </cell>
          <cell r="I142" t="str">
            <v>501107</v>
          </cell>
          <cell r="J142">
            <v>50</v>
          </cell>
          <cell r="K142" t="str">
            <v>11</v>
          </cell>
          <cell r="L142" t="str">
            <v>07</v>
          </cell>
          <cell r="M142" t="str">
            <v>2</v>
          </cell>
          <cell r="N142" t="str">
            <v>11</v>
          </cell>
          <cell r="O142" t="str">
            <v>036</v>
          </cell>
          <cell r="P142" t="str">
            <v>0</v>
          </cell>
          <cell r="Q142">
            <v>18</v>
          </cell>
          <cell r="R142" t="str">
            <v>MRC</v>
          </cell>
          <cell r="S142" t="str">
            <v>ZZ</v>
          </cell>
          <cell r="T142">
            <v>11</v>
          </cell>
          <cell r="U142" t="str">
            <v>1107211036018MRCZZ11</v>
          </cell>
          <cell r="V142">
            <v>141</v>
          </cell>
          <cell r="W142" t="str">
            <v>MS: OVERTIME - NON STRUCTURED</v>
          </cell>
          <cell r="X142">
            <v>0</v>
          </cell>
          <cell r="Y142">
            <v>0</v>
          </cell>
          <cell r="Z142">
            <v>0</v>
          </cell>
          <cell r="AA142"/>
          <cell r="AB142">
            <v>0</v>
          </cell>
          <cell r="AC142">
            <v>0</v>
          </cell>
        </row>
        <row r="143">
          <cell r="F143" t="str">
            <v>MS: SRB - ANNUAL BONUS</v>
          </cell>
          <cell r="G143" t="str">
            <v>P211046</v>
          </cell>
          <cell r="H143" t="str">
            <v>P211046</v>
          </cell>
          <cell r="I143">
            <v>110721</v>
          </cell>
          <cell r="J143">
            <v>50</v>
          </cell>
          <cell r="K143" t="str">
            <v>11</v>
          </cell>
          <cell r="L143" t="str">
            <v>07</v>
          </cell>
          <cell r="M143" t="str">
            <v>2</v>
          </cell>
          <cell r="N143" t="str">
            <v>11</v>
          </cell>
          <cell r="O143" t="str">
            <v>046</v>
          </cell>
          <cell r="P143" t="str">
            <v>0</v>
          </cell>
          <cell r="Q143">
            <v>18</v>
          </cell>
          <cell r="R143" t="str">
            <v>MRC</v>
          </cell>
          <cell r="S143" t="str">
            <v>ZZ</v>
          </cell>
          <cell r="T143">
            <v>11</v>
          </cell>
          <cell r="U143" t="str">
            <v>1107211046018MRCZZ11</v>
          </cell>
          <cell r="V143">
            <v>142</v>
          </cell>
          <cell r="W143" t="str">
            <v>MS: SRB - ANNUAL BONUS</v>
          </cell>
          <cell r="X143">
            <v>197571</v>
          </cell>
          <cell r="Y143">
            <v>226075.83</v>
          </cell>
          <cell r="Z143">
            <v>271290.99599999998</v>
          </cell>
          <cell r="AA143"/>
          <cell r="AB143">
            <v>197571</v>
          </cell>
          <cell r="AC143">
            <v>271348.16000000003</v>
          </cell>
        </row>
        <row r="144">
          <cell r="F144" t="str">
            <v>MS: SOC CONTR - BARGAINING COUNCIL</v>
          </cell>
          <cell r="G144" t="str">
            <v>P213001</v>
          </cell>
          <cell r="H144" t="str">
            <v>P213001</v>
          </cell>
          <cell r="I144">
            <v>110721</v>
          </cell>
          <cell r="J144">
            <v>50</v>
          </cell>
          <cell r="K144" t="str">
            <v>11</v>
          </cell>
          <cell r="L144" t="str">
            <v>07</v>
          </cell>
          <cell r="M144" t="str">
            <v>2</v>
          </cell>
          <cell r="N144" t="str">
            <v>13</v>
          </cell>
          <cell r="O144" t="str">
            <v>001</v>
          </cell>
          <cell r="P144" t="str">
            <v>0</v>
          </cell>
          <cell r="Q144">
            <v>18</v>
          </cell>
          <cell r="R144" t="str">
            <v>MRC</v>
          </cell>
          <cell r="S144" t="str">
            <v>ZZ</v>
          </cell>
          <cell r="T144">
            <v>11</v>
          </cell>
          <cell r="U144" t="str">
            <v>1107213001018MRCZZ11</v>
          </cell>
          <cell r="V144">
            <v>143</v>
          </cell>
          <cell r="W144" t="str">
            <v>MS: SOC CONTR - BARGAINING COUNCIL</v>
          </cell>
          <cell r="X144">
            <v>733</v>
          </cell>
          <cell r="Y144">
            <v>957.9</v>
          </cell>
          <cell r="Z144">
            <v>1149.48</v>
          </cell>
          <cell r="AA144"/>
          <cell r="AB144">
            <v>733</v>
          </cell>
          <cell r="AC144">
            <v>1554.3935999999999</v>
          </cell>
        </row>
        <row r="145">
          <cell r="F145" t="str">
            <v>MS: SOC CONTR - GROUP LIFE INSURANCE</v>
          </cell>
          <cell r="G145" t="str">
            <v>P213010</v>
          </cell>
          <cell r="H145" t="str">
            <v>P213010</v>
          </cell>
          <cell r="I145">
            <v>110721</v>
          </cell>
          <cell r="J145">
            <v>50</v>
          </cell>
          <cell r="K145" t="str">
            <v>11</v>
          </cell>
          <cell r="L145" t="str">
            <v>07</v>
          </cell>
          <cell r="M145" t="str">
            <v>2</v>
          </cell>
          <cell r="N145" t="str">
            <v>13</v>
          </cell>
          <cell r="O145" t="str">
            <v>010</v>
          </cell>
          <cell r="P145" t="str">
            <v>0</v>
          </cell>
          <cell r="Q145">
            <v>18</v>
          </cell>
          <cell r="R145" t="str">
            <v>MRC</v>
          </cell>
          <cell r="S145" t="str">
            <v>ZZ</v>
          </cell>
          <cell r="T145">
            <v>11</v>
          </cell>
          <cell r="U145" t="str">
            <v>1107213010018MRCZZ11</v>
          </cell>
          <cell r="V145">
            <v>144</v>
          </cell>
          <cell r="W145" t="str">
            <v>MS: SOC CONTR - GROUP LIFE INSURANCE</v>
          </cell>
          <cell r="X145">
            <v>11246</v>
          </cell>
          <cell r="Y145">
            <v>11330.97</v>
          </cell>
          <cell r="Z145">
            <v>13597.164000000001</v>
          </cell>
          <cell r="AA145"/>
          <cell r="AB145">
            <v>11246</v>
          </cell>
          <cell r="AC145">
            <v>80056.463240000026</v>
          </cell>
        </row>
        <row r="146">
          <cell r="F146" t="str">
            <v>MS: SOC CONTR - MEDICAL</v>
          </cell>
          <cell r="G146" t="str">
            <v>P213020</v>
          </cell>
          <cell r="H146" t="str">
            <v>P213020</v>
          </cell>
          <cell r="I146">
            <v>110721</v>
          </cell>
          <cell r="J146">
            <v>50</v>
          </cell>
          <cell r="K146" t="str">
            <v>11</v>
          </cell>
          <cell r="L146" t="str">
            <v>07</v>
          </cell>
          <cell r="M146" t="str">
            <v>2</v>
          </cell>
          <cell r="N146" t="str">
            <v>13</v>
          </cell>
          <cell r="O146" t="str">
            <v>020</v>
          </cell>
          <cell r="P146" t="str">
            <v>0</v>
          </cell>
          <cell r="Q146">
            <v>18</v>
          </cell>
          <cell r="R146" t="str">
            <v>MRC</v>
          </cell>
          <cell r="S146" t="str">
            <v>ZZ</v>
          </cell>
          <cell r="T146">
            <v>11</v>
          </cell>
          <cell r="U146" t="str">
            <v>1107213020018MRCZZ11</v>
          </cell>
          <cell r="V146">
            <v>145</v>
          </cell>
          <cell r="W146" t="str">
            <v>MS: SOC CONTR - MEDICAL</v>
          </cell>
          <cell r="X146">
            <v>169790</v>
          </cell>
          <cell r="Y146">
            <v>162589.79999999999</v>
          </cell>
          <cell r="Z146">
            <v>195107.76</v>
          </cell>
          <cell r="AA146"/>
          <cell r="AB146">
            <v>169790</v>
          </cell>
          <cell r="AC146">
            <v>780347.84256000002</v>
          </cell>
        </row>
        <row r="147">
          <cell r="F147" t="str">
            <v>MS: SOC CONTR - PENSION</v>
          </cell>
          <cell r="G147" t="str">
            <v>P213030</v>
          </cell>
          <cell r="H147" t="str">
            <v>P213030</v>
          </cell>
          <cell r="I147">
            <v>110721</v>
          </cell>
          <cell r="J147">
            <v>50</v>
          </cell>
          <cell r="K147" t="str">
            <v>11</v>
          </cell>
          <cell r="L147" t="str">
            <v>07</v>
          </cell>
          <cell r="M147" t="str">
            <v>2</v>
          </cell>
          <cell r="N147" t="str">
            <v>13</v>
          </cell>
          <cell r="O147" t="str">
            <v>030</v>
          </cell>
          <cell r="P147" t="str">
            <v>0</v>
          </cell>
          <cell r="Q147">
            <v>18</v>
          </cell>
          <cell r="R147" t="str">
            <v>MRC</v>
          </cell>
          <cell r="S147" t="str">
            <v>ZZ</v>
          </cell>
          <cell r="T147">
            <v>11</v>
          </cell>
          <cell r="U147" t="str">
            <v>1107213030018MRCZZ11</v>
          </cell>
          <cell r="V147">
            <v>146</v>
          </cell>
          <cell r="W147" t="str">
            <v>MS: SOC CONTR - PENSION</v>
          </cell>
          <cell r="X147">
            <v>638452</v>
          </cell>
          <cell r="Y147">
            <v>599758.12</v>
          </cell>
          <cell r="Z147">
            <v>719709.74399999995</v>
          </cell>
          <cell r="AA147"/>
          <cell r="AB147">
            <v>638452</v>
          </cell>
          <cell r="AC147">
            <v>850953.112204</v>
          </cell>
        </row>
        <row r="148">
          <cell r="F148" t="str">
            <v>MS: SOC CONTR - UNEMPLOYMENT INSUR FUND</v>
          </cell>
          <cell r="G148" t="str">
            <v>P213040</v>
          </cell>
          <cell r="H148" t="str">
            <v>P213040</v>
          </cell>
          <cell r="I148">
            <v>110721</v>
          </cell>
          <cell r="J148">
            <v>50</v>
          </cell>
          <cell r="K148" t="str">
            <v>11</v>
          </cell>
          <cell r="L148" t="str">
            <v>07</v>
          </cell>
          <cell r="M148" t="str">
            <v>2</v>
          </cell>
          <cell r="N148" t="str">
            <v>13</v>
          </cell>
          <cell r="O148" t="str">
            <v>040</v>
          </cell>
          <cell r="P148" t="str">
            <v>0</v>
          </cell>
          <cell r="Q148">
            <v>18</v>
          </cell>
          <cell r="R148" t="str">
            <v>MRC</v>
          </cell>
          <cell r="S148" t="str">
            <v>ZZ</v>
          </cell>
          <cell r="T148">
            <v>11</v>
          </cell>
          <cell r="U148" t="str">
            <v>1107213040018MRCZZ11</v>
          </cell>
          <cell r="V148">
            <v>147</v>
          </cell>
          <cell r="W148" t="str">
            <v>MS: SOC CONTR - UNEMPLOYMENT INSUR FUND</v>
          </cell>
          <cell r="X148">
            <v>11008</v>
          </cell>
          <cell r="Y148">
            <v>13714.92</v>
          </cell>
          <cell r="Z148">
            <v>16457.903999999999</v>
          </cell>
          <cell r="AA148"/>
          <cell r="AB148">
            <v>11008</v>
          </cell>
          <cell r="AC148">
            <v>28956.994559999996</v>
          </cell>
        </row>
        <row r="149">
          <cell r="F149" t="str">
            <v>OS: INTERNAL AUDITORS</v>
          </cell>
          <cell r="G149" t="str">
            <v>P226060</v>
          </cell>
          <cell r="H149" t="str">
            <v>P226240</v>
          </cell>
          <cell r="I149"/>
          <cell r="J149"/>
          <cell r="K149" t="str">
            <v>11</v>
          </cell>
          <cell r="L149" t="str">
            <v>07</v>
          </cell>
          <cell r="M149" t="str">
            <v>2</v>
          </cell>
          <cell r="N149" t="str">
            <v>26</v>
          </cell>
          <cell r="O149" t="str">
            <v>240</v>
          </cell>
          <cell r="P149" t="str">
            <v>0</v>
          </cell>
          <cell r="Q149">
            <v>18</v>
          </cell>
          <cell r="R149" t="str">
            <v>MRC</v>
          </cell>
          <cell r="S149" t="str">
            <v>ZZ</v>
          </cell>
          <cell r="T149">
            <v>11</v>
          </cell>
          <cell r="U149" t="str">
            <v>1107226240018MRCZZ11</v>
          </cell>
          <cell r="V149">
            <v>148</v>
          </cell>
          <cell r="W149" t="str">
            <v>OS: INTERNAL AUDITORS</v>
          </cell>
          <cell r="X149">
            <v>2842267</v>
          </cell>
          <cell r="Y149">
            <v>1682562.56</v>
          </cell>
          <cell r="Z149">
            <v>2019075.0719999999</v>
          </cell>
          <cell r="AA149">
            <v>0</v>
          </cell>
          <cell r="AB149">
            <v>2842267</v>
          </cell>
          <cell r="AC149">
            <v>2842267</v>
          </cell>
        </row>
        <row r="150">
          <cell r="F150" t="str">
            <v>OC: REG FEES NATIONAL</v>
          </cell>
          <cell r="G150" t="str">
            <v>P230452</v>
          </cell>
          <cell r="H150" t="str">
            <v>P230511</v>
          </cell>
          <cell r="I150"/>
          <cell r="J150"/>
          <cell r="K150" t="str">
            <v>11</v>
          </cell>
          <cell r="L150" t="str">
            <v>07</v>
          </cell>
          <cell r="M150" t="str">
            <v>2</v>
          </cell>
          <cell r="N150" t="str">
            <v>30</v>
          </cell>
          <cell r="O150" t="str">
            <v>511</v>
          </cell>
          <cell r="P150" t="str">
            <v>0</v>
          </cell>
          <cell r="Q150">
            <v>18</v>
          </cell>
          <cell r="R150" t="str">
            <v>MRC</v>
          </cell>
          <cell r="S150" t="str">
            <v>ZZ</v>
          </cell>
          <cell r="T150">
            <v>11</v>
          </cell>
          <cell r="U150" t="str">
            <v>1107230511018MRCZZ11</v>
          </cell>
          <cell r="V150">
            <v>149</v>
          </cell>
          <cell r="W150" t="str">
            <v>OC: REG FEES NATIONAL</v>
          </cell>
          <cell r="X150">
            <v>0</v>
          </cell>
          <cell r="Y150">
            <v>0</v>
          </cell>
          <cell r="Z150">
            <v>0</v>
          </cell>
          <cell r="AA150"/>
          <cell r="AB150">
            <v>0</v>
          </cell>
          <cell r="AC150">
            <v>200000</v>
          </cell>
        </row>
        <row r="151">
          <cell r="F151" t="str">
            <v>OC: SKILLS DEVELOPMENT FUND LEVY</v>
          </cell>
          <cell r="G151" t="str">
            <v>P230452</v>
          </cell>
          <cell r="H151" t="str">
            <v>P230541</v>
          </cell>
          <cell r="I151"/>
          <cell r="J151"/>
          <cell r="K151" t="str">
            <v>11</v>
          </cell>
          <cell r="L151" t="str">
            <v>07</v>
          </cell>
          <cell r="M151" t="str">
            <v>2</v>
          </cell>
          <cell r="N151" t="str">
            <v>30</v>
          </cell>
          <cell r="O151" t="str">
            <v>541</v>
          </cell>
          <cell r="P151" t="str">
            <v>0</v>
          </cell>
          <cell r="Q151">
            <v>18</v>
          </cell>
          <cell r="R151" t="str">
            <v>MRC</v>
          </cell>
          <cell r="S151" t="str">
            <v>ZZ</v>
          </cell>
          <cell r="T151">
            <v>11</v>
          </cell>
          <cell r="U151" t="str">
            <v>1107230541018MRCZZ11</v>
          </cell>
          <cell r="V151">
            <v>150</v>
          </cell>
          <cell r="W151" t="str">
            <v>OC: SKILLS DEVELOPMENT FUND LEVY</v>
          </cell>
          <cell r="X151">
            <v>0</v>
          </cell>
          <cell r="Y151">
            <v>0</v>
          </cell>
          <cell r="Z151">
            <v>0</v>
          </cell>
          <cell r="AA151"/>
          <cell r="AB151">
            <v>0</v>
          </cell>
          <cell r="AC151">
            <v>0</v>
          </cell>
        </row>
        <row r="152">
          <cell r="F152" t="str">
            <v>INVENTORY - MATERIALS &amp; SUPPLIES(PRINT&amp;</v>
          </cell>
          <cell r="G152" t="str">
            <v>P232360</v>
          </cell>
          <cell r="H152" t="str">
            <v>P232360</v>
          </cell>
          <cell r="I152"/>
          <cell r="J152"/>
          <cell r="K152" t="str">
            <v>11</v>
          </cell>
          <cell r="L152" t="str">
            <v>07</v>
          </cell>
          <cell r="M152" t="str">
            <v>2</v>
          </cell>
          <cell r="N152" t="str">
            <v>32</v>
          </cell>
          <cell r="O152" t="str">
            <v>360</v>
          </cell>
          <cell r="P152" t="str">
            <v>D</v>
          </cell>
          <cell r="Q152">
            <v>18</v>
          </cell>
          <cell r="R152" t="str">
            <v>MRC</v>
          </cell>
          <cell r="S152" t="str">
            <v>ZZ</v>
          </cell>
          <cell r="T152">
            <v>11</v>
          </cell>
          <cell r="U152" t="str">
            <v>1107232360D18MRCZZ11</v>
          </cell>
          <cell r="V152">
            <v>151</v>
          </cell>
          <cell r="W152" t="str">
            <v>INVENTORY - MATERIALS &amp; SUPPLIES(PRINT&amp;</v>
          </cell>
          <cell r="X152">
            <v>0</v>
          </cell>
          <cell r="Y152">
            <v>0</v>
          </cell>
          <cell r="Z152">
            <v>0</v>
          </cell>
          <cell r="AA152"/>
          <cell r="AB152">
            <v>0</v>
          </cell>
          <cell r="AC152">
            <v>50000</v>
          </cell>
        </row>
        <row r="153">
          <cell r="F153" t="str">
            <v>INVENTORY - MATERIALS &amp; SUPPLIES(STOCK &amp;</v>
          </cell>
          <cell r="G153" t="str">
            <v>P232360</v>
          </cell>
          <cell r="H153" t="str">
            <v>P232360</v>
          </cell>
          <cell r="I153"/>
          <cell r="J153"/>
          <cell r="K153" t="str">
            <v>11</v>
          </cell>
          <cell r="L153" t="str">
            <v>07</v>
          </cell>
          <cell r="M153" t="str">
            <v>2</v>
          </cell>
          <cell r="N153" t="str">
            <v>32</v>
          </cell>
          <cell r="O153" t="str">
            <v>360</v>
          </cell>
          <cell r="P153" t="str">
            <v>R</v>
          </cell>
          <cell r="Q153">
            <v>18</v>
          </cell>
          <cell r="R153" t="str">
            <v>MRC</v>
          </cell>
          <cell r="S153" t="str">
            <v>ZZ</v>
          </cell>
          <cell r="T153">
            <v>11</v>
          </cell>
          <cell r="U153" t="str">
            <v>1107232360R18MRCZZ11</v>
          </cell>
          <cell r="V153">
            <v>152</v>
          </cell>
          <cell r="W153" t="str">
            <v>INVENTORY - MATERIALS &amp; SUPPLIES(STOCK &amp;</v>
          </cell>
          <cell r="X153">
            <v>0</v>
          </cell>
          <cell r="Y153">
            <v>0</v>
          </cell>
          <cell r="Z153">
            <v>0</v>
          </cell>
          <cell r="AA153"/>
          <cell r="AB153">
            <v>0</v>
          </cell>
          <cell r="AC153">
            <v>20000</v>
          </cell>
        </row>
        <row r="154">
          <cell r="F154" t="str">
            <v>MS: SAL &amp; ALL: BASIC SALARY &amp; WAGES</v>
          </cell>
          <cell r="G154" t="str">
            <v>P211001</v>
          </cell>
          <cell r="H154" t="str">
            <v>P211001</v>
          </cell>
          <cell r="I154">
            <v>110821</v>
          </cell>
          <cell r="J154">
            <v>50</v>
          </cell>
          <cell r="K154" t="str">
            <v>11</v>
          </cell>
          <cell r="L154" t="str">
            <v>08</v>
          </cell>
          <cell r="M154" t="str">
            <v>2</v>
          </cell>
          <cell r="N154" t="str">
            <v>11</v>
          </cell>
          <cell r="O154" t="str">
            <v>001</v>
          </cell>
          <cell r="P154" t="str">
            <v>0</v>
          </cell>
          <cell r="Q154">
            <v>18</v>
          </cell>
          <cell r="R154" t="str">
            <v>MRC</v>
          </cell>
          <cell r="S154" t="str">
            <v>ZZ</v>
          </cell>
          <cell r="T154">
            <v>11</v>
          </cell>
          <cell r="U154" t="str">
            <v>1108211001018MRCZZ11</v>
          </cell>
          <cell r="V154">
            <v>153</v>
          </cell>
          <cell r="W154" t="str">
            <v>MS: SAL &amp; ALL: BASIC SALARY &amp; WAGES</v>
          </cell>
          <cell r="X154">
            <v>1641846</v>
          </cell>
          <cell r="Y154">
            <v>1728151.08</v>
          </cell>
          <cell r="Z154">
            <v>2073781.2960000001</v>
          </cell>
          <cell r="AA154"/>
          <cell r="AB154">
            <v>1641846</v>
          </cell>
          <cell r="AC154">
            <v>3003274.56</v>
          </cell>
        </row>
        <row r="155">
          <cell r="F155" t="str">
            <v>MS: ALL - CELLULAR &amp; TELEPHONE</v>
          </cell>
          <cell r="G155" t="str">
            <v>P211022</v>
          </cell>
          <cell r="H155" t="str">
            <v>P211022</v>
          </cell>
          <cell r="I155">
            <v>110821</v>
          </cell>
          <cell r="J155">
            <v>50</v>
          </cell>
          <cell r="K155" t="str">
            <v>11</v>
          </cell>
          <cell r="L155" t="str">
            <v>08</v>
          </cell>
          <cell r="M155" t="str">
            <v>2</v>
          </cell>
          <cell r="N155" t="str">
            <v>11</v>
          </cell>
          <cell r="O155" t="str">
            <v>022</v>
          </cell>
          <cell r="P155" t="str">
            <v>0</v>
          </cell>
          <cell r="Q155">
            <v>18</v>
          </cell>
          <cell r="R155" t="str">
            <v>MRC</v>
          </cell>
          <cell r="S155" t="str">
            <v>ZZ</v>
          </cell>
          <cell r="T155">
            <v>11</v>
          </cell>
          <cell r="U155" t="str">
            <v>1108211022018MRCZZ11</v>
          </cell>
          <cell r="V155">
            <v>154</v>
          </cell>
          <cell r="W155" t="str">
            <v>MS: ALL - CELLULAR &amp; TELEPHONE</v>
          </cell>
          <cell r="X155">
            <v>9252</v>
          </cell>
          <cell r="Y155">
            <v>8250</v>
          </cell>
          <cell r="Z155">
            <v>9900</v>
          </cell>
          <cell r="AA155"/>
          <cell r="AB155">
            <v>9252</v>
          </cell>
          <cell r="AC155">
            <v>9432</v>
          </cell>
        </row>
        <row r="156">
          <cell r="F156" t="str">
            <v>MS: HB &amp; INC: HOUSING BENEFITS</v>
          </cell>
          <cell r="G156" t="str">
            <v>P211026</v>
          </cell>
          <cell r="H156" t="str">
            <v>P211026</v>
          </cell>
          <cell r="I156">
            <v>110821</v>
          </cell>
          <cell r="J156">
            <v>50</v>
          </cell>
          <cell r="K156" t="str">
            <v>11</v>
          </cell>
          <cell r="L156" t="str">
            <v>08</v>
          </cell>
          <cell r="M156" t="str">
            <v>2</v>
          </cell>
          <cell r="N156" t="str">
            <v>11</v>
          </cell>
          <cell r="O156" t="str">
            <v>026</v>
          </cell>
          <cell r="P156" t="str">
            <v>0</v>
          </cell>
          <cell r="Q156">
            <v>18</v>
          </cell>
          <cell r="R156" t="str">
            <v>MRC</v>
          </cell>
          <cell r="S156" t="str">
            <v>ZZ</v>
          </cell>
          <cell r="T156">
            <v>11</v>
          </cell>
          <cell r="U156" t="str">
            <v>1108211026018MRCZZ11</v>
          </cell>
          <cell r="V156">
            <v>155</v>
          </cell>
          <cell r="W156" t="str">
            <v>MS: HB &amp; INC: HOUSING BENEFITS</v>
          </cell>
          <cell r="X156">
            <v>23796</v>
          </cell>
          <cell r="Y156">
            <v>14467.65</v>
          </cell>
          <cell r="Z156">
            <v>17361.18</v>
          </cell>
          <cell r="AA156"/>
          <cell r="AB156">
            <v>23796</v>
          </cell>
          <cell r="AC156">
            <v>72778.066559999992</v>
          </cell>
        </row>
        <row r="157">
          <cell r="F157" t="str">
            <v>MS: ALL - LEAVE PAY</v>
          </cell>
          <cell r="G157" t="str">
            <v>P211032</v>
          </cell>
          <cell r="H157" t="str">
            <v>P211032</v>
          </cell>
          <cell r="I157" t="str">
            <v>501108</v>
          </cell>
          <cell r="J157">
            <v>50</v>
          </cell>
          <cell r="K157" t="str">
            <v>11</v>
          </cell>
          <cell r="L157" t="str">
            <v>08</v>
          </cell>
          <cell r="M157" t="str">
            <v>2</v>
          </cell>
          <cell r="N157" t="str">
            <v>11</v>
          </cell>
          <cell r="O157" t="str">
            <v>032</v>
          </cell>
          <cell r="P157" t="str">
            <v>0</v>
          </cell>
          <cell r="Q157">
            <v>18</v>
          </cell>
          <cell r="R157" t="str">
            <v>MRC</v>
          </cell>
          <cell r="S157" t="str">
            <v>ZZ</v>
          </cell>
          <cell r="T157">
            <v>11</v>
          </cell>
          <cell r="U157" t="str">
            <v>1108211032018MRCZZ11</v>
          </cell>
          <cell r="V157">
            <v>156</v>
          </cell>
          <cell r="W157" t="str">
            <v>MS: ALL - LEAVE PAY</v>
          </cell>
          <cell r="X157">
            <v>0</v>
          </cell>
          <cell r="Y157">
            <v>0</v>
          </cell>
          <cell r="Z157">
            <v>0</v>
          </cell>
          <cell r="AA157"/>
          <cell r="AB157">
            <v>0</v>
          </cell>
          <cell r="AC157">
            <v>0</v>
          </cell>
        </row>
        <row r="158">
          <cell r="F158" t="str">
            <v>MS: ALL - TRAVEL OR MOTOR VEHICLE</v>
          </cell>
          <cell r="G158" t="str">
            <v>P211034</v>
          </cell>
          <cell r="H158" t="str">
            <v>P211034</v>
          </cell>
          <cell r="I158" t="str">
            <v>501108</v>
          </cell>
          <cell r="J158">
            <v>50</v>
          </cell>
          <cell r="K158" t="str">
            <v>11</v>
          </cell>
          <cell r="L158" t="str">
            <v>08</v>
          </cell>
          <cell r="M158" t="str">
            <v>2</v>
          </cell>
          <cell r="N158" t="str">
            <v>11</v>
          </cell>
          <cell r="O158" t="str">
            <v>034</v>
          </cell>
          <cell r="P158" t="str">
            <v>0</v>
          </cell>
          <cell r="Q158">
            <v>18</v>
          </cell>
          <cell r="R158" t="str">
            <v>MRC</v>
          </cell>
          <cell r="S158" t="str">
            <v>ZZ</v>
          </cell>
          <cell r="T158">
            <v>11</v>
          </cell>
          <cell r="U158" t="str">
            <v>1108211034018MRCZZ11</v>
          </cell>
          <cell r="V158">
            <v>157</v>
          </cell>
          <cell r="W158" t="str">
            <v>MS: ALL - TRAVEL OR MOTOR VEHICLE</v>
          </cell>
          <cell r="X158">
            <v>0</v>
          </cell>
          <cell r="Y158">
            <v>0</v>
          </cell>
          <cell r="Z158">
            <v>0</v>
          </cell>
          <cell r="AA158"/>
          <cell r="AB158">
            <v>0</v>
          </cell>
          <cell r="AC158">
            <v>0</v>
          </cell>
        </row>
        <row r="159">
          <cell r="F159" t="str">
            <v>MS: ALL - TRAVEL OR MOTOR VEHICLE (SUBS</v>
          </cell>
          <cell r="G159" t="str">
            <v>P211034</v>
          </cell>
          <cell r="H159" t="str">
            <v>P211034</v>
          </cell>
          <cell r="I159">
            <v>110821</v>
          </cell>
          <cell r="J159">
            <v>50</v>
          </cell>
          <cell r="K159" t="str">
            <v>11</v>
          </cell>
          <cell r="L159" t="str">
            <v>08</v>
          </cell>
          <cell r="M159" t="str">
            <v>2</v>
          </cell>
          <cell r="N159" t="str">
            <v>11</v>
          </cell>
          <cell r="O159" t="str">
            <v>034</v>
          </cell>
          <cell r="P159" t="str">
            <v>1</v>
          </cell>
          <cell r="Q159">
            <v>18</v>
          </cell>
          <cell r="R159" t="str">
            <v>MRC</v>
          </cell>
          <cell r="S159" t="str">
            <v>ZZ</v>
          </cell>
          <cell r="T159">
            <v>11</v>
          </cell>
          <cell r="U159" t="str">
            <v>1108211034118MRCZZ11</v>
          </cell>
          <cell r="V159">
            <v>158</v>
          </cell>
          <cell r="W159" t="str">
            <v>MS: ALL - TRAVEL OR MOTOR VEHICLE (SUBS</v>
          </cell>
          <cell r="X159">
            <v>236081</v>
          </cell>
          <cell r="Y159">
            <v>345315.99</v>
          </cell>
          <cell r="Z159">
            <v>414379.18800000002</v>
          </cell>
          <cell r="AA159"/>
          <cell r="AB159">
            <v>236081</v>
          </cell>
          <cell r="AC159">
            <v>36300.624000000003</v>
          </cell>
        </row>
        <row r="160">
          <cell r="F160" t="str">
            <v>MS: OVERTIME - STRUCTURED</v>
          </cell>
          <cell r="G160" t="str">
            <v>P211038</v>
          </cell>
          <cell r="H160" t="str">
            <v>P211038</v>
          </cell>
          <cell r="I160" t="str">
            <v>501108</v>
          </cell>
          <cell r="J160">
            <v>50</v>
          </cell>
          <cell r="K160" t="str">
            <v>11</v>
          </cell>
          <cell r="L160" t="str">
            <v>08</v>
          </cell>
          <cell r="M160" t="str">
            <v>2</v>
          </cell>
          <cell r="N160" t="str">
            <v>11</v>
          </cell>
          <cell r="O160" t="str">
            <v>038</v>
          </cell>
          <cell r="P160" t="str">
            <v>0</v>
          </cell>
          <cell r="Q160">
            <v>18</v>
          </cell>
          <cell r="R160" t="str">
            <v>MRC</v>
          </cell>
          <cell r="S160" t="str">
            <v>ZZ</v>
          </cell>
          <cell r="T160">
            <v>11</v>
          </cell>
          <cell r="U160" t="str">
            <v>1108211038018MRCZZ11</v>
          </cell>
          <cell r="V160">
            <v>159</v>
          </cell>
          <cell r="W160" t="str">
            <v>MS: OVERTIME - STRUCTURED</v>
          </cell>
          <cell r="X160">
            <v>20240</v>
          </cell>
          <cell r="Y160">
            <v>43738.94</v>
          </cell>
          <cell r="Z160">
            <v>52486.728000000003</v>
          </cell>
          <cell r="AA160"/>
          <cell r="AB160">
            <v>20240</v>
          </cell>
          <cell r="AC160">
            <v>18216</v>
          </cell>
        </row>
        <row r="161">
          <cell r="F161" t="str">
            <v>MS: OVERTIME - NIGHT SHIFT</v>
          </cell>
          <cell r="G161" t="str">
            <v>P211042</v>
          </cell>
          <cell r="H161" t="str">
            <v>P211042</v>
          </cell>
          <cell r="I161" t="str">
            <v>501108</v>
          </cell>
          <cell r="J161">
            <v>50</v>
          </cell>
          <cell r="K161" t="str">
            <v>11</v>
          </cell>
          <cell r="L161" t="str">
            <v>08</v>
          </cell>
          <cell r="M161" t="str">
            <v>2</v>
          </cell>
          <cell r="N161" t="str">
            <v>11</v>
          </cell>
          <cell r="O161" t="str">
            <v>042</v>
          </cell>
          <cell r="P161" t="str">
            <v>0</v>
          </cell>
          <cell r="Q161">
            <v>18</v>
          </cell>
          <cell r="R161" t="str">
            <v>MRC</v>
          </cell>
          <cell r="S161" t="str">
            <v>ZZ</v>
          </cell>
          <cell r="T161">
            <v>11</v>
          </cell>
          <cell r="U161" t="str">
            <v>1108211042018MRCZZ11</v>
          </cell>
          <cell r="V161">
            <v>160</v>
          </cell>
          <cell r="W161" t="str">
            <v>MS: OVERTIME - NIGHT SHIFT</v>
          </cell>
          <cell r="X161">
            <v>1329</v>
          </cell>
          <cell r="Y161">
            <v>5135.21</v>
          </cell>
          <cell r="Z161">
            <v>6162.2519999999995</v>
          </cell>
          <cell r="AA161"/>
          <cell r="AB161">
            <v>1329</v>
          </cell>
          <cell r="AC161">
            <v>1196.1000000000001</v>
          </cell>
        </row>
        <row r="162">
          <cell r="F162" t="str">
            <v>MS: SRB - ANNUAL BONUS</v>
          </cell>
          <cell r="G162" t="str">
            <v>P211046</v>
          </cell>
          <cell r="H162" t="str">
            <v>P211046</v>
          </cell>
          <cell r="I162">
            <v>110821</v>
          </cell>
          <cell r="J162">
            <v>50</v>
          </cell>
          <cell r="K162" t="str">
            <v>11</v>
          </cell>
          <cell r="L162" t="str">
            <v>08</v>
          </cell>
          <cell r="M162" t="str">
            <v>2</v>
          </cell>
          <cell r="N162" t="str">
            <v>11</v>
          </cell>
          <cell r="O162" t="str">
            <v>046</v>
          </cell>
          <cell r="P162" t="str">
            <v>0</v>
          </cell>
          <cell r="Q162">
            <v>18</v>
          </cell>
          <cell r="R162" t="str">
            <v>MRC</v>
          </cell>
          <cell r="S162" t="str">
            <v>ZZ</v>
          </cell>
          <cell r="T162">
            <v>11</v>
          </cell>
          <cell r="U162" t="str">
            <v>1108211046018MRCZZ11</v>
          </cell>
          <cell r="V162">
            <v>161</v>
          </cell>
          <cell r="W162" t="str">
            <v>MS: SRB - ANNUAL BONUS</v>
          </cell>
          <cell r="X162">
            <v>86503</v>
          </cell>
          <cell r="Y162">
            <v>103232</v>
          </cell>
          <cell r="Z162">
            <v>123878.40000000001</v>
          </cell>
          <cell r="AA162"/>
          <cell r="AB162">
            <v>86503</v>
          </cell>
          <cell r="AC162">
            <v>250272.88</v>
          </cell>
        </row>
        <row r="163">
          <cell r="F163" t="str">
            <v>MS: SRB - STANDBY ALLOWANCE</v>
          </cell>
          <cell r="G163" t="str">
            <v>P211056</v>
          </cell>
          <cell r="H163" t="str">
            <v>P211056</v>
          </cell>
          <cell r="I163" t="str">
            <v>501108</v>
          </cell>
          <cell r="J163">
            <v>50</v>
          </cell>
          <cell r="K163" t="str">
            <v>11</v>
          </cell>
          <cell r="L163" t="str">
            <v>08</v>
          </cell>
          <cell r="M163" t="str">
            <v>2</v>
          </cell>
          <cell r="N163" t="str">
            <v>11</v>
          </cell>
          <cell r="O163" t="str">
            <v>056</v>
          </cell>
          <cell r="P163" t="str">
            <v>0</v>
          </cell>
          <cell r="Q163">
            <v>18</v>
          </cell>
          <cell r="R163" t="str">
            <v>MRC</v>
          </cell>
          <cell r="S163" t="str">
            <v>ZZ</v>
          </cell>
          <cell r="T163">
            <v>11</v>
          </cell>
          <cell r="U163" t="str">
            <v>1108211056018MRCZZ11</v>
          </cell>
          <cell r="V163">
            <v>162</v>
          </cell>
          <cell r="W163" t="str">
            <v>MS: SRB - STANDBY ALLOWANCE</v>
          </cell>
          <cell r="X163">
            <v>34904</v>
          </cell>
          <cell r="Y163">
            <v>3285.41</v>
          </cell>
          <cell r="Z163">
            <v>3942.4920000000002</v>
          </cell>
          <cell r="AA163"/>
          <cell r="AB163">
            <v>34904</v>
          </cell>
          <cell r="AC163">
            <v>31413.600000000002</v>
          </cell>
        </row>
        <row r="164">
          <cell r="F164" t="str">
            <v>MS: SOC CONTR - BARGAINING COUNCIL</v>
          </cell>
          <cell r="G164" t="str">
            <v>P213001</v>
          </cell>
          <cell r="H164" t="str">
            <v>P213001</v>
          </cell>
          <cell r="I164">
            <v>110821</v>
          </cell>
          <cell r="J164">
            <v>50</v>
          </cell>
          <cell r="K164" t="str">
            <v>11</v>
          </cell>
          <cell r="L164" t="str">
            <v>08</v>
          </cell>
          <cell r="M164" t="str">
            <v>2</v>
          </cell>
          <cell r="N164" t="str">
            <v>13</v>
          </cell>
          <cell r="O164" t="str">
            <v>001</v>
          </cell>
          <cell r="P164" t="str">
            <v>0</v>
          </cell>
          <cell r="Q164">
            <v>18</v>
          </cell>
          <cell r="R164" t="str">
            <v>MRC</v>
          </cell>
          <cell r="S164" t="str">
            <v>ZZ</v>
          </cell>
          <cell r="T164">
            <v>11</v>
          </cell>
          <cell r="U164" t="str">
            <v>1108213001018MRCZZ11</v>
          </cell>
          <cell r="V164">
            <v>163</v>
          </cell>
          <cell r="W164" t="str">
            <v>MS: SOC CONTR - BARGAINING COUNCIL</v>
          </cell>
          <cell r="X164">
            <v>366</v>
          </cell>
          <cell r="Y164">
            <v>339.9</v>
          </cell>
          <cell r="Z164">
            <v>407.87999999999994</v>
          </cell>
          <cell r="AA164"/>
          <cell r="AB164">
            <v>366</v>
          </cell>
          <cell r="AC164">
            <v>777.19680000000005</v>
          </cell>
        </row>
        <row r="165">
          <cell r="F165" t="str">
            <v>MS: SOC CONTR - GROUP LIFE INSURANCE</v>
          </cell>
          <cell r="G165" t="str">
            <v>P213010</v>
          </cell>
          <cell r="H165" t="str">
            <v>P213010</v>
          </cell>
          <cell r="I165">
            <v>110821</v>
          </cell>
          <cell r="J165">
            <v>50</v>
          </cell>
          <cell r="K165" t="str">
            <v>11</v>
          </cell>
          <cell r="L165" t="str">
            <v>08</v>
          </cell>
          <cell r="M165" t="str">
            <v>2</v>
          </cell>
          <cell r="N165" t="str">
            <v>13</v>
          </cell>
          <cell r="O165" t="str">
            <v>010</v>
          </cell>
          <cell r="P165" t="str">
            <v>0</v>
          </cell>
          <cell r="Q165">
            <v>18</v>
          </cell>
          <cell r="R165" t="str">
            <v>MRC</v>
          </cell>
          <cell r="S165" t="str">
            <v>ZZ</v>
          </cell>
          <cell r="T165">
            <v>11</v>
          </cell>
          <cell r="U165" t="str">
            <v>1108213010018MRCZZ11</v>
          </cell>
          <cell r="V165">
            <v>164</v>
          </cell>
          <cell r="W165" t="str">
            <v>MS: SOC CONTR - GROUP LIFE INSURANCE</v>
          </cell>
          <cell r="X165">
            <v>15890</v>
          </cell>
          <cell r="Y165">
            <v>15992.49</v>
          </cell>
          <cell r="Z165">
            <v>19190.988000000001</v>
          </cell>
          <cell r="AA165"/>
          <cell r="AB165">
            <v>15890</v>
          </cell>
          <cell r="AC165">
            <v>51055.66752000001</v>
          </cell>
        </row>
        <row r="166">
          <cell r="F166" t="str">
            <v>MS: SOC CONTR - MEDICAL</v>
          </cell>
          <cell r="G166" t="str">
            <v>P213020</v>
          </cell>
          <cell r="H166" t="str">
            <v>P213020</v>
          </cell>
          <cell r="I166">
            <v>110821</v>
          </cell>
          <cell r="J166">
            <v>50</v>
          </cell>
          <cell r="K166" t="str">
            <v>11</v>
          </cell>
          <cell r="L166" t="str">
            <v>08</v>
          </cell>
          <cell r="M166" t="str">
            <v>2</v>
          </cell>
          <cell r="N166" t="str">
            <v>13</v>
          </cell>
          <cell r="O166" t="str">
            <v>020</v>
          </cell>
          <cell r="P166" t="str">
            <v>0</v>
          </cell>
          <cell r="Q166">
            <v>18</v>
          </cell>
          <cell r="R166" t="str">
            <v>MRC</v>
          </cell>
          <cell r="S166" t="str">
            <v>ZZ</v>
          </cell>
          <cell r="T166">
            <v>11</v>
          </cell>
          <cell r="U166" t="str">
            <v>1108213020018MRCZZ11</v>
          </cell>
          <cell r="V166">
            <v>165</v>
          </cell>
          <cell r="W166" t="str">
            <v>MS: SOC CONTR - MEDICAL</v>
          </cell>
          <cell r="X166">
            <v>129636</v>
          </cell>
          <cell r="Y166">
            <v>122454.72</v>
          </cell>
          <cell r="Z166">
            <v>146945.66399999999</v>
          </cell>
          <cell r="AA166"/>
          <cell r="AB166">
            <v>129636</v>
          </cell>
          <cell r="AC166">
            <v>360160.54272000003</v>
          </cell>
        </row>
        <row r="167">
          <cell r="F167" t="str">
            <v>MS: SOC CONTR - PENSION</v>
          </cell>
          <cell r="G167" t="str">
            <v>P213030</v>
          </cell>
          <cell r="H167" t="str">
            <v>P213030</v>
          </cell>
          <cell r="I167">
            <v>110821</v>
          </cell>
          <cell r="J167">
            <v>50</v>
          </cell>
          <cell r="K167" t="str">
            <v>11</v>
          </cell>
          <cell r="L167" t="str">
            <v>08</v>
          </cell>
          <cell r="M167" t="str">
            <v>2</v>
          </cell>
          <cell r="N167" t="str">
            <v>13</v>
          </cell>
          <cell r="O167" t="str">
            <v>030</v>
          </cell>
          <cell r="P167" t="str">
            <v>0</v>
          </cell>
          <cell r="Q167">
            <v>18</v>
          </cell>
          <cell r="R167" t="str">
            <v>MRC</v>
          </cell>
          <cell r="S167" t="str">
            <v>ZZ</v>
          </cell>
          <cell r="T167">
            <v>11</v>
          </cell>
          <cell r="U167" t="str">
            <v>1108213030018MRCZZ11</v>
          </cell>
          <cell r="V167">
            <v>166</v>
          </cell>
          <cell r="W167" t="str">
            <v>MS: SOC CONTR - PENSION</v>
          </cell>
          <cell r="X167">
            <v>292096</v>
          </cell>
          <cell r="Y167">
            <v>285467.06</v>
          </cell>
          <cell r="Z167">
            <v>342560.47199999995</v>
          </cell>
          <cell r="AA167"/>
          <cell r="AB167">
            <v>292096</v>
          </cell>
          <cell r="AC167">
            <v>542691.71299200004</v>
          </cell>
        </row>
        <row r="168">
          <cell r="F168" t="str">
            <v>MS: SOC CONTR - UNEMPLOYMENT INSUR FUND</v>
          </cell>
          <cell r="G168" t="str">
            <v>P213040</v>
          </cell>
          <cell r="H168" t="str">
            <v>P213040</v>
          </cell>
          <cell r="I168">
            <v>110821</v>
          </cell>
          <cell r="J168">
            <v>50</v>
          </cell>
          <cell r="K168" t="str">
            <v>11</v>
          </cell>
          <cell r="L168" t="str">
            <v>08</v>
          </cell>
          <cell r="M168" t="str">
            <v>2</v>
          </cell>
          <cell r="N168" t="str">
            <v>13</v>
          </cell>
          <cell r="O168" t="str">
            <v>040</v>
          </cell>
          <cell r="P168" t="str">
            <v>0</v>
          </cell>
          <cell r="Q168">
            <v>18</v>
          </cell>
          <cell r="R168" t="str">
            <v>MRC</v>
          </cell>
          <cell r="S168" t="str">
            <v>ZZ</v>
          </cell>
          <cell r="T168">
            <v>11</v>
          </cell>
          <cell r="U168" t="str">
            <v>1108213040018MRCZZ11</v>
          </cell>
          <cell r="V168">
            <v>167</v>
          </cell>
          <cell r="W168" t="str">
            <v>MS: SOC CONTR - UNEMPLOYMENT INSUR FUND</v>
          </cell>
          <cell r="X168">
            <v>5504</v>
          </cell>
          <cell r="Y168">
            <v>5844.96</v>
          </cell>
          <cell r="Z168">
            <v>7013.9519999999993</v>
          </cell>
          <cell r="AA168">
            <v>0</v>
          </cell>
          <cell r="AB168">
            <v>5504</v>
          </cell>
          <cell r="AC168">
            <v>13364.766720000001</v>
          </cell>
        </row>
        <row r="169">
          <cell r="F169" t="str">
            <v>OC: COMM - PHONE FAX TELEGRAPH &amp; TELEX</v>
          </cell>
          <cell r="G169" t="str">
            <v>P230452</v>
          </cell>
          <cell r="H169" t="str">
            <v>P230117</v>
          </cell>
          <cell r="I169"/>
          <cell r="J169"/>
          <cell r="K169" t="str">
            <v>11</v>
          </cell>
          <cell r="L169" t="str">
            <v>08</v>
          </cell>
          <cell r="M169" t="str">
            <v>2</v>
          </cell>
          <cell r="N169" t="str">
            <v>30</v>
          </cell>
          <cell r="O169" t="str">
            <v>117</v>
          </cell>
          <cell r="P169" t="str">
            <v>0</v>
          </cell>
          <cell r="Q169">
            <v>18</v>
          </cell>
          <cell r="R169" t="str">
            <v>MRC</v>
          </cell>
          <cell r="S169" t="str">
            <v>ZZ</v>
          </cell>
          <cell r="T169">
            <v>11</v>
          </cell>
          <cell r="U169" t="str">
            <v>1108230117018MRCZZ11</v>
          </cell>
          <cell r="V169">
            <v>168</v>
          </cell>
          <cell r="W169" t="str">
            <v>OC: COMM - PHONE FAX TELEGRAPH &amp; TELEX</v>
          </cell>
          <cell r="X169">
            <v>7448053</v>
          </cell>
          <cell r="Y169">
            <v>6363451.0899999999</v>
          </cell>
          <cell r="Z169">
            <v>7636141.3079999993</v>
          </cell>
          <cell r="AA169">
            <v>2215074.7000000002</v>
          </cell>
          <cell r="AB169">
            <v>9663127.6999999993</v>
          </cell>
          <cell r="AC169">
            <v>3491400</v>
          </cell>
        </row>
        <row r="170">
          <cell r="F170" t="str">
            <v>OC: EXT COM SERV PROV - INTERNET CHAR (O</v>
          </cell>
          <cell r="G170" t="str">
            <v>P230452</v>
          </cell>
          <cell r="H170" t="str">
            <v>P230173</v>
          </cell>
          <cell r="I170"/>
          <cell r="J170"/>
          <cell r="K170" t="str">
            <v>11</v>
          </cell>
          <cell r="L170" t="str">
            <v>08</v>
          </cell>
          <cell r="M170" t="str">
            <v>2</v>
          </cell>
          <cell r="N170" t="str">
            <v>30</v>
          </cell>
          <cell r="O170" t="str">
            <v>173</v>
          </cell>
          <cell r="P170" t="str">
            <v>2</v>
          </cell>
          <cell r="Q170">
            <v>18</v>
          </cell>
          <cell r="R170" t="str">
            <v>MRC</v>
          </cell>
          <cell r="S170" t="str">
            <v>ZZ</v>
          </cell>
          <cell r="T170">
            <v>11</v>
          </cell>
          <cell r="U170" t="str">
            <v>1108230173218MRCZZ11</v>
          </cell>
          <cell r="V170">
            <v>169</v>
          </cell>
          <cell r="W170" t="str">
            <v>OC: EXT COM SERV PROV - INTERNET CHAR (O</v>
          </cell>
          <cell r="X170">
            <v>0</v>
          </cell>
          <cell r="Y170">
            <v>0</v>
          </cell>
          <cell r="Z170">
            <v>0</v>
          </cell>
          <cell r="AA170"/>
          <cell r="AB170">
            <v>0</v>
          </cell>
          <cell r="AC170">
            <v>7200000</v>
          </cell>
        </row>
        <row r="171">
          <cell r="F171" t="str">
            <v>OC: EXT COM SERV PROV - S/WARE LICENCES</v>
          </cell>
          <cell r="G171" t="str">
            <v>P230452</v>
          </cell>
          <cell r="H171" t="str">
            <v>P230178</v>
          </cell>
          <cell r="I171"/>
          <cell r="J171"/>
          <cell r="K171" t="str">
            <v>11</v>
          </cell>
          <cell r="L171" t="str">
            <v>08</v>
          </cell>
          <cell r="M171" t="str">
            <v>2</v>
          </cell>
          <cell r="N171" t="str">
            <v>30</v>
          </cell>
          <cell r="O171" t="str">
            <v>178</v>
          </cell>
          <cell r="P171" t="str">
            <v>0</v>
          </cell>
          <cell r="Q171">
            <v>18</v>
          </cell>
          <cell r="R171" t="str">
            <v>MRC</v>
          </cell>
          <cell r="S171" t="str">
            <v>ZZ</v>
          </cell>
          <cell r="T171">
            <v>11</v>
          </cell>
          <cell r="U171" t="str">
            <v>1108230178018MRCZZ11</v>
          </cell>
          <cell r="V171">
            <v>170</v>
          </cell>
          <cell r="W171" t="str">
            <v>OC: EXT COM SERV PROV - S/WARE LICENCES</v>
          </cell>
          <cell r="X171">
            <v>0</v>
          </cell>
          <cell r="Y171">
            <v>0</v>
          </cell>
          <cell r="Z171">
            <v>0</v>
          </cell>
          <cell r="AA171"/>
          <cell r="AB171">
            <v>0</v>
          </cell>
          <cell r="AC171">
            <v>4966405</v>
          </cell>
        </row>
        <row r="172">
          <cell r="F172" t="str">
            <v>OC: EXT COM SERV PROV - S/WARE LICENCES</v>
          </cell>
          <cell r="G172" t="str">
            <v>P230452</v>
          </cell>
          <cell r="H172" t="str">
            <v>P230178</v>
          </cell>
          <cell r="I172"/>
          <cell r="J172"/>
          <cell r="K172" t="str">
            <v>11</v>
          </cell>
          <cell r="L172" t="str">
            <v>08</v>
          </cell>
          <cell r="M172" t="str">
            <v>2</v>
          </cell>
          <cell r="N172" t="str">
            <v>30</v>
          </cell>
          <cell r="O172" t="str">
            <v>178</v>
          </cell>
          <cell r="P172" t="str">
            <v>1</v>
          </cell>
          <cell r="Q172">
            <v>18</v>
          </cell>
          <cell r="R172" t="str">
            <v>MRC</v>
          </cell>
          <cell r="S172" t="str">
            <v>ZZ</v>
          </cell>
          <cell r="T172">
            <v>11</v>
          </cell>
          <cell r="U172" t="str">
            <v>1108230178118MRCZZ11</v>
          </cell>
          <cell r="V172">
            <v>171</v>
          </cell>
          <cell r="W172" t="str">
            <v>OC: EXT COM SERV PROV - S/WARE LICENCES</v>
          </cell>
          <cell r="X172">
            <v>6379891</v>
          </cell>
          <cell r="Y172">
            <v>4957471.26</v>
          </cell>
          <cell r="Z172">
            <v>5948965.5120000001</v>
          </cell>
          <cell r="AA172">
            <v>3406750.23</v>
          </cell>
          <cell r="AB172">
            <v>9786641.2300000004</v>
          </cell>
          <cell r="AC172">
            <v>12580511.25</v>
          </cell>
        </row>
        <row r="173">
          <cell r="F173" t="str">
            <v>OC: SKILLS DEVELOPMENT FUND LEVY</v>
          </cell>
          <cell r="G173" t="str">
            <v>P230452</v>
          </cell>
          <cell r="H173" t="str">
            <v>P230541</v>
          </cell>
          <cell r="I173"/>
          <cell r="J173"/>
          <cell r="K173" t="str">
            <v>11</v>
          </cell>
          <cell r="L173" t="str">
            <v>08</v>
          </cell>
          <cell r="M173" t="str">
            <v>2</v>
          </cell>
          <cell r="N173" t="str">
            <v>30</v>
          </cell>
          <cell r="O173" t="str">
            <v>541</v>
          </cell>
          <cell r="P173" t="str">
            <v>0</v>
          </cell>
          <cell r="Q173">
            <v>18</v>
          </cell>
          <cell r="R173" t="str">
            <v>MRC</v>
          </cell>
          <cell r="S173" t="str">
            <v>ZZ</v>
          </cell>
          <cell r="T173">
            <v>11</v>
          </cell>
          <cell r="U173" t="str">
            <v>1108230541018MRCZZ11</v>
          </cell>
          <cell r="V173">
            <v>172</v>
          </cell>
          <cell r="W173" t="str">
            <v>OC: SKILLS DEVELOPMENT FUND LEVY</v>
          </cell>
          <cell r="X173">
            <v>0</v>
          </cell>
          <cell r="Y173">
            <v>0</v>
          </cell>
          <cell r="Z173">
            <v>0</v>
          </cell>
          <cell r="AA173"/>
          <cell r="AB173">
            <v>0</v>
          </cell>
          <cell r="AC173">
            <v>0</v>
          </cell>
        </row>
        <row r="174">
          <cell r="F174" t="str">
            <v>OC: T&amp;S DOM - ACCOMMODATION</v>
          </cell>
          <cell r="G174" t="str">
            <v>P230452</v>
          </cell>
          <cell r="H174" t="str">
            <v>P230576</v>
          </cell>
          <cell r="I174"/>
          <cell r="J174"/>
          <cell r="K174" t="str">
            <v>11</v>
          </cell>
          <cell r="L174" t="str">
            <v>08</v>
          </cell>
          <cell r="M174" t="str">
            <v>2</v>
          </cell>
          <cell r="N174" t="str">
            <v>30</v>
          </cell>
          <cell r="O174" t="str">
            <v>576</v>
          </cell>
          <cell r="P174" t="str">
            <v>0</v>
          </cell>
          <cell r="Q174">
            <v>18</v>
          </cell>
          <cell r="R174" t="str">
            <v>MRC</v>
          </cell>
          <cell r="S174" t="str">
            <v>ZZ</v>
          </cell>
          <cell r="T174">
            <v>11</v>
          </cell>
          <cell r="U174" t="str">
            <v>1108230576018MRCZZ11</v>
          </cell>
          <cell r="V174">
            <v>173</v>
          </cell>
          <cell r="W174" t="str">
            <v>OC: T&amp;S DOM - ACCOMMODATION</v>
          </cell>
          <cell r="X174">
            <v>0</v>
          </cell>
          <cell r="Y174">
            <v>0</v>
          </cell>
          <cell r="Z174">
            <v>0</v>
          </cell>
          <cell r="AA174"/>
          <cell r="AB174">
            <v>0</v>
          </cell>
          <cell r="AC174">
            <v>0</v>
          </cell>
        </row>
        <row r="175">
          <cell r="F175" t="str">
            <v>OC: T&amp;S DOM - DAILY ALLOWANCE</v>
          </cell>
          <cell r="G175" t="str">
            <v>P230452</v>
          </cell>
          <cell r="H175" t="str">
            <v>P230577</v>
          </cell>
          <cell r="I175"/>
          <cell r="J175"/>
          <cell r="K175" t="str">
            <v>11</v>
          </cell>
          <cell r="L175" t="str">
            <v>08</v>
          </cell>
          <cell r="M175" t="str">
            <v>2</v>
          </cell>
          <cell r="N175" t="str">
            <v>30</v>
          </cell>
          <cell r="O175" t="str">
            <v>577</v>
          </cell>
          <cell r="P175" t="str">
            <v>0</v>
          </cell>
          <cell r="Q175">
            <v>18</v>
          </cell>
          <cell r="R175" t="str">
            <v>MRC</v>
          </cell>
          <cell r="S175" t="str">
            <v>ZZ</v>
          </cell>
          <cell r="T175">
            <v>11</v>
          </cell>
          <cell r="U175" t="str">
            <v>1108230577018MRCZZ11</v>
          </cell>
          <cell r="V175">
            <v>174</v>
          </cell>
          <cell r="W175" t="str">
            <v>OC: T&amp;S DOM - DAILY ALLOWANCE</v>
          </cell>
          <cell r="X175">
            <v>0</v>
          </cell>
          <cell r="Y175">
            <v>0</v>
          </cell>
          <cell r="Z175">
            <v>0</v>
          </cell>
          <cell r="AA175"/>
          <cell r="AB175">
            <v>0</v>
          </cell>
          <cell r="AC175">
            <v>0</v>
          </cell>
        </row>
        <row r="176">
          <cell r="F176" t="str">
            <v>OC: T&amp;S DOM TRP - WITHOUT OPR CAR RENTAL</v>
          </cell>
          <cell r="G176" t="str">
            <v>P230452</v>
          </cell>
          <cell r="H176" t="str">
            <v>P230580</v>
          </cell>
          <cell r="I176"/>
          <cell r="J176"/>
          <cell r="K176" t="str">
            <v>11</v>
          </cell>
          <cell r="L176" t="str">
            <v>08</v>
          </cell>
          <cell r="M176" t="str">
            <v>2</v>
          </cell>
          <cell r="N176" t="str">
            <v>30</v>
          </cell>
          <cell r="O176" t="str">
            <v>580</v>
          </cell>
          <cell r="P176" t="str">
            <v>0</v>
          </cell>
          <cell r="Q176">
            <v>18</v>
          </cell>
          <cell r="R176" t="str">
            <v>MRC</v>
          </cell>
          <cell r="S176" t="str">
            <v>ZZ</v>
          </cell>
          <cell r="T176">
            <v>11</v>
          </cell>
          <cell r="U176" t="str">
            <v>1108230580018MRCZZ11</v>
          </cell>
          <cell r="V176">
            <v>175</v>
          </cell>
          <cell r="W176" t="str">
            <v>OC: T&amp;S DOM TRP - WITHOUT OPR CAR RENTAL</v>
          </cell>
          <cell r="X176">
            <v>0</v>
          </cell>
          <cell r="Y176">
            <v>0</v>
          </cell>
          <cell r="Z176">
            <v>0</v>
          </cell>
          <cell r="AA176"/>
          <cell r="AB176">
            <v>0</v>
          </cell>
          <cell r="AC176">
            <v>0</v>
          </cell>
        </row>
        <row r="177">
          <cell r="F177" t="str">
            <v>OC: T&amp;S DOM PUB TRP - AIR TRANSPORT</v>
          </cell>
          <cell r="G177" t="str">
            <v>P230452</v>
          </cell>
          <cell r="H177" t="str">
            <v>P230583</v>
          </cell>
          <cell r="I177"/>
          <cell r="J177"/>
          <cell r="K177" t="str">
            <v>11</v>
          </cell>
          <cell r="L177" t="str">
            <v>08</v>
          </cell>
          <cell r="M177" t="str">
            <v>2</v>
          </cell>
          <cell r="N177" t="str">
            <v>30</v>
          </cell>
          <cell r="O177" t="str">
            <v>583</v>
          </cell>
          <cell r="P177" t="str">
            <v>0</v>
          </cell>
          <cell r="Q177">
            <v>18</v>
          </cell>
          <cell r="R177" t="str">
            <v>MRC</v>
          </cell>
          <cell r="S177" t="str">
            <v>ZZ</v>
          </cell>
          <cell r="T177">
            <v>11</v>
          </cell>
          <cell r="U177" t="str">
            <v>1108230583018MRCZZ11</v>
          </cell>
          <cell r="V177">
            <v>176</v>
          </cell>
          <cell r="W177" t="str">
            <v>OC: T&amp;S DOM PUB TRP - AIR TRANSPORT</v>
          </cell>
          <cell r="X177">
            <v>0</v>
          </cell>
          <cell r="Y177">
            <v>0</v>
          </cell>
          <cell r="Z177">
            <v>0</v>
          </cell>
          <cell r="AA177"/>
          <cell r="AB177">
            <v>0</v>
          </cell>
          <cell r="AC177">
            <v>0</v>
          </cell>
        </row>
        <row r="178">
          <cell r="F178" t="str">
            <v>OPR LEASES: MACHINERY &amp; EQUIPMENT</v>
          </cell>
          <cell r="G178" t="str">
            <v>P238360</v>
          </cell>
          <cell r="H178" t="str">
            <v>P238360</v>
          </cell>
          <cell r="I178"/>
          <cell r="J178"/>
          <cell r="K178" t="str">
            <v>11</v>
          </cell>
          <cell r="L178" t="str">
            <v>08</v>
          </cell>
          <cell r="M178" t="str">
            <v>2</v>
          </cell>
          <cell r="N178" t="str">
            <v>38</v>
          </cell>
          <cell r="O178" t="str">
            <v>360</v>
          </cell>
          <cell r="P178" t="str">
            <v>0</v>
          </cell>
          <cell r="Q178">
            <v>18</v>
          </cell>
          <cell r="R178" t="str">
            <v>MRC</v>
          </cell>
          <cell r="S178" t="str">
            <v>ZZ</v>
          </cell>
          <cell r="T178">
            <v>11</v>
          </cell>
          <cell r="U178" t="str">
            <v>1108238360018MRCZZ11</v>
          </cell>
          <cell r="V178">
            <v>177</v>
          </cell>
          <cell r="W178" t="str">
            <v>OPR LEASES: MACHINERY &amp; EQUIPMENT</v>
          </cell>
          <cell r="X178">
            <v>2341195</v>
          </cell>
          <cell r="Y178">
            <v>2063801.12</v>
          </cell>
          <cell r="Z178">
            <v>2476561.3440000005</v>
          </cell>
          <cell r="AA178">
            <v>2800000</v>
          </cell>
          <cell r="AB178">
            <v>5141195</v>
          </cell>
          <cell r="AC178">
            <v>2229051.96</v>
          </cell>
        </row>
        <row r="179">
          <cell r="F179" t="str">
            <v>MS: SAL &amp; ALL: BASIC SALARY &amp; WAGES</v>
          </cell>
          <cell r="G179" t="str">
            <v>P211001</v>
          </cell>
          <cell r="H179" t="str">
            <v>P211001</v>
          </cell>
          <cell r="I179" t="str">
            <v>501109</v>
          </cell>
          <cell r="J179">
            <v>50</v>
          </cell>
          <cell r="K179" t="str">
            <v>11</v>
          </cell>
          <cell r="L179" t="str">
            <v>09</v>
          </cell>
          <cell r="M179" t="str">
            <v>2</v>
          </cell>
          <cell r="N179" t="str">
            <v>11</v>
          </cell>
          <cell r="O179" t="str">
            <v>001</v>
          </cell>
          <cell r="P179" t="str">
            <v>0</v>
          </cell>
          <cell r="Q179">
            <v>18</v>
          </cell>
          <cell r="R179" t="str">
            <v>MRC</v>
          </cell>
          <cell r="S179" t="str">
            <v>ZZ</v>
          </cell>
          <cell r="T179">
            <v>11</v>
          </cell>
          <cell r="U179" t="str">
            <v>1109211001018MRCZZ11</v>
          </cell>
          <cell r="V179">
            <v>178</v>
          </cell>
          <cell r="W179" t="str">
            <v>MS: SAL &amp; ALL: BASIC SALARY &amp; WAGES</v>
          </cell>
          <cell r="X179">
            <v>691384</v>
          </cell>
          <cell r="Y179">
            <v>463826.02</v>
          </cell>
          <cell r="Z179">
            <v>556591.22399999993</v>
          </cell>
          <cell r="AA179"/>
          <cell r="AB179">
            <v>691384</v>
          </cell>
          <cell r="AC179">
            <v>518609.08800000005</v>
          </cell>
        </row>
        <row r="180">
          <cell r="F180" t="str">
            <v>MS: ALL - CELLULAR &amp; TELEPHONE</v>
          </cell>
          <cell r="G180" t="str">
            <v>P211022</v>
          </cell>
          <cell r="H180" t="str">
            <v>P211022</v>
          </cell>
          <cell r="I180" t="str">
            <v>501109</v>
          </cell>
          <cell r="J180">
            <v>50</v>
          </cell>
          <cell r="K180" t="str">
            <v>11</v>
          </cell>
          <cell r="L180" t="str">
            <v>09</v>
          </cell>
          <cell r="M180" t="str">
            <v>2</v>
          </cell>
          <cell r="N180" t="str">
            <v>11</v>
          </cell>
          <cell r="O180" t="str">
            <v>022</v>
          </cell>
          <cell r="P180" t="str">
            <v>0</v>
          </cell>
          <cell r="Q180">
            <v>18</v>
          </cell>
          <cell r="R180" t="str">
            <v>MRC</v>
          </cell>
          <cell r="S180" t="str">
            <v>ZZ</v>
          </cell>
          <cell r="T180">
            <v>11</v>
          </cell>
          <cell r="U180" t="str">
            <v>1109211022018MRCZZ11</v>
          </cell>
          <cell r="V180">
            <v>179</v>
          </cell>
          <cell r="W180" t="str">
            <v>MS: ALL - CELLULAR &amp; TELEPHONE</v>
          </cell>
          <cell r="X180">
            <v>8224</v>
          </cell>
          <cell r="Y180">
            <v>6750</v>
          </cell>
          <cell r="Z180">
            <v>8100</v>
          </cell>
          <cell r="AA180"/>
          <cell r="AB180">
            <v>8224</v>
          </cell>
          <cell r="AC180">
            <v>0</v>
          </cell>
        </row>
        <row r="181">
          <cell r="F181" t="str">
            <v>MS: HB &amp; INC: HOUSING BENEFITS</v>
          </cell>
          <cell r="G181" t="str">
            <v>P211026</v>
          </cell>
          <cell r="H181" t="str">
            <v>P211026</v>
          </cell>
          <cell r="I181" t="str">
            <v>501109</v>
          </cell>
          <cell r="J181">
            <v>50</v>
          </cell>
          <cell r="K181" t="str">
            <v>11</v>
          </cell>
          <cell r="L181" t="str">
            <v>09</v>
          </cell>
          <cell r="M181" t="str">
            <v>2</v>
          </cell>
          <cell r="N181" t="str">
            <v>11</v>
          </cell>
          <cell r="O181" t="str">
            <v>026</v>
          </cell>
          <cell r="P181" t="str">
            <v>0</v>
          </cell>
          <cell r="Q181">
            <v>18</v>
          </cell>
          <cell r="R181" t="str">
            <v>MRC</v>
          </cell>
          <cell r="S181" t="str">
            <v>ZZ</v>
          </cell>
          <cell r="T181">
            <v>11</v>
          </cell>
          <cell r="U181" t="str">
            <v>1109211026018MRCZZ11</v>
          </cell>
          <cell r="V181">
            <v>180</v>
          </cell>
          <cell r="W181" t="str">
            <v>MS: HB &amp; INC: HOUSING BENEFITS</v>
          </cell>
          <cell r="X181">
            <v>11898</v>
          </cell>
          <cell r="Y181">
            <v>10609.61</v>
          </cell>
          <cell r="Z181">
            <v>12731.531999999999</v>
          </cell>
          <cell r="AA181"/>
          <cell r="AB181">
            <v>11898</v>
          </cell>
          <cell r="AC181">
            <v>12129.677759999999</v>
          </cell>
        </row>
        <row r="182">
          <cell r="F182" t="str">
            <v>MS: ALL - TRAVEL OR MOTOR VEHICLE (SUBS</v>
          </cell>
          <cell r="G182" t="str">
            <v>P211034</v>
          </cell>
          <cell r="H182" t="str">
            <v>P211034</v>
          </cell>
          <cell r="I182" t="str">
            <v>501109</v>
          </cell>
          <cell r="J182">
            <v>50</v>
          </cell>
          <cell r="K182" t="str">
            <v>11</v>
          </cell>
          <cell r="L182" t="str">
            <v>09</v>
          </cell>
          <cell r="M182" t="str">
            <v>2</v>
          </cell>
          <cell r="N182" t="str">
            <v>11</v>
          </cell>
          <cell r="O182" t="str">
            <v>034</v>
          </cell>
          <cell r="P182" t="str">
            <v>1</v>
          </cell>
          <cell r="Q182">
            <v>18</v>
          </cell>
          <cell r="R182" t="str">
            <v>MRC</v>
          </cell>
          <cell r="S182" t="str">
            <v>ZZ</v>
          </cell>
          <cell r="T182">
            <v>11</v>
          </cell>
          <cell r="U182" t="str">
            <v>1109211034118MRCZZ11</v>
          </cell>
          <cell r="V182">
            <v>181</v>
          </cell>
          <cell r="W182" t="str">
            <v>MS: ALL - TRAVEL OR MOTOR VEHICLE (SUBS</v>
          </cell>
          <cell r="X182">
            <v>202529</v>
          </cell>
          <cell r="Y182">
            <v>171947.6</v>
          </cell>
          <cell r="Z182">
            <v>206337.12000000002</v>
          </cell>
          <cell r="AA182"/>
          <cell r="AB182">
            <v>202529</v>
          </cell>
          <cell r="AC182">
            <v>16158.064</v>
          </cell>
        </row>
        <row r="183">
          <cell r="F183" t="str">
            <v>MS: SRB - ACTING ALLOWANCE</v>
          </cell>
          <cell r="G183" t="str">
            <v>P211044</v>
          </cell>
          <cell r="H183" t="str">
            <v>P211044</v>
          </cell>
          <cell r="I183" t="str">
            <v>501109</v>
          </cell>
          <cell r="J183">
            <v>50</v>
          </cell>
          <cell r="K183" t="str">
            <v>11</v>
          </cell>
          <cell r="L183" t="str">
            <v>09</v>
          </cell>
          <cell r="M183" t="str">
            <v>2</v>
          </cell>
          <cell r="N183" t="str">
            <v>11</v>
          </cell>
          <cell r="O183" t="str">
            <v>044</v>
          </cell>
          <cell r="P183" t="str">
            <v>0</v>
          </cell>
          <cell r="Q183">
            <v>18</v>
          </cell>
          <cell r="R183" t="str">
            <v>MRC</v>
          </cell>
          <cell r="S183" t="str">
            <v>ZZ</v>
          </cell>
          <cell r="T183">
            <v>11</v>
          </cell>
          <cell r="U183" t="str">
            <v>1109211044018MRCZZ11</v>
          </cell>
          <cell r="V183">
            <v>182</v>
          </cell>
          <cell r="W183" t="str">
            <v>MS: SRB - ACTING ALLOWANCE</v>
          </cell>
          <cell r="X183">
            <v>0</v>
          </cell>
          <cell r="Y183">
            <v>162212</v>
          </cell>
          <cell r="Z183">
            <v>194654.40000000002</v>
          </cell>
          <cell r="AA183"/>
          <cell r="AB183">
            <v>0</v>
          </cell>
          <cell r="AC183">
            <v>0</v>
          </cell>
        </row>
        <row r="184">
          <cell r="F184" t="str">
            <v>MS: SRB - ANNUAL BONUS</v>
          </cell>
          <cell r="G184" t="str">
            <v>P211046</v>
          </cell>
          <cell r="H184" t="str">
            <v>P211046</v>
          </cell>
          <cell r="I184" t="str">
            <v>501109</v>
          </cell>
          <cell r="J184">
            <v>50</v>
          </cell>
          <cell r="K184" t="str">
            <v>11</v>
          </cell>
          <cell r="L184" t="str">
            <v>09</v>
          </cell>
          <cell r="M184" t="str">
            <v>2</v>
          </cell>
          <cell r="N184" t="str">
            <v>11</v>
          </cell>
          <cell r="O184" t="str">
            <v>046</v>
          </cell>
          <cell r="P184" t="str">
            <v>0</v>
          </cell>
          <cell r="Q184">
            <v>18</v>
          </cell>
          <cell r="R184" t="str">
            <v>MRC</v>
          </cell>
          <cell r="S184" t="str">
            <v>ZZ</v>
          </cell>
          <cell r="T184">
            <v>11</v>
          </cell>
          <cell r="U184" t="str">
            <v>1109211046018MRCZZ11</v>
          </cell>
          <cell r="V184">
            <v>183</v>
          </cell>
          <cell r="W184" t="str">
            <v>MS: SRB - ANNUAL BONUS</v>
          </cell>
          <cell r="X184">
            <v>51630</v>
          </cell>
          <cell r="Y184">
            <v>40093.83</v>
          </cell>
          <cell r="Z184">
            <v>48112.596000000005</v>
          </cell>
          <cell r="AA184"/>
          <cell r="AB184">
            <v>51630</v>
          </cell>
          <cell r="AC184">
            <v>43217.423999999999</v>
          </cell>
        </row>
        <row r="185">
          <cell r="F185" t="str">
            <v>MS: SOC CONTR - BARGAINING COUNCIL</v>
          </cell>
          <cell r="G185" t="str">
            <v>P213001</v>
          </cell>
          <cell r="H185" t="str">
            <v>P213001</v>
          </cell>
          <cell r="I185" t="str">
            <v>501109</v>
          </cell>
          <cell r="J185">
            <v>50</v>
          </cell>
          <cell r="K185" t="str">
            <v>11</v>
          </cell>
          <cell r="L185" t="str">
            <v>09</v>
          </cell>
          <cell r="M185" t="str">
            <v>2</v>
          </cell>
          <cell r="N185" t="str">
            <v>13</v>
          </cell>
          <cell r="O185" t="str">
            <v>001</v>
          </cell>
          <cell r="P185" t="str">
            <v>0</v>
          </cell>
          <cell r="Q185">
            <v>18</v>
          </cell>
          <cell r="R185" t="str">
            <v>MRC</v>
          </cell>
          <cell r="S185" t="str">
            <v>ZZ</v>
          </cell>
          <cell r="T185">
            <v>11</v>
          </cell>
          <cell r="U185" t="str">
            <v>1109213001018MRCZZ11</v>
          </cell>
          <cell r="V185">
            <v>184</v>
          </cell>
          <cell r="W185" t="str">
            <v>MS: SOC CONTR - BARGAINING COUNCIL</v>
          </cell>
          <cell r="X185">
            <v>122</v>
          </cell>
          <cell r="Y185">
            <v>113.3</v>
          </cell>
          <cell r="Z185">
            <v>135.96</v>
          </cell>
          <cell r="AA185"/>
          <cell r="AB185">
            <v>122</v>
          </cell>
          <cell r="AC185">
            <v>129.53280000000001</v>
          </cell>
        </row>
        <row r="186">
          <cell r="F186" t="str">
            <v>MS: SOC CONTR - GROUP LIFE INSURANCE</v>
          </cell>
          <cell r="G186" t="str">
            <v>P213010</v>
          </cell>
          <cell r="H186" t="str">
            <v>P213010</v>
          </cell>
          <cell r="I186" t="str">
            <v>501109</v>
          </cell>
          <cell r="J186">
            <v>50</v>
          </cell>
          <cell r="K186" t="str">
            <v>11</v>
          </cell>
          <cell r="L186" t="str">
            <v>09</v>
          </cell>
          <cell r="M186" t="str">
            <v>2</v>
          </cell>
          <cell r="N186" t="str">
            <v>13</v>
          </cell>
          <cell r="O186" t="str">
            <v>010</v>
          </cell>
          <cell r="P186" t="str">
            <v>0</v>
          </cell>
          <cell r="Q186">
            <v>18</v>
          </cell>
          <cell r="R186" t="str">
            <v>MRC</v>
          </cell>
          <cell r="S186" t="str">
            <v>ZZ</v>
          </cell>
          <cell r="T186">
            <v>11</v>
          </cell>
          <cell r="U186" t="str">
            <v>1109213010018MRCZZ11</v>
          </cell>
          <cell r="V186">
            <v>185</v>
          </cell>
          <cell r="W186" t="str">
            <v>MS: SOC CONTR - GROUP LIFE INSURANCE</v>
          </cell>
          <cell r="X186">
            <v>0</v>
          </cell>
          <cell r="Y186">
            <v>0</v>
          </cell>
          <cell r="Z186">
            <v>0</v>
          </cell>
          <cell r="AA186"/>
          <cell r="AB186">
            <v>0</v>
          </cell>
          <cell r="AC186">
            <v>8816.3544960000017</v>
          </cell>
        </row>
        <row r="187">
          <cell r="F187" t="str">
            <v>MS: SOC CONTR - MEDICAL</v>
          </cell>
          <cell r="G187" t="str">
            <v>P213020</v>
          </cell>
          <cell r="H187" t="str">
            <v>P213020</v>
          </cell>
          <cell r="I187" t="str">
            <v>501109</v>
          </cell>
          <cell r="J187">
            <v>50</v>
          </cell>
          <cell r="K187" t="str">
            <v>11</v>
          </cell>
          <cell r="L187" t="str">
            <v>09</v>
          </cell>
          <cell r="M187" t="str">
            <v>2</v>
          </cell>
          <cell r="N187" t="str">
            <v>13</v>
          </cell>
          <cell r="O187" t="str">
            <v>020</v>
          </cell>
          <cell r="P187" t="str">
            <v>0</v>
          </cell>
          <cell r="Q187">
            <v>18</v>
          </cell>
          <cell r="R187" t="str">
            <v>MRC</v>
          </cell>
          <cell r="S187" t="str">
            <v>ZZ</v>
          </cell>
          <cell r="T187">
            <v>11</v>
          </cell>
          <cell r="U187" t="str">
            <v>1109213020018MRCZZ11</v>
          </cell>
          <cell r="V187">
            <v>186</v>
          </cell>
          <cell r="W187" t="str">
            <v>MS: SOC CONTR - MEDICAL</v>
          </cell>
          <cell r="X187">
            <v>58881</v>
          </cell>
          <cell r="Y187">
            <v>50655.12</v>
          </cell>
          <cell r="Z187">
            <v>60786.144000000008</v>
          </cell>
          <cell r="AA187"/>
          <cell r="AB187">
            <v>58881</v>
          </cell>
          <cell r="AC187">
            <v>60026.757120000002</v>
          </cell>
        </row>
        <row r="188">
          <cell r="F188" t="str">
            <v>MS: SOC CONTR - PENSION</v>
          </cell>
          <cell r="G188" t="str">
            <v>P213030</v>
          </cell>
          <cell r="H188" t="str">
            <v>P213030</v>
          </cell>
          <cell r="I188" t="str">
            <v>501109</v>
          </cell>
          <cell r="J188">
            <v>50</v>
          </cell>
          <cell r="K188" t="str">
            <v>11</v>
          </cell>
          <cell r="L188" t="str">
            <v>09</v>
          </cell>
          <cell r="M188" t="str">
            <v>2</v>
          </cell>
          <cell r="N188" t="str">
            <v>13</v>
          </cell>
          <cell r="O188" t="str">
            <v>030</v>
          </cell>
          <cell r="P188" t="str">
            <v>0</v>
          </cell>
          <cell r="Q188">
            <v>18</v>
          </cell>
          <cell r="R188" t="str">
            <v>MRC</v>
          </cell>
          <cell r="S188" t="str">
            <v>ZZ</v>
          </cell>
          <cell r="T188">
            <v>11</v>
          </cell>
          <cell r="U188" t="str">
            <v>1109213030018MRCZZ11</v>
          </cell>
          <cell r="V188">
            <v>187</v>
          </cell>
          <cell r="W188" t="str">
            <v>MS: SOC CONTR - PENSION</v>
          </cell>
          <cell r="X188">
            <v>85753</v>
          </cell>
          <cell r="Y188">
            <v>81452.34</v>
          </cell>
          <cell r="Z188">
            <v>97742.80799999999</v>
          </cell>
          <cell r="AA188"/>
          <cell r="AB188">
            <v>85753</v>
          </cell>
          <cell r="AC188">
            <v>93712.662201600004</v>
          </cell>
        </row>
        <row r="189">
          <cell r="F189" t="str">
            <v>MS: SOC CONTR - UNEMPLOYMENT INSUR FUND</v>
          </cell>
          <cell r="G189" t="str">
            <v>P213040</v>
          </cell>
          <cell r="H189" t="str">
            <v>P213040</v>
          </cell>
          <cell r="I189" t="str">
            <v>501109</v>
          </cell>
          <cell r="J189">
            <v>50</v>
          </cell>
          <cell r="K189" t="str">
            <v>11</v>
          </cell>
          <cell r="L189" t="str">
            <v>09</v>
          </cell>
          <cell r="M189" t="str">
            <v>2</v>
          </cell>
          <cell r="N189" t="str">
            <v>13</v>
          </cell>
          <cell r="O189" t="str">
            <v>040</v>
          </cell>
          <cell r="P189" t="str">
            <v>0</v>
          </cell>
          <cell r="Q189">
            <v>18</v>
          </cell>
          <cell r="R189" t="str">
            <v>MRC</v>
          </cell>
          <cell r="S189" t="str">
            <v>ZZ</v>
          </cell>
          <cell r="T189">
            <v>11</v>
          </cell>
          <cell r="U189" t="str">
            <v>1109213040018MRCZZ11</v>
          </cell>
          <cell r="V189">
            <v>188</v>
          </cell>
          <cell r="W189" t="str">
            <v>MS: SOC CONTR - UNEMPLOYMENT INSUR FUND</v>
          </cell>
          <cell r="X189">
            <v>1835</v>
          </cell>
          <cell r="Y189">
            <v>1948.32</v>
          </cell>
          <cell r="Z189">
            <v>2337.9839999999999</v>
          </cell>
          <cell r="AA189"/>
          <cell r="AB189">
            <v>1835</v>
          </cell>
          <cell r="AC189">
            <v>2227.4611199999999</v>
          </cell>
        </row>
        <row r="190">
          <cell r="F190" t="str">
            <v>C&amp;PS: LEGAL COST ADVICE &amp; LITIGATION</v>
          </cell>
          <cell r="G190" t="str">
            <v>P227334</v>
          </cell>
          <cell r="H190" t="str">
            <v>P227334</v>
          </cell>
          <cell r="I190"/>
          <cell r="J190"/>
          <cell r="K190" t="str">
            <v>11</v>
          </cell>
          <cell r="L190" t="str">
            <v>09</v>
          </cell>
          <cell r="M190" t="str">
            <v>2</v>
          </cell>
          <cell r="N190" t="str">
            <v>27</v>
          </cell>
          <cell r="O190" t="str">
            <v>334</v>
          </cell>
          <cell r="P190" t="str">
            <v>0</v>
          </cell>
          <cell r="Q190">
            <v>18</v>
          </cell>
          <cell r="R190" t="str">
            <v>MRC</v>
          </cell>
          <cell r="S190" t="str">
            <v>ZZ</v>
          </cell>
          <cell r="T190">
            <v>11</v>
          </cell>
          <cell r="U190" t="str">
            <v>1109227334018MRCZZ11</v>
          </cell>
          <cell r="V190">
            <v>189</v>
          </cell>
          <cell r="W190" t="str">
            <v>C&amp;PS: LEGAL COST ADVICE &amp; LITIGATION</v>
          </cell>
          <cell r="X190">
            <v>0</v>
          </cell>
          <cell r="Y190">
            <v>0</v>
          </cell>
          <cell r="Z190">
            <v>0</v>
          </cell>
          <cell r="AA190"/>
          <cell r="AB190">
            <v>0</v>
          </cell>
          <cell r="AC190">
            <v>1500000</v>
          </cell>
        </row>
        <row r="191">
          <cell r="F191" t="str">
            <v>C&amp;PS: LEGAL COST ADVICE &amp; LITIGATION(OTH</v>
          </cell>
          <cell r="G191" t="str">
            <v>P227334</v>
          </cell>
          <cell r="H191" t="str">
            <v>P227334</v>
          </cell>
          <cell r="I191"/>
          <cell r="J191"/>
          <cell r="K191" t="str">
            <v>11</v>
          </cell>
          <cell r="L191" t="str">
            <v>09</v>
          </cell>
          <cell r="M191" t="str">
            <v>2</v>
          </cell>
          <cell r="N191" t="str">
            <v>27</v>
          </cell>
          <cell r="O191" t="str">
            <v>334</v>
          </cell>
          <cell r="P191" t="str">
            <v>1</v>
          </cell>
          <cell r="Q191">
            <v>18</v>
          </cell>
          <cell r="R191" t="str">
            <v>MRC</v>
          </cell>
          <cell r="S191" t="str">
            <v>ZZ</v>
          </cell>
          <cell r="T191">
            <v>11</v>
          </cell>
          <cell r="U191" t="str">
            <v>1109227334118MRCZZ11</v>
          </cell>
          <cell r="V191">
            <v>190</v>
          </cell>
          <cell r="W191" t="str">
            <v>C&amp;PS: LEGAL COST ADVICE &amp; LITIGATION(OTH</v>
          </cell>
          <cell r="X191">
            <v>6437096</v>
          </cell>
          <cell r="Y191">
            <v>16174802.369999999</v>
          </cell>
          <cell r="Z191">
            <v>19409762.844000001</v>
          </cell>
          <cell r="AA191">
            <v>10000000</v>
          </cell>
          <cell r="AB191">
            <v>16437096</v>
          </cell>
          <cell r="AC191">
            <v>0</v>
          </cell>
        </row>
        <row r="192">
          <cell r="F192" t="str">
            <v>OC: SKILLS DEVELOPMENT FUND LEVY</v>
          </cell>
          <cell r="G192" t="str">
            <v>P230452</v>
          </cell>
          <cell r="H192" t="str">
            <v>P230541</v>
          </cell>
          <cell r="I192"/>
          <cell r="J192"/>
          <cell r="K192" t="str">
            <v>11</v>
          </cell>
          <cell r="L192" t="str">
            <v>09</v>
          </cell>
          <cell r="M192" t="str">
            <v>2</v>
          </cell>
          <cell r="N192" t="str">
            <v>30</v>
          </cell>
          <cell r="O192" t="str">
            <v>541</v>
          </cell>
          <cell r="P192" t="str">
            <v>0</v>
          </cell>
          <cell r="Q192">
            <v>18</v>
          </cell>
          <cell r="R192" t="str">
            <v>MRC</v>
          </cell>
          <cell r="S192" t="str">
            <v>ZZ</v>
          </cell>
          <cell r="T192">
            <v>11</v>
          </cell>
          <cell r="U192" t="str">
            <v>1109230541018MRCZZ11</v>
          </cell>
          <cell r="V192">
            <v>191</v>
          </cell>
          <cell r="W192" t="str">
            <v>OC: SKILLS DEVELOPMENT FUND LEVY</v>
          </cell>
          <cell r="X192">
            <v>0</v>
          </cell>
          <cell r="Y192">
            <v>0</v>
          </cell>
          <cell r="Z192">
            <v>0</v>
          </cell>
          <cell r="AA192"/>
          <cell r="AB192">
            <v>0</v>
          </cell>
          <cell r="AC192">
            <v>0</v>
          </cell>
        </row>
        <row r="193">
          <cell r="F193" t="str">
            <v>INVENTORY - MATERIALS &amp; SUPPLIES(PRINT&amp;</v>
          </cell>
          <cell r="G193" t="str">
            <v>P232360</v>
          </cell>
          <cell r="H193" t="str">
            <v>P232360</v>
          </cell>
          <cell r="I193"/>
          <cell r="J193"/>
          <cell r="K193" t="str">
            <v>11</v>
          </cell>
          <cell r="L193" t="str">
            <v>09</v>
          </cell>
          <cell r="M193" t="str">
            <v>2</v>
          </cell>
          <cell r="N193" t="str">
            <v>32</v>
          </cell>
          <cell r="O193" t="str">
            <v>360</v>
          </cell>
          <cell r="P193" t="str">
            <v>D</v>
          </cell>
          <cell r="Q193">
            <v>18</v>
          </cell>
          <cell r="R193" t="str">
            <v>MRC</v>
          </cell>
          <cell r="S193" t="str">
            <v>ZZ</v>
          </cell>
          <cell r="T193">
            <v>11</v>
          </cell>
          <cell r="U193" t="str">
            <v>1109232360D18MRCZZ11</v>
          </cell>
          <cell r="V193">
            <v>192</v>
          </cell>
          <cell r="W193" t="str">
            <v>INVENTORY - MATERIALS &amp; SUPPLIES(PRINT&amp;</v>
          </cell>
          <cell r="X193">
            <v>0</v>
          </cell>
          <cell r="Y193">
            <v>0</v>
          </cell>
          <cell r="Z193">
            <v>0</v>
          </cell>
          <cell r="AA193"/>
          <cell r="AB193">
            <v>0</v>
          </cell>
          <cell r="AC193">
            <v>0</v>
          </cell>
        </row>
        <row r="194">
          <cell r="F194" t="str">
            <v>SM CFO: SAL &amp; ALL -  BASIC SALARY</v>
          </cell>
          <cell r="G194" t="str">
            <v>P1202203045</v>
          </cell>
          <cell r="H194" t="str">
            <v>P1202203045</v>
          </cell>
          <cell r="I194" t="str">
            <v>501202</v>
          </cell>
          <cell r="J194">
            <v>50</v>
          </cell>
          <cell r="K194" t="str">
            <v>12</v>
          </cell>
          <cell r="L194" t="str">
            <v>02</v>
          </cell>
          <cell r="M194" t="str">
            <v>2</v>
          </cell>
          <cell r="N194" t="str">
            <v>03</v>
          </cell>
          <cell r="O194" t="str">
            <v>045</v>
          </cell>
          <cell r="P194" t="str">
            <v>0</v>
          </cell>
          <cell r="Q194">
            <v>18</v>
          </cell>
          <cell r="R194" t="str">
            <v>MRC</v>
          </cell>
          <cell r="S194" t="str">
            <v>ZZ</v>
          </cell>
          <cell r="T194">
            <v>11</v>
          </cell>
          <cell r="U194" t="str">
            <v>1202203045018MRCZZ11</v>
          </cell>
          <cell r="V194">
            <v>193</v>
          </cell>
          <cell r="W194" t="str">
            <v>SM CFO: SAL &amp; ALL -  BASIC SALARY</v>
          </cell>
          <cell r="X194">
            <v>1068890</v>
          </cell>
          <cell r="Y194">
            <v>280893.78000000003</v>
          </cell>
          <cell r="Z194">
            <v>337072.53600000008</v>
          </cell>
          <cell r="AA194"/>
          <cell r="AB194">
            <v>1068890</v>
          </cell>
          <cell r="AC194">
            <v>1751036.1917184002</v>
          </cell>
        </row>
        <row r="195">
          <cell r="F195" t="str">
            <v>SM CFO: ALLOW - CELLULAR &amp; TELEPHONE</v>
          </cell>
          <cell r="G195" t="str">
            <v>P1202203047</v>
          </cell>
          <cell r="H195" t="str">
            <v>P1202203047</v>
          </cell>
          <cell r="I195" t="str">
            <v>501202</v>
          </cell>
          <cell r="J195">
            <v>50</v>
          </cell>
          <cell r="K195" t="str">
            <v>12</v>
          </cell>
          <cell r="L195" t="str">
            <v>02</v>
          </cell>
          <cell r="M195" t="str">
            <v>2</v>
          </cell>
          <cell r="N195" t="str">
            <v>03</v>
          </cell>
          <cell r="O195" t="str">
            <v>047</v>
          </cell>
          <cell r="P195" t="str">
            <v>0</v>
          </cell>
          <cell r="Q195">
            <v>18</v>
          </cell>
          <cell r="R195" t="str">
            <v>MRC</v>
          </cell>
          <cell r="S195" t="str">
            <v>ZZ</v>
          </cell>
          <cell r="T195">
            <v>11</v>
          </cell>
          <cell r="U195" t="str">
            <v>1202203047018MRCZZ11</v>
          </cell>
          <cell r="V195">
            <v>194</v>
          </cell>
          <cell r="W195" t="str">
            <v>SM CFO: ALLOW - CELLULAR &amp; TELEPHONE</v>
          </cell>
          <cell r="X195">
            <v>16895</v>
          </cell>
          <cell r="Y195">
            <v>1200</v>
          </cell>
          <cell r="Z195">
            <v>1440</v>
          </cell>
          <cell r="AA195"/>
          <cell r="AB195">
            <v>16895</v>
          </cell>
          <cell r="AC195">
            <v>15091.2</v>
          </cell>
        </row>
        <row r="196">
          <cell r="F196" t="str">
            <v>SM CFO: ALLOW - TRAVEL OR MOTOR VEHICLE</v>
          </cell>
          <cell r="G196" t="str">
            <v>P1202203049</v>
          </cell>
          <cell r="H196" t="str">
            <v>P1202203049</v>
          </cell>
          <cell r="I196" t="str">
            <v>501202</v>
          </cell>
          <cell r="J196">
            <v>50</v>
          </cell>
          <cell r="K196" t="str">
            <v>12</v>
          </cell>
          <cell r="L196" t="str">
            <v>02</v>
          </cell>
          <cell r="M196" t="str">
            <v>2</v>
          </cell>
          <cell r="N196" t="str">
            <v>03</v>
          </cell>
          <cell r="O196" t="str">
            <v>049</v>
          </cell>
          <cell r="P196" t="str">
            <v>0</v>
          </cell>
          <cell r="Q196">
            <v>18</v>
          </cell>
          <cell r="R196" t="str">
            <v>MRC</v>
          </cell>
          <cell r="S196" t="str">
            <v>ZZ</v>
          </cell>
          <cell r="T196">
            <v>11</v>
          </cell>
          <cell r="U196" t="str">
            <v>1202203049018MRCZZ11</v>
          </cell>
          <cell r="V196">
            <v>195</v>
          </cell>
          <cell r="W196" t="str">
            <v>SM CFO: ALLOW - TRAVEL OR MOTOR VEHICLE</v>
          </cell>
          <cell r="X196">
            <v>250661</v>
          </cell>
          <cell r="Y196">
            <v>124988.25</v>
          </cell>
          <cell r="Z196">
            <v>149985.90000000002</v>
          </cell>
          <cell r="AA196"/>
          <cell r="AB196">
            <v>250661</v>
          </cell>
          <cell r="AC196">
            <v>0</v>
          </cell>
        </row>
        <row r="197">
          <cell r="F197" t="str">
            <v>SM MM: SOC CONTR: UIF</v>
          </cell>
          <cell r="G197" t="str">
            <v>P1202205023</v>
          </cell>
          <cell r="H197" t="str">
            <v>P1202205023</v>
          </cell>
          <cell r="I197" t="str">
            <v>501202</v>
          </cell>
          <cell r="J197">
            <v>50</v>
          </cell>
          <cell r="K197" t="str">
            <v>12</v>
          </cell>
          <cell r="L197" t="str">
            <v>02</v>
          </cell>
          <cell r="M197" t="str">
            <v>2</v>
          </cell>
          <cell r="N197" t="str">
            <v>05</v>
          </cell>
          <cell r="O197" t="str">
            <v>023</v>
          </cell>
          <cell r="P197" t="str">
            <v>0</v>
          </cell>
          <cell r="Q197">
            <v>18</v>
          </cell>
          <cell r="R197" t="str">
            <v>MRC</v>
          </cell>
          <cell r="S197" t="str">
            <v>ZZ</v>
          </cell>
          <cell r="T197">
            <v>11</v>
          </cell>
          <cell r="U197" t="str">
            <v>1202205023018MRCZZ11</v>
          </cell>
          <cell r="V197">
            <v>196</v>
          </cell>
          <cell r="W197" t="str">
            <v>SM MM: SOC CONTR: UIF</v>
          </cell>
          <cell r="X197">
            <v>2248</v>
          </cell>
          <cell r="Y197">
            <v>177.12</v>
          </cell>
          <cell r="Z197">
            <v>212.54399999999998</v>
          </cell>
          <cell r="AA197"/>
          <cell r="AB197">
            <v>2248</v>
          </cell>
          <cell r="AC197">
            <v>0</v>
          </cell>
        </row>
        <row r="198">
          <cell r="F198" t="str">
            <v>SM CFO: SOC CONTR: MEDICAL</v>
          </cell>
          <cell r="G198" t="str">
            <v>P1202205061</v>
          </cell>
          <cell r="H198" t="str">
            <v>P1202205061</v>
          </cell>
          <cell r="I198" t="str">
            <v>501202</v>
          </cell>
          <cell r="J198">
            <v>50</v>
          </cell>
          <cell r="K198" t="str">
            <v>12</v>
          </cell>
          <cell r="L198" t="str">
            <v>02</v>
          </cell>
          <cell r="M198" t="str">
            <v>2</v>
          </cell>
          <cell r="N198" t="str">
            <v>05</v>
          </cell>
          <cell r="O198" t="str">
            <v>061</v>
          </cell>
          <cell r="P198" t="str">
            <v>0</v>
          </cell>
          <cell r="Q198">
            <v>18</v>
          </cell>
          <cell r="R198" t="str">
            <v>MRC</v>
          </cell>
          <cell r="S198" t="str">
            <v>ZZ</v>
          </cell>
          <cell r="T198">
            <v>11</v>
          </cell>
          <cell r="U198" t="str">
            <v>1202205061018MRCZZ11</v>
          </cell>
          <cell r="V198">
            <v>197</v>
          </cell>
          <cell r="W198" t="str">
            <v>SM CFO: SOC CONTR: MEDICAL</v>
          </cell>
          <cell r="X198">
            <v>48874</v>
          </cell>
          <cell r="Y198">
            <v>0</v>
          </cell>
          <cell r="Z198">
            <v>0</v>
          </cell>
          <cell r="AA198"/>
          <cell r="AB198">
            <v>48874</v>
          </cell>
          <cell r="AC198">
            <v>0</v>
          </cell>
        </row>
        <row r="199">
          <cell r="F199" t="str">
            <v>SM CFO: SOC CONTR: PENSION FUNDS</v>
          </cell>
          <cell r="G199" t="str">
            <v>P1202205062</v>
          </cell>
          <cell r="H199" t="str">
            <v>P1202205062</v>
          </cell>
          <cell r="I199" t="str">
            <v>501202</v>
          </cell>
          <cell r="J199">
            <v>50</v>
          </cell>
          <cell r="K199" t="str">
            <v>12</v>
          </cell>
          <cell r="L199" t="str">
            <v>02</v>
          </cell>
          <cell r="M199" t="str">
            <v>2</v>
          </cell>
          <cell r="N199" t="str">
            <v>05</v>
          </cell>
          <cell r="O199" t="str">
            <v>062</v>
          </cell>
          <cell r="P199" t="str">
            <v>0</v>
          </cell>
          <cell r="Q199">
            <v>18</v>
          </cell>
          <cell r="R199" t="str">
            <v>MRC</v>
          </cell>
          <cell r="S199" t="str">
            <v>ZZ</v>
          </cell>
          <cell r="T199">
            <v>11</v>
          </cell>
          <cell r="U199" t="str">
            <v>1202205062018MRCZZ11</v>
          </cell>
          <cell r="V199">
            <v>198</v>
          </cell>
          <cell r="W199" t="str">
            <v>SM CFO: SOC CONTR: PENSION FUNDS</v>
          </cell>
          <cell r="X199">
            <v>390654</v>
          </cell>
          <cell r="Y199">
            <v>0</v>
          </cell>
          <cell r="Z199">
            <v>0</v>
          </cell>
          <cell r="AA199"/>
          <cell r="AB199">
            <v>390654</v>
          </cell>
          <cell r="AC199">
            <v>0</v>
          </cell>
        </row>
        <row r="200">
          <cell r="F200" t="str">
            <v>MS: SAL &amp; ALL: BASIC SALARY &amp; WAGES</v>
          </cell>
          <cell r="G200" t="str">
            <v>P211001</v>
          </cell>
          <cell r="H200" t="str">
            <v>P211001</v>
          </cell>
          <cell r="I200" t="str">
            <v>501202</v>
          </cell>
          <cell r="J200">
            <v>50</v>
          </cell>
          <cell r="K200" t="str">
            <v>12</v>
          </cell>
          <cell r="L200" t="str">
            <v>02</v>
          </cell>
          <cell r="M200" t="str">
            <v>2</v>
          </cell>
          <cell r="N200" t="str">
            <v>11</v>
          </cell>
          <cell r="O200" t="str">
            <v>001</v>
          </cell>
          <cell r="P200" t="str">
            <v>0</v>
          </cell>
          <cell r="Q200">
            <v>18</v>
          </cell>
          <cell r="R200" t="str">
            <v>MRC</v>
          </cell>
          <cell r="S200" t="str">
            <v>ZZ</v>
          </cell>
          <cell r="T200">
            <v>11</v>
          </cell>
          <cell r="U200" t="str">
            <v>1202211001018MRCZZ11</v>
          </cell>
          <cell r="V200">
            <v>199</v>
          </cell>
          <cell r="W200" t="str">
            <v>MS: SAL &amp; ALL: BASIC SALARY &amp; WAGES</v>
          </cell>
          <cell r="X200">
            <v>2410798</v>
          </cell>
          <cell r="Y200">
            <v>2151376.4900000002</v>
          </cell>
          <cell r="Z200">
            <v>2581651.7880000006</v>
          </cell>
          <cell r="AA200"/>
          <cell r="AB200">
            <v>2410798</v>
          </cell>
          <cell r="AC200">
            <v>634132.22400000005</v>
          </cell>
        </row>
        <row r="201">
          <cell r="F201" t="str">
            <v>MS: ALL - CELLULAR &amp; TELEPHONE</v>
          </cell>
          <cell r="G201" t="str">
            <v>P211022</v>
          </cell>
          <cell r="H201" t="str">
            <v>P211022</v>
          </cell>
          <cell r="I201" t="str">
            <v>501202</v>
          </cell>
          <cell r="J201">
            <v>50</v>
          </cell>
          <cell r="K201" t="str">
            <v>12</v>
          </cell>
          <cell r="L201" t="str">
            <v>02</v>
          </cell>
          <cell r="M201" t="str">
            <v>2</v>
          </cell>
          <cell r="N201" t="str">
            <v>11</v>
          </cell>
          <cell r="O201" t="str">
            <v>022</v>
          </cell>
          <cell r="P201" t="str">
            <v>0</v>
          </cell>
          <cell r="Q201">
            <v>18</v>
          </cell>
          <cell r="R201" t="str">
            <v>MRC</v>
          </cell>
          <cell r="S201" t="str">
            <v>ZZ</v>
          </cell>
          <cell r="T201">
            <v>11</v>
          </cell>
          <cell r="U201" t="str">
            <v>1202211022018MRCZZ11</v>
          </cell>
          <cell r="V201">
            <v>200</v>
          </cell>
          <cell r="W201" t="str">
            <v>MS: ALL - CELLULAR &amp; TELEPHONE</v>
          </cell>
          <cell r="X201">
            <v>24055</v>
          </cell>
          <cell r="Y201">
            <v>13050</v>
          </cell>
          <cell r="Z201">
            <v>15660</v>
          </cell>
          <cell r="AA201"/>
          <cell r="AB201">
            <v>24055</v>
          </cell>
          <cell r="AC201">
            <v>9432</v>
          </cell>
        </row>
        <row r="202">
          <cell r="F202" t="str">
            <v>MS: HB &amp; INC: HOUSING BENEFITS</v>
          </cell>
          <cell r="G202" t="str">
            <v>P211026</v>
          </cell>
          <cell r="H202" t="str">
            <v>P211026</v>
          </cell>
          <cell r="I202" t="str">
            <v>501202</v>
          </cell>
          <cell r="J202">
            <v>50</v>
          </cell>
          <cell r="K202" t="str">
            <v>12</v>
          </cell>
          <cell r="L202" t="str">
            <v>02</v>
          </cell>
          <cell r="M202" t="str">
            <v>2</v>
          </cell>
          <cell r="N202" t="str">
            <v>11</v>
          </cell>
          <cell r="O202" t="str">
            <v>026</v>
          </cell>
          <cell r="P202" t="str">
            <v>0</v>
          </cell>
          <cell r="Q202">
            <v>18</v>
          </cell>
          <cell r="R202" t="str">
            <v>MRC</v>
          </cell>
          <cell r="S202" t="str">
            <v>ZZ</v>
          </cell>
          <cell r="T202">
            <v>11</v>
          </cell>
          <cell r="U202" t="str">
            <v>1202211026018MRCZZ11</v>
          </cell>
          <cell r="W202" t="str">
            <v>MS: HB &amp; INC: HOUSING BENEFITS</v>
          </cell>
          <cell r="X202">
            <v>0</v>
          </cell>
          <cell r="Y202">
            <v>0</v>
          </cell>
          <cell r="Z202">
            <v>0</v>
          </cell>
          <cell r="AA202"/>
          <cell r="AB202">
            <v>0</v>
          </cell>
          <cell r="AC202">
            <v>12129.677759999999</v>
          </cell>
        </row>
        <row r="203">
          <cell r="F203" t="str">
            <v>MS: ALL - TRAVEL OR MOTOR VEHICLE (SUBS</v>
          </cell>
          <cell r="G203" t="str">
            <v>P211034</v>
          </cell>
          <cell r="H203" t="str">
            <v>P211034</v>
          </cell>
          <cell r="I203" t="str">
            <v>501202</v>
          </cell>
          <cell r="J203">
            <v>50</v>
          </cell>
          <cell r="K203" t="str">
            <v>12</v>
          </cell>
          <cell r="L203" t="str">
            <v>02</v>
          </cell>
          <cell r="M203" t="str">
            <v>2</v>
          </cell>
          <cell r="N203" t="str">
            <v>11</v>
          </cell>
          <cell r="O203" t="str">
            <v>034</v>
          </cell>
          <cell r="P203" t="str">
            <v>1</v>
          </cell>
          <cell r="Q203">
            <v>18</v>
          </cell>
          <cell r="R203" t="str">
            <v>MRC</v>
          </cell>
          <cell r="S203" t="str">
            <v>ZZ</v>
          </cell>
          <cell r="T203">
            <v>11</v>
          </cell>
          <cell r="U203" t="str">
            <v>1202211034118MRCZZ11</v>
          </cell>
          <cell r="V203">
            <v>201</v>
          </cell>
          <cell r="W203" t="str">
            <v>MS: ALL - TRAVEL OR MOTOR VEHICLE (SUBS</v>
          </cell>
          <cell r="X203">
            <v>274940</v>
          </cell>
          <cell r="Y203">
            <v>175431.5</v>
          </cell>
          <cell r="Z203">
            <v>210517.80000000002</v>
          </cell>
          <cell r="AA203"/>
          <cell r="AB203">
            <v>274940</v>
          </cell>
          <cell r="AC203">
            <v>14994.784000000001</v>
          </cell>
        </row>
        <row r="204">
          <cell r="F204" t="str">
            <v>MS: SRB - ACTING ALLOWANCE</v>
          </cell>
          <cell r="G204" t="str">
            <v>P211044</v>
          </cell>
          <cell r="H204" t="str">
            <v>P211044</v>
          </cell>
          <cell r="I204" t="str">
            <v>501202</v>
          </cell>
          <cell r="J204">
            <v>50</v>
          </cell>
          <cell r="K204" t="str">
            <v>12</v>
          </cell>
          <cell r="L204" t="str">
            <v>02</v>
          </cell>
          <cell r="M204" t="str">
            <v>2</v>
          </cell>
          <cell r="N204" t="str">
            <v>11</v>
          </cell>
          <cell r="O204" t="str">
            <v>044</v>
          </cell>
          <cell r="P204" t="str">
            <v>0</v>
          </cell>
          <cell r="Q204">
            <v>18</v>
          </cell>
          <cell r="R204" t="str">
            <v>MRC</v>
          </cell>
          <cell r="S204" t="str">
            <v>ZZ</v>
          </cell>
          <cell r="T204">
            <v>11</v>
          </cell>
          <cell r="U204" t="str">
            <v>1202211044018MRCZZ11</v>
          </cell>
          <cell r="V204">
            <v>202</v>
          </cell>
          <cell r="W204" t="str">
            <v>MS: SRB - ACTING ALLOWANCE</v>
          </cell>
          <cell r="X204">
            <v>0</v>
          </cell>
          <cell r="Y204">
            <v>7886.58</v>
          </cell>
          <cell r="Z204">
            <v>9463.8960000000006</v>
          </cell>
          <cell r="AA204"/>
          <cell r="AB204">
            <v>0</v>
          </cell>
          <cell r="AC204">
            <v>0</v>
          </cell>
        </row>
        <row r="205">
          <cell r="F205" t="str">
            <v>MS: SRB - ANNUAL BONUS</v>
          </cell>
          <cell r="G205" t="str">
            <v>P211046</v>
          </cell>
          <cell r="H205" t="str">
            <v>P211046</v>
          </cell>
          <cell r="I205" t="str">
            <v>501202</v>
          </cell>
          <cell r="J205">
            <v>50</v>
          </cell>
          <cell r="K205" t="str">
            <v>12</v>
          </cell>
          <cell r="L205" t="str">
            <v>02</v>
          </cell>
          <cell r="M205" t="str">
            <v>2</v>
          </cell>
          <cell r="N205" t="str">
            <v>11</v>
          </cell>
          <cell r="O205" t="str">
            <v>046</v>
          </cell>
          <cell r="P205" t="str">
            <v>0</v>
          </cell>
          <cell r="Q205">
            <v>18</v>
          </cell>
          <cell r="R205" t="str">
            <v>MRC</v>
          </cell>
          <cell r="S205" t="str">
            <v>ZZ</v>
          </cell>
          <cell r="T205">
            <v>11</v>
          </cell>
          <cell r="U205" t="str">
            <v>1202211046018MRCZZ11</v>
          </cell>
          <cell r="V205">
            <v>203</v>
          </cell>
          <cell r="W205" t="str">
            <v>MS: SRB - ANNUAL BONUS</v>
          </cell>
          <cell r="X205">
            <v>85617</v>
          </cell>
          <cell r="Y205">
            <v>50424</v>
          </cell>
          <cell r="Z205">
            <v>60508.799999999996</v>
          </cell>
          <cell r="AA205"/>
          <cell r="AB205">
            <v>85617</v>
          </cell>
          <cell r="AC205">
            <v>52844.351999999999</v>
          </cell>
        </row>
        <row r="206">
          <cell r="F206" t="str">
            <v>MS: SOC CONTR - BARGAINING COUNCIL</v>
          </cell>
          <cell r="G206" t="str">
            <v>P213001</v>
          </cell>
          <cell r="H206" t="str">
            <v>P213001</v>
          </cell>
          <cell r="I206" t="str">
            <v>501202</v>
          </cell>
          <cell r="J206">
            <v>50</v>
          </cell>
          <cell r="K206" t="str">
            <v>12</v>
          </cell>
          <cell r="L206" t="str">
            <v>02</v>
          </cell>
          <cell r="M206" t="str">
            <v>2</v>
          </cell>
          <cell r="N206" t="str">
            <v>13</v>
          </cell>
          <cell r="O206" t="str">
            <v>001</v>
          </cell>
          <cell r="P206" t="str">
            <v>0</v>
          </cell>
          <cell r="Q206">
            <v>18</v>
          </cell>
          <cell r="R206" t="str">
            <v>MRC</v>
          </cell>
          <cell r="S206" t="str">
            <v>ZZ</v>
          </cell>
          <cell r="T206">
            <v>11</v>
          </cell>
          <cell r="U206" t="str">
            <v>1202213001018MRCZZ11</v>
          </cell>
          <cell r="V206">
            <v>204</v>
          </cell>
          <cell r="W206" t="str">
            <v>MS: SOC CONTR - BARGAINING COUNCIL</v>
          </cell>
          <cell r="X206">
            <v>366</v>
          </cell>
          <cell r="Y206">
            <v>185.4</v>
          </cell>
          <cell r="Z206">
            <v>222.48</v>
          </cell>
          <cell r="AA206"/>
          <cell r="AB206">
            <v>366</v>
          </cell>
          <cell r="AC206">
            <v>129.53280000000001</v>
          </cell>
        </row>
        <row r="207">
          <cell r="F207" t="str">
            <v>MS: SOC CONTR - GROUP LIFE INSURANCE</v>
          </cell>
          <cell r="G207" t="str">
            <v>P213010</v>
          </cell>
          <cell r="H207" t="str">
            <v>P213010</v>
          </cell>
          <cell r="I207" t="str">
            <v>501202</v>
          </cell>
          <cell r="J207">
            <v>50</v>
          </cell>
          <cell r="K207" t="str">
            <v>12</v>
          </cell>
          <cell r="L207" t="str">
            <v>02</v>
          </cell>
          <cell r="M207" t="str">
            <v>2</v>
          </cell>
          <cell r="N207" t="str">
            <v>13</v>
          </cell>
          <cell r="O207" t="str">
            <v>010</v>
          </cell>
          <cell r="P207" t="str">
            <v>0</v>
          </cell>
          <cell r="Q207">
            <v>18</v>
          </cell>
          <cell r="R207" t="str">
            <v>MRC</v>
          </cell>
          <cell r="S207" t="str">
            <v>ZZ</v>
          </cell>
          <cell r="T207">
            <v>11</v>
          </cell>
          <cell r="U207" t="str">
            <v>1202213010018MRCZZ11</v>
          </cell>
          <cell r="V207">
            <v>205</v>
          </cell>
          <cell r="W207" t="str">
            <v>MS: SOC CONTR - GROUP LIFE INSURANCE</v>
          </cell>
          <cell r="X207">
            <v>4612</v>
          </cell>
          <cell r="Y207">
            <v>2747.12</v>
          </cell>
          <cell r="Z207">
            <v>3296.5439999999999</v>
          </cell>
          <cell r="AA207"/>
          <cell r="AB207">
            <v>4612</v>
          </cell>
          <cell r="AC207">
            <v>10780.247808000002</v>
          </cell>
        </row>
        <row r="208">
          <cell r="F208" t="str">
            <v>MS: SOC CONTR - MEDICAL</v>
          </cell>
          <cell r="G208" t="str">
            <v>P213020</v>
          </cell>
          <cell r="H208" t="str">
            <v>P213020</v>
          </cell>
          <cell r="I208" t="str">
            <v>501202</v>
          </cell>
          <cell r="J208">
            <v>50</v>
          </cell>
          <cell r="K208" t="str">
            <v>12</v>
          </cell>
          <cell r="L208" t="str">
            <v>02</v>
          </cell>
          <cell r="M208" t="str">
            <v>2</v>
          </cell>
          <cell r="N208" t="str">
            <v>13</v>
          </cell>
          <cell r="O208" t="str">
            <v>020</v>
          </cell>
          <cell r="P208" t="str">
            <v>0</v>
          </cell>
          <cell r="Q208">
            <v>18</v>
          </cell>
          <cell r="R208" t="str">
            <v>MRC</v>
          </cell>
          <cell r="S208" t="str">
            <v>ZZ</v>
          </cell>
          <cell r="T208">
            <v>11</v>
          </cell>
          <cell r="U208" t="str">
            <v>1202213020018MRCZZ11</v>
          </cell>
          <cell r="V208">
            <v>206</v>
          </cell>
          <cell r="W208" t="str">
            <v>MS: SOC CONTR - MEDICAL</v>
          </cell>
          <cell r="X208">
            <v>71211</v>
          </cell>
          <cell r="Y208">
            <v>48871.199999999997</v>
          </cell>
          <cell r="Z208">
            <v>58645.440000000002</v>
          </cell>
          <cell r="AA208"/>
          <cell r="AB208">
            <v>71211</v>
          </cell>
          <cell r="AC208">
            <v>60026.757120000002</v>
          </cell>
        </row>
        <row r="209">
          <cell r="F209" t="str">
            <v>MS: SOC CONTR - PENSION</v>
          </cell>
          <cell r="G209" t="str">
            <v>P213030</v>
          </cell>
          <cell r="H209" t="str">
            <v>P213030</v>
          </cell>
          <cell r="I209" t="str">
            <v>501202</v>
          </cell>
          <cell r="J209">
            <v>50</v>
          </cell>
          <cell r="K209" t="str">
            <v>12</v>
          </cell>
          <cell r="L209" t="str">
            <v>02</v>
          </cell>
          <cell r="M209" t="str">
            <v>2</v>
          </cell>
          <cell r="N209" t="str">
            <v>13</v>
          </cell>
          <cell r="O209" t="str">
            <v>030</v>
          </cell>
          <cell r="P209" t="str">
            <v>0</v>
          </cell>
          <cell r="Q209">
            <v>18</v>
          </cell>
          <cell r="R209" t="str">
            <v>MRC</v>
          </cell>
          <cell r="S209" t="str">
            <v>ZZ</v>
          </cell>
          <cell r="T209">
            <v>11</v>
          </cell>
          <cell r="U209" t="str">
            <v>1202213030018MRCZZ11</v>
          </cell>
          <cell r="V209">
            <v>207</v>
          </cell>
          <cell r="W209" t="str">
            <v>MS: SOC CONTR - PENSION</v>
          </cell>
          <cell r="X209">
            <v>158215</v>
          </cell>
          <cell r="Y209">
            <v>130345.92</v>
          </cell>
          <cell r="Z209">
            <v>156415.10399999999</v>
          </cell>
          <cell r="AA209"/>
          <cell r="AB209">
            <v>158215</v>
          </cell>
          <cell r="AC209">
            <v>114587.69287680001</v>
          </cell>
        </row>
        <row r="210">
          <cell r="F210" t="str">
            <v>MS: SOC CONTR - UNEMPLOYMENT INSUR FUND</v>
          </cell>
          <cell r="G210" t="str">
            <v>P213040</v>
          </cell>
          <cell r="H210" t="str">
            <v>P213040</v>
          </cell>
          <cell r="I210" t="str">
            <v>501202</v>
          </cell>
          <cell r="J210">
            <v>50</v>
          </cell>
          <cell r="K210" t="str">
            <v>12</v>
          </cell>
          <cell r="L210" t="str">
            <v>02</v>
          </cell>
          <cell r="M210" t="str">
            <v>2</v>
          </cell>
          <cell r="N210" t="str">
            <v>13</v>
          </cell>
          <cell r="O210" t="str">
            <v>040</v>
          </cell>
          <cell r="P210" t="str">
            <v>0</v>
          </cell>
          <cell r="Q210">
            <v>18</v>
          </cell>
          <cell r="R210" t="str">
            <v>MRC</v>
          </cell>
          <cell r="S210" t="str">
            <v>ZZ</v>
          </cell>
          <cell r="T210">
            <v>11</v>
          </cell>
          <cell r="U210" t="str">
            <v>1202213040018MRCZZ11</v>
          </cell>
          <cell r="V210">
            <v>208</v>
          </cell>
          <cell r="W210" t="str">
            <v>MS: SOC CONTR - UNEMPLOYMENT INSUR FUND</v>
          </cell>
          <cell r="X210">
            <v>5504</v>
          </cell>
          <cell r="Y210">
            <v>3542.4</v>
          </cell>
          <cell r="Z210">
            <v>4250.88</v>
          </cell>
          <cell r="AA210"/>
          <cell r="AB210">
            <v>5504</v>
          </cell>
          <cell r="AC210">
            <v>2227.4611199999999</v>
          </cell>
        </row>
        <row r="211">
          <cell r="F211" t="str">
            <v>OS: CATERING SERVICES(REFRESHMENTS)</v>
          </cell>
          <cell r="G211" t="str">
            <v>P226060</v>
          </cell>
          <cell r="H211" t="str">
            <v>P226060</v>
          </cell>
          <cell r="I211"/>
          <cell r="J211"/>
          <cell r="K211" t="str">
            <v>12</v>
          </cell>
          <cell r="L211" t="str">
            <v>02</v>
          </cell>
          <cell r="M211" t="str">
            <v>2</v>
          </cell>
          <cell r="N211" t="str">
            <v>26</v>
          </cell>
          <cell r="O211" t="str">
            <v>060</v>
          </cell>
          <cell r="P211" t="str">
            <v>H</v>
          </cell>
          <cell r="Q211">
            <v>18</v>
          </cell>
          <cell r="R211" t="str">
            <v>MRC</v>
          </cell>
          <cell r="S211" t="str">
            <v>ZZ</v>
          </cell>
          <cell r="T211">
            <v>11</v>
          </cell>
          <cell r="U211" t="str">
            <v>1202226060H18MRCZZ11</v>
          </cell>
          <cell r="V211">
            <v>209</v>
          </cell>
          <cell r="W211" t="str">
            <v>OS: CATERING SERVICES(REFRESHMENTS)</v>
          </cell>
          <cell r="X211">
            <v>0</v>
          </cell>
          <cell r="Y211">
            <v>0</v>
          </cell>
          <cell r="Z211">
            <v>0</v>
          </cell>
          <cell r="AA211"/>
          <cell r="AB211">
            <v>0</v>
          </cell>
          <cell r="AC211">
            <v>38000</v>
          </cell>
        </row>
        <row r="212">
          <cell r="F212" t="str">
            <v>C&amp;PS: B&amp;A ACCOUNTANTS &amp; AUDITORS</v>
          </cell>
          <cell r="G212" t="str">
            <v>P227334</v>
          </cell>
          <cell r="H212" t="str">
            <v>P227030</v>
          </cell>
          <cell r="I212"/>
          <cell r="J212"/>
          <cell r="K212" t="str">
            <v>12</v>
          </cell>
          <cell r="L212" t="str">
            <v>02</v>
          </cell>
          <cell r="M212" t="str">
            <v>2</v>
          </cell>
          <cell r="N212" t="str">
            <v>27</v>
          </cell>
          <cell r="O212" t="str">
            <v>030</v>
          </cell>
          <cell r="P212" t="str">
            <v>0</v>
          </cell>
          <cell r="Q212">
            <v>18</v>
          </cell>
          <cell r="R212" t="str">
            <v>MRC</v>
          </cell>
          <cell r="S212" t="str">
            <v>ZZ</v>
          </cell>
          <cell r="T212">
            <v>11</v>
          </cell>
          <cell r="U212" t="str">
            <v>1202227030018MRCZZ11</v>
          </cell>
          <cell r="V212">
            <v>210</v>
          </cell>
          <cell r="W212" t="str">
            <v>C&amp;PS: B&amp;A ACCOUNTANTS &amp; AUDITORS</v>
          </cell>
          <cell r="X212">
            <v>11719689</v>
          </cell>
          <cell r="Y212">
            <v>2597252.1</v>
          </cell>
          <cell r="Z212">
            <v>3116702.5200000005</v>
          </cell>
          <cell r="AA212"/>
          <cell r="AB212">
            <v>11719689</v>
          </cell>
          <cell r="AC212">
            <v>12282234.072000001</v>
          </cell>
        </row>
        <row r="213">
          <cell r="F213" t="str">
            <v>C&amp;PS: B&amp;A ACCOUNTANTS &amp; AUDITORS ( AUDIT</v>
          </cell>
          <cell r="G213" t="str">
            <v>P227334</v>
          </cell>
          <cell r="H213" t="str">
            <v>P227030</v>
          </cell>
          <cell r="I213"/>
          <cell r="J213"/>
          <cell r="K213" t="str">
            <v>12</v>
          </cell>
          <cell r="L213" t="str">
            <v>02</v>
          </cell>
          <cell r="M213" t="str">
            <v>2</v>
          </cell>
          <cell r="N213" t="str">
            <v>27</v>
          </cell>
          <cell r="O213" t="str">
            <v>030</v>
          </cell>
          <cell r="P213" t="str">
            <v>1</v>
          </cell>
          <cell r="Q213">
            <v>18</v>
          </cell>
          <cell r="R213" t="str">
            <v>MRC</v>
          </cell>
          <cell r="S213" t="str">
            <v>ZZ</v>
          </cell>
          <cell r="T213">
            <v>11</v>
          </cell>
          <cell r="U213" t="str">
            <v>1202227030118MRCZZ11</v>
          </cell>
          <cell r="V213">
            <v>211</v>
          </cell>
          <cell r="W213" t="str">
            <v>C&amp;PS: B&amp;A ACCOUNTANTS &amp; AUDITORS ( AUDIT</v>
          </cell>
          <cell r="X213">
            <v>6092198</v>
          </cell>
          <cell r="Y213">
            <v>5893444.4900000002</v>
          </cell>
          <cell r="Z213">
            <v>7072133.3880000003</v>
          </cell>
          <cell r="AA213">
            <v>2700000</v>
          </cell>
          <cell r="AB213">
            <v>8792198</v>
          </cell>
          <cell r="AC213">
            <v>7792198</v>
          </cell>
        </row>
        <row r="214">
          <cell r="F214" t="str">
            <v>C&amp;PS: B&amp;A PROJECT MANAGEMENT</v>
          </cell>
          <cell r="G214" t="str">
            <v>P227334</v>
          </cell>
          <cell r="H214" t="str">
            <v>P227041</v>
          </cell>
          <cell r="I214"/>
          <cell r="J214"/>
          <cell r="K214" t="str">
            <v>12</v>
          </cell>
          <cell r="L214" t="str">
            <v>02</v>
          </cell>
          <cell r="M214" t="str">
            <v>2</v>
          </cell>
          <cell r="N214" t="str">
            <v>27</v>
          </cell>
          <cell r="O214" t="str">
            <v>041</v>
          </cell>
          <cell r="P214" t="str">
            <v>0</v>
          </cell>
          <cell r="Q214">
            <v>18</v>
          </cell>
          <cell r="R214" t="str">
            <v>MRC</v>
          </cell>
          <cell r="S214" t="str">
            <v>ZZ</v>
          </cell>
          <cell r="T214">
            <v>11</v>
          </cell>
          <cell r="U214" t="str">
            <v>1202227041018MRCZZ11</v>
          </cell>
          <cell r="V214">
            <v>212</v>
          </cell>
          <cell r="W214" t="str">
            <v>C&amp;PS: B&amp;A PROJECT MANAGEMENT</v>
          </cell>
          <cell r="X214">
            <v>40637</v>
          </cell>
          <cell r="Y214">
            <v>0</v>
          </cell>
          <cell r="Z214">
            <v>0</v>
          </cell>
          <cell r="AA214">
            <v>-20000</v>
          </cell>
          <cell r="AB214">
            <v>20637</v>
          </cell>
          <cell r="AC214">
            <v>30000</v>
          </cell>
        </row>
        <row r="215">
          <cell r="F215" t="str">
            <v>C&amp;PS: B&amp;A PROJECT MANAGEMENT</v>
          </cell>
          <cell r="G215" t="str">
            <v>P227334</v>
          </cell>
          <cell r="H215" t="str">
            <v>P227041</v>
          </cell>
          <cell r="I215"/>
          <cell r="J215"/>
          <cell r="K215" t="str">
            <v>12</v>
          </cell>
          <cell r="L215" t="str">
            <v>02</v>
          </cell>
          <cell r="M215" t="str">
            <v>2</v>
          </cell>
          <cell r="N215" t="str">
            <v>27</v>
          </cell>
          <cell r="O215" t="str">
            <v>041</v>
          </cell>
          <cell r="P215" t="str">
            <v>1</v>
          </cell>
          <cell r="Q215">
            <v>18</v>
          </cell>
          <cell r="R215" t="str">
            <v>MRC</v>
          </cell>
          <cell r="S215" t="str">
            <v>ZZ</v>
          </cell>
          <cell r="T215">
            <v>11</v>
          </cell>
          <cell r="U215" t="str">
            <v>1202227041118MRCZZ11</v>
          </cell>
          <cell r="V215">
            <v>213</v>
          </cell>
          <cell r="W215" t="str">
            <v>C&amp;PS: B&amp;A PROJECT MANAGEMENT</v>
          </cell>
          <cell r="X215">
            <v>216359</v>
          </cell>
          <cell r="Y215">
            <v>134930</v>
          </cell>
          <cell r="Z215">
            <v>161916</v>
          </cell>
          <cell r="AA215"/>
          <cell r="AB215">
            <v>216359</v>
          </cell>
          <cell r="AC215">
            <v>226744.23200000002</v>
          </cell>
        </row>
        <row r="216">
          <cell r="F216" t="str">
            <v>OC: REG FEES NATIONAL</v>
          </cell>
          <cell r="G216" t="str">
            <v>P230452</v>
          </cell>
          <cell r="H216" t="str">
            <v>P230511</v>
          </cell>
          <cell r="I216"/>
          <cell r="J216"/>
          <cell r="K216" t="str">
            <v>12</v>
          </cell>
          <cell r="L216" t="str">
            <v>02</v>
          </cell>
          <cell r="M216" t="str">
            <v>2</v>
          </cell>
          <cell r="N216" t="str">
            <v>30</v>
          </cell>
          <cell r="O216" t="str">
            <v>511</v>
          </cell>
          <cell r="P216" t="str">
            <v>0</v>
          </cell>
          <cell r="Q216">
            <v>18</v>
          </cell>
          <cell r="R216" t="str">
            <v>MRC</v>
          </cell>
          <cell r="S216" t="str">
            <v>ZZ</v>
          </cell>
          <cell r="T216">
            <v>11</v>
          </cell>
          <cell r="U216" t="str">
            <v>1202230511018MRCZZ11</v>
          </cell>
          <cell r="V216">
            <v>214</v>
          </cell>
          <cell r="W216" t="str">
            <v>OC: REG FEES NATIONAL</v>
          </cell>
          <cell r="X216">
            <v>4427</v>
          </cell>
          <cell r="Y216">
            <v>0</v>
          </cell>
          <cell r="Z216">
            <v>0</v>
          </cell>
          <cell r="AA216"/>
          <cell r="AB216">
            <v>4427</v>
          </cell>
          <cell r="AC216">
            <v>4639.4960000000001</v>
          </cell>
        </row>
        <row r="217">
          <cell r="F217" t="str">
            <v>OC: SKILLS DEVELOPMENT FUND LEVY</v>
          </cell>
          <cell r="G217" t="str">
            <v>P230452</v>
          </cell>
          <cell r="H217" t="str">
            <v>P230541</v>
          </cell>
          <cell r="I217"/>
          <cell r="J217"/>
          <cell r="K217" t="str">
            <v>12</v>
          </cell>
          <cell r="L217" t="str">
            <v>02</v>
          </cell>
          <cell r="M217" t="str">
            <v>2</v>
          </cell>
          <cell r="N217" t="str">
            <v>30</v>
          </cell>
          <cell r="O217" t="str">
            <v>541</v>
          </cell>
          <cell r="P217" t="str">
            <v>0</v>
          </cell>
          <cell r="Q217">
            <v>18</v>
          </cell>
          <cell r="R217" t="str">
            <v>MRC</v>
          </cell>
          <cell r="S217" t="str">
            <v>ZZ</v>
          </cell>
          <cell r="T217">
            <v>11</v>
          </cell>
          <cell r="U217" t="str">
            <v>1202230541018MRCZZ11</v>
          </cell>
          <cell r="V217">
            <v>215</v>
          </cell>
          <cell r="W217" t="str">
            <v>OC: SKILLS DEVELOPMENT FUND LEVY</v>
          </cell>
          <cell r="X217">
            <v>0</v>
          </cell>
          <cell r="Y217">
            <v>0</v>
          </cell>
          <cell r="Z217">
            <v>0</v>
          </cell>
          <cell r="AA217"/>
          <cell r="AB217">
            <v>0</v>
          </cell>
          <cell r="AC217">
            <v>0</v>
          </cell>
        </row>
        <row r="218">
          <cell r="F218" t="str">
            <v>OC: T&amp;S DOM - ACCOMMODATION</v>
          </cell>
          <cell r="G218" t="str">
            <v>P230452</v>
          </cell>
          <cell r="H218" t="str">
            <v>P230576</v>
          </cell>
          <cell r="I218"/>
          <cell r="J218"/>
          <cell r="K218" t="str">
            <v>12</v>
          </cell>
          <cell r="L218" t="str">
            <v>02</v>
          </cell>
          <cell r="M218" t="str">
            <v>2</v>
          </cell>
          <cell r="N218" t="str">
            <v>30</v>
          </cell>
          <cell r="O218" t="str">
            <v>576</v>
          </cell>
          <cell r="P218" t="str">
            <v>0</v>
          </cell>
          <cell r="Q218">
            <v>18</v>
          </cell>
          <cell r="R218" t="str">
            <v>MRC</v>
          </cell>
          <cell r="S218" t="str">
            <v>ZZ</v>
          </cell>
          <cell r="T218">
            <v>11</v>
          </cell>
          <cell r="U218" t="str">
            <v>1202230576018MRCZZ11</v>
          </cell>
          <cell r="V218">
            <v>216</v>
          </cell>
          <cell r="W218" t="str">
            <v>OC: T&amp;S DOM - ACCOMMODATION</v>
          </cell>
          <cell r="X218">
            <v>0</v>
          </cell>
          <cell r="Y218">
            <v>0</v>
          </cell>
          <cell r="Z218">
            <v>0</v>
          </cell>
          <cell r="AA218"/>
          <cell r="AB218">
            <v>0</v>
          </cell>
          <cell r="AC218">
            <v>0</v>
          </cell>
        </row>
        <row r="219">
          <cell r="F219" t="str">
            <v>OC: T&amp;S DOM - DAILY ALLOWANCE</v>
          </cell>
          <cell r="G219" t="str">
            <v>P230452</v>
          </cell>
          <cell r="H219" t="str">
            <v>P230577</v>
          </cell>
          <cell r="I219"/>
          <cell r="J219"/>
          <cell r="K219" t="str">
            <v>12</v>
          </cell>
          <cell r="L219" t="str">
            <v>02</v>
          </cell>
          <cell r="M219" t="str">
            <v>2</v>
          </cell>
          <cell r="N219" t="str">
            <v>30</v>
          </cell>
          <cell r="O219" t="str">
            <v>577</v>
          </cell>
          <cell r="P219" t="str">
            <v>0</v>
          </cell>
          <cell r="Q219">
            <v>18</v>
          </cell>
          <cell r="R219" t="str">
            <v>MRC</v>
          </cell>
          <cell r="S219" t="str">
            <v>ZZ</v>
          </cell>
          <cell r="T219">
            <v>11</v>
          </cell>
          <cell r="U219" t="str">
            <v>1202230577018MRCZZ11</v>
          </cell>
          <cell r="V219">
            <v>217</v>
          </cell>
          <cell r="W219" t="str">
            <v>OC: T&amp;S DOM - DAILY ALLOWANCE</v>
          </cell>
          <cell r="X219">
            <v>0</v>
          </cell>
          <cell r="Y219">
            <v>0</v>
          </cell>
          <cell r="Z219">
            <v>0</v>
          </cell>
          <cell r="AA219"/>
          <cell r="AB219">
            <v>0</v>
          </cell>
          <cell r="AC219">
            <v>0</v>
          </cell>
        </row>
        <row r="220">
          <cell r="F220" t="str">
            <v>OC: T&amp;S DOM TRP - WITHOUT OPR CAR RENTAL</v>
          </cell>
          <cell r="G220" t="str">
            <v>P230452</v>
          </cell>
          <cell r="H220" t="str">
            <v>P230580</v>
          </cell>
          <cell r="I220"/>
          <cell r="J220"/>
          <cell r="K220" t="str">
            <v>12</v>
          </cell>
          <cell r="L220" t="str">
            <v>02</v>
          </cell>
          <cell r="M220" t="str">
            <v>2</v>
          </cell>
          <cell r="N220" t="str">
            <v>30</v>
          </cell>
          <cell r="O220" t="str">
            <v>580</v>
          </cell>
          <cell r="P220" t="str">
            <v>0</v>
          </cell>
          <cell r="Q220">
            <v>18</v>
          </cell>
          <cell r="R220" t="str">
            <v>MRC</v>
          </cell>
          <cell r="S220" t="str">
            <v>ZZ</v>
          </cell>
          <cell r="T220">
            <v>11</v>
          </cell>
          <cell r="U220" t="str">
            <v>1202230580018MRCZZ11</v>
          </cell>
          <cell r="V220">
            <v>218</v>
          </cell>
          <cell r="W220" t="str">
            <v>OC: T&amp;S DOM TRP - WITHOUT OPR CAR RENTAL</v>
          </cell>
          <cell r="X220">
            <v>0</v>
          </cell>
          <cell r="Y220">
            <v>0</v>
          </cell>
          <cell r="Z220">
            <v>0</v>
          </cell>
          <cell r="AA220"/>
          <cell r="AB220">
            <v>0</v>
          </cell>
          <cell r="AC220">
            <v>0</v>
          </cell>
        </row>
        <row r="221">
          <cell r="F221" t="str">
            <v>OC: T&amp;S DOM PUB TRP - AIR TRANSPORT</v>
          </cell>
          <cell r="G221" t="str">
            <v>P230452</v>
          </cell>
          <cell r="H221" t="str">
            <v>P230583</v>
          </cell>
          <cell r="I221"/>
          <cell r="J221"/>
          <cell r="K221" t="str">
            <v>12</v>
          </cell>
          <cell r="L221" t="str">
            <v>02</v>
          </cell>
          <cell r="M221" t="str">
            <v>2</v>
          </cell>
          <cell r="N221" t="str">
            <v>30</v>
          </cell>
          <cell r="O221" t="str">
            <v>583</v>
          </cell>
          <cell r="P221" t="str">
            <v>0</v>
          </cell>
          <cell r="Q221">
            <v>18</v>
          </cell>
          <cell r="R221" t="str">
            <v>MRC</v>
          </cell>
          <cell r="S221" t="str">
            <v>ZZ</v>
          </cell>
          <cell r="T221">
            <v>11</v>
          </cell>
          <cell r="U221" t="str">
            <v>1202230583018MRCZZ11</v>
          </cell>
          <cell r="V221">
            <v>219</v>
          </cell>
          <cell r="W221" t="str">
            <v>OC: T&amp;S DOM PUB TRP - AIR TRANSPORT</v>
          </cell>
          <cell r="X221">
            <v>0</v>
          </cell>
          <cell r="Y221">
            <v>0</v>
          </cell>
          <cell r="Z221">
            <v>0</v>
          </cell>
          <cell r="AA221"/>
          <cell r="AB221">
            <v>0</v>
          </cell>
          <cell r="AC221">
            <v>0</v>
          </cell>
        </row>
        <row r="222">
          <cell r="F222" t="str">
            <v>INVENTORY - MATERIALS &amp; SUPPLIES(PRINT&amp;</v>
          </cell>
          <cell r="G222" t="str">
            <v>P232360</v>
          </cell>
          <cell r="H222" t="str">
            <v>P232360</v>
          </cell>
          <cell r="I222"/>
          <cell r="J222"/>
          <cell r="K222" t="str">
            <v>12</v>
          </cell>
          <cell r="L222" t="str">
            <v>02</v>
          </cell>
          <cell r="M222" t="str">
            <v>2</v>
          </cell>
          <cell r="N222" t="str">
            <v>32</v>
          </cell>
          <cell r="O222" t="str">
            <v>360</v>
          </cell>
          <cell r="P222" t="str">
            <v>D</v>
          </cell>
          <cell r="Q222">
            <v>18</v>
          </cell>
          <cell r="R222" t="str">
            <v>MRC</v>
          </cell>
          <cell r="S222" t="str">
            <v>ZZ</v>
          </cell>
          <cell r="T222">
            <v>11</v>
          </cell>
          <cell r="U222" t="str">
            <v>1202232360D18MRCZZ11</v>
          </cell>
          <cell r="V222">
            <v>220</v>
          </cell>
          <cell r="W222" t="str">
            <v>INVENTORY - MATERIALS &amp; SUPPLIES(PRINT&amp;</v>
          </cell>
          <cell r="X222">
            <v>48135</v>
          </cell>
          <cell r="Y222">
            <v>20815.400000000001</v>
          </cell>
          <cell r="Z222">
            <v>24978.48</v>
          </cell>
          <cell r="AA222"/>
          <cell r="AB222">
            <v>48135</v>
          </cell>
          <cell r="AC222">
            <v>40000</v>
          </cell>
        </row>
        <row r="223">
          <cell r="F223" t="str">
            <v>DEPRECIATION FURNITURE &amp; OFFICE EQUIPM</v>
          </cell>
          <cell r="G223" t="str">
            <v>P272150</v>
          </cell>
          <cell r="H223" t="str">
            <v>P272150</v>
          </cell>
          <cell r="I223"/>
          <cell r="J223"/>
          <cell r="K223" t="str">
            <v>12</v>
          </cell>
          <cell r="L223" t="str">
            <v>02</v>
          </cell>
          <cell r="M223" t="str">
            <v>2</v>
          </cell>
          <cell r="N223" t="str">
            <v>72</v>
          </cell>
          <cell r="O223" t="str">
            <v>150</v>
          </cell>
          <cell r="P223" t="str">
            <v>0</v>
          </cell>
          <cell r="Q223">
            <v>18</v>
          </cell>
          <cell r="R223" t="str">
            <v>MRC</v>
          </cell>
          <cell r="S223" t="str">
            <v>ZZ</v>
          </cell>
          <cell r="T223">
            <v>11</v>
          </cell>
          <cell r="U223" t="str">
            <v>1202272150018MRCZZ11</v>
          </cell>
          <cell r="V223">
            <v>221</v>
          </cell>
          <cell r="W223" t="str">
            <v>DEPRECIATION FURNITURE &amp; OFFICE EQUIPM</v>
          </cell>
          <cell r="X223">
            <v>4236455</v>
          </cell>
          <cell r="Y223">
            <v>6247010.3399999999</v>
          </cell>
          <cell r="Z223">
            <v>7496412.4079999998</v>
          </cell>
          <cell r="AA223"/>
          <cell r="AB223">
            <v>4236455</v>
          </cell>
          <cell r="AC223">
            <v>4439804.84</v>
          </cell>
        </row>
        <row r="224">
          <cell r="F224" t="str">
            <v>ADMINISTRATIVE HANDLING FEES (SALARIES)</v>
          </cell>
          <cell r="G224">
            <v>0</v>
          </cell>
          <cell r="H224">
            <v>0</v>
          </cell>
          <cell r="I224"/>
          <cell r="J224"/>
          <cell r="K224" t="str">
            <v>12</v>
          </cell>
          <cell r="L224" t="str">
            <v>03</v>
          </cell>
          <cell r="M224" t="str">
            <v>1</v>
          </cell>
          <cell r="N224" t="str">
            <v>38</v>
          </cell>
          <cell r="O224" t="str">
            <v>001</v>
          </cell>
          <cell r="P224" t="str">
            <v>4</v>
          </cell>
          <cell r="Q224">
            <v>28</v>
          </cell>
          <cell r="R224" t="str">
            <v>ZZZ</v>
          </cell>
          <cell r="S224" t="str">
            <v>ZZ</v>
          </cell>
          <cell r="T224">
            <v>11</v>
          </cell>
          <cell r="U224" t="str">
            <v>1203138001428ZZZZZ11</v>
          </cell>
          <cell r="V224">
            <v>222</v>
          </cell>
          <cell r="W224" t="str">
            <v>ADMINISTRATIVE HANDLING FEES (SALARIES)</v>
          </cell>
          <cell r="X224">
            <v>0</v>
          </cell>
          <cell r="Y224">
            <v>0</v>
          </cell>
          <cell r="Z224">
            <v>0</v>
          </cell>
          <cell r="AA224"/>
          <cell r="AB224">
            <v>0</v>
          </cell>
          <cell r="AC224">
            <v>0</v>
          </cell>
        </row>
        <row r="225">
          <cell r="F225" t="str">
            <v>MS: SAL &amp; ALL: BASIC SALARY &amp; WAGES</v>
          </cell>
          <cell r="G225" t="str">
            <v>P211001</v>
          </cell>
          <cell r="H225" t="str">
            <v>P211001</v>
          </cell>
          <cell r="I225" t="str">
            <v>501203</v>
          </cell>
          <cell r="J225">
            <v>50</v>
          </cell>
          <cell r="K225" t="str">
            <v>12</v>
          </cell>
          <cell r="L225" t="str">
            <v>03</v>
          </cell>
          <cell r="M225" t="str">
            <v>2</v>
          </cell>
          <cell r="N225" t="str">
            <v>11</v>
          </cell>
          <cell r="O225" t="str">
            <v>001</v>
          </cell>
          <cell r="P225" t="str">
            <v>0</v>
          </cell>
          <cell r="Q225">
            <v>18</v>
          </cell>
          <cell r="R225" t="str">
            <v>MRC</v>
          </cell>
          <cell r="S225" t="str">
            <v>ZZ</v>
          </cell>
          <cell r="T225">
            <v>11</v>
          </cell>
          <cell r="U225" t="str">
            <v>1203211001018MRCZZ11</v>
          </cell>
          <cell r="V225">
            <v>223</v>
          </cell>
          <cell r="W225" t="str">
            <v>MS: SAL &amp; ALL: BASIC SALARY &amp; WAGES</v>
          </cell>
          <cell r="X225">
            <v>2532678</v>
          </cell>
          <cell r="Y225">
            <v>2642610.15</v>
          </cell>
          <cell r="Z225">
            <v>3171132.18</v>
          </cell>
          <cell r="AA225"/>
          <cell r="AB225">
            <v>2532678</v>
          </cell>
          <cell r="AC225">
            <v>4157877.12</v>
          </cell>
        </row>
        <row r="226">
          <cell r="F226" t="str">
            <v>MS: ALL - CELLULAR &amp; TELEPHONE</v>
          </cell>
          <cell r="G226" t="str">
            <v>P211022</v>
          </cell>
          <cell r="H226" t="str">
            <v>P211022</v>
          </cell>
          <cell r="I226" t="str">
            <v>501203</v>
          </cell>
          <cell r="J226">
            <v>50</v>
          </cell>
          <cell r="K226" t="str">
            <v>12</v>
          </cell>
          <cell r="L226" t="str">
            <v>03</v>
          </cell>
          <cell r="M226" t="str">
            <v>2</v>
          </cell>
          <cell r="N226" t="str">
            <v>11</v>
          </cell>
          <cell r="O226" t="str">
            <v>022</v>
          </cell>
          <cell r="P226" t="str">
            <v>0</v>
          </cell>
          <cell r="Q226">
            <v>18</v>
          </cell>
          <cell r="R226" t="str">
            <v>MRC</v>
          </cell>
          <cell r="S226" t="str">
            <v>ZZ</v>
          </cell>
          <cell r="T226">
            <v>11</v>
          </cell>
          <cell r="U226" t="str">
            <v>1203211022018MRCZZ11</v>
          </cell>
          <cell r="V226">
            <v>224</v>
          </cell>
          <cell r="W226" t="str">
            <v>MS: ALL - CELLULAR &amp; TELEPHONE</v>
          </cell>
          <cell r="X226">
            <v>9252</v>
          </cell>
          <cell r="Y226">
            <v>8250</v>
          </cell>
          <cell r="Z226">
            <v>9900</v>
          </cell>
          <cell r="AA226"/>
          <cell r="AB226">
            <v>9252</v>
          </cell>
          <cell r="AC226">
            <v>0</v>
          </cell>
        </row>
        <row r="227">
          <cell r="F227" t="str">
            <v>MS: HB &amp; INC: HOUSING BENEFITS</v>
          </cell>
          <cell r="G227" t="str">
            <v>P211026</v>
          </cell>
          <cell r="H227" t="str">
            <v>P211026</v>
          </cell>
          <cell r="I227" t="str">
            <v>501203</v>
          </cell>
          <cell r="J227">
            <v>50</v>
          </cell>
          <cell r="K227" t="str">
            <v>12</v>
          </cell>
          <cell r="L227" t="str">
            <v>03</v>
          </cell>
          <cell r="M227" t="str">
            <v>2</v>
          </cell>
          <cell r="N227" t="str">
            <v>11</v>
          </cell>
          <cell r="O227" t="str">
            <v>026</v>
          </cell>
          <cell r="P227" t="str">
            <v>0</v>
          </cell>
          <cell r="Q227">
            <v>18</v>
          </cell>
          <cell r="R227" t="str">
            <v>MRC</v>
          </cell>
          <cell r="S227" t="str">
            <v>ZZ</v>
          </cell>
          <cell r="T227">
            <v>11</v>
          </cell>
          <cell r="U227" t="str">
            <v>1203211026018MRCZZ11</v>
          </cell>
          <cell r="V227">
            <v>225</v>
          </cell>
          <cell r="W227" t="str">
            <v>MS: HB &amp; INC: HOUSING BENEFITS</v>
          </cell>
          <cell r="X227">
            <v>47593</v>
          </cell>
          <cell r="Y227">
            <v>42438.44</v>
          </cell>
          <cell r="Z227">
            <v>50926.127999999997</v>
          </cell>
          <cell r="AA227"/>
          <cell r="AB227">
            <v>47593</v>
          </cell>
          <cell r="AC227">
            <v>109167.09983999998</v>
          </cell>
        </row>
        <row r="228">
          <cell r="F228" t="str">
            <v>MS: ALL - TRAVEL OR MOTOR VEHICLE (SUBS</v>
          </cell>
          <cell r="G228" t="str">
            <v>P211034</v>
          </cell>
          <cell r="H228" t="str">
            <v>P211034</v>
          </cell>
          <cell r="I228" t="str">
            <v>501203</v>
          </cell>
          <cell r="J228">
            <v>50</v>
          </cell>
          <cell r="K228" t="str">
            <v>12</v>
          </cell>
          <cell r="L228" t="str">
            <v>03</v>
          </cell>
          <cell r="M228" t="str">
            <v>2</v>
          </cell>
          <cell r="N228" t="str">
            <v>11</v>
          </cell>
          <cell r="O228" t="str">
            <v>034</v>
          </cell>
          <cell r="P228" t="str">
            <v>1</v>
          </cell>
          <cell r="Q228">
            <v>18</v>
          </cell>
          <cell r="R228" t="str">
            <v>MRC</v>
          </cell>
          <cell r="S228" t="str">
            <v>ZZ</v>
          </cell>
          <cell r="T228">
            <v>11</v>
          </cell>
          <cell r="U228" t="str">
            <v>1203211034118MRCZZ11</v>
          </cell>
          <cell r="V228">
            <v>226</v>
          </cell>
          <cell r="W228" t="str">
            <v>MS: ALL - TRAVEL OR MOTOR VEHICLE (SUBS</v>
          </cell>
          <cell r="X228">
            <v>525816</v>
          </cell>
          <cell r="Y228">
            <v>401251.8</v>
          </cell>
          <cell r="Z228">
            <v>481502.16000000003</v>
          </cell>
          <cell r="AA228"/>
          <cell r="AB228">
            <v>525816</v>
          </cell>
          <cell r="AC228">
            <v>14994.784000000001</v>
          </cell>
        </row>
        <row r="229">
          <cell r="F229" t="str">
            <v>MS: SRB - ACTING ALLOWANCE</v>
          </cell>
          <cell r="G229" t="str">
            <v>P211044</v>
          </cell>
          <cell r="H229" t="str">
            <v>P211044</v>
          </cell>
          <cell r="I229" t="str">
            <v>501203</v>
          </cell>
          <cell r="J229">
            <v>50</v>
          </cell>
          <cell r="K229" t="str">
            <v>12</v>
          </cell>
          <cell r="L229" t="str">
            <v>03</v>
          </cell>
          <cell r="M229" t="str">
            <v>2</v>
          </cell>
          <cell r="N229" t="str">
            <v>11</v>
          </cell>
          <cell r="O229" t="str">
            <v>044</v>
          </cell>
          <cell r="P229" t="str">
            <v>0</v>
          </cell>
          <cell r="Q229">
            <v>18</v>
          </cell>
          <cell r="R229" t="str">
            <v>MRC</v>
          </cell>
          <cell r="S229" t="str">
            <v>ZZ</v>
          </cell>
          <cell r="T229">
            <v>11</v>
          </cell>
          <cell r="U229" t="str">
            <v>1203211044018MRCZZ11</v>
          </cell>
          <cell r="V229">
            <v>227</v>
          </cell>
          <cell r="W229" t="str">
            <v>MS: SRB - ACTING ALLOWANCE</v>
          </cell>
          <cell r="X229">
            <v>0</v>
          </cell>
          <cell r="Y229">
            <v>0</v>
          </cell>
          <cell r="Z229">
            <v>0</v>
          </cell>
          <cell r="AA229"/>
          <cell r="AB229">
            <v>0</v>
          </cell>
          <cell r="AC229">
            <v>0</v>
          </cell>
        </row>
        <row r="230">
          <cell r="F230" t="str">
            <v>MS: SRB - ANNUAL BONUS</v>
          </cell>
          <cell r="G230" t="str">
            <v>P211046</v>
          </cell>
          <cell r="H230" t="str">
            <v>P211046</v>
          </cell>
          <cell r="I230" t="str">
            <v>501203</v>
          </cell>
          <cell r="J230">
            <v>50</v>
          </cell>
          <cell r="K230" t="str">
            <v>12</v>
          </cell>
          <cell r="L230" t="str">
            <v>03</v>
          </cell>
          <cell r="M230" t="str">
            <v>2</v>
          </cell>
          <cell r="N230" t="str">
            <v>11</v>
          </cell>
          <cell r="O230" t="str">
            <v>046</v>
          </cell>
          <cell r="P230" t="str">
            <v>0</v>
          </cell>
          <cell r="Q230">
            <v>18</v>
          </cell>
          <cell r="R230" t="str">
            <v>MRC</v>
          </cell>
          <cell r="S230" t="str">
            <v>ZZ</v>
          </cell>
          <cell r="T230">
            <v>11</v>
          </cell>
          <cell r="U230" t="str">
            <v>1203211046018MRCZZ11</v>
          </cell>
          <cell r="V230">
            <v>228</v>
          </cell>
          <cell r="W230" t="str">
            <v>MS: SRB - ANNUAL BONUS</v>
          </cell>
          <cell r="X230">
            <v>277516</v>
          </cell>
          <cell r="Y230">
            <v>230805</v>
          </cell>
          <cell r="Z230">
            <v>276966</v>
          </cell>
          <cell r="AA230"/>
          <cell r="AB230">
            <v>277516</v>
          </cell>
          <cell r="AC230">
            <v>346489.76</v>
          </cell>
        </row>
        <row r="231">
          <cell r="F231" t="str">
            <v>MS: SOC CONTR - BARGAINING COUNCIL</v>
          </cell>
          <cell r="G231" t="str">
            <v>P213001</v>
          </cell>
          <cell r="H231" t="str">
            <v>P213001</v>
          </cell>
          <cell r="I231" t="str">
            <v>501203</v>
          </cell>
          <cell r="J231">
            <v>50</v>
          </cell>
          <cell r="K231" t="str">
            <v>12</v>
          </cell>
          <cell r="L231" t="str">
            <v>03</v>
          </cell>
          <cell r="M231" t="str">
            <v>2</v>
          </cell>
          <cell r="N231" t="str">
            <v>13</v>
          </cell>
          <cell r="O231" t="str">
            <v>001</v>
          </cell>
          <cell r="P231" t="str">
            <v>0</v>
          </cell>
          <cell r="Q231">
            <v>18</v>
          </cell>
          <cell r="R231" t="str">
            <v>MRC</v>
          </cell>
          <cell r="S231" t="str">
            <v>ZZ</v>
          </cell>
          <cell r="T231">
            <v>11</v>
          </cell>
          <cell r="U231" t="str">
            <v>1203213001018MRCZZ11</v>
          </cell>
          <cell r="V231">
            <v>229</v>
          </cell>
          <cell r="W231" t="str">
            <v>MS: SOC CONTR - BARGAINING COUNCIL</v>
          </cell>
          <cell r="X231">
            <v>489</v>
          </cell>
          <cell r="Y231">
            <v>545.9</v>
          </cell>
          <cell r="Z231">
            <v>655.07999999999993</v>
          </cell>
          <cell r="AA231"/>
          <cell r="AB231">
            <v>489</v>
          </cell>
          <cell r="AC231">
            <v>1165.7952000000002</v>
          </cell>
        </row>
        <row r="232">
          <cell r="F232" t="str">
            <v>MS: SOC CONTR - GROUP LIFE INSURANCE</v>
          </cell>
          <cell r="G232" t="str">
            <v>P213010</v>
          </cell>
          <cell r="H232" t="str">
            <v>P213010</v>
          </cell>
          <cell r="I232" t="str">
            <v>501203</v>
          </cell>
          <cell r="J232">
            <v>50</v>
          </cell>
          <cell r="K232" t="str">
            <v>12</v>
          </cell>
          <cell r="L232" t="str">
            <v>03</v>
          </cell>
          <cell r="M232" t="str">
            <v>2</v>
          </cell>
          <cell r="N232" t="str">
            <v>13</v>
          </cell>
          <cell r="O232" t="str">
            <v>010</v>
          </cell>
          <cell r="P232" t="str">
            <v>0</v>
          </cell>
          <cell r="Q232">
            <v>18</v>
          </cell>
          <cell r="R232" t="str">
            <v>MRC</v>
          </cell>
          <cell r="S232" t="str">
            <v>ZZ</v>
          </cell>
          <cell r="T232">
            <v>11</v>
          </cell>
          <cell r="U232" t="str">
            <v>1203213010018MRCZZ11</v>
          </cell>
          <cell r="V232">
            <v>230</v>
          </cell>
          <cell r="W232" t="str">
            <v>MS: SOC CONTR - GROUP LIFE INSURANCE</v>
          </cell>
          <cell r="X232">
            <v>15534</v>
          </cell>
          <cell r="Y232">
            <v>11838.81</v>
          </cell>
          <cell r="Z232">
            <v>14206.571999999998</v>
          </cell>
          <cell r="AA232"/>
          <cell r="AB232">
            <v>15534</v>
          </cell>
          <cell r="AC232">
            <v>70683.911040000021</v>
          </cell>
        </row>
        <row r="233">
          <cell r="F233" t="str">
            <v>MS: SOC CONTR - MEDICAL</v>
          </cell>
          <cell r="G233" t="str">
            <v>P213020</v>
          </cell>
          <cell r="H233" t="str">
            <v>P213020</v>
          </cell>
          <cell r="I233" t="str">
            <v>501203</v>
          </cell>
          <cell r="J233">
            <v>50</v>
          </cell>
          <cell r="K233" t="str">
            <v>12</v>
          </cell>
          <cell r="L233" t="str">
            <v>03</v>
          </cell>
          <cell r="M233" t="str">
            <v>2</v>
          </cell>
          <cell r="N233" t="str">
            <v>13</v>
          </cell>
          <cell r="O233" t="str">
            <v>020</v>
          </cell>
          <cell r="P233" t="str">
            <v>0</v>
          </cell>
          <cell r="Q233">
            <v>18</v>
          </cell>
          <cell r="R233" t="str">
            <v>MRC</v>
          </cell>
          <cell r="S233" t="str">
            <v>ZZ</v>
          </cell>
          <cell r="T233">
            <v>11</v>
          </cell>
          <cell r="U233" t="str">
            <v>1203213020018MRCZZ11</v>
          </cell>
          <cell r="V233">
            <v>231</v>
          </cell>
          <cell r="W233" t="str">
            <v>MS: SOC CONTR - MEDICAL</v>
          </cell>
          <cell r="X233">
            <v>193250</v>
          </cell>
          <cell r="Y233">
            <v>193677.84</v>
          </cell>
          <cell r="Z233">
            <v>232413.408</v>
          </cell>
          <cell r="AA233"/>
          <cell r="AB233">
            <v>193250</v>
          </cell>
          <cell r="AC233">
            <v>540240.81408000004</v>
          </cell>
        </row>
        <row r="234">
          <cell r="F234" t="str">
            <v>MS: SOC CONTR - PENSION</v>
          </cell>
          <cell r="G234" t="str">
            <v>P213030</v>
          </cell>
          <cell r="H234" t="str">
            <v>P213030</v>
          </cell>
          <cell r="I234" t="str">
            <v>501203</v>
          </cell>
          <cell r="J234">
            <v>50</v>
          </cell>
          <cell r="K234" t="str">
            <v>12</v>
          </cell>
          <cell r="L234" t="str">
            <v>03</v>
          </cell>
          <cell r="M234" t="str">
            <v>2</v>
          </cell>
          <cell r="N234" t="str">
            <v>13</v>
          </cell>
          <cell r="O234" t="str">
            <v>030</v>
          </cell>
          <cell r="P234" t="str">
            <v>0</v>
          </cell>
          <cell r="Q234">
            <v>18</v>
          </cell>
          <cell r="R234" t="str">
            <v>MRC</v>
          </cell>
          <cell r="S234" t="str">
            <v>ZZ</v>
          </cell>
          <cell r="T234">
            <v>11</v>
          </cell>
          <cell r="U234" t="str">
            <v>1203213030018MRCZZ11</v>
          </cell>
          <cell r="V234">
            <v>232</v>
          </cell>
          <cell r="W234" t="str">
            <v>MS: SOC CONTR - PENSION</v>
          </cell>
          <cell r="X234">
            <v>451324</v>
          </cell>
          <cell r="Y234">
            <v>451854.59</v>
          </cell>
          <cell r="Z234">
            <v>542225.50800000003</v>
          </cell>
          <cell r="AA234"/>
          <cell r="AB234">
            <v>451324</v>
          </cell>
          <cell r="AC234">
            <v>751328.39558399993</v>
          </cell>
        </row>
        <row r="235">
          <cell r="F235" t="str">
            <v>MS: SOC CONTR - UNEMPLOYMENT INSUR FUND</v>
          </cell>
          <cell r="G235" t="str">
            <v>P213040</v>
          </cell>
          <cell r="H235" t="str">
            <v>P213040</v>
          </cell>
          <cell r="I235" t="str">
            <v>501203</v>
          </cell>
          <cell r="J235">
            <v>50</v>
          </cell>
          <cell r="K235" t="str">
            <v>12</v>
          </cell>
          <cell r="L235" t="str">
            <v>03</v>
          </cell>
          <cell r="M235" t="str">
            <v>2</v>
          </cell>
          <cell r="N235" t="str">
            <v>13</v>
          </cell>
          <cell r="O235" t="str">
            <v>040</v>
          </cell>
          <cell r="P235" t="str">
            <v>0</v>
          </cell>
          <cell r="Q235">
            <v>18</v>
          </cell>
          <cell r="R235" t="str">
            <v>MRC</v>
          </cell>
          <cell r="S235" t="str">
            <v>ZZ</v>
          </cell>
          <cell r="T235">
            <v>11</v>
          </cell>
          <cell r="U235" t="str">
            <v>1203213040018MRCZZ11</v>
          </cell>
          <cell r="V235">
            <v>233</v>
          </cell>
          <cell r="W235" t="str">
            <v>MS: SOC CONTR - UNEMPLOYMENT INSUR FUND</v>
          </cell>
          <cell r="X235">
            <v>7338</v>
          </cell>
          <cell r="Y235">
            <v>9387.36</v>
          </cell>
          <cell r="Z235">
            <v>11264.832000000002</v>
          </cell>
          <cell r="AA235"/>
          <cell r="AB235">
            <v>7338</v>
          </cell>
          <cell r="AC235">
            <v>20047.150079999999</v>
          </cell>
        </row>
        <row r="236">
          <cell r="F236" t="str">
            <v>OS: CATERING SERVICES(REFRESHMENTS)</v>
          </cell>
          <cell r="G236" t="str">
            <v>P226060</v>
          </cell>
          <cell r="H236" t="str">
            <v>P226060</v>
          </cell>
          <cell r="I236"/>
          <cell r="J236"/>
          <cell r="K236" t="str">
            <v>12</v>
          </cell>
          <cell r="L236" t="str">
            <v>03</v>
          </cell>
          <cell r="M236" t="str">
            <v>2</v>
          </cell>
          <cell r="N236" t="str">
            <v>26</v>
          </cell>
          <cell r="O236" t="str">
            <v>060</v>
          </cell>
          <cell r="P236" t="str">
            <v>H</v>
          </cell>
          <cell r="Q236">
            <v>18</v>
          </cell>
          <cell r="R236" t="str">
            <v>MRC</v>
          </cell>
          <cell r="S236" t="str">
            <v>ZZ</v>
          </cell>
          <cell r="T236">
            <v>11</v>
          </cell>
          <cell r="U236" t="str">
            <v>1203226060H18MRCZZ11</v>
          </cell>
          <cell r="V236">
            <v>234</v>
          </cell>
          <cell r="W236" t="str">
            <v>OS: CATERING SERVICES(REFRESHMENTS)</v>
          </cell>
          <cell r="X236">
            <v>0</v>
          </cell>
          <cell r="Y236">
            <v>0</v>
          </cell>
          <cell r="Z236">
            <v>0</v>
          </cell>
          <cell r="AA236"/>
          <cell r="AB236">
            <v>0</v>
          </cell>
          <cell r="AC236">
            <v>0</v>
          </cell>
        </row>
        <row r="237">
          <cell r="F237" t="str">
            <v>OC: BC/FAC/C FEES - BANK ACCOUNTS</v>
          </cell>
          <cell r="G237" t="str">
            <v>P230452</v>
          </cell>
          <cell r="H237" t="str">
            <v>P230040</v>
          </cell>
          <cell r="I237"/>
          <cell r="J237"/>
          <cell r="K237" t="str">
            <v>12</v>
          </cell>
          <cell r="L237" t="str">
            <v>03</v>
          </cell>
          <cell r="M237" t="str">
            <v>2</v>
          </cell>
          <cell r="N237" t="str">
            <v>30</v>
          </cell>
          <cell r="O237" t="str">
            <v>040</v>
          </cell>
          <cell r="P237" t="str">
            <v>0</v>
          </cell>
          <cell r="Q237">
            <v>18</v>
          </cell>
          <cell r="R237" t="str">
            <v>MRC</v>
          </cell>
          <cell r="S237" t="str">
            <v>ZZ</v>
          </cell>
          <cell r="T237">
            <v>11</v>
          </cell>
          <cell r="U237" t="str">
            <v>1203230040018MRCZZ11</v>
          </cell>
          <cell r="V237">
            <v>235</v>
          </cell>
          <cell r="W237" t="str">
            <v>OC: BC/FAC/C FEES - BANK ACCOUNTS</v>
          </cell>
          <cell r="X237">
            <v>1575375</v>
          </cell>
          <cell r="Y237">
            <v>1543615.38</v>
          </cell>
          <cell r="Z237">
            <v>1852338.456</v>
          </cell>
          <cell r="AA237"/>
          <cell r="AB237">
            <v>1575375</v>
          </cell>
          <cell r="AC237">
            <v>733600</v>
          </cell>
        </row>
        <row r="238">
          <cell r="F238" t="str">
            <v>OC: SKILLS DEVELOPMENT FUND LEVY</v>
          </cell>
          <cell r="G238" t="str">
            <v>P230452</v>
          </cell>
          <cell r="H238" t="str">
            <v>P230541</v>
          </cell>
          <cell r="I238"/>
          <cell r="J238"/>
          <cell r="K238" t="str">
            <v>12</v>
          </cell>
          <cell r="L238" t="str">
            <v>03</v>
          </cell>
          <cell r="M238" t="str">
            <v>2</v>
          </cell>
          <cell r="N238" t="str">
            <v>30</v>
          </cell>
          <cell r="O238" t="str">
            <v>541</v>
          </cell>
          <cell r="P238" t="str">
            <v>0</v>
          </cell>
          <cell r="Q238">
            <v>18</v>
          </cell>
          <cell r="R238" t="str">
            <v>MRC</v>
          </cell>
          <cell r="S238" t="str">
            <v>ZZ</v>
          </cell>
          <cell r="T238">
            <v>11</v>
          </cell>
          <cell r="U238" t="str">
            <v>1203230541018MRCZZ11</v>
          </cell>
          <cell r="V238">
            <v>236</v>
          </cell>
          <cell r="W238" t="str">
            <v>OC: SKILLS DEVELOPMENT FUND LEVY</v>
          </cell>
          <cell r="X238">
            <v>0</v>
          </cell>
          <cell r="Y238">
            <v>0</v>
          </cell>
          <cell r="Z238">
            <v>0</v>
          </cell>
          <cell r="AA238"/>
          <cell r="AB238">
            <v>0</v>
          </cell>
          <cell r="AC238">
            <v>1087024</v>
          </cell>
        </row>
        <row r="239">
          <cell r="F239" t="str">
            <v>INVENTORY - MATERIALS &amp; SUPPLIES(PRINT&amp;</v>
          </cell>
          <cell r="G239" t="str">
            <v>P232360</v>
          </cell>
          <cell r="H239" t="str">
            <v>P232360</v>
          </cell>
          <cell r="I239"/>
          <cell r="J239"/>
          <cell r="K239" t="str">
            <v>12</v>
          </cell>
          <cell r="L239" t="str">
            <v>03</v>
          </cell>
          <cell r="M239" t="str">
            <v>2</v>
          </cell>
          <cell r="N239" t="str">
            <v>32</v>
          </cell>
          <cell r="O239" t="str">
            <v>360</v>
          </cell>
          <cell r="P239" t="str">
            <v>D</v>
          </cell>
          <cell r="Q239">
            <v>18</v>
          </cell>
          <cell r="R239" t="str">
            <v>MRC</v>
          </cell>
          <cell r="S239" t="str">
            <v>ZZ</v>
          </cell>
          <cell r="T239">
            <v>11</v>
          </cell>
          <cell r="U239" t="str">
            <v>1203232360D18MRCZZ11</v>
          </cell>
          <cell r="V239">
            <v>237</v>
          </cell>
          <cell r="W239" t="str">
            <v>INVENTORY - MATERIALS &amp; SUPPLIES(PRINT&amp;</v>
          </cell>
          <cell r="X239">
            <v>51458</v>
          </cell>
          <cell r="Y239">
            <v>10091.26</v>
          </cell>
          <cell r="Z239">
            <v>12109.511999999999</v>
          </cell>
          <cell r="AA239">
            <v>-10000</v>
          </cell>
          <cell r="AB239">
            <v>41458</v>
          </cell>
          <cell r="AC239">
            <v>20000</v>
          </cell>
        </row>
        <row r="240">
          <cell r="F240" t="str">
            <v>INVENTORY - MATERIALS &amp; SUPPLIES(FESTIVA</v>
          </cell>
          <cell r="G240" t="str">
            <v>P232360</v>
          </cell>
          <cell r="H240" t="str">
            <v>P232360</v>
          </cell>
          <cell r="I240"/>
          <cell r="J240"/>
          <cell r="K240" t="str">
            <v>12</v>
          </cell>
          <cell r="L240" t="str">
            <v>03</v>
          </cell>
          <cell r="M240" t="str">
            <v>2</v>
          </cell>
          <cell r="N240" t="str">
            <v>32</v>
          </cell>
          <cell r="O240" t="str">
            <v>360</v>
          </cell>
          <cell r="P240" t="str">
            <v>L</v>
          </cell>
          <cell r="Q240">
            <v>18</v>
          </cell>
          <cell r="R240" t="str">
            <v>MRC</v>
          </cell>
          <cell r="S240" t="str">
            <v>ZZ</v>
          </cell>
          <cell r="T240">
            <v>11</v>
          </cell>
          <cell r="U240" t="str">
            <v>1203232360L18MRCZZ11</v>
          </cell>
          <cell r="V240">
            <v>238</v>
          </cell>
          <cell r="W240" t="str">
            <v>INVENTORY - MATERIALS &amp; SUPPLIES(FESTIVA</v>
          </cell>
          <cell r="X240">
            <v>0</v>
          </cell>
          <cell r="Y240">
            <v>0</v>
          </cell>
          <cell r="Z240">
            <v>0</v>
          </cell>
          <cell r="AA240"/>
          <cell r="AB240">
            <v>0</v>
          </cell>
          <cell r="AC240">
            <v>0</v>
          </cell>
        </row>
        <row r="241">
          <cell r="F241" t="str">
            <v>INVENTORY - MATERIALS &amp; SUPPLIES(STOCK &amp;</v>
          </cell>
          <cell r="G241" t="str">
            <v>P232360</v>
          </cell>
          <cell r="H241" t="str">
            <v>P232360</v>
          </cell>
          <cell r="I241"/>
          <cell r="J241"/>
          <cell r="K241" t="str">
            <v>12</v>
          </cell>
          <cell r="L241" t="str">
            <v>03</v>
          </cell>
          <cell r="M241" t="str">
            <v>2</v>
          </cell>
          <cell r="N241" t="str">
            <v>32</v>
          </cell>
          <cell r="O241" t="str">
            <v>360</v>
          </cell>
          <cell r="P241" t="str">
            <v>R</v>
          </cell>
          <cell r="Q241">
            <v>18</v>
          </cell>
          <cell r="R241" t="str">
            <v>MRC</v>
          </cell>
          <cell r="S241" t="str">
            <v>ZZ</v>
          </cell>
          <cell r="T241">
            <v>11</v>
          </cell>
          <cell r="U241" t="str">
            <v>1203232360R18MRCZZ11</v>
          </cell>
          <cell r="V241">
            <v>239</v>
          </cell>
          <cell r="W241" t="str">
            <v>INVENTORY - MATERIALS &amp; SUPPLIES(STOCK &amp;</v>
          </cell>
          <cell r="X241">
            <v>21769</v>
          </cell>
          <cell r="Y241">
            <v>1537.9</v>
          </cell>
          <cell r="Z241">
            <v>1845.4800000000002</v>
          </cell>
          <cell r="AA241">
            <v>-5000</v>
          </cell>
          <cell r="AB241">
            <v>16769</v>
          </cell>
          <cell r="AC241">
            <v>0</v>
          </cell>
        </row>
        <row r="242">
          <cell r="F242" t="str">
            <v>TS_C_M_NG_URBAN SETTLEMENTS DEV GRANT</v>
          </cell>
          <cell r="G242" t="str">
            <v>P125902</v>
          </cell>
          <cell r="H242" t="str">
            <v>P125902</v>
          </cell>
          <cell r="I242"/>
          <cell r="J242"/>
          <cell r="K242" t="str">
            <v>12</v>
          </cell>
          <cell r="L242" t="str">
            <v>04</v>
          </cell>
          <cell r="M242" t="str">
            <v>1</v>
          </cell>
          <cell r="N242" t="str">
            <v>25</v>
          </cell>
          <cell r="O242" t="str">
            <v>902</v>
          </cell>
          <cell r="P242" t="str">
            <v>0</v>
          </cell>
          <cell r="Q242">
            <v>81</v>
          </cell>
          <cell r="R242" t="str">
            <v>ZZZ</v>
          </cell>
          <cell r="S242" t="str">
            <v>ZZ</v>
          </cell>
          <cell r="T242">
            <v>11</v>
          </cell>
          <cell r="U242" t="str">
            <v>1204125902081ZZZZZ11</v>
          </cell>
          <cell r="V242">
            <v>240</v>
          </cell>
          <cell r="W242" t="str">
            <v>TS_C_M_NG_URBAN SETTLEMENTS DEV GRANT</v>
          </cell>
          <cell r="X242">
            <v>-20466030</v>
          </cell>
          <cell r="Y242">
            <v>-11398918.960000001</v>
          </cell>
          <cell r="Z242">
            <v>-13678702.752000002</v>
          </cell>
          <cell r="AA242"/>
          <cell r="AB242">
            <v>-20466030</v>
          </cell>
          <cell r="AC242">
            <v>-20000000</v>
          </cell>
        </row>
        <row r="243">
          <cell r="F243" t="str">
            <v>PRIV ENT: OTH TRF -DEVELOPERS CONTRIB</v>
          </cell>
          <cell r="G243" t="str">
            <v>P125940</v>
          </cell>
          <cell r="H243" t="str">
            <v>P125940</v>
          </cell>
          <cell r="I243"/>
          <cell r="J243"/>
          <cell r="K243" t="str">
            <v>12</v>
          </cell>
          <cell r="L243" t="str">
            <v>04</v>
          </cell>
          <cell r="M243" t="str">
            <v>1</v>
          </cell>
          <cell r="N243" t="str">
            <v>25</v>
          </cell>
          <cell r="O243" t="str">
            <v>940</v>
          </cell>
          <cell r="P243" t="str">
            <v>0</v>
          </cell>
          <cell r="Q243">
            <v>17</v>
          </cell>
          <cell r="R243" t="str">
            <v>ZZZ</v>
          </cell>
          <cell r="S243" t="str">
            <v>ZZ</v>
          </cell>
          <cell r="T243">
            <v>11</v>
          </cell>
          <cell r="U243" t="str">
            <v>1204125940017ZZZZZ11</v>
          </cell>
          <cell r="V243">
            <v>241</v>
          </cell>
          <cell r="W243" t="str">
            <v>PRIV ENT: OTH TRF -DEVELOPERS CONTRIB</v>
          </cell>
          <cell r="X243">
            <v>0</v>
          </cell>
          <cell r="Y243">
            <v>0</v>
          </cell>
          <cell r="Z243">
            <v>0</v>
          </cell>
          <cell r="AA243"/>
          <cell r="AB243">
            <v>0</v>
          </cell>
          <cell r="AC243">
            <v>0</v>
          </cell>
        </row>
        <row r="244">
          <cell r="F244" t="str">
            <v>PUBLIC CONNECTIONS</v>
          </cell>
          <cell r="G244" t="str">
            <v>P125940</v>
          </cell>
          <cell r="H244" t="str">
            <v>P125940</v>
          </cell>
          <cell r="I244"/>
          <cell r="J244"/>
          <cell r="K244" t="str">
            <v>12</v>
          </cell>
          <cell r="L244" t="str">
            <v>04</v>
          </cell>
          <cell r="M244" t="str">
            <v>1</v>
          </cell>
          <cell r="N244" t="str">
            <v>25</v>
          </cell>
          <cell r="O244" t="str">
            <v>940</v>
          </cell>
          <cell r="P244" t="str">
            <v>1</v>
          </cell>
          <cell r="Q244">
            <v>17</v>
          </cell>
          <cell r="R244" t="str">
            <v>ZZZ</v>
          </cell>
          <cell r="S244" t="str">
            <v>ZZ</v>
          </cell>
          <cell r="T244">
            <v>11</v>
          </cell>
          <cell r="U244" t="str">
            <v>1204125940117ZZZZZ11</v>
          </cell>
          <cell r="V244">
            <v>242</v>
          </cell>
          <cell r="W244" t="str">
            <v>PUBLIC CONNECTIONS</v>
          </cell>
          <cell r="X244">
            <v>-13000000</v>
          </cell>
          <cell r="Y244">
            <v>-3103020.36</v>
          </cell>
          <cell r="Z244">
            <v>-3723624.4319999996</v>
          </cell>
          <cell r="AA244"/>
          <cell r="AB244">
            <v>-13000000</v>
          </cell>
          <cell r="AC244">
            <v>-14300000</v>
          </cell>
        </row>
        <row r="245">
          <cell r="F245" t="str">
            <v>PUBLIC CONNECTIONS</v>
          </cell>
          <cell r="G245" t="str">
            <v>P125940</v>
          </cell>
          <cell r="H245" t="str">
            <v>P125940</v>
          </cell>
          <cell r="I245"/>
          <cell r="J245"/>
          <cell r="K245" t="str">
            <v>12</v>
          </cell>
          <cell r="L245" t="str">
            <v>04</v>
          </cell>
          <cell r="M245" t="str">
            <v>1</v>
          </cell>
          <cell r="N245" t="str">
            <v>25</v>
          </cell>
          <cell r="O245" t="str">
            <v>940</v>
          </cell>
          <cell r="P245" t="str">
            <v>1</v>
          </cell>
          <cell r="Q245">
            <v>53</v>
          </cell>
          <cell r="R245" t="str">
            <v>ZZZ</v>
          </cell>
          <cell r="S245" t="str">
            <v>ZZ</v>
          </cell>
          <cell r="T245">
            <v>11</v>
          </cell>
          <cell r="U245" t="str">
            <v>1204125940153ZZZZZ11</v>
          </cell>
          <cell r="V245">
            <v>243</v>
          </cell>
          <cell r="W245" t="str">
            <v>PUBLIC CONNECTIONS</v>
          </cell>
          <cell r="X245">
            <v>0</v>
          </cell>
          <cell r="Y245">
            <v>0</v>
          </cell>
          <cell r="Z245">
            <v>0</v>
          </cell>
          <cell r="AA245"/>
          <cell r="AB245">
            <v>0</v>
          </cell>
          <cell r="AC245">
            <v>0</v>
          </cell>
        </row>
        <row r="246">
          <cell r="F246" t="str">
            <v>INTER: RECEIV - ELECTRICITY(LONG TERM DE</v>
          </cell>
          <cell r="G246" t="str">
            <v>P134101</v>
          </cell>
          <cell r="H246" t="str">
            <v>P134101</v>
          </cell>
          <cell r="I246"/>
          <cell r="J246"/>
          <cell r="K246" t="str">
            <v>12</v>
          </cell>
          <cell r="L246" t="str">
            <v>04</v>
          </cell>
          <cell r="M246" t="str">
            <v>1</v>
          </cell>
          <cell r="N246" t="str">
            <v>34</v>
          </cell>
          <cell r="O246" t="str">
            <v>101</v>
          </cell>
          <cell r="P246" t="str">
            <v>2</v>
          </cell>
          <cell r="Q246">
            <v>11</v>
          </cell>
          <cell r="R246" t="str">
            <v>ZZZ</v>
          </cell>
          <cell r="S246" t="str">
            <v>ZZ</v>
          </cell>
          <cell r="T246">
            <v>11</v>
          </cell>
          <cell r="U246" t="str">
            <v>1204134101211ZZZZZ11</v>
          </cell>
          <cell r="V246">
            <v>244</v>
          </cell>
          <cell r="W246" t="str">
            <v>INTER: RECEIV - ELECTRICITY(LONG TERM DE</v>
          </cell>
          <cell r="X246">
            <v>0</v>
          </cell>
          <cell r="Y246">
            <v>0</v>
          </cell>
          <cell r="Z246">
            <v>0</v>
          </cell>
          <cell r="AA246"/>
          <cell r="AB246">
            <v>0</v>
          </cell>
          <cell r="AC246">
            <v>0</v>
          </cell>
        </row>
        <row r="247">
          <cell r="F247" t="str">
            <v>INTER: RECEIV - ELECTRICITY(LONG TERM DE</v>
          </cell>
          <cell r="G247" t="str">
            <v>P134101</v>
          </cell>
          <cell r="H247" t="str">
            <v>P134101</v>
          </cell>
          <cell r="I247"/>
          <cell r="J247"/>
          <cell r="K247" t="str">
            <v>12</v>
          </cell>
          <cell r="L247" t="str">
            <v>04</v>
          </cell>
          <cell r="M247" t="str">
            <v>1</v>
          </cell>
          <cell r="N247" t="str">
            <v>34</v>
          </cell>
          <cell r="O247" t="str">
            <v>101</v>
          </cell>
          <cell r="P247" t="str">
            <v>4</v>
          </cell>
          <cell r="Q247">
            <v>11</v>
          </cell>
          <cell r="R247" t="str">
            <v>ZZZ</v>
          </cell>
          <cell r="S247" t="str">
            <v>ZZ</v>
          </cell>
          <cell r="T247">
            <v>11</v>
          </cell>
          <cell r="U247" t="str">
            <v>1204134101411ZZZZZ11</v>
          </cell>
          <cell r="V247">
            <v>245</v>
          </cell>
          <cell r="W247" t="str">
            <v>INTER: RECEIV - ELECTRICITY(LONG TERM DE</v>
          </cell>
          <cell r="X247">
            <v>-25093802</v>
          </cell>
          <cell r="Y247">
            <v>-19925598.109999999</v>
          </cell>
          <cell r="Z247">
            <v>-23910717.732000001</v>
          </cell>
          <cell r="AA247"/>
          <cell r="AB247">
            <v>-25093802</v>
          </cell>
          <cell r="AC247">
            <v>-29846304.495999999</v>
          </cell>
        </row>
        <row r="248">
          <cell r="F248" t="str">
            <v>INTER: RECEIV - ELECTRICITY(SFS)</v>
          </cell>
          <cell r="G248" t="str">
            <v>P134101</v>
          </cell>
          <cell r="H248" t="str">
            <v>P134101</v>
          </cell>
          <cell r="I248"/>
          <cell r="J248"/>
          <cell r="K248" t="str">
            <v>12</v>
          </cell>
          <cell r="L248" t="str">
            <v>04</v>
          </cell>
          <cell r="M248" t="str">
            <v>1</v>
          </cell>
          <cell r="N248" t="str">
            <v>34</v>
          </cell>
          <cell r="O248" t="str">
            <v>101</v>
          </cell>
          <cell r="P248" t="str">
            <v>7</v>
          </cell>
          <cell r="Q248">
            <v>11</v>
          </cell>
          <cell r="R248" t="str">
            <v>ZZZ</v>
          </cell>
          <cell r="S248" t="str">
            <v>ZZ</v>
          </cell>
          <cell r="T248">
            <v>11</v>
          </cell>
          <cell r="U248" t="str">
            <v>1204134101711ZZZZZ11</v>
          </cell>
          <cell r="V248">
            <v>246</v>
          </cell>
          <cell r="W248" t="str">
            <v>INTER: RECEIV - ELECTRICITY(SFS)</v>
          </cell>
          <cell r="X248">
            <v>0</v>
          </cell>
          <cell r="Y248">
            <v>0</v>
          </cell>
          <cell r="Z248">
            <v>0</v>
          </cell>
          <cell r="AA248"/>
          <cell r="AB248">
            <v>0</v>
          </cell>
          <cell r="AC248">
            <v>0</v>
          </cell>
        </row>
        <row r="249">
          <cell r="F249" t="str">
            <v>INTER: BANK ACCOUNTS</v>
          </cell>
          <cell r="G249" t="str">
            <v>P134115</v>
          </cell>
          <cell r="H249" t="str">
            <v>P134115</v>
          </cell>
          <cell r="I249"/>
          <cell r="J249"/>
          <cell r="K249" t="str">
            <v>12</v>
          </cell>
          <cell r="L249" t="str">
            <v>04</v>
          </cell>
          <cell r="M249" t="str">
            <v>1</v>
          </cell>
          <cell r="N249" t="str">
            <v>34</v>
          </cell>
          <cell r="O249" t="str">
            <v>115</v>
          </cell>
          <cell r="P249" t="str">
            <v>0</v>
          </cell>
          <cell r="Q249">
            <v>10</v>
          </cell>
          <cell r="R249" t="str">
            <v>ZZZ</v>
          </cell>
          <cell r="S249" t="str">
            <v>ZZ</v>
          </cell>
          <cell r="T249">
            <v>11</v>
          </cell>
          <cell r="U249" t="str">
            <v>1204134115010ZZZZZ11</v>
          </cell>
          <cell r="V249">
            <v>247</v>
          </cell>
          <cell r="W249" t="str">
            <v>INTER: BANK ACCOUNTS</v>
          </cell>
          <cell r="X249">
            <v>-589751</v>
          </cell>
          <cell r="Y249">
            <v>-418741.09</v>
          </cell>
          <cell r="Z249">
            <v>-502489.30800000008</v>
          </cell>
          <cell r="AA249"/>
          <cell r="AB249">
            <v>-589751</v>
          </cell>
          <cell r="AC249">
            <v>-2718059.048</v>
          </cell>
        </row>
        <row r="250">
          <cell r="F250" t="str">
            <v>INTER: SHORT TERM INVEST &amp; CALL ACCOUNTS</v>
          </cell>
          <cell r="G250" t="str">
            <v>P134117</v>
          </cell>
          <cell r="H250" t="str">
            <v>P134117</v>
          </cell>
          <cell r="I250"/>
          <cell r="J250"/>
          <cell r="K250" t="str">
            <v>12</v>
          </cell>
          <cell r="L250" t="str">
            <v>04</v>
          </cell>
          <cell r="M250" t="str">
            <v>1</v>
          </cell>
          <cell r="N250" t="str">
            <v>34</v>
          </cell>
          <cell r="O250" t="str">
            <v>117</v>
          </cell>
          <cell r="P250" t="str">
            <v>0</v>
          </cell>
          <cell r="Q250">
            <v>10</v>
          </cell>
          <cell r="R250" t="str">
            <v>ZZZ</v>
          </cell>
          <cell r="S250" t="str">
            <v>ZZ</v>
          </cell>
          <cell r="T250">
            <v>11</v>
          </cell>
          <cell r="U250" t="str">
            <v>1204134117010ZZZZZ11</v>
          </cell>
          <cell r="V250">
            <v>248</v>
          </cell>
          <cell r="W250" t="str">
            <v>INTER: SHORT TERM INVEST &amp; CALL ACCOUNTS</v>
          </cell>
          <cell r="X250">
            <v>-49834</v>
          </cell>
          <cell r="Y250">
            <v>-225599.61</v>
          </cell>
          <cell r="Z250">
            <v>-270719.53200000001</v>
          </cell>
          <cell r="AA250">
            <v>-85000</v>
          </cell>
          <cell r="AB250">
            <v>-134834</v>
          </cell>
          <cell r="AC250">
            <v>-1770934.9021600001</v>
          </cell>
        </row>
        <row r="251">
          <cell r="F251" t="str">
            <v>COLLECTION CHARGES</v>
          </cell>
          <cell r="G251" t="str">
            <v>P138060</v>
          </cell>
          <cell r="H251" t="str">
            <v>P138060</v>
          </cell>
          <cell r="I251"/>
          <cell r="J251"/>
          <cell r="K251" t="str">
            <v>12</v>
          </cell>
          <cell r="L251" t="str">
            <v>04</v>
          </cell>
          <cell r="M251" t="str">
            <v>1</v>
          </cell>
          <cell r="N251" t="str">
            <v>38</v>
          </cell>
          <cell r="O251" t="str">
            <v>060</v>
          </cell>
          <cell r="P251" t="str">
            <v>0</v>
          </cell>
          <cell r="Q251">
            <v>28</v>
          </cell>
          <cell r="R251" t="str">
            <v>ZZZ</v>
          </cell>
          <cell r="S251" t="str">
            <v>ZZ</v>
          </cell>
          <cell r="T251">
            <v>11</v>
          </cell>
          <cell r="U251" t="str">
            <v>1204138060028ZZZZZ11</v>
          </cell>
          <cell r="V251">
            <v>249</v>
          </cell>
          <cell r="W251" t="str">
            <v>COLLECTION CHARGES</v>
          </cell>
          <cell r="X251">
            <v>0</v>
          </cell>
          <cell r="Y251">
            <v>0</v>
          </cell>
          <cell r="Z251">
            <v>0</v>
          </cell>
          <cell r="AA251"/>
          <cell r="AB251">
            <v>0</v>
          </cell>
          <cell r="AC251">
            <v>0</v>
          </cell>
        </row>
        <row r="252">
          <cell r="F252" t="str">
            <v>COLLECTION CHARGES (SUMMONSES)</v>
          </cell>
          <cell r="G252" t="str">
            <v>P138060</v>
          </cell>
          <cell r="H252" t="str">
            <v>P138060</v>
          </cell>
          <cell r="I252"/>
          <cell r="J252"/>
          <cell r="K252" t="str">
            <v>12</v>
          </cell>
          <cell r="L252" t="str">
            <v>04</v>
          </cell>
          <cell r="M252" t="str">
            <v>1</v>
          </cell>
          <cell r="N252" t="str">
            <v>38</v>
          </cell>
          <cell r="O252" t="str">
            <v>060</v>
          </cell>
          <cell r="P252" t="str">
            <v>1</v>
          </cell>
          <cell r="Q252">
            <v>28</v>
          </cell>
          <cell r="R252" t="str">
            <v>ZZZ</v>
          </cell>
          <cell r="S252" t="str">
            <v>ZZ</v>
          </cell>
          <cell r="T252">
            <v>11</v>
          </cell>
          <cell r="U252" t="str">
            <v>1204138060128ZZZZZ11</v>
          </cell>
          <cell r="V252">
            <v>250</v>
          </cell>
          <cell r="W252" t="str">
            <v>COLLECTION CHARGES (SUMMONSES)</v>
          </cell>
          <cell r="X252">
            <v>0</v>
          </cell>
          <cell r="Y252">
            <v>0</v>
          </cell>
          <cell r="Z252">
            <v>0</v>
          </cell>
          <cell r="AA252"/>
          <cell r="AB252">
            <v>0</v>
          </cell>
          <cell r="AC252">
            <v>0</v>
          </cell>
        </row>
        <row r="253">
          <cell r="F253" t="str">
            <v>MERCHANDISING JOBBING &amp; CONTRACTS</v>
          </cell>
          <cell r="G253" t="str">
            <v>P138526</v>
          </cell>
          <cell r="H253" t="str">
            <v>P138526</v>
          </cell>
          <cell r="I253"/>
          <cell r="J253"/>
          <cell r="K253" t="str">
            <v>12</v>
          </cell>
          <cell r="L253" t="str">
            <v>04</v>
          </cell>
          <cell r="M253" t="str">
            <v>1</v>
          </cell>
          <cell r="N253" t="str">
            <v>38</v>
          </cell>
          <cell r="O253" t="str">
            <v>526</v>
          </cell>
          <cell r="P253" t="str">
            <v>0</v>
          </cell>
          <cell r="Q253">
            <v>28</v>
          </cell>
          <cell r="R253" t="str">
            <v>ZZZ</v>
          </cell>
          <cell r="S253" t="str">
            <v>ZZ</v>
          </cell>
          <cell r="T253">
            <v>11</v>
          </cell>
          <cell r="U253" t="str">
            <v>1204138526028ZZZZZ11</v>
          </cell>
          <cell r="V253">
            <v>251</v>
          </cell>
          <cell r="W253" t="str">
            <v>MERCHANDISING JOBBING &amp; CONTRACTS</v>
          </cell>
          <cell r="X253">
            <v>0</v>
          </cell>
          <cell r="Y253">
            <v>0</v>
          </cell>
          <cell r="Z253">
            <v>0</v>
          </cell>
          <cell r="AA253"/>
          <cell r="AB253">
            <v>0</v>
          </cell>
          <cell r="AC253">
            <v>0</v>
          </cell>
        </row>
        <row r="254">
          <cell r="F254" t="str">
            <v>MANAGEMENT FEES</v>
          </cell>
          <cell r="G254" t="str">
            <v>P142360</v>
          </cell>
          <cell r="H254" t="str">
            <v>P142360</v>
          </cell>
          <cell r="I254"/>
          <cell r="J254"/>
          <cell r="K254" t="str">
            <v>12</v>
          </cell>
          <cell r="L254" t="str">
            <v>04</v>
          </cell>
          <cell r="M254" t="str">
            <v>1</v>
          </cell>
          <cell r="N254" t="str">
            <v>42</v>
          </cell>
          <cell r="O254" t="str">
            <v>360</v>
          </cell>
          <cell r="P254" t="str">
            <v>0</v>
          </cell>
          <cell r="Q254">
            <v>29</v>
          </cell>
          <cell r="R254" t="str">
            <v>ZZZ</v>
          </cell>
          <cell r="S254" t="str">
            <v>ZZ</v>
          </cell>
          <cell r="T254">
            <v>11</v>
          </cell>
          <cell r="U254" t="str">
            <v>1204142360029ZZZZZ11</v>
          </cell>
          <cell r="V254">
            <v>252</v>
          </cell>
          <cell r="W254" t="str">
            <v>MANAGEMENT FEES</v>
          </cell>
          <cell r="X254">
            <v>-6830703</v>
          </cell>
          <cell r="Y254">
            <v>-4951930</v>
          </cell>
          <cell r="Z254">
            <v>-5942316</v>
          </cell>
          <cell r="AA254"/>
          <cell r="AB254">
            <v>-6830703</v>
          </cell>
          <cell r="AC254">
            <v>-7158576.7439999999</v>
          </cell>
        </row>
        <row r="255">
          <cell r="F255" t="str">
            <v>PLAN &amp; DEV: CLEARANCE CERTIFICATES</v>
          </cell>
          <cell r="G255" t="str">
            <v>P142456</v>
          </cell>
          <cell r="H255" t="str">
            <v>P142456</v>
          </cell>
          <cell r="I255"/>
          <cell r="J255"/>
          <cell r="K255" t="str">
            <v>12</v>
          </cell>
          <cell r="L255" t="str">
            <v>04</v>
          </cell>
          <cell r="M255" t="str">
            <v>1</v>
          </cell>
          <cell r="N255" t="str">
            <v>42</v>
          </cell>
          <cell r="O255" t="str">
            <v>456</v>
          </cell>
          <cell r="P255" t="str">
            <v>0</v>
          </cell>
          <cell r="Q255">
            <v>29</v>
          </cell>
          <cell r="R255" t="str">
            <v>ZZZ</v>
          </cell>
          <cell r="S255" t="str">
            <v>ZZ</v>
          </cell>
          <cell r="T255">
            <v>11</v>
          </cell>
          <cell r="U255" t="str">
            <v>1204142456029ZZZZZ11</v>
          </cell>
          <cell r="V255">
            <v>253</v>
          </cell>
          <cell r="W255" t="str">
            <v>PLAN &amp; DEV: CLEARANCE CERTIFICATES</v>
          </cell>
          <cell r="X255">
            <v>-663651</v>
          </cell>
          <cell r="Y255">
            <v>-566936.41</v>
          </cell>
          <cell r="Z255">
            <v>-680323.69200000004</v>
          </cell>
          <cell r="AA255">
            <v>-86000</v>
          </cell>
          <cell r="AB255">
            <v>-749651</v>
          </cell>
          <cell r="AC255">
            <v>-2318713.3200000003</v>
          </cell>
        </row>
        <row r="256">
          <cell r="F256" t="str">
            <v>SALE OF: PUBLICATION - TENDER DOCUMENTS</v>
          </cell>
          <cell r="G256" t="str">
            <v>P142551</v>
          </cell>
          <cell r="H256" t="str">
            <v>P142551</v>
          </cell>
          <cell r="I256"/>
          <cell r="J256"/>
          <cell r="K256" t="str">
            <v>12</v>
          </cell>
          <cell r="L256" t="str">
            <v>04</v>
          </cell>
          <cell r="M256" t="str">
            <v>1</v>
          </cell>
          <cell r="N256" t="str">
            <v>42</v>
          </cell>
          <cell r="O256" t="str">
            <v>551</v>
          </cell>
          <cell r="P256" t="str">
            <v>0</v>
          </cell>
          <cell r="Q256">
            <v>29</v>
          </cell>
          <cell r="R256" t="str">
            <v>ZZZ</v>
          </cell>
          <cell r="S256" t="str">
            <v>ZZ</v>
          </cell>
          <cell r="T256">
            <v>11</v>
          </cell>
          <cell r="U256" t="str">
            <v>1204142551029ZZZZZ11</v>
          </cell>
          <cell r="V256">
            <v>254</v>
          </cell>
          <cell r="W256" t="str">
            <v>SALE OF: PUBLICATION - TENDER DOCUMENTS</v>
          </cell>
          <cell r="X256">
            <v>0</v>
          </cell>
          <cell r="Y256">
            <v>0</v>
          </cell>
          <cell r="Z256">
            <v>0</v>
          </cell>
          <cell r="AA256"/>
          <cell r="AB256">
            <v>0</v>
          </cell>
          <cell r="AC256">
            <v>0</v>
          </cell>
        </row>
        <row r="257">
          <cell r="F257" t="str">
            <v>INTER COMPANY - INTEGRATED NAT. ELEC PR</v>
          </cell>
          <cell r="G257" t="str">
            <v>P144005</v>
          </cell>
          <cell r="H257" t="str">
            <v>P144005</v>
          </cell>
          <cell r="I257"/>
          <cell r="J257"/>
          <cell r="K257" t="str">
            <v>12</v>
          </cell>
          <cell r="L257" t="str">
            <v>04</v>
          </cell>
          <cell r="M257" t="str">
            <v>1</v>
          </cell>
          <cell r="N257" t="str">
            <v>44</v>
          </cell>
          <cell r="O257" t="str">
            <v>005</v>
          </cell>
          <cell r="P257" t="str">
            <v>B</v>
          </cell>
          <cell r="Q257">
            <v>59</v>
          </cell>
          <cell r="R257" t="str">
            <v>ZZZ</v>
          </cell>
          <cell r="S257" t="str">
            <v>ZZ</v>
          </cell>
          <cell r="T257">
            <v>11</v>
          </cell>
          <cell r="U257" t="str">
            <v>1204144005B59ZZZZZ11</v>
          </cell>
          <cell r="V257">
            <v>255</v>
          </cell>
          <cell r="W257" t="str">
            <v>INTER COMPANY - INTEGRATED NAT. ELEC PR</v>
          </cell>
          <cell r="X257">
            <v>0</v>
          </cell>
          <cell r="Y257">
            <v>0</v>
          </cell>
          <cell r="Z257">
            <v>0</v>
          </cell>
          <cell r="AA257"/>
          <cell r="AB257">
            <v>0</v>
          </cell>
          <cell r="AC257">
            <v>0</v>
          </cell>
        </row>
        <row r="258">
          <cell r="F258" t="str">
            <v>MS: SAL &amp; ALL: BASIC SALARY &amp; WAGES</v>
          </cell>
          <cell r="G258" t="str">
            <v>P211001</v>
          </cell>
          <cell r="H258" t="str">
            <v>P211001</v>
          </cell>
          <cell r="I258" t="str">
            <v>501204</v>
          </cell>
          <cell r="J258">
            <v>50</v>
          </cell>
          <cell r="K258" t="str">
            <v>12</v>
          </cell>
          <cell r="L258" t="str">
            <v>04</v>
          </cell>
          <cell r="M258" t="str">
            <v>2</v>
          </cell>
          <cell r="N258" t="str">
            <v>11</v>
          </cell>
          <cell r="O258" t="str">
            <v>001</v>
          </cell>
          <cell r="P258" t="str">
            <v>0</v>
          </cell>
          <cell r="Q258">
            <v>18</v>
          </cell>
          <cell r="R258" t="str">
            <v>MRC</v>
          </cell>
          <cell r="S258" t="str">
            <v>ZZ</v>
          </cell>
          <cell r="T258">
            <v>11</v>
          </cell>
          <cell r="U258" t="str">
            <v>1204211001018MRCZZ11</v>
          </cell>
          <cell r="V258">
            <v>256</v>
          </cell>
          <cell r="W258" t="str">
            <v>MS: SAL &amp; ALL: BASIC SALARY &amp; WAGES</v>
          </cell>
          <cell r="X258">
            <v>13311797</v>
          </cell>
          <cell r="Y258">
            <v>11913974.890000001</v>
          </cell>
          <cell r="Z258">
            <v>14296769.868000001</v>
          </cell>
          <cell r="AA258"/>
          <cell r="AB258">
            <v>13311797</v>
          </cell>
          <cell r="AC258">
            <v>14429346.08</v>
          </cell>
        </row>
        <row r="259">
          <cell r="F259" t="str">
            <v>MS: ALL - CELLULAR &amp; TELEPHONE</v>
          </cell>
          <cell r="G259" t="str">
            <v>P211022</v>
          </cell>
          <cell r="H259" t="str">
            <v>P211022</v>
          </cell>
          <cell r="I259" t="str">
            <v>501204</v>
          </cell>
          <cell r="J259">
            <v>50</v>
          </cell>
          <cell r="K259" t="str">
            <v>12</v>
          </cell>
          <cell r="L259" t="str">
            <v>04</v>
          </cell>
          <cell r="M259" t="str">
            <v>2</v>
          </cell>
          <cell r="N259" t="str">
            <v>11</v>
          </cell>
          <cell r="O259" t="str">
            <v>022</v>
          </cell>
          <cell r="P259" t="str">
            <v>0</v>
          </cell>
          <cell r="Q259">
            <v>18</v>
          </cell>
          <cell r="R259" t="str">
            <v>MRC</v>
          </cell>
          <cell r="S259" t="str">
            <v>ZZ</v>
          </cell>
          <cell r="T259">
            <v>11</v>
          </cell>
          <cell r="U259" t="str">
            <v>1204211022018MRCZZ11</v>
          </cell>
          <cell r="V259">
            <v>257</v>
          </cell>
          <cell r="W259" t="str">
            <v>MS: ALL - CELLULAR &amp; TELEPHONE</v>
          </cell>
          <cell r="X259">
            <v>15420</v>
          </cell>
          <cell r="Y259">
            <v>11000</v>
          </cell>
          <cell r="Z259">
            <v>13200</v>
          </cell>
          <cell r="AA259"/>
          <cell r="AB259">
            <v>15420</v>
          </cell>
          <cell r="AC259">
            <v>12576</v>
          </cell>
        </row>
        <row r="260">
          <cell r="F260" t="str">
            <v>MS: HB &amp; INC: HOUSING BENEFITS</v>
          </cell>
          <cell r="G260" t="str">
            <v>P211026</v>
          </cell>
          <cell r="H260" t="str">
            <v>P211026</v>
          </cell>
          <cell r="I260" t="str">
            <v>501204</v>
          </cell>
          <cell r="J260">
            <v>50</v>
          </cell>
          <cell r="K260" t="str">
            <v>12</v>
          </cell>
          <cell r="L260" t="str">
            <v>04</v>
          </cell>
          <cell r="M260" t="str">
            <v>2</v>
          </cell>
          <cell r="N260" t="str">
            <v>11</v>
          </cell>
          <cell r="O260" t="str">
            <v>026</v>
          </cell>
          <cell r="P260" t="str">
            <v>0</v>
          </cell>
          <cell r="Q260">
            <v>18</v>
          </cell>
          <cell r="R260" t="str">
            <v>MRC</v>
          </cell>
          <cell r="S260" t="str">
            <v>ZZ</v>
          </cell>
          <cell r="T260">
            <v>11</v>
          </cell>
          <cell r="U260" t="str">
            <v>1204211026018MRCZZ11</v>
          </cell>
          <cell r="V260">
            <v>258</v>
          </cell>
          <cell r="W260" t="str">
            <v>MS: HB &amp; INC: HOUSING BENEFITS</v>
          </cell>
          <cell r="X260">
            <v>68745</v>
          </cell>
          <cell r="Y260">
            <v>81018.84</v>
          </cell>
          <cell r="Z260">
            <v>97222.608000000007</v>
          </cell>
          <cell r="AA260"/>
          <cell r="AB260">
            <v>68745</v>
          </cell>
          <cell r="AC260">
            <v>315371.62175999995</v>
          </cell>
        </row>
        <row r="261">
          <cell r="F261" t="str">
            <v>MS: ALL - TRAVEL OR MOTOR VEHICLE (SUBS</v>
          </cell>
          <cell r="G261" t="str">
            <v>P211034</v>
          </cell>
          <cell r="H261" t="str">
            <v>P211034</v>
          </cell>
          <cell r="I261" t="str">
            <v>501204</v>
          </cell>
          <cell r="J261">
            <v>50</v>
          </cell>
          <cell r="K261" t="str">
            <v>12</v>
          </cell>
          <cell r="L261" t="str">
            <v>04</v>
          </cell>
          <cell r="M261" t="str">
            <v>2</v>
          </cell>
          <cell r="N261" t="str">
            <v>11</v>
          </cell>
          <cell r="O261" t="str">
            <v>034</v>
          </cell>
          <cell r="P261" t="str">
            <v>1</v>
          </cell>
          <cell r="Q261">
            <v>18</v>
          </cell>
          <cell r="R261" t="str">
            <v>MRC</v>
          </cell>
          <cell r="S261" t="str">
            <v>ZZ</v>
          </cell>
          <cell r="T261">
            <v>11</v>
          </cell>
          <cell r="U261" t="str">
            <v>1204211034118MRCZZ11</v>
          </cell>
          <cell r="V261">
            <v>259</v>
          </cell>
          <cell r="W261" t="str">
            <v>MS: ALL - TRAVEL OR MOTOR VEHICLE (SUBS</v>
          </cell>
          <cell r="X261">
            <v>1019272</v>
          </cell>
          <cell r="Y261">
            <v>885546.15</v>
          </cell>
          <cell r="Z261">
            <v>1062655.3800000001</v>
          </cell>
          <cell r="AA261"/>
          <cell r="AB261">
            <v>1019272</v>
          </cell>
          <cell r="AC261">
            <v>58838.912000000004</v>
          </cell>
        </row>
        <row r="262">
          <cell r="F262" t="str">
            <v>MS: SRB - ACTING ALLOWANCE</v>
          </cell>
          <cell r="G262" t="str">
            <v>P211044</v>
          </cell>
          <cell r="H262" t="str">
            <v>P211044</v>
          </cell>
          <cell r="I262" t="str">
            <v>501204</v>
          </cell>
          <cell r="J262">
            <v>50</v>
          </cell>
          <cell r="K262" t="str">
            <v>12</v>
          </cell>
          <cell r="L262" t="str">
            <v>04</v>
          </cell>
          <cell r="M262" t="str">
            <v>2</v>
          </cell>
          <cell r="N262" t="str">
            <v>11</v>
          </cell>
          <cell r="O262" t="str">
            <v>044</v>
          </cell>
          <cell r="P262" t="str">
            <v>0</v>
          </cell>
          <cell r="Q262">
            <v>18</v>
          </cell>
          <cell r="R262" t="str">
            <v>MRC</v>
          </cell>
          <cell r="S262" t="str">
            <v>ZZ</v>
          </cell>
          <cell r="T262">
            <v>11</v>
          </cell>
          <cell r="U262" t="str">
            <v>1204211044018MRCZZ11</v>
          </cell>
          <cell r="V262">
            <v>260</v>
          </cell>
          <cell r="W262" t="str">
            <v>MS: SRB - ACTING ALLOWANCE</v>
          </cell>
          <cell r="X262">
            <v>0</v>
          </cell>
          <cell r="Y262">
            <v>0</v>
          </cell>
          <cell r="Z262">
            <v>0</v>
          </cell>
          <cell r="AA262"/>
          <cell r="AB262">
            <v>0</v>
          </cell>
          <cell r="AC262">
            <v>0</v>
          </cell>
        </row>
        <row r="263">
          <cell r="F263" t="str">
            <v>MS: SRB - ANNUAL BONUS</v>
          </cell>
          <cell r="G263" t="str">
            <v>P211046</v>
          </cell>
          <cell r="H263" t="str">
            <v>P211046</v>
          </cell>
          <cell r="I263" t="str">
            <v>501204</v>
          </cell>
          <cell r="J263">
            <v>50</v>
          </cell>
          <cell r="K263" t="str">
            <v>12</v>
          </cell>
          <cell r="L263" t="str">
            <v>04</v>
          </cell>
          <cell r="M263" t="str">
            <v>2</v>
          </cell>
          <cell r="N263" t="str">
            <v>11</v>
          </cell>
          <cell r="O263" t="str">
            <v>046</v>
          </cell>
          <cell r="P263" t="str">
            <v>0</v>
          </cell>
          <cell r="Q263">
            <v>18</v>
          </cell>
          <cell r="R263" t="str">
            <v>MRC</v>
          </cell>
          <cell r="S263" t="str">
            <v>ZZ</v>
          </cell>
          <cell r="T263">
            <v>11</v>
          </cell>
          <cell r="U263" t="str">
            <v>1204211046018MRCZZ11</v>
          </cell>
          <cell r="V263">
            <v>261</v>
          </cell>
          <cell r="W263" t="str">
            <v>MS: SRB - ANNUAL BONUS</v>
          </cell>
          <cell r="X263">
            <v>668488</v>
          </cell>
          <cell r="Y263">
            <v>555844.07999999996</v>
          </cell>
          <cell r="Z263">
            <v>667012.89599999995</v>
          </cell>
          <cell r="AA263"/>
          <cell r="AB263">
            <v>668488</v>
          </cell>
          <cell r="AC263">
            <v>1071261.4080000001</v>
          </cell>
        </row>
        <row r="264">
          <cell r="F264" t="str">
            <v>MS: SOC CONTR - BARGAINING COUNCIL</v>
          </cell>
          <cell r="G264" t="str">
            <v>P213001</v>
          </cell>
          <cell r="H264" t="str">
            <v>P213001</v>
          </cell>
          <cell r="I264" t="str">
            <v>501204</v>
          </cell>
          <cell r="J264">
            <v>50</v>
          </cell>
          <cell r="K264" t="str">
            <v>12</v>
          </cell>
          <cell r="L264" t="str">
            <v>04</v>
          </cell>
          <cell r="M264" t="str">
            <v>2</v>
          </cell>
          <cell r="N264" t="str">
            <v>13</v>
          </cell>
          <cell r="O264" t="str">
            <v>001</v>
          </cell>
          <cell r="P264" t="str">
            <v>0</v>
          </cell>
          <cell r="Q264">
            <v>18</v>
          </cell>
          <cell r="R264" t="str">
            <v>MRC</v>
          </cell>
          <cell r="S264" t="str">
            <v>ZZ</v>
          </cell>
          <cell r="T264">
            <v>11</v>
          </cell>
          <cell r="U264" t="str">
            <v>1204213001018MRCZZ11</v>
          </cell>
          <cell r="V264">
            <v>262</v>
          </cell>
          <cell r="W264" t="str">
            <v>MS: SOC CONTR - BARGAINING COUNCIL</v>
          </cell>
          <cell r="X264">
            <v>3053</v>
          </cell>
          <cell r="Y264">
            <v>2729.5</v>
          </cell>
          <cell r="Z264">
            <v>3275.3999999999996</v>
          </cell>
          <cell r="AA264"/>
          <cell r="AB264">
            <v>3053</v>
          </cell>
          <cell r="AC264">
            <v>3367.8527999999988</v>
          </cell>
        </row>
        <row r="265">
          <cell r="F265" t="str">
            <v>MS: SOC CONTR - GROUP LIFE INSURANCE</v>
          </cell>
          <cell r="G265" t="str">
            <v>P213010</v>
          </cell>
          <cell r="H265" t="str">
            <v>P213010</v>
          </cell>
          <cell r="I265" t="str">
            <v>501204</v>
          </cell>
          <cell r="J265">
            <v>50</v>
          </cell>
          <cell r="K265" t="str">
            <v>12</v>
          </cell>
          <cell r="L265" t="str">
            <v>04</v>
          </cell>
          <cell r="M265" t="str">
            <v>2</v>
          </cell>
          <cell r="N265" t="str">
            <v>13</v>
          </cell>
          <cell r="O265" t="str">
            <v>010</v>
          </cell>
          <cell r="P265" t="str">
            <v>0</v>
          </cell>
          <cell r="Q265">
            <v>18</v>
          </cell>
          <cell r="R265" t="str">
            <v>MRC</v>
          </cell>
          <cell r="S265" t="str">
            <v>ZZ</v>
          </cell>
          <cell r="T265">
            <v>11</v>
          </cell>
          <cell r="U265" t="str">
            <v>1204213010018MRCZZ11</v>
          </cell>
          <cell r="V265">
            <v>263</v>
          </cell>
          <cell r="W265" t="str">
            <v>MS: SOC CONTR - GROUP LIFE INSURANCE</v>
          </cell>
          <cell r="X265">
            <v>99764</v>
          </cell>
          <cell r="Y265">
            <v>94721.21</v>
          </cell>
          <cell r="Z265">
            <v>113665.45200000002</v>
          </cell>
          <cell r="AA265"/>
          <cell r="AB265">
            <v>99764</v>
          </cell>
          <cell r="AC265">
            <v>245298.88336000004</v>
          </cell>
        </row>
        <row r="266">
          <cell r="F266" t="str">
            <v>MS: SOC CONTR - MEDICAL</v>
          </cell>
          <cell r="G266" t="str">
            <v>P213020</v>
          </cell>
          <cell r="H266" t="str">
            <v>P213020</v>
          </cell>
          <cell r="I266" t="str">
            <v>501204</v>
          </cell>
          <cell r="J266">
            <v>50</v>
          </cell>
          <cell r="K266" t="str">
            <v>12</v>
          </cell>
          <cell r="L266" t="str">
            <v>04</v>
          </cell>
          <cell r="M266" t="str">
            <v>2</v>
          </cell>
          <cell r="N266" t="str">
            <v>13</v>
          </cell>
          <cell r="O266" t="str">
            <v>020</v>
          </cell>
          <cell r="P266" t="str">
            <v>0</v>
          </cell>
          <cell r="Q266">
            <v>18</v>
          </cell>
          <cell r="R266" t="str">
            <v>MRC</v>
          </cell>
          <cell r="S266" t="str">
            <v>ZZ</v>
          </cell>
          <cell r="T266">
            <v>11</v>
          </cell>
          <cell r="U266" t="str">
            <v>1204213020018MRCZZ11</v>
          </cell>
          <cell r="V266">
            <v>264</v>
          </cell>
          <cell r="W266" t="str">
            <v>MS: SOC CONTR - MEDICAL</v>
          </cell>
          <cell r="X266">
            <v>931144</v>
          </cell>
          <cell r="Y266">
            <v>788965.68</v>
          </cell>
          <cell r="Z266">
            <v>946758.81599999999</v>
          </cell>
          <cell r="AA266"/>
          <cell r="AB266">
            <v>931144</v>
          </cell>
          <cell r="AC266">
            <v>1620722.4422399993</v>
          </cell>
        </row>
        <row r="267">
          <cell r="F267" t="str">
            <v>MS: SOC CONTR - PENSION</v>
          </cell>
          <cell r="G267" t="str">
            <v>P213030</v>
          </cell>
          <cell r="H267" t="str">
            <v>P213030</v>
          </cell>
          <cell r="I267" t="str">
            <v>501204</v>
          </cell>
          <cell r="J267">
            <v>50</v>
          </cell>
          <cell r="K267" t="str">
            <v>12</v>
          </cell>
          <cell r="L267" t="str">
            <v>04</v>
          </cell>
          <cell r="M267" t="str">
            <v>2</v>
          </cell>
          <cell r="N267" t="str">
            <v>13</v>
          </cell>
          <cell r="O267" t="str">
            <v>030</v>
          </cell>
          <cell r="P267" t="str">
            <v>0</v>
          </cell>
          <cell r="Q267">
            <v>18</v>
          </cell>
          <cell r="R267" t="str">
            <v>MRC</v>
          </cell>
          <cell r="S267" t="str">
            <v>ZZ</v>
          </cell>
          <cell r="T267">
            <v>11</v>
          </cell>
          <cell r="U267" t="str">
            <v>1204213030018MRCZZ11</v>
          </cell>
          <cell r="V267">
            <v>265</v>
          </cell>
          <cell r="W267" t="str">
            <v>MS: SOC CONTR - PENSION</v>
          </cell>
          <cell r="X267">
            <v>2117809</v>
          </cell>
          <cell r="Y267">
            <v>1921463.35</v>
          </cell>
          <cell r="Z267">
            <v>2305756.0200000005</v>
          </cell>
          <cell r="AA267"/>
          <cell r="AB267">
            <v>2117809</v>
          </cell>
          <cell r="AC267">
            <v>2607382.836656</v>
          </cell>
        </row>
        <row r="268">
          <cell r="F268" t="str">
            <v>MS: SOC CONTR - UNEMPLOYMENT INSUR FUND</v>
          </cell>
          <cell r="G268" t="str">
            <v>P213040</v>
          </cell>
          <cell r="H268" t="str">
            <v>P213040</v>
          </cell>
          <cell r="I268" t="str">
            <v>501204</v>
          </cell>
          <cell r="J268">
            <v>50</v>
          </cell>
          <cell r="K268" t="str">
            <v>12</v>
          </cell>
          <cell r="L268" t="str">
            <v>04</v>
          </cell>
          <cell r="M268" t="str">
            <v>2</v>
          </cell>
          <cell r="N268" t="str">
            <v>13</v>
          </cell>
          <cell r="O268" t="str">
            <v>040</v>
          </cell>
          <cell r="P268" t="str">
            <v>0</v>
          </cell>
          <cell r="Q268">
            <v>18</v>
          </cell>
          <cell r="R268" t="str">
            <v>MRC</v>
          </cell>
          <cell r="S268" t="str">
            <v>ZZ</v>
          </cell>
          <cell r="T268">
            <v>11</v>
          </cell>
          <cell r="U268" t="str">
            <v>1204213040018MRCZZ11</v>
          </cell>
          <cell r="V268">
            <v>266</v>
          </cell>
          <cell r="W268" t="str">
            <v>MS: SOC CONTR - UNEMPLOYMENT INSUR FUND</v>
          </cell>
          <cell r="X268">
            <v>45865</v>
          </cell>
          <cell r="Y268">
            <v>46936.800000000003</v>
          </cell>
          <cell r="Z268">
            <v>56324.160000000003</v>
          </cell>
          <cell r="AA268"/>
          <cell r="AB268">
            <v>45865</v>
          </cell>
          <cell r="AC268">
            <v>60141.45024000002</v>
          </cell>
        </row>
        <row r="269">
          <cell r="F269" t="str">
            <v>OS: CATERING SERVICES(REFRESHMENTS)</v>
          </cell>
          <cell r="G269" t="str">
            <v>P226060</v>
          </cell>
          <cell r="H269" t="str">
            <v>P226060</v>
          </cell>
          <cell r="I269"/>
          <cell r="J269"/>
          <cell r="K269" t="str">
            <v>12</v>
          </cell>
          <cell r="L269" t="str">
            <v>04</v>
          </cell>
          <cell r="M269" t="str">
            <v>2</v>
          </cell>
          <cell r="N269" t="str">
            <v>26</v>
          </cell>
          <cell r="O269" t="str">
            <v>060</v>
          </cell>
          <cell r="P269" t="str">
            <v>H</v>
          </cell>
          <cell r="Q269">
            <v>18</v>
          </cell>
          <cell r="R269" t="str">
            <v>MRC</v>
          </cell>
          <cell r="S269" t="str">
            <v>ZZ</v>
          </cell>
          <cell r="T269">
            <v>11</v>
          </cell>
          <cell r="U269" t="str">
            <v>1204226060H18MRCZZ11</v>
          </cell>
          <cell r="V269">
            <v>267</v>
          </cell>
          <cell r="W269" t="str">
            <v>OS: CATERING SERVICES(REFRESHMENTS)</v>
          </cell>
          <cell r="X269">
            <v>4099</v>
          </cell>
          <cell r="Y269">
            <v>4030</v>
          </cell>
          <cell r="Z269">
            <v>4836</v>
          </cell>
          <cell r="AA269">
            <v>10000</v>
          </cell>
          <cell r="AB269">
            <v>14099</v>
          </cell>
          <cell r="AC269">
            <v>14775.752</v>
          </cell>
        </row>
        <row r="270">
          <cell r="F270" t="str">
            <v>OS: METER MANAGEMENT</v>
          </cell>
          <cell r="G270" t="str">
            <v>P226060</v>
          </cell>
          <cell r="H270" t="str">
            <v>P226361</v>
          </cell>
          <cell r="I270"/>
          <cell r="J270"/>
          <cell r="K270" t="str">
            <v>12</v>
          </cell>
          <cell r="L270" t="str">
            <v>04</v>
          </cell>
          <cell r="M270" t="str">
            <v>2</v>
          </cell>
          <cell r="N270" t="str">
            <v>26</v>
          </cell>
          <cell r="O270" t="str">
            <v>361</v>
          </cell>
          <cell r="P270" t="str">
            <v>0</v>
          </cell>
          <cell r="Q270">
            <v>18</v>
          </cell>
          <cell r="R270" t="str">
            <v>MRC</v>
          </cell>
          <cell r="S270" t="str">
            <v>ZZ</v>
          </cell>
          <cell r="T270">
            <v>11</v>
          </cell>
          <cell r="U270" t="str">
            <v>1204226361018MRCZZ11</v>
          </cell>
          <cell r="V270">
            <v>268</v>
          </cell>
          <cell r="W270" t="str">
            <v>OS: METER MANAGEMENT</v>
          </cell>
          <cell r="X270">
            <v>1693113</v>
          </cell>
          <cell r="Y270">
            <v>0</v>
          </cell>
          <cell r="Z270">
            <v>0</v>
          </cell>
          <cell r="AA270"/>
          <cell r="AB270">
            <v>1693113</v>
          </cell>
          <cell r="AC270">
            <v>0</v>
          </cell>
        </row>
        <row r="271">
          <cell r="F271" t="str">
            <v>CONTR: TRACING AGENTS &amp; DEBT COLLECTORS</v>
          </cell>
          <cell r="G271" t="str">
            <v>P228361</v>
          </cell>
          <cell r="H271" t="str">
            <v>P228570</v>
          </cell>
          <cell r="I271"/>
          <cell r="J271"/>
          <cell r="K271" t="str">
            <v>12</v>
          </cell>
          <cell r="L271" t="str">
            <v>04</v>
          </cell>
          <cell r="M271" t="str">
            <v>2</v>
          </cell>
          <cell r="N271" t="str">
            <v>28</v>
          </cell>
          <cell r="O271" t="str">
            <v>570</v>
          </cell>
          <cell r="P271" t="str">
            <v>0</v>
          </cell>
          <cell r="Q271">
            <v>18</v>
          </cell>
          <cell r="R271" t="str">
            <v>MRC</v>
          </cell>
          <cell r="S271" t="str">
            <v>ZZ</v>
          </cell>
          <cell r="T271">
            <v>11</v>
          </cell>
          <cell r="U271" t="str">
            <v>1204228570018MRCZZ11</v>
          </cell>
          <cell r="V271">
            <v>269</v>
          </cell>
          <cell r="W271" t="str">
            <v>CONTR: TRACING AGENTS &amp; DEBT COLLECTORS</v>
          </cell>
          <cell r="X271">
            <v>44315</v>
          </cell>
          <cell r="Y271">
            <v>0</v>
          </cell>
          <cell r="Z271">
            <v>0</v>
          </cell>
          <cell r="AA271">
            <v>600000</v>
          </cell>
          <cell r="AB271">
            <v>644315</v>
          </cell>
          <cell r="AC271">
            <v>2932323.03</v>
          </cell>
        </row>
        <row r="272">
          <cell r="F272" t="str">
            <v>OC: SKILLS DEVELOPMENT FUND LEVY</v>
          </cell>
          <cell r="G272" t="str">
            <v>P230452</v>
          </cell>
          <cell r="H272" t="str">
            <v>P230541</v>
          </cell>
          <cell r="I272"/>
          <cell r="J272"/>
          <cell r="K272" t="str">
            <v>12</v>
          </cell>
          <cell r="L272" t="str">
            <v>04</v>
          </cell>
          <cell r="M272" t="str">
            <v>2</v>
          </cell>
          <cell r="N272" t="str">
            <v>30</v>
          </cell>
          <cell r="O272" t="str">
            <v>541</v>
          </cell>
          <cell r="P272" t="str">
            <v>0</v>
          </cell>
          <cell r="Q272">
            <v>18</v>
          </cell>
          <cell r="R272" t="str">
            <v>MRC</v>
          </cell>
          <cell r="S272" t="str">
            <v>ZZ</v>
          </cell>
          <cell r="T272">
            <v>11</v>
          </cell>
          <cell r="U272" t="str">
            <v>1204230541018MRCZZ11</v>
          </cell>
          <cell r="V272">
            <v>270</v>
          </cell>
          <cell r="W272" t="str">
            <v>OC: SKILLS DEVELOPMENT FUND LEVY</v>
          </cell>
          <cell r="X272">
            <v>0</v>
          </cell>
          <cell r="Y272">
            <v>0</v>
          </cell>
          <cell r="Z272">
            <v>0</v>
          </cell>
          <cell r="AA272"/>
          <cell r="AB272">
            <v>0</v>
          </cell>
          <cell r="AC272">
            <v>0</v>
          </cell>
        </row>
        <row r="273">
          <cell r="F273" t="str">
            <v>INVENTORY - MATERIALS &amp; SUPPLIES(PRINT&amp;</v>
          </cell>
          <cell r="G273" t="str">
            <v>P232360</v>
          </cell>
          <cell r="H273" t="str">
            <v>P232360</v>
          </cell>
          <cell r="I273"/>
          <cell r="J273"/>
          <cell r="K273" t="str">
            <v>12</v>
          </cell>
          <cell r="L273" t="str">
            <v>04</v>
          </cell>
          <cell r="M273" t="str">
            <v>2</v>
          </cell>
          <cell r="N273" t="str">
            <v>32</v>
          </cell>
          <cell r="O273" t="str">
            <v>360</v>
          </cell>
          <cell r="P273" t="str">
            <v>D</v>
          </cell>
          <cell r="Q273">
            <v>18</v>
          </cell>
          <cell r="R273" t="str">
            <v>MRC</v>
          </cell>
          <cell r="S273" t="str">
            <v>ZZ</v>
          </cell>
          <cell r="T273">
            <v>11</v>
          </cell>
          <cell r="U273" t="str">
            <v>1204232360D18MRCZZ11</v>
          </cell>
          <cell r="V273">
            <v>271</v>
          </cell>
          <cell r="W273" t="str">
            <v>INVENTORY - MATERIALS &amp; SUPPLIES(PRINT&amp;</v>
          </cell>
          <cell r="X273">
            <v>677346</v>
          </cell>
          <cell r="Y273">
            <v>461527.51</v>
          </cell>
          <cell r="Z273">
            <v>553833.0120000001</v>
          </cell>
          <cell r="AA273">
            <v>200000</v>
          </cell>
          <cell r="AB273">
            <v>877346</v>
          </cell>
          <cell r="AC273">
            <v>709858.60800000001</v>
          </cell>
        </row>
        <row r="274">
          <cell r="F274" t="str">
            <v>INVENTORY - MATERIALS &amp; SUPPLIES(FESTIVA</v>
          </cell>
          <cell r="G274" t="str">
            <v>P232360</v>
          </cell>
          <cell r="H274" t="str">
            <v>P232360</v>
          </cell>
          <cell r="I274"/>
          <cell r="J274"/>
          <cell r="K274" t="str">
            <v>12</v>
          </cell>
          <cell r="L274" t="str">
            <v>04</v>
          </cell>
          <cell r="M274" t="str">
            <v>2</v>
          </cell>
          <cell r="N274" t="str">
            <v>32</v>
          </cell>
          <cell r="O274" t="str">
            <v>360</v>
          </cell>
          <cell r="P274" t="str">
            <v>L</v>
          </cell>
          <cell r="Q274">
            <v>18</v>
          </cell>
          <cell r="R274" t="str">
            <v>MRC</v>
          </cell>
          <cell r="S274" t="str">
            <v>ZZ</v>
          </cell>
          <cell r="T274">
            <v>11</v>
          </cell>
          <cell r="U274" t="str">
            <v>1204232360L18MRCZZ11</v>
          </cell>
          <cell r="V274">
            <v>272</v>
          </cell>
          <cell r="W274" t="str">
            <v>INVENTORY - MATERIALS &amp; SUPPLIES(FESTIVA</v>
          </cell>
          <cell r="X274">
            <v>0</v>
          </cell>
          <cell r="Y274">
            <v>0</v>
          </cell>
          <cell r="Z274">
            <v>0</v>
          </cell>
          <cell r="AA274"/>
          <cell r="AB274">
            <v>0</v>
          </cell>
          <cell r="AC274">
            <v>0</v>
          </cell>
        </row>
        <row r="275">
          <cell r="F275" t="str">
            <v>INVENTORY - MATERIALS &amp; SUPPLIES(STOCK &amp;</v>
          </cell>
          <cell r="G275" t="str">
            <v>P232360</v>
          </cell>
          <cell r="H275" t="str">
            <v>P232360</v>
          </cell>
          <cell r="I275"/>
          <cell r="J275"/>
          <cell r="K275" t="str">
            <v>12</v>
          </cell>
          <cell r="L275" t="str">
            <v>04</v>
          </cell>
          <cell r="M275" t="str">
            <v>2</v>
          </cell>
          <cell r="N275" t="str">
            <v>32</v>
          </cell>
          <cell r="O275" t="str">
            <v>360</v>
          </cell>
          <cell r="P275" t="str">
            <v>R</v>
          </cell>
          <cell r="Q275">
            <v>18</v>
          </cell>
          <cell r="R275" t="str">
            <v>MRC</v>
          </cell>
          <cell r="S275" t="str">
            <v>ZZ</v>
          </cell>
          <cell r="T275">
            <v>11</v>
          </cell>
          <cell r="U275" t="str">
            <v>1204232360R18MRCZZ11</v>
          </cell>
          <cell r="V275">
            <v>273</v>
          </cell>
          <cell r="W275" t="str">
            <v>INVENTORY - MATERIALS &amp; SUPPLIES(STOCK &amp;</v>
          </cell>
          <cell r="X275">
            <v>0</v>
          </cell>
          <cell r="Y275">
            <v>7410.94</v>
          </cell>
          <cell r="Z275">
            <v>8893.1279999999988</v>
          </cell>
          <cell r="AA275"/>
          <cell r="AB275">
            <v>0</v>
          </cell>
          <cell r="AC275">
            <v>13212.648800000001</v>
          </cell>
        </row>
        <row r="276">
          <cell r="F276" t="str">
            <v>BAD DEBTS WRITTEN OFF</v>
          </cell>
          <cell r="G276" t="str">
            <v>P240001</v>
          </cell>
          <cell r="H276" t="str">
            <v>P240001</v>
          </cell>
          <cell r="I276"/>
          <cell r="J276"/>
          <cell r="K276" t="str">
            <v>12</v>
          </cell>
          <cell r="L276" t="str">
            <v>04</v>
          </cell>
          <cell r="M276" t="str">
            <v>2</v>
          </cell>
          <cell r="N276" t="str">
            <v>40</v>
          </cell>
          <cell r="O276" t="str">
            <v>001</v>
          </cell>
          <cell r="P276" t="str">
            <v>0</v>
          </cell>
          <cell r="Q276">
            <v>18</v>
          </cell>
          <cell r="R276" t="str">
            <v>MRC</v>
          </cell>
          <cell r="S276" t="str">
            <v>ZZ</v>
          </cell>
          <cell r="T276">
            <v>11</v>
          </cell>
          <cell r="U276" t="str">
            <v>1204240001018MRCZZ11</v>
          </cell>
          <cell r="V276">
            <v>274</v>
          </cell>
          <cell r="W276" t="str">
            <v>BAD DEBTS WRITTEN OFF</v>
          </cell>
          <cell r="X276">
            <v>0</v>
          </cell>
          <cell r="Y276">
            <v>0</v>
          </cell>
          <cell r="Z276">
            <v>0</v>
          </cell>
          <cell r="AA276"/>
          <cell r="AB276">
            <v>0</v>
          </cell>
          <cell r="AC276">
            <v>0</v>
          </cell>
        </row>
        <row r="277">
          <cell r="F277" t="str">
            <v>PPE MACHINERY &amp; EQUIPMENT - GAINS</v>
          </cell>
          <cell r="G277" t="str">
            <v>P320085</v>
          </cell>
          <cell r="H277" t="str">
            <v>P320165</v>
          </cell>
          <cell r="I277"/>
          <cell r="J277"/>
          <cell r="K277" t="str">
            <v>12</v>
          </cell>
          <cell r="L277" t="str">
            <v>04</v>
          </cell>
          <cell r="M277" t="str">
            <v>3</v>
          </cell>
          <cell r="N277" t="str">
            <v>20</v>
          </cell>
          <cell r="O277" t="str">
            <v>165</v>
          </cell>
          <cell r="P277" t="str">
            <v>0</v>
          </cell>
          <cell r="Q277">
            <v>18</v>
          </cell>
          <cell r="R277" t="str">
            <v>MRC</v>
          </cell>
          <cell r="S277" t="str">
            <v>ZZ</v>
          </cell>
          <cell r="T277">
            <v>11</v>
          </cell>
          <cell r="U277" t="str">
            <v>1204320165018MRCZZ11</v>
          </cell>
          <cell r="V277">
            <v>275</v>
          </cell>
          <cell r="W277" t="str">
            <v>PPE MACHINERY &amp; EQUIPMENT - GAINS</v>
          </cell>
          <cell r="X277">
            <v>0</v>
          </cell>
          <cell r="Y277">
            <v>-2348587.5</v>
          </cell>
          <cell r="Z277">
            <v>-2818305</v>
          </cell>
          <cell r="AA277"/>
          <cell r="AB277">
            <v>0</v>
          </cell>
          <cell r="AC277">
            <v>-2700000</v>
          </cell>
        </row>
        <row r="278">
          <cell r="F278" t="str">
            <v>RECOVER:INT BILL:ELECTRICITY CONSUMPTION</v>
          </cell>
          <cell r="G278" t="str">
            <v>P320165</v>
          </cell>
          <cell r="H278">
            <v>0</v>
          </cell>
          <cell r="I278"/>
          <cell r="J278"/>
          <cell r="K278" t="str">
            <v>12</v>
          </cell>
          <cell r="L278" t="str">
            <v>04</v>
          </cell>
          <cell r="M278" t="str">
            <v>3</v>
          </cell>
          <cell r="N278" t="str">
            <v>93</v>
          </cell>
          <cell r="O278" t="str">
            <v>005</v>
          </cell>
          <cell r="P278" t="str">
            <v>0</v>
          </cell>
          <cell r="Q278" t="str">
            <v>ZZ</v>
          </cell>
          <cell r="R278" t="str">
            <v>ZZZ</v>
          </cell>
          <cell r="S278" t="str">
            <v>8X</v>
          </cell>
          <cell r="T278">
            <v>11</v>
          </cell>
          <cell r="U278" t="str">
            <v>12043930050ZZZZZ8X11</v>
          </cell>
          <cell r="V278">
            <v>276</v>
          </cell>
          <cell r="W278" t="str">
            <v>RECOVER:INT BILL:ELECTRICITY CONSUMPTION</v>
          </cell>
          <cell r="X278">
            <v>0</v>
          </cell>
          <cell r="Y278">
            <v>0</v>
          </cell>
          <cell r="Z278">
            <v>0</v>
          </cell>
          <cell r="AA278"/>
          <cell r="AB278">
            <v>0</v>
          </cell>
          <cell r="AC278">
            <v>0</v>
          </cell>
        </row>
        <row r="279">
          <cell r="F279" t="str">
            <v>RECOVER:INT BILL:ELECTRICITY STREETLIGHT</v>
          </cell>
          <cell r="G279" t="str">
            <v>P320165</v>
          </cell>
          <cell r="H279">
            <v>0</v>
          </cell>
          <cell r="I279"/>
          <cell r="J279"/>
          <cell r="K279" t="str">
            <v>12</v>
          </cell>
          <cell r="L279" t="str">
            <v>04</v>
          </cell>
          <cell r="M279" t="str">
            <v>3</v>
          </cell>
          <cell r="N279" t="str">
            <v>93</v>
          </cell>
          <cell r="O279" t="str">
            <v>006</v>
          </cell>
          <cell r="P279" t="str">
            <v>0</v>
          </cell>
          <cell r="Q279" t="str">
            <v>ZZ</v>
          </cell>
          <cell r="R279" t="str">
            <v>ZZZ</v>
          </cell>
          <cell r="S279" t="str">
            <v>8Y</v>
          </cell>
          <cell r="T279">
            <v>11</v>
          </cell>
          <cell r="U279" t="str">
            <v>12043930060ZZZZZ8Y11</v>
          </cell>
          <cell r="V279">
            <v>277</v>
          </cell>
          <cell r="W279" t="str">
            <v>RECOVER:INT BILL:ELECTRICITY STREETLIGHT</v>
          </cell>
          <cell r="X279">
            <v>0</v>
          </cell>
          <cell r="Y279">
            <v>0</v>
          </cell>
          <cell r="Z279">
            <v>0</v>
          </cell>
          <cell r="AA279"/>
          <cell r="AB279">
            <v>0</v>
          </cell>
          <cell r="AC279">
            <v>0</v>
          </cell>
        </row>
        <row r="280">
          <cell r="F280" t="str">
            <v>CHG INT BILL:ELECTRICITY CONSUMP</v>
          </cell>
          <cell r="G280" t="str">
            <v>P320165</v>
          </cell>
          <cell r="H280">
            <v>0</v>
          </cell>
          <cell r="I280"/>
          <cell r="J280"/>
          <cell r="K280" t="str">
            <v>12</v>
          </cell>
          <cell r="L280" t="str">
            <v>04</v>
          </cell>
          <cell r="M280" t="str">
            <v>3</v>
          </cell>
          <cell r="N280" t="str">
            <v>96</v>
          </cell>
          <cell r="O280" t="str">
            <v>005</v>
          </cell>
          <cell r="P280" t="str">
            <v>0</v>
          </cell>
          <cell r="Q280" t="str">
            <v>ZZ</v>
          </cell>
          <cell r="R280" t="str">
            <v>ZZZ</v>
          </cell>
          <cell r="S280">
            <v>45</v>
          </cell>
          <cell r="T280">
            <v>11</v>
          </cell>
          <cell r="U280" t="str">
            <v>12043960050ZZZZZ4511</v>
          </cell>
          <cell r="V280">
            <v>278</v>
          </cell>
          <cell r="W280" t="str">
            <v>CHG INT BILL:ELECTRICITY CONSUMP</v>
          </cell>
          <cell r="X280">
            <v>0</v>
          </cell>
          <cell r="Y280">
            <v>0</v>
          </cell>
          <cell r="Z280">
            <v>0</v>
          </cell>
          <cell r="AA280"/>
          <cell r="AB280">
            <v>0</v>
          </cell>
          <cell r="AC280">
            <v>0</v>
          </cell>
        </row>
        <row r="281">
          <cell r="F281" t="str">
            <v>CHG INT BILL:ELEC STREETLIGHTS</v>
          </cell>
          <cell r="G281" t="str">
            <v>P320165</v>
          </cell>
          <cell r="H281">
            <v>0</v>
          </cell>
          <cell r="I281"/>
          <cell r="J281"/>
          <cell r="K281" t="str">
            <v>12</v>
          </cell>
          <cell r="L281" t="str">
            <v>04</v>
          </cell>
          <cell r="M281" t="str">
            <v>3</v>
          </cell>
          <cell r="N281" t="str">
            <v>96</v>
          </cell>
          <cell r="O281" t="str">
            <v>006</v>
          </cell>
          <cell r="P281" t="str">
            <v>0</v>
          </cell>
          <cell r="Q281" t="str">
            <v>ZZ</v>
          </cell>
          <cell r="R281" t="str">
            <v>ZZZ</v>
          </cell>
          <cell r="S281">
            <v>46</v>
          </cell>
          <cell r="T281">
            <v>11</v>
          </cell>
          <cell r="U281" t="str">
            <v>12043960060ZZZZZ4611</v>
          </cell>
          <cell r="V281">
            <v>279</v>
          </cell>
          <cell r="W281" t="str">
            <v>CHG INT BILL:ELEC STREETLIGHTS</v>
          </cell>
          <cell r="X281">
            <v>0</v>
          </cell>
          <cell r="Y281">
            <v>0</v>
          </cell>
          <cell r="Z281">
            <v>0</v>
          </cell>
          <cell r="AA281"/>
          <cell r="AB281">
            <v>0</v>
          </cell>
          <cell r="AC281">
            <v>0</v>
          </cell>
        </row>
        <row r="282">
          <cell r="F282" t="str">
            <v>MS: SAL &amp; ALL: BASIC SALARY &amp; WAGES</v>
          </cell>
          <cell r="G282" t="str">
            <v>P211001</v>
          </cell>
          <cell r="H282" t="str">
            <v>P211001</v>
          </cell>
          <cell r="I282" t="str">
            <v>501205</v>
          </cell>
          <cell r="J282">
            <v>50</v>
          </cell>
          <cell r="K282" t="str">
            <v>12</v>
          </cell>
          <cell r="L282" t="str">
            <v>05</v>
          </cell>
          <cell r="M282" t="str">
            <v>2</v>
          </cell>
          <cell r="N282" t="str">
            <v>11</v>
          </cell>
          <cell r="O282" t="str">
            <v>001</v>
          </cell>
          <cell r="P282" t="str">
            <v>0</v>
          </cell>
          <cell r="Q282">
            <v>18</v>
          </cell>
          <cell r="R282" t="str">
            <v>MRC</v>
          </cell>
          <cell r="S282" t="str">
            <v>ZZ</v>
          </cell>
          <cell r="T282">
            <v>11</v>
          </cell>
          <cell r="U282" t="str">
            <v>1205211001018MRCZZ11</v>
          </cell>
          <cell r="V282">
            <v>280</v>
          </cell>
          <cell r="W282" t="str">
            <v>MS: SAL &amp; ALL: BASIC SALARY &amp; WAGES</v>
          </cell>
          <cell r="X282">
            <v>9803868</v>
          </cell>
          <cell r="Y282">
            <v>8236857.0099999998</v>
          </cell>
          <cell r="Z282">
            <v>9884228.4120000005</v>
          </cell>
          <cell r="AA282"/>
          <cell r="AB282">
            <v>9803868</v>
          </cell>
          <cell r="AC282">
            <v>6879092.96</v>
          </cell>
        </row>
        <row r="283">
          <cell r="F283" t="str">
            <v>MS: ALL - ACCOMMODATION/TRVL/INCIDENTAL</v>
          </cell>
          <cell r="G283" t="str">
            <v>P211020</v>
          </cell>
          <cell r="H283" t="str">
            <v>P211020</v>
          </cell>
          <cell r="I283" t="str">
            <v>501205</v>
          </cell>
          <cell r="J283">
            <v>50</v>
          </cell>
          <cell r="K283" t="str">
            <v>12</v>
          </cell>
          <cell r="L283" t="str">
            <v>05</v>
          </cell>
          <cell r="M283" t="str">
            <v>2</v>
          </cell>
          <cell r="N283" t="str">
            <v>11</v>
          </cell>
          <cell r="O283" t="str">
            <v>020</v>
          </cell>
          <cell r="P283" t="str">
            <v>0</v>
          </cell>
          <cell r="Q283">
            <v>18</v>
          </cell>
          <cell r="R283" t="str">
            <v>MRC</v>
          </cell>
          <cell r="S283" t="str">
            <v>ZZ</v>
          </cell>
          <cell r="T283">
            <v>11</v>
          </cell>
          <cell r="U283" t="str">
            <v>1205211020018MRCZZ11</v>
          </cell>
          <cell r="V283">
            <v>281</v>
          </cell>
          <cell r="W283" t="str">
            <v>MS: ALL - ACCOMMODATION/TRVL/INCIDENTAL</v>
          </cell>
          <cell r="X283">
            <v>0</v>
          </cell>
          <cell r="Y283">
            <v>0</v>
          </cell>
          <cell r="Z283">
            <v>0</v>
          </cell>
          <cell r="AA283"/>
          <cell r="AB283">
            <v>0</v>
          </cell>
          <cell r="AC283">
            <v>0</v>
          </cell>
        </row>
        <row r="284">
          <cell r="F284" t="str">
            <v>MS: ALL - CELLULAR &amp; TELEPHONE</v>
          </cell>
          <cell r="G284" t="str">
            <v>P211022</v>
          </cell>
          <cell r="H284" t="str">
            <v>P211022</v>
          </cell>
          <cell r="I284" t="str">
            <v>501205</v>
          </cell>
          <cell r="J284">
            <v>50</v>
          </cell>
          <cell r="K284" t="str">
            <v>12</v>
          </cell>
          <cell r="L284" t="str">
            <v>05</v>
          </cell>
          <cell r="M284" t="str">
            <v>2</v>
          </cell>
          <cell r="N284" t="str">
            <v>11</v>
          </cell>
          <cell r="O284" t="str">
            <v>022</v>
          </cell>
          <cell r="P284" t="str">
            <v>0</v>
          </cell>
          <cell r="Q284">
            <v>18</v>
          </cell>
          <cell r="R284" t="str">
            <v>MRC</v>
          </cell>
          <cell r="S284" t="str">
            <v>ZZ</v>
          </cell>
          <cell r="T284">
            <v>11</v>
          </cell>
          <cell r="U284" t="str">
            <v>1205211022018MRCZZ11</v>
          </cell>
          <cell r="V284">
            <v>282</v>
          </cell>
          <cell r="W284" t="str">
            <v>MS: ALL - CELLULAR &amp; TELEPHONE</v>
          </cell>
          <cell r="X284">
            <v>33119</v>
          </cell>
          <cell r="Y284">
            <v>31675</v>
          </cell>
          <cell r="Z284">
            <v>38010</v>
          </cell>
          <cell r="AA284"/>
          <cell r="AB284">
            <v>33119</v>
          </cell>
          <cell r="AC284">
            <v>31440</v>
          </cell>
        </row>
        <row r="285">
          <cell r="F285" t="str">
            <v>MS: HB &amp; INC: HOUSING BENEFITS</v>
          </cell>
          <cell r="G285" t="str">
            <v>P211026</v>
          </cell>
          <cell r="H285" t="str">
            <v>P211026</v>
          </cell>
          <cell r="I285" t="str">
            <v>501205</v>
          </cell>
          <cell r="J285">
            <v>50</v>
          </cell>
          <cell r="K285" t="str">
            <v>12</v>
          </cell>
          <cell r="L285" t="str">
            <v>05</v>
          </cell>
          <cell r="M285" t="str">
            <v>2</v>
          </cell>
          <cell r="N285" t="str">
            <v>11</v>
          </cell>
          <cell r="O285" t="str">
            <v>026</v>
          </cell>
          <cell r="P285" t="str">
            <v>0</v>
          </cell>
          <cell r="Q285">
            <v>18</v>
          </cell>
          <cell r="R285" t="str">
            <v>MRC</v>
          </cell>
          <cell r="S285" t="str">
            <v>ZZ</v>
          </cell>
          <cell r="T285">
            <v>11</v>
          </cell>
          <cell r="U285" t="str">
            <v>1205211026018MRCZZ11</v>
          </cell>
          <cell r="V285">
            <v>283</v>
          </cell>
          <cell r="W285" t="str">
            <v>MS: HB &amp; INC: HOUSING BENEFITS</v>
          </cell>
          <cell r="X285">
            <v>42592</v>
          </cell>
          <cell r="Y285">
            <v>52083.54</v>
          </cell>
          <cell r="Z285">
            <v>62500.248000000007</v>
          </cell>
          <cell r="AA285"/>
          <cell r="AB285">
            <v>42592</v>
          </cell>
          <cell r="AC285">
            <v>109167.09983999998</v>
          </cell>
        </row>
        <row r="286">
          <cell r="F286" t="str">
            <v>MS: ALL - TRAVEL OR MOTOR VEHICLE (SUBS</v>
          </cell>
          <cell r="G286" t="str">
            <v>P211034</v>
          </cell>
          <cell r="H286" t="str">
            <v>P211034</v>
          </cell>
          <cell r="I286" t="str">
            <v>501205</v>
          </cell>
          <cell r="J286">
            <v>50</v>
          </cell>
          <cell r="K286" t="str">
            <v>12</v>
          </cell>
          <cell r="L286" t="str">
            <v>05</v>
          </cell>
          <cell r="M286" t="str">
            <v>2</v>
          </cell>
          <cell r="N286" t="str">
            <v>11</v>
          </cell>
          <cell r="O286" t="str">
            <v>034</v>
          </cell>
          <cell r="P286" t="str">
            <v>1</v>
          </cell>
          <cell r="Q286">
            <v>18</v>
          </cell>
          <cell r="R286" t="str">
            <v>MRC</v>
          </cell>
          <cell r="S286" t="str">
            <v>ZZ</v>
          </cell>
          <cell r="T286">
            <v>11</v>
          </cell>
          <cell r="U286" t="str">
            <v>1205211034118MRCZZ11</v>
          </cell>
          <cell r="V286">
            <v>284</v>
          </cell>
          <cell r="W286" t="str">
            <v>MS: ALL - TRAVEL OR MOTOR VEHICLE (SUBS</v>
          </cell>
          <cell r="X286">
            <v>1328763</v>
          </cell>
          <cell r="Y286">
            <v>1163553.1000000001</v>
          </cell>
          <cell r="Z286">
            <v>1396263.7200000002</v>
          </cell>
          <cell r="AA286"/>
          <cell r="AB286">
            <v>1328763</v>
          </cell>
          <cell r="AC286">
            <v>94072.672000000006</v>
          </cell>
        </row>
        <row r="287">
          <cell r="F287" t="str">
            <v>MS: SRB - ACTING ALLOWANCE</v>
          </cell>
          <cell r="G287" t="str">
            <v>P211044</v>
          </cell>
          <cell r="H287" t="str">
            <v>P211044</v>
          </cell>
          <cell r="I287" t="str">
            <v>501205</v>
          </cell>
          <cell r="J287">
            <v>50</v>
          </cell>
          <cell r="K287" t="str">
            <v>12</v>
          </cell>
          <cell r="L287" t="str">
            <v>05</v>
          </cell>
          <cell r="M287" t="str">
            <v>2</v>
          </cell>
          <cell r="N287" t="str">
            <v>11</v>
          </cell>
          <cell r="O287" t="str">
            <v>044</v>
          </cell>
          <cell r="P287" t="str">
            <v>0</v>
          </cell>
          <cell r="Q287">
            <v>18</v>
          </cell>
          <cell r="R287" t="str">
            <v>MRC</v>
          </cell>
          <cell r="S287" t="str">
            <v>ZZ</v>
          </cell>
          <cell r="T287">
            <v>11</v>
          </cell>
          <cell r="U287" t="str">
            <v>1205211044018MRCZZ11</v>
          </cell>
          <cell r="V287">
            <v>285</v>
          </cell>
          <cell r="W287" t="str">
            <v>MS: SRB - ACTING ALLOWANCE</v>
          </cell>
          <cell r="X287">
            <v>0</v>
          </cell>
          <cell r="Y287">
            <v>220524.05</v>
          </cell>
          <cell r="Z287">
            <v>264628.86</v>
          </cell>
          <cell r="AA287"/>
          <cell r="AB287">
            <v>0</v>
          </cell>
          <cell r="AC287">
            <v>0</v>
          </cell>
        </row>
        <row r="288">
          <cell r="F288" t="str">
            <v>MS: SRB - ANNUAL BONUS</v>
          </cell>
          <cell r="G288" t="str">
            <v>P211046</v>
          </cell>
          <cell r="H288" t="str">
            <v>P211046</v>
          </cell>
          <cell r="I288" t="str">
            <v>501205</v>
          </cell>
          <cell r="J288">
            <v>50</v>
          </cell>
          <cell r="K288" t="str">
            <v>12</v>
          </cell>
          <cell r="L288" t="str">
            <v>05</v>
          </cell>
          <cell r="M288" t="str">
            <v>2</v>
          </cell>
          <cell r="N288" t="str">
            <v>11</v>
          </cell>
          <cell r="O288" t="str">
            <v>046</v>
          </cell>
          <cell r="P288" t="str">
            <v>0</v>
          </cell>
          <cell r="Q288">
            <v>18</v>
          </cell>
          <cell r="R288" t="str">
            <v>MRC</v>
          </cell>
          <cell r="S288" t="str">
            <v>ZZ</v>
          </cell>
          <cell r="T288">
            <v>11</v>
          </cell>
          <cell r="U288" t="str">
            <v>1205211046018MRCZZ11</v>
          </cell>
          <cell r="V288">
            <v>286</v>
          </cell>
          <cell r="W288" t="str">
            <v>MS: SRB - ANNUAL BONUS</v>
          </cell>
          <cell r="X288">
            <v>801688</v>
          </cell>
          <cell r="Y288">
            <v>647227.89</v>
          </cell>
          <cell r="Z288">
            <v>776673.46800000011</v>
          </cell>
          <cell r="AA288"/>
          <cell r="AB288">
            <v>801688</v>
          </cell>
          <cell r="AC288">
            <v>442073.64800000004</v>
          </cell>
        </row>
        <row r="289">
          <cell r="F289" t="str">
            <v>MS: SOC CONTR - BARGAINING COUNCIL</v>
          </cell>
          <cell r="G289" t="str">
            <v>P213001</v>
          </cell>
          <cell r="H289" t="str">
            <v>P213001</v>
          </cell>
          <cell r="I289" t="str">
            <v>501205</v>
          </cell>
          <cell r="J289">
            <v>50</v>
          </cell>
          <cell r="K289" t="str">
            <v>12</v>
          </cell>
          <cell r="L289" t="str">
            <v>05</v>
          </cell>
          <cell r="M289" t="str">
            <v>2</v>
          </cell>
          <cell r="N289" t="str">
            <v>13</v>
          </cell>
          <cell r="O289" t="str">
            <v>001</v>
          </cell>
          <cell r="P289" t="str">
            <v>0</v>
          </cell>
          <cell r="Q289">
            <v>18</v>
          </cell>
          <cell r="R289" t="str">
            <v>MRC</v>
          </cell>
          <cell r="S289" t="str">
            <v>ZZ</v>
          </cell>
          <cell r="T289">
            <v>11</v>
          </cell>
          <cell r="U289" t="str">
            <v>1205213001018MRCZZ11</v>
          </cell>
          <cell r="V289">
            <v>287</v>
          </cell>
          <cell r="W289" t="str">
            <v>MS: SOC CONTR - BARGAINING COUNCIL</v>
          </cell>
          <cell r="X289">
            <v>1954</v>
          </cell>
          <cell r="Y289">
            <v>1617.1</v>
          </cell>
          <cell r="Z289">
            <v>1940.5199999999998</v>
          </cell>
          <cell r="AA289"/>
          <cell r="AB289">
            <v>1954</v>
          </cell>
          <cell r="AC289">
            <v>1165.7952000000002</v>
          </cell>
        </row>
        <row r="290">
          <cell r="F290" t="str">
            <v>MS: SOC CONTR - GROUP LIFE INSURANCE</v>
          </cell>
          <cell r="G290" t="str">
            <v>P213010</v>
          </cell>
          <cell r="H290" t="str">
            <v>P213010</v>
          </cell>
          <cell r="I290" t="str">
            <v>501205</v>
          </cell>
          <cell r="J290">
            <v>50</v>
          </cell>
          <cell r="K290" t="str">
            <v>12</v>
          </cell>
          <cell r="L290" t="str">
            <v>05</v>
          </cell>
          <cell r="M290" t="str">
            <v>2</v>
          </cell>
          <cell r="N290" t="str">
            <v>13</v>
          </cell>
          <cell r="O290" t="str">
            <v>010</v>
          </cell>
          <cell r="P290" t="str">
            <v>0</v>
          </cell>
          <cell r="Q290">
            <v>18</v>
          </cell>
          <cell r="R290" t="str">
            <v>MRC</v>
          </cell>
          <cell r="S290" t="str">
            <v>ZZ</v>
          </cell>
          <cell r="T290">
            <v>11</v>
          </cell>
          <cell r="U290" t="str">
            <v>1205213010018MRCZZ11</v>
          </cell>
          <cell r="V290">
            <v>288</v>
          </cell>
          <cell r="W290" t="str">
            <v>MS: SOC CONTR - GROUP LIFE INSURANCE</v>
          </cell>
          <cell r="X290">
            <v>55055</v>
          </cell>
          <cell r="Y290">
            <v>49012.37</v>
          </cell>
          <cell r="Z290">
            <v>58814.843999999997</v>
          </cell>
          <cell r="AA290"/>
          <cell r="AB290">
            <v>55055</v>
          </cell>
          <cell r="AC290">
            <v>116944.58032000001</v>
          </cell>
        </row>
        <row r="291">
          <cell r="F291" t="str">
            <v>MS: SOC CONTR - MEDICAL</v>
          </cell>
          <cell r="G291" t="str">
            <v>P213020</v>
          </cell>
          <cell r="H291" t="str">
            <v>P213020</v>
          </cell>
          <cell r="I291" t="str">
            <v>501205</v>
          </cell>
          <cell r="J291">
            <v>50</v>
          </cell>
          <cell r="K291" t="str">
            <v>12</v>
          </cell>
          <cell r="L291" t="str">
            <v>05</v>
          </cell>
          <cell r="M291" t="str">
            <v>2</v>
          </cell>
          <cell r="N291" t="str">
            <v>13</v>
          </cell>
          <cell r="O291" t="str">
            <v>020</v>
          </cell>
          <cell r="P291" t="str">
            <v>0</v>
          </cell>
          <cell r="Q291">
            <v>18</v>
          </cell>
          <cell r="R291" t="str">
            <v>MRC</v>
          </cell>
          <cell r="S291" t="str">
            <v>ZZ</v>
          </cell>
          <cell r="T291">
            <v>11</v>
          </cell>
          <cell r="U291" t="str">
            <v>1205213020018MRCZZ11</v>
          </cell>
          <cell r="V291">
            <v>289</v>
          </cell>
          <cell r="W291" t="str">
            <v>MS: SOC CONTR - MEDICAL</v>
          </cell>
          <cell r="X291">
            <v>634738</v>
          </cell>
          <cell r="Y291">
            <v>543704.4</v>
          </cell>
          <cell r="Z291">
            <v>652445.28</v>
          </cell>
          <cell r="AA291"/>
          <cell r="AB291">
            <v>634738</v>
          </cell>
          <cell r="AC291">
            <v>600267.57120000001</v>
          </cell>
        </row>
        <row r="292">
          <cell r="F292" t="str">
            <v>MS: SOC CONTR - PENSION</v>
          </cell>
          <cell r="G292" t="str">
            <v>P213030</v>
          </cell>
          <cell r="H292" t="str">
            <v>P213030</v>
          </cell>
          <cell r="I292" t="str">
            <v>501205</v>
          </cell>
          <cell r="J292">
            <v>50</v>
          </cell>
          <cell r="K292" t="str">
            <v>12</v>
          </cell>
          <cell r="L292" t="str">
            <v>05</v>
          </cell>
          <cell r="M292" t="str">
            <v>2</v>
          </cell>
          <cell r="N292" t="str">
            <v>13</v>
          </cell>
          <cell r="O292" t="str">
            <v>030</v>
          </cell>
          <cell r="P292" t="str">
            <v>0</v>
          </cell>
          <cell r="Q292">
            <v>18</v>
          </cell>
          <cell r="R292" t="str">
            <v>MRC</v>
          </cell>
          <cell r="S292" t="str">
            <v>ZZ</v>
          </cell>
          <cell r="T292">
            <v>11</v>
          </cell>
          <cell r="U292" t="str">
            <v>1205213030018MRCZZ11</v>
          </cell>
          <cell r="V292">
            <v>290</v>
          </cell>
          <cell r="W292" t="str">
            <v>MS: SOC CONTR - PENSION</v>
          </cell>
          <cell r="X292">
            <v>1474251</v>
          </cell>
          <cell r="Y292">
            <v>1226666.53</v>
          </cell>
          <cell r="Z292">
            <v>1471999.8360000001</v>
          </cell>
          <cell r="AA292"/>
          <cell r="AB292">
            <v>1474251</v>
          </cell>
          <cell r="AC292">
            <v>1243052.097872</v>
          </cell>
        </row>
        <row r="293">
          <cell r="F293" t="str">
            <v>MS: SOC CONTR - UNEMPLOYMENT INSUR FUND</v>
          </cell>
          <cell r="G293" t="str">
            <v>P213040</v>
          </cell>
          <cell r="H293" t="str">
            <v>P213040</v>
          </cell>
          <cell r="I293" t="str">
            <v>501205</v>
          </cell>
          <cell r="J293">
            <v>50</v>
          </cell>
          <cell r="K293" t="str">
            <v>12</v>
          </cell>
          <cell r="L293" t="str">
            <v>05</v>
          </cell>
          <cell r="M293" t="str">
            <v>2</v>
          </cell>
          <cell r="N293" t="str">
            <v>13</v>
          </cell>
          <cell r="O293" t="str">
            <v>040</v>
          </cell>
          <cell r="P293" t="str">
            <v>0</v>
          </cell>
          <cell r="Q293">
            <v>18</v>
          </cell>
          <cell r="R293" t="str">
            <v>MRC</v>
          </cell>
          <cell r="S293" t="str">
            <v>ZZ</v>
          </cell>
          <cell r="T293">
            <v>11</v>
          </cell>
          <cell r="U293" t="str">
            <v>1205213040018MRCZZ11</v>
          </cell>
          <cell r="V293">
            <v>291</v>
          </cell>
          <cell r="W293" t="str">
            <v>MS: SOC CONTR - UNEMPLOYMENT INSUR FUND</v>
          </cell>
          <cell r="X293">
            <v>29350</v>
          </cell>
          <cell r="Y293">
            <v>27807.84</v>
          </cell>
          <cell r="Z293">
            <v>33369.408000000003</v>
          </cell>
          <cell r="AA293"/>
          <cell r="AB293">
            <v>29350</v>
          </cell>
          <cell r="AC293">
            <v>22274.611199999999</v>
          </cell>
        </row>
        <row r="294">
          <cell r="F294" t="str">
            <v>OS: CATERING SERVICES(REFRESHMENTS)</v>
          </cell>
          <cell r="G294" t="str">
            <v>P226060</v>
          </cell>
          <cell r="H294" t="str">
            <v>P226060</v>
          </cell>
          <cell r="I294"/>
          <cell r="J294"/>
          <cell r="K294" t="str">
            <v>12</v>
          </cell>
          <cell r="L294" t="str">
            <v>05</v>
          </cell>
          <cell r="M294" t="str">
            <v>2</v>
          </cell>
          <cell r="N294" t="str">
            <v>26</v>
          </cell>
          <cell r="O294" t="str">
            <v>060</v>
          </cell>
          <cell r="P294" t="str">
            <v>H</v>
          </cell>
          <cell r="Q294">
            <v>18</v>
          </cell>
          <cell r="R294" t="str">
            <v>MRC</v>
          </cell>
          <cell r="S294" t="str">
            <v>ZZ</v>
          </cell>
          <cell r="T294">
            <v>11</v>
          </cell>
          <cell r="U294" t="str">
            <v>1205226060H18MRCZZ11</v>
          </cell>
          <cell r="V294">
            <v>292</v>
          </cell>
          <cell r="W294" t="str">
            <v>OS: CATERING SERVICES(REFRESHMENTS)</v>
          </cell>
          <cell r="X294">
            <v>0</v>
          </cell>
          <cell r="Y294">
            <v>0</v>
          </cell>
          <cell r="Z294">
            <v>0</v>
          </cell>
          <cell r="AA294"/>
          <cell r="AB294">
            <v>0</v>
          </cell>
          <cell r="AC294">
            <v>0</v>
          </cell>
        </row>
        <row r="295">
          <cell r="F295" t="str">
            <v>OC: MUNICIPAL SERVICES</v>
          </cell>
          <cell r="G295" t="str">
            <v>P230452</v>
          </cell>
          <cell r="H295" t="str">
            <v>P230361</v>
          </cell>
          <cell r="I295"/>
          <cell r="J295"/>
          <cell r="K295" t="str">
            <v>12</v>
          </cell>
          <cell r="L295" t="str">
            <v>05</v>
          </cell>
          <cell r="M295" t="str">
            <v>2</v>
          </cell>
          <cell r="N295" t="str">
            <v>30</v>
          </cell>
          <cell r="O295" t="str">
            <v>361</v>
          </cell>
          <cell r="P295" t="str">
            <v>0</v>
          </cell>
          <cell r="Q295">
            <v>18</v>
          </cell>
          <cell r="R295" t="str">
            <v>MRC</v>
          </cell>
          <cell r="S295" t="str">
            <v>ZZ</v>
          </cell>
          <cell r="T295">
            <v>11</v>
          </cell>
          <cell r="U295" t="str">
            <v>1205230361018MRCZZ11</v>
          </cell>
          <cell r="V295">
            <v>293</v>
          </cell>
          <cell r="W295" t="str">
            <v>OC: MUNICIPAL SERVICES</v>
          </cell>
          <cell r="X295">
            <v>0</v>
          </cell>
          <cell r="Y295">
            <v>0</v>
          </cell>
          <cell r="Z295">
            <v>0</v>
          </cell>
          <cell r="AA295"/>
          <cell r="AB295">
            <v>0</v>
          </cell>
          <cell r="AC295">
            <v>0</v>
          </cell>
        </row>
        <row r="296">
          <cell r="F296" t="str">
            <v>OC: SKILLS DEVELOPMENT FUND LEVY</v>
          </cell>
          <cell r="G296" t="str">
            <v>P230452</v>
          </cell>
          <cell r="H296" t="str">
            <v>P230541</v>
          </cell>
          <cell r="I296"/>
          <cell r="J296"/>
          <cell r="K296" t="str">
            <v>12</v>
          </cell>
          <cell r="L296" t="str">
            <v>05</v>
          </cell>
          <cell r="M296" t="str">
            <v>2</v>
          </cell>
          <cell r="N296" t="str">
            <v>30</v>
          </cell>
          <cell r="O296" t="str">
            <v>541</v>
          </cell>
          <cell r="P296" t="str">
            <v>0</v>
          </cell>
          <cell r="Q296">
            <v>18</v>
          </cell>
          <cell r="R296" t="str">
            <v>MRC</v>
          </cell>
          <cell r="S296" t="str">
            <v>ZZ</v>
          </cell>
          <cell r="T296">
            <v>11</v>
          </cell>
          <cell r="U296" t="str">
            <v>1205230541018MRCZZ11</v>
          </cell>
          <cell r="V296">
            <v>294</v>
          </cell>
          <cell r="W296" t="str">
            <v>OC: SKILLS DEVELOPMENT FUND LEVY</v>
          </cell>
          <cell r="X296">
            <v>0</v>
          </cell>
          <cell r="Y296">
            <v>0</v>
          </cell>
          <cell r="Z296">
            <v>0</v>
          </cell>
          <cell r="AA296"/>
          <cell r="AB296">
            <v>0</v>
          </cell>
          <cell r="AC296">
            <v>0</v>
          </cell>
        </row>
        <row r="297">
          <cell r="F297" t="str">
            <v>OC: INTERCOMPANY/PARENT-SUBSIDIARY TRANS</v>
          </cell>
          <cell r="G297" t="str">
            <v>P230452</v>
          </cell>
          <cell r="H297" t="str">
            <v>P230701</v>
          </cell>
          <cell r="I297"/>
          <cell r="J297"/>
          <cell r="K297" t="str">
            <v>12</v>
          </cell>
          <cell r="L297" t="str">
            <v>05</v>
          </cell>
          <cell r="M297" t="str">
            <v>2</v>
          </cell>
          <cell r="N297" t="str">
            <v>30</v>
          </cell>
          <cell r="O297" t="str">
            <v>701</v>
          </cell>
          <cell r="P297" t="str">
            <v>0</v>
          </cell>
          <cell r="Q297">
            <v>18</v>
          </cell>
          <cell r="R297" t="str">
            <v>MRC</v>
          </cell>
          <cell r="S297" t="str">
            <v>ZZ</v>
          </cell>
          <cell r="T297">
            <v>11</v>
          </cell>
          <cell r="U297" t="str">
            <v>1205230701018MRCZZ11</v>
          </cell>
          <cell r="V297">
            <v>295</v>
          </cell>
          <cell r="W297" t="str">
            <v>OC: INTERCOMPANY/PARENT-SUBSIDIARY TRANS</v>
          </cell>
          <cell r="X297">
            <v>0</v>
          </cell>
          <cell r="Y297">
            <v>0</v>
          </cell>
          <cell r="Z297">
            <v>0</v>
          </cell>
          <cell r="AA297"/>
          <cell r="AB297">
            <v>0</v>
          </cell>
          <cell r="AC297">
            <v>0</v>
          </cell>
        </row>
        <row r="298">
          <cell r="F298" t="str">
            <v>INVENTORY - MATERIALS &amp; SUPPLIES(PRINT&amp;</v>
          </cell>
          <cell r="G298" t="str">
            <v>P232360</v>
          </cell>
          <cell r="H298" t="str">
            <v>P232360</v>
          </cell>
          <cell r="I298"/>
          <cell r="J298"/>
          <cell r="K298" t="str">
            <v>12</v>
          </cell>
          <cell r="L298" t="str">
            <v>05</v>
          </cell>
          <cell r="M298" t="str">
            <v>2</v>
          </cell>
          <cell r="N298" t="str">
            <v>32</v>
          </cell>
          <cell r="O298" t="str">
            <v>360</v>
          </cell>
          <cell r="P298" t="str">
            <v>D</v>
          </cell>
          <cell r="Q298">
            <v>18</v>
          </cell>
          <cell r="R298" t="str">
            <v>MRC</v>
          </cell>
          <cell r="S298" t="str">
            <v>ZZ</v>
          </cell>
          <cell r="T298">
            <v>11</v>
          </cell>
          <cell r="U298" t="str">
            <v>1205232360D18MRCZZ11</v>
          </cell>
          <cell r="V298">
            <v>296</v>
          </cell>
          <cell r="W298" t="str">
            <v>INVENTORY - MATERIALS &amp; SUPPLIES(PRINT&amp;</v>
          </cell>
          <cell r="X298">
            <v>617</v>
          </cell>
          <cell r="Y298">
            <v>293.10000000000002</v>
          </cell>
          <cell r="Z298">
            <v>351.72</v>
          </cell>
          <cell r="AA298"/>
          <cell r="AB298">
            <v>617</v>
          </cell>
          <cell r="AC298">
            <v>0</v>
          </cell>
        </row>
        <row r="299">
          <cell r="F299" t="str">
            <v>DIVIDENDS PAID</v>
          </cell>
          <cell r="G299" t="str">
            <v>P236090</v>
          </cell>
          <cell r="H299" t="str">
            <v>P236090</v>
          </cell>
          <cell r="I299"/>
          <cell r="J299"/>
          <cell r="K299" t="str">
            <v>12</v>
          </cell>
          <cell r="L299" t="str">
            <v>05</v>
          </cell>
          <cell r="M299" t="str">
            <v>2</v>
          </cell>
          <cell r="N299" t="str">
            <v>36</v>
          </cell>
          <cell r="O299" t="str">
            <v>090</v>
          </cell>
          <cell r="P299" t="str">
            <v>0</v>
          </cell>
          <cell r="Q299">
            <v>18</v>
          </cell>
          <cell r="R299" t="str">
            <v>MRC</v>
          </cell>
          <cell r="S299" t="str">
            <v>ZZ</v>
          </cell>
          <cell r="T299">
            <v>11</v>
          </cell>
          <cell r="U299" t="str">
            <v>1205236090018MRCZZ11</v>
          </cell>
          <cell r="V299">
            <v>297</v>
          </cell>
          <cell r="W299" t="str">
            <v>DIVIDENDS PAID</v>
          </cell>
          <cell r="X299">
            <v>120000000</v>
          </cell>
          <cell r="Y299">
            <v>0</v>
          </cell>
          <cell r="Z299">
            <v>0</v>
          </cell>
          <cell r="AA299"/>
          <cell r="AB299">
            <v>120000000</v>
          </cell>
          <cell r="AC299">
            <v>120000000</v>
          </cell>
        </row>
        <row r="300">
          <cell r="F300" t="str">
            <v>MS: SAL &amp; ALL: BASIC SALARY &amp; WAGES</v>
          </cell>
          <cell r="G300" t="str">
            <v>P211001</v>
          </cell>
          <cell r="H300" t="str">
            <v>P211001</v>
          </cell>
          <cell r="I300" t="str">
            <v>501206</v>
          </cell>
          <cell r="J300">
            <v>50</v>
          </cell>
          <cell r="K300" t="str">
            <v>12</v>
          </cell>
          <cell r="L300" t="str">
            <v>06</v>
          </cell>
          <cell r="M300" t="str">
            <v>2</v>
          </cell>
          <cell r="N300" t="str">
            <v>11</v>
          </cell>
          <cell r="O300" t="str">
            <v>001</v>
          </cell>
          <cell r="P300" t="str">
            <v>0</v>
          </cell>
          <cell r="Q300">
            <v>18</v>
          </cell>
          <cell r="R300" t="str">
            <v>MRC</v>
          </cell>
          <cell r="S300" t="str">
            <v>ZZ</v>
          </cell>
          <cell r="T300">
            <v>11</v>
          </cell>
          <cell r="U300" t="str">
            <v>1206211001018MRCZZ11</v>
          </cell>
          <cell r="V300">
            <v>298</v>
          </cell>
          <cell r="W300" t="str">
            <v>MS: SAL &amp; ALL: BASIC SALARY &amp; WAGES</v>
          </cell>
          <cell r="X300">
            <v>8705819</v>
          </cell>
          <cell r="Y300">
            <v>7154604.6299999999</v>
          </cell>
          <cell r="Z300">
            <v>8585525.5559999999</v>
          </cell>
          <cell r="AA300"/>
          <cell r="AB300">
            <v>8705819</v>
          </cell>
          <cell r="AC300">
            <v>7650320.352</v>
          </cell>
        </row>
        <row r="301">
          <cell r="F301" t="str">
            <v>MS: ALL - CELLULAR &amp; TELEPHONE</v>
          </cell>
          <cell r="G301" t="str">
            <v>P211022</v>
          </cell>
          <cell r="H301" t="str">
            <v>P211022</v>
          </cell>
          <cell r="I301" t="str">
            <v>501206</v>
          </cell>
          <cell r="J301">
            <v>50</v>
          </cell>
          <cell r="K301" t="str">
            <v>12</v>
          </cell>
          <cell r="L301" t="str">
            <v>06</v>
          </cell>
          <cell r="M301" t="str">
            <v>2</v>
          </cell>
          <cell r="N301" t="str">
            <v>11</v>
          </cell>
          <cell r="O301" t="str">
            <v>022</v>
          </cell>
          <cell r="P301" t="str">
            <v>0</v>
          </cell>
          <cell r="Q301">
            <v>18</v>
          </cell>
          <cell r="R301" t="str">
            <v>MRC</v>
          </cell>
          <cell r="S301" t="str">
            <v>ZZ</v>
          </cell>
          <cell r="T301">
            <v>11</v>
          </cell>
          <cell r="U301" t="str">
            <v>1206211022018MRCZZ11</v>
          </cell>
          <cell r="V301">
            <v>299</v>
          </cell>
          <cell r="W301" t="str">
            <v>MS: ALL - CELLULAR &amp; TELEPHONE</v>
          </cell>
          <cell r="X301">
            <v>12336</v>
          </cell>
          <cell r="Y301">
            <v>9000</v>
          </cell>
          <cell r="Z301">
            <v>10800</v>
          </cell>
          <cell r="AA301"/>
          <cell r="AB301">
            <v>12336</v>
          </cell>
          <cell r="AC301">
            <v>9432</v>
          </cell>
        </row>
        <row r="302">
          <cell r="F302" t="str">
            <v>MS: HB &amp; INC: HOUSING BENEFITS</v>
          </cell>
          <cell r="G302" t="str">
            <v>P211026</v>
          </cell>
          <cell r="H302" t="str">
            <v>P211026</v>
          </cell>
          <cell r="I302" t="str">
            <v>501206</v>
          </cell>
          <cell r="J302">
            <v>50</v>
          </cell>
          <cell r="K302" t="str">
            <v>12</v>
          </cell>
          <cell r="L302" t="str">
            <v>06</v>
          </cell>
          <cell r="M302" t="str">
            <v>2</v>
          </cell>
          <cell r="N302" t="str">
            <v>11</v>
          </cell>
          <cell r="O302" t="str">
            <v>026</v>
          </cell>
          <cell r="P302" t="str">
            <v>0</v>
          </cell>
          <cell r="Q302">
            <v>18</v>
          </cell>
          <cell r="R302" t="str">
            <v>MRC</v>
          </cell>
          <cell r="S302" t="str">
            <v>ZZ</v>
          </cell>
          <cell r="T302">
            <v>11</v>
          </cell>
          <cell r="U302" t="str">
            <v>1206211026018MRCZZ11</v>
          </cell>
          <cell r="V302">
            <v>300</v>
          </cell>
          <cell r="W302" t="str">
            <v>MS: HB &amp; INC: HOUSING BENEFITS</v>
          </cell>
          <cell r="X302">
            <v>35695</v>
          </cell>
          <cell r="Y302">
            <v>51119.03</v>
          </cell>
          <cell r="Z302">
            <v>61342.836000000003</v>
          </cell>
          <cell r="AA302"/>
          <cell r="AB302">
            <v>35695</v>
          </cell>
          <cell r="AC302">
            <v>218334.19967999996</v>
          </cell>
        </row>
        <row r="303">
          <cell r="F303" t="str">
            <v>MS: ALL - LEAVE PAY</v>
          </cell>
          <cell r="G303" t="str">
            <v>P211032</v>
          </cell>
          <cell r="H303" t="str">
            <v>P211032</v>
          </cell>
          <cell r="I303" t="str">
            <v>501206</v>
          </cell>
          <cell r="J303">
            <v>50</v>
          </cell>
          <cell r="K303" t="str">
            <v>12</v>
          </cell>
          <cell r="L303" t="str">
            <v>06</v>
          </cell>
          <cell r="M303" t="str">
            <v>2</v>
          </cell>
          <cell r="N303" t="str">
            <v>11</v>
          </cell>
          <cell r="O303" t="str">
            <v>032</v>
          </cell>
          <cell r="P303" t="str">
            <v>0</v>
          </cell>
          <cell r="Q303">
            <v>18</v>
          </cell>
          <cell r="R303" t="str">
            <v>MRC</v>
          </cell>
          <cell r="S303" t="str">
            <v>ZZ</v>
          </cell>
          <cell r="T303">
            <v>11</v>
          </cell>
          <cell r="U303" t="str">
            <v>1206211032018MRCZZ11</v>
          </cell>
          <cell r="V303">
            <v>301</v>
          </cell>
          <cell r="W303" t="str">
            <v>MS: ALL - LEAVE PAY</v>
          </cell>
          <cell r="X303">
            <v>0</v>
          </cell>
          <cell r="Y303">
            <v>0</v>
          </cell>
          <cell r="Z303">
            <v>0</v>
          </cell>
          <cell r="AA303"/>
          <cell r="AB303">
            <v>0</v>
          </cell>
          <cell r="AC303">
            <v>1438446.85</v>
          </cell>
        </row>
        <row r="304">
          <cell r="F304" t="str">
            <v>MS: ALL - TRAVEL OR MOTOR VEHICLE (SUBS</v>
          </cell>
          <cell r="G304" t="str">
            <v>P211034</v>
          </cell>
          <cell r="H304" t="str">
            <v>P211034</v>
          </cell>
          <cell r="I304" t="str">
            <v>501206</v>
          </cell>
          <cell r="J304">
            <v>50</v>
          </cell>
          <cell r="K304" t="str">
            <v>12</v>
          </cell>
          <cell r="L304" t="str">
            <v>06</v>
          </cell>
          <cell r="M304" t="str">
            <v>2</v>
          </cell>
          <cell r="N304" t="str">
            <v>11</v>
          </cell>
          <cell r="O304" t="str">
            <v>034</v>
          </cell>
          <cell r="P304" t="str">
            <v>1</v>
          </cell>
          <cell r="Q304">
            <v>18</v>
          </cell>
          <cell r="R304" t="str">
            <v>MRC</v>
          </cell>
          <cell r="S304" t="str">
            <v>ZZ</v>
          </cell>
          <cell r="T304">
            <v>11</v>
          </cell>
          <cell r="U304" t="str">
            <v>1206211034118MRCZZ11</v>
          </cell>
          <cell r="V304">
            <v>302</v>
          </cell>
          <cell r="W304" t="str">
            <v>MS: ALL - TRAVEL OR MOTOR VEHICLE (SUBS</v>
          </cell>
          <cell r="X304">
            <v>645963</v>
          </cell>
          <cell r="Y304">
            <v>522108.12</v>
          </cell>
          <cell r="Z304">
            <v>626529.74399999995</v>
          </cell>
          <cell r="AA304"/>
          <cell r="AB304">
            <v>645963</v>
          </cell>
          <cell r="AC304">
            <v>46141.344000000005</v>
          </cell>
        </row>
        <row r="305">
          <cell r="F305" t="str">
            <v>MS: OVERTIME - STRUCTURED</v>
          </cell>
          <cell r="G305" t="str">
            <v>P211038</v>
          </cell>
          <cell r="H305" t="str">
            <v>P211038</v>
          </cell>
          <cell r="I305" t="str">
            <v>501206</v>
          </cell>
          <cell r="J305">
            <v>50</v>
          </cell>
          <cell r="K305" t="str">
            <v>12</v>
          </cell>
          <cell r="L305" t="str">
            <v>06</v>
          </cell>
          <cell r="M305" t="str">
            <v>2</v>
          </cell>
          <cell r="N305" t="str">
            <v>11</v>
          </cell>
          <cell r="O305" t="str">
            <v>038</v>
          </cell>
          <cell r="P305" t="str">
            <v>0</v>
          </cell>
          <cell r="Q305">
            <v>18</v>
          </cell>
          <cell r="R305" t="str">
            <v>MRC</v>
          </cell>
          <cell r="S305" t="str">
            <v>ZZ</v>
          </cell>
          <cell r="T305">
            <v>11</v>
          </cell>
          <cell r="U305" t="str">
            <v>1206211038018MRCZZ11</v>
          </cell>
          <cell r="V305">
            <v>303</v>
          </cell>
          <cell r="W305" t="str">
            <v>MS: OVERTIME - STRUCTURED</v>
          </cell>
          <cell r="X305">
            <v>439639</v>
          </cell>
          <cell r="Y305">
            <v>544558.48</v>
          </cell>
          <cell r="Z305">
            <v>653470.17599999998</v>
          </cell>
          <cell r="AA305"/>
          <cell r="AB305">
            <v>439639</v>
          </cell>
          <cell r="AC305">
            <v>395675.10000000003</v>
          </cell>
        </row>
        <row r="306">
          <cell r="F306" t="str">
            <v>MS: PAYMENTS - SHIFT ADD REMUNERATION</v>
          </cell>
          <cell r="G306" t="str">
            <v>P211040</v>
          </cell>
          <cell r="H306" t="str">
            <v>P211040</v>
          </cell>
          <cell r="I306" t="str">
            <v>501206</v>
          </cell>
          <cell r="J306">
            <v>50</v>
          </cell>
          <cell r="K306" t="str">
            <v>12</v>
          </cell>
          <cell r="L306" t="str">
            <v>06</v>
          </cell>
          <cell r="M306" t="str">
            <v>2</v>
          </cell>
          <cell r="N306" t="str">
            <v>11</v>
          </cell>
          <cell r="O306" t="str">
            <v>040</v>
          </cell>
          <cell r="P306" t="str">
            <v>0</v>
          </cell>
          <cell r="Q306">
            <v>18</v>
          </cell>
          <cell r="R306" t="str">
            <v>MRC</v>
          </cell>
          <cell r="S306" t="str">
            <v>ZZ</v>
          </cell>
          <cell r="T306">
            <v>11</v>
          </cell>
          <cell r="U306" t="str">
            <v>1206211040018MRCZZ11</v>
          </cell>
          <cell r="V306">
            <v>304</v>
          </cell>
          <cell r="W306" t="str">
            <v>MS: PAYMENTS - SHIFT ADD REMUNERATION</v>
          </cell>
          <cell r="X306">
            <v>61001</v>
          </cell>
          <cell r="Y306">
            <v>0</v>
          </cell>
          <cell r="Z306">
            <v>0</v>
          </cell>
          <cell r="AA306"/>
          <cell r="AB306">
            <v>61001</v>
          </cell>
          <cell r="AC306">
            <v>45750.75</v>
          </cell>
        </row>
        <row r="307">
          <cell r="F307" t="str">
            <v>MS: OVERTIME - NIGHT SHIFT</v>
          </cell>
          <cell r="G307" t="str">
            <v>P211042</v>
          </cell>
          <cell r="H307" t="str">
            <v>P211042</v>
          </cell>
          <cell r="I307" t="str">
            <v>501206</v>
          </cell>
          <cell r="J307">
            <v>50</v>
          </cell>
          <cell r="K307" t="str">
            <v>12</v>
          </cell>
          <cell r="L307" t="str">
            <v>06</v>
          </cell>
          <cell r="M307" t="str">
            <v>2</v>
          </cell>
          <cell r="N307" t="str">
            <v>11</v>
          </cell>
          <cell r="O307" t="str">
            <v>042</v>
          </cell>
          <cell r="P307" t="str">
            <v>0</v>
          </cell>
          <cell r="Q307">
            <v>18</v>
          </cell>
          <cell r="R307" t="str">
            <v>MRC</v>
          </cell>
          <cell r="S307" t="str">
            <v>ZZ</v>
          </cell>
          <cell r="T307">
            <v>11</v>
          </cell>
          <cell r="U307" t="str">
            <v>1206211042018MRCZZ11</v>
          </cell>
          <cell r="V307">
            <v>305</v>
          </cell>
          <cell r="W307" t="str">
            <v>MS: OVERTIME - NIGHT SHIFT</v>
          </cell>
          <cell r="X307">
            <v>27105</v>
          </cell>
          <cell r="Y307">
            <v>29708.99</v>
          </cell>
          <cell r="Z307">
            <v>35650.788</v>
          </cell>
          <cell r="AA307"/>
          <cell r="AB307">
            <v>27105</v>
          </cell>
          <cell r="AC307">
            <v>24394.5</v>
          </cell>
        </row>
        <row r="308">
          <cell r="F308" t="str">
            <v>MS: SRB - ACTING ALLOWANCE</v>
          </cell>
          <cell r="G308" t="str">
            <v>P211044</v>
          </cell>
          <cell r="H308" t="str">
            <v>P211044</v>
          </cell>
          <cell r="I308" t="str">
            <v>501206</v>
          </cell>
          <cell r="J308">
            <v>50</v>
          </cell>
          <cell r="K308" t="str">
            <v>12</v>
          </cell>
          <cell r="L308" t="str">
            <v>06</v>
          </cell>
          <cell r="M308" t="str">
            <v>2</v>
          </cell>
          <cell r="N308" t="str">
            <v>11</v>
          </cell>
          <cell r="O308" t="str">
            <v>044</v>
          </cell>
          <cell r="P308" t="str">
            <v>0</v>
          </cell>
          <cell r="Q308">
            <v>18</v>
          </cell>
          <cell r="R308" t="str">
            <v>MRC</v>
          </cell>
          <cell r="S308" t="str">
            <v>ZZ</v>
          </cell>
          <cell r="T308">
            <v>11</v>
          </cell>
          <cell r="U308" t="str">
            <v>1206211044018MRCZZ11</v>
          </cell>
          <cell r="V308">
            <v>306</v>
          </cell>
          <cell r="W308" t="str">
            <v>MS: SRB - ACTING ALLOWANCE</v>
          </cell>
          <cell r="X308">
            <v>0</v>
          </cell>
          <cell r="Y308">
            <v>84376.4</v>
          </cell>
          <cell r="Z308">
            <v>101251.68</v>
          </cell>
          <cell r="AA308"/>
          <cell r="AB308">
            <v>0</v>
          </cell>
          <cell r="AC308">
            <v>0</v>
          </cell>
        </row>
        <row r="309">
          <cell r="F309" t="str">
            <v>MS: SRB - ANNUAL BONUS</v>
          </cell>
          <cell r="G309" t="str">
            <v>P211046</v>
          </cell>
          <cell r="H309" t="str">
            <v>P211046</v>
          </cell>
          <cell r="I309" t="str">
            <v>501206</v>
          </cell>
          <cell r="J309">
            <v>50</v>
          </cell>
          <cell r="K309" t="str">
            <v>12</v>
          </cell>
          <cell r="L309" t="str">
            <v>06</v>
          </cell>
          <cell r="M309" t="str">
            <v>2</v>
          </cell>
          <cell r="N309" t="str">
            <v>11</v>
          </cell>
          <cell r="O309" t="str">
            <v>046</v>
          </cell>
          <cell r="P309" t="str">
            <v>0</v>
          </cell>
          <cell r="Q309">
            <v>18</v>
          </cell>
          <cell r="R309" t="str">
            <v>MRC</v>
          </cell>
          <cell r="S309" t="str">
            <v>ZZ</v>
          </cell>
          <cell r="T309">
            <v>11</v>
          </cell>
          <cell r="U309" t="str">
            <v>1206211046018MRCZZ11</v>
          </cell>
          <cell r="V309">
            <v>307</v>
          </cell>
          <cell r="W309" t="str">
            <v>MS: SRB - ANNUAL BONUS</v>
          </cell>
          <cell r="X309">
            <v>544901</v>
          </cell>
          <cell r="Y309">
            <v>352973.84</v>
          </cell>
          <cell r="Z309">
            <v>423568.60800000007</v>
          </cell>
          <cell r="AA309"/>
          <cell r="AB309">
            <v>544901</v>
          </cell>
          <cell r="AC309">
            <v>637526.696</v>
          </cell>
        </row>
        <row r="310">
          <cell r="F310" t="str">
            <v>MS: SRB - LONG SERVICE AWARD</v>
          </cell>
          <cell r="G310" t="str">
            <v>P211050</v>
          </cell>
          <cell r="H310" t="str">
            <v>P211050</v>
          </cell>
          <cell r="I310" t="str">
            <v>501206</v>
          </cell>
          <cell r="J310">
            <v>50</v>
          </cell>
          <cell r="K310" t="str">
            <v>12</v>
          </cell>
          <cell r="L310" t="str">
            <v>06</v>
          </cell>
          <cell r="M310" t="str">
            <v>2</v>
          </cell>
          <cell r="N310" t="str">
            <v>11</v>
          </cell>
          <cell r="O310" t="str">
            <v>050</v>
          </cell>
          <cell r="P310" t="str">
            <v>0</v>
          </cell>
          <cell r="Q310">
            <v>18</v>
          </cell>
          <cell r="R310" t="str">
            <v>MRC</v>
          </cell>
          <cell r="S310" t="str">
            <v>ZZ</v>
          </cell>
          <cell r="T310">
            <v>11</v>
          </cell>
          <cell r="U310" t="str">
            <v>1206211050018MRCZZ11</v>
          </cell>
          <cell r="V310">
            <v>308</v>
          </cell>
          <cell r="W310" t="str">
            <v>MS: SRB - LONG SERVICE AWARD</v>
          </cell>
          <cell r="X310">
            <v>0</v>
          </cell>
          <cell r="Y310">
            <v>0</v>
          </cell>
          <cell r="Z310">
            <v>0</v>
          </cell>
          <cell r="AA310"/>
          <cell r="AB310">
            <v>0</v>
          </cell>
          <cell r="AC310">
            <v>0</v>
          </cell>
        </row>
        <row r="311">
          <cell r="F311" t="str">
            <v>MS: SRB - STANDBY ALLOWANCE</v>
          </cell>
          <cell r="G311" t="str">
            <v>P211056</v>
          </cell>
          <cell r="H311" t="str">
            <v>P211056</v>
          </cell>
          <cell r="I311" t="str">
            <v>501206</v>
          </cell>
          <cell r="J311">
            <v>50</v>
          </cell>
          <cell r="K311" t="str">
            <v>12</v>
          </cell>
          <cell r="L311" t="str">
            <v>06</v>
          </cell>
          <cell r="M311" t="str">
            <v>2</v>
          </cell>
          <cell r="N311" t="str">
            <v>11</v>
          </cell>
          <cell r="O311" t="str">
            <v>056</v>
          </cell>
          <cell r="P311" t="str">
            <v>0</v>
          </cell>
          <cell r="Q311">
            <v>18</v>
          </cell>
          <cell r="R311" t="str">
            <v>MRC</v>
          </cell>
          <cell r="S311" t="str">
            <v>ZZ</v>
          </cell>
          <cell r="T311">
            <v>11</v>
          </cell>
          <cell r="U311" t="str">
            <v>1206211056018MRCZZ11</v>
          </cell>
          <cell r="V311">
            <v>309</v>
          </cell>
          <cell r="W311" t="str">
            <v>MS: SRB - STANDBY ALLOWANCE</v>
          </cell>
          <cell r="X311">
            <v>303098</v>
          </cell>
          <cell r="Y311">
            <v>322584.73</v>
          </cell>
          <cell r="Z311">
            <v>387101.67599999998</v>
          </cell>
          <cell r="AA311"/>
          <cell r="AB311">
            <v>303098</v>
          </cell>
          <cell r="AC311">
            <v>272788.2</v>
          </cell>
        </row>
        <row r="312">
          <cell r="F312" t="str">
            <v>MS: SOC CONTR - BARGAINING COUNCIL</v>
          </cell>
          <cell r="G312" t="str">
            <v>P213001</v>
          </cell>
          <cell r="H312" t="str">
            <v>P213001</v>
          </cell>
          <cell r="I312" t="str">
            <v>501206</v>
          </cell>
          <cell r="J312">
            <v>50</v>
          </cell>
          <cell r="K312" t="str">
            <v>12</v>
          </cell>
          <cell r="L312" t="str">
            <v>06</v>
          </cell>
          <cell r="M312" t="str">
            <v>2</v>
          </cell>
          <cell r="N312" t="str">
            <v>13</v>
          </cell>
          <cell r="O312" t="str">
            <v>001</v>
          </cell>
          <cell r="P312" t="str">
            <v>0</v>
          </cell>
          <cell r="Q312">
            <v>18</v>
          </cell>
          <cell r="R312" t="str">
            <v>MRC</v>
          </cell>
          <cell r="S312" t="str">
            <v>ZZ</v>
          </cell>
          <cell r="T312">
            <v>11</v>
          </cell>
          <cell r="U312" t="str">
            <v>1206213001018MRCZZ11</v>
          </cell>
          <cell r="V312">
            <v>310</v>
          </cell>
          <cell r="W312" t="str">
            <v>MS: SOC CONTR - BARGAINING COUNCIL</v>
          </cell>
          <cell r="X312">
            <v>2483</v>
          </cell>
          <cell r="Y312">
            <v>2101.1999999999998</v>
          </cell>
          <cell r="Z312">
            <v>2521.4399999999996</v>
          </cell>
          <cell r="AA312"/>
          <cell r="AB312">
            <v>2483</v>
          </cell>
          <cell r="AC312">
            <v>2331.5903999999991</v>
          </cell>
        </row>
        <row r="313">
          <cell r="F313" t="str">
            <v>MS: SOC CONTR - GROUP LIFE INSURANCE</v>
          </cell>
          <cell r="G313" t="str">
            <v>P213010</v>
          </cell>
          <cell r="H313" t="str">
            <v>P213010</v>
          </cell>
          <cell r="I313" t="str">
            <v>501206</v>
          </cell>
          <cell r="J313">
            <v>50</v>
          </cell>
          <cell r="K313" t="str">
            <v>12</v>
          </cell>
          <cell r="L313" t="str">
            <v>06</v>
          </cell>
          <cell r="M313" t="str">
            <v>2</v>
          </cell>
          <cell r="N313" t="str">
            <v>13</v>
          </cell>
          <cell r="O313" t="str">
            <v>010</v>
          </cell>
          <cell r="P313" t="str">
            <v>0</v>
          </cell>
          <cell r="Q313">
            <v>18</v>
          </cell>
          <cell r="R313" t="str">
            <v>MRC</v>
          </cell>
          <cell r="S313" t="str">
            <v>ZZ</v>
          </cell>
          <cell r="T313">
            <v>11</v>
          </cell>
          <cell r="U313" t="str">
            <v>1206213010018MRCZZ11</v>
          </cell>
          <cell r="V313">
            <v>311</v>
          </cell>
          <cell r="W313" t="str">
            <v>MS: SOC CONTR - GROUP LIFE INSURANCE</v>
          </cell>
          <cell r="X313">
            <v>78636</v>
          </cell>
          <cell r="Y313">
            <v>61186.2</v>
          </cell>
          <cell r="Z313">
            <v>73423.44</v>
          </cell>
          <cell r="AA313"/>
          <cell r="AB313">
            <v>78636</v>
          </cell>
          <cell r="AC313">
            <v>130055.44598400002</v>
          </cell>
        </row>
        <row r="314">
          <cell r="F314" t="str">
            <v>MS: SOC CONTR - MEDICAL</v>
          </cell>
          <cell r="G314" t="str">
            <v>P213020</v>
          </cell>
          <cell r="H314" t="str">
            <v>P213020</v>
          </cell>
          <cell r="I314" t="str">
            <v>501206</v>
          </cell>
          <cell r="J314">
            <v>50</v>
          </cell>
          <cell r="K314" t="str">
            <v>12</v>
          </cell>
          <cell r="L314" t="str">
            <v>06</v>
          </cell>
          <cell r="M314" t="str">
            <v>2</v>
          </cell>
          <cell r="N314" t="str">
            <v>13</v>
          </cell>
          <cell r="O314" t="str">
            <v>020</v>
          </cell>
          <cell r="P314" t="str">
            <v>0</v>
          </cell>
          <cell r="Q314">
            <v>18</v>
          </cell>
          <cell r="R314" t="str">
            <v>MRC</v>
          </cell>
          <cell r="S314" t="str">
            <v>ZZ</v>
          </cell>
          <cell r="T314">
            <v>11</v>
          </cell>
          <cell r="U314" t="str">
            <v>1206213020018MRCZZ11</v>
          </cell>
          <cell r="V314">
            <v>312</v>
          </cell>
          <cell r="W314" t="str">
            <v>MS: SOC CONTR - MEDICAL</v>
          </cell>
          <cell r="X314">
            <v>631620</v>
          </cell>
          <cell r="Y314">
            <v>531973.48</v>
          </cell>
          <cell r="Z314">
            <v>638368.17599999998</v>
          </cell>
          <cell r="AA314"/>
          <cell r="AB314">
            <v>631620</v>
          </cell>
          <cell r="AC314">
            <v>1080481.6281599996</v>
          </cell>
        </row>
        <row r="315">
          <cell r="F315" t="str">
            <v>MS: SOC CONTR - PENSION</v>
          </cell>
          <cell r="G315" t="str">
            <v>P213030</v>
          </cell>
          <cell r="H315" t="str">
            <v>P213030</v>
          </cell>
          <cell r="I315" t="str">
            <v>501206</v>
          </cell>
          <cell r="J315">
            <v>50</v>
          </cell>
          <cell r="K315" t="str">
            <v>12</v>
          </cell>
          <cell r="L315" t="str">
            <v>06</v>
          </cell>
          <cell r="M315" t="str">
            <v>2</v>
          </cell>
          <cell r="N315" t="str">
            <v>13</v>
          </cell>
          <cell r="O315" t="str">
            <v>030</v>
          </cell>
          <cell r="P315" t="str">
            <v>0</v>
          </cell>
          <cell r="Q315">
            <v>18</v>
          </cell>
          <cell r="R315" t="str">
            <v>MRC</v>
          </cell>
          <cell r="S315" t="str">
            <v>ZZ</v>
          </cell>
          <cell r="T315">
            <v>11</v>
          </cell>
          <cell r="U315" t="str">
            <v>1206213030018MRCZZ11</v>
          </cell>
          <cell r="V315">
            <v>313</v>
          </cell>
          <cell r="W315" t="str">
            <v>MS: SOC CONTR - PENSION</v>
          </cell>
          <cell r="X315">
            <v>1506313</v>
          </cell>
          <cell r="Y315">
            <v>1259554.1599999999</v>
          </cell>
          <cell r="Z315">
            <v>1511464.9920000001</v>
          </cell>
          <cell r="AA315"/>
          <cell r="AB315">
            <v>1506313</v>
          </cell>
          <cell r="AC315">
            <v>1382412.8876064001</v>
          </cell>
        </row>
        <row r="316">
          <cell r="F316" t="str">
            <v>MS: SOC CONTR - UNEMPLOYMENT INSUR FUND</v>
          </cell>
          <cell r="G316" t="str">
            <v>P213040</v>
          </cell>
          <cell r="H316" t="str">
            <v>P213040</v>
          </cell>
          <cell r="I316" t="str">
            <v>501206</v>
          </cell>
          <cell r="J316">
            <v>50</v>
          </cell>
          <cell r="K316" t="str">
            <v>12</v>
          </cell>
          <cell r="L316" t="str">
            <v>06</v>
          </cell>
          <cell r="M316" t="str">
            <v>2</v>
          </cell>
          <cell r="N316" t="str">
            <v>13</v>
          </cell>
          <cell r="O316" t="str">
            <v>040</v>
          </cell>
          <cell r="P316" t="str">
            <v>0</v>
          </cell>
          <cell r="Q316">
            <v>18</v>
          </cell>
          <cell r="R316" t="str">
            <v>MRC</v>
          </cell>
          <cell r="S316" t="str">
            <v>ZZ</v>
          </cell>
          <cell r="T316">
            <v>11</v>
          </cell>
          <cell r="U316" t="str">
            <v>1206213040018MRCZZ11</v>
          </cell>
          <cell r="V316">
            <v>314</v>
          </cell>
          <cell r="W316" t="str">
            <v>MS: SOC CONTR - UNEMPLOYMENT INSUR FUND</v>
          </cell>
          <cell r="X316">
            <v>37711</v>
          </cell>
          <cell r="Y316">
            <v>36132.480000000003</v>
          </cell>
          <cell r="Z316">
            <v>43358.97600000001</v>
          </cell>
          <cell r="AA316"/>
          <cell r="AB316">
            <v>37711</v>
          </cell>
          <cell r="AC316">
            <v>40094.300159999999</v>
          </cell>
        </row>
        <row r="317">
          <cell r="F317" t="str">
            <v>OS: CATERING SERVICES(REFRESHMENTS)</v>
          </cell>
          <cell r="G317" t="str">
            <v>P226060</v>
          </cell>
          <cell r="H317" t="str">
            <v>P226060</v>
          </cell>
          <cell r="I317"/>
          <cell r="J317"/>
          <cell r="K317" t="str">
            <v>12</v>
          </cell>
          <cell r="L317" t="str">
            <v>06</v>
          </cell>
          <cell r="M317" t="str">
            <v>2</v>
          </cell>
          <cell r="N317" t="str">
            <v>26</v>
          </cell>
          <cell r="O317" t="str">
            <v>060</v>
          </cell>
          <cell r="P317" t="str">
            <v>H</v>
          </cell>
          <cell r="Q317">
            <v>18</v>
          </cell>
          <cell r="R317" t="str">
            <v>MRC</v>
          </cell>
          <cell r="S317" t="str">
            <v>ZZ</v>
          </cell>
          <cell r="T317">
            <v>11</v>
          </cell>
          <cell r="U317" t="str">
            <v>1206226060H18MRCZZ11</v>
          </cell>
          <cell r="V317">
            <v>315</v>
          </cell>
          <cell r="W317" t="str">
            <v>OS: CATERING SERVICES(REFRESHMENTS)</v>
          </cell>
          <cell r="X317">
            <v>0</v>
          </cell>
          <cell r="Y317">
            <v>0</v>
          </cell>
          <cell r="Z317">
            <v>0</v>
          </cell>
          <cell r="AA317"/>
          <cell r="AB317">
            <v>0</v>
          </cell>
          <cell r="AC317">
            <v>0</v>
          </cell>
        </row>
        <row r="318">
          <cell r="F318" t="str">
            <v>CONTR: AUCTIONEERS</v>
          </cell>
          <cell r="G318" t="str">
            <v>P228361</v>
          </cell>
          <cell r="H318" t="str">
            <v>P228004</v>
          </cell>
          <cell r="I318"/>
          <cell r="J318"/>
          <cell r="K318" t="str">
            <v>12</v>
          </cell>
          <cell r="L318" t="str">
            <v>06</v>
          </cell>
          <cell r="M318" t="str">
            <v>2</v>
          </cell>
          <cell r="N318" t="str">
            <v>28</v>
          </cell>
          <cell r="O318" t="str">
            <v>004</v>
          </cell>
          <cell r="P318" t="str">
            <v>0</v>
          </cell>
          <cell r="Q318">
            <v>18</v>
          </cell>
          <cell r="R318" t="str">
            <v>MRC</v>
          </cell>
          <cell r="S318" t="str">
            <v>ZZ</v>
          </cell>
          <cell r="T318">
            <v>11</v>
          </cell>
          <cell r="U318" t="str">
            <v>1206228004018MRCZZ11</v>
          </cell>
          <cell r="V318">
            <v>316</v>
          </cell>
          <cell r="W318" t="str">
            <v>CONTR: AUCTIONEERS</v>
          </cell>
          <cell r="X318">
            <v>0</v>
          </cell>
          <cell r="Y318">
            <v>0</v>
          </cell>
          <cell r="Z318">
            <v>0</v>
          </cell>
          <cell r="AA318"/>
          <cell r="AB318">
            <v>0</v>
          </cell>
          <cell r="AC318">
            <v>0</v>
          </cell>
        </row>
        <row r="319">
          <cell r="F319" t="str">
            <v>CONTR: PEST CONT &amp; FUMIGATION (COVID-19)</v>
          </cell>
          <cell r="G319">
            <v>0</v>
          </cell>
          <cell r="H319">
            <v>0</v>
          </cell>
          <cell r="I319"/>
          <cell r="J319"/>
          <cell r="K319" t="str">
            <v>12</v>
          </cell>
          <cell r="L319" t="str">
            <v>06</v>
          </cell>
          <cell r="M319" t="str">
            <v>2</v>
          </cell>
          <cell r="N319" t="str">
            <v>28</v>
          </cell>
          <cell r="O319" t="str">
            <v>450</v>
          </cell>
          <cell r="P319" t="str">
            <v>C</v>
          </cell>
          <cell r="Q319">
            <v>18</v>
          </cell>
          <cell r="R319" t="str">
            <v>CV5</v>
          </cell>
          <cell r="S319" t="str">
            <v>ZZ</v>
          </cell>
          <cell r="T319">
            <v>11</v>
          </cell>
          <cell r="U319" t="str">
            <v>1206228450C18CV5ZZ11</v>
          </cell>
          <cell r="V319">
            <v>317</v>
          </cell>
          <cell r="W319" t="str">
            <v>CONTR: PEST CONT &amp; FUMIGATION (COVID-19)</v>
          </cell>
          <cell r="X319">
            <v>0</v>
          </cell>
          <cell r="Y319">
            <v>0</v>
          </cell>
          <cell r="Z319">
            <v>0</v>
          </cell>
          <cell r="AA319"/>
          <cell r="AB319">
            <v>0</v>
          </cell>
          <cell r="AC319">
            <v>0</v>
          </cell>
        </row>
        <row r="320">
          <cell r="F320" t="str">
            <v>CONTR: PEST CONT &amp; FUMIGATION (COVID-19)</v>
          </cell>
          <cell r="G320">
            <v>0</v>
          </cell>
          <cell r="H320">
            <v>0</v>
          </cell>
          <cell r="I320"/>
          <cell r="J320"/>
          <cell r="K320" t="str">
            <v>12</v>
          </cell>
          <cell r="L320" t="str">
            <v>06</v>
          </cell>
          <cell r="M320" t="str">
            <v>2</v>
          </cell>
          <cell r="N320" t="str">
            <v>28</v>
          </cell>
          <cell r="O320" t="str">
            <v>450</v>
          </cell>
          <cell r="P320" t="str">
            <v>C</v>
          </cell>
          <cell r="Q320">
            <v>18</v>
          </cell>
          <cell r="R320" t="str">
            <v>CVJ</v>
          </cell>
          <cell r="S320" t="str">
            <v>CV</v>
          </cell>
          <cell r="T320">
            <v>11</v>
          </cell>
          <cell r="U320" t="str">
            <v>1206228450C18CVJCV11</v>
          </cell>
          <cell r="V320">
            <v>318</v>
          </cell>
          <cell r="W320" t="str">
            <v>CONTR: PEST CONT &amp; FUMIGATION (COVID-19)</v>
          </cell>
          <cell r="X320">
            <v>0</v>
          </cell>
          <cell r="Y320">
            <v>0</v>
          </cell>
          <cell r="Z320">
            <v>0</v>
          </cell>
          <cell r="AA320"/>
          <cell r="AB320">
            <v>0</v>
          </cell>
          <cell r="AC320">
            <v>0</v>
          </cell>
        </row>
        <row r="321">
          <cell r="F321" t="str">
            <v>OC:ADV/PUB/MARK - CORP &amp; MUN ACT ( GEN A</v>
          </cell>
          <cell r="G321" t="str">
            <v>P230452</v>
          </cell>
          <cell r="H321" t="str">
            <v>P230012</v>
          </cell>
          <cell r="I321"/>
          <cell r="J321"/>
          <cell r="K321" t="str">
            <v>12</v>
          </cell>
          <cell r="L321" t="str">
            <v>06</v>
          </cell>
          <cell r="M321" t="str">
            <v>2</v>
          </cell>
          <cell r="N321" t="str">
            <v>30</v>
          </cell>
          <cell r="O321" t="str">
            <v>012</v>
          </cell>
          <cell r="P321" t="str">
            <v>1</v>
          </cell>
          <cell r="Q321">
            <v>18</v>
          </cell>
          <cell r="R321" t="str">
            <v>MRC</v>
          </cell>
          <cell r="S321" t="str">
            <v>ZZ</v>
          </cell>
          <cell r="T321">
            <v>11</v>
          </cell>
          <cell r="U321" t="str">
            <v>1206230012118MRCZZ11</v>
          </cell>
          <cell r="V321">
            <v>319</v>
          </cell>
          <cell r="W321" t="str">
            <v>OC:ADV/PUB/MARK - CORP &amp; MUN ACT ( GEN A</v>
          </cell>
          <cell r="X321">
            <v>0</v>
          </cell>
          <cell r="Y321">
            <v>0</v>
          </cell>
          <cell r="Z321">
            <v>0</v>
          </cell>
          <cell r="AA321"/>
          <cell r="AB321">
            <v>0</v>
          </cell>
          <cell r="AC321">
            <v>0</v>
          </cell>
        </row>
        <row r="322">
          <cell r="F322" t="str">
            <v>OC: ASSETS LESS THAN CAP THRESHOLD(TOOL</v>
          </cell>
          <cell r="G322" t="str">
            <v>P230452</v>
          </cell>
          <cell r="H322" t="str">
            <v>P230019</v>
          </cell>
          <cell r="I322"/>
          <cell r="J322"/>
          <cell r="K322" t="str">
            <v>12</v>
          </cell>
          <cell r="L322" t="str">
            <v>06</v>
          </cell>
          <cell r="M322" t="str">
            <v>2</v>
          </cell>
          <cell r="N322" t="str">
            <v>30</v>
          </cell>
          <cell r="O322" t="str">
            <v>019</v>
          </cell>
          <cell r="P322" t="str">
            <v>2</v>
          </cell>
          <cell r="Q322">
            <v>18</v>
          </cell>
          <cell r="R322" t="str">
            <v>MRC</v>
          </cell>
          <cell r="S322" t="str">
            <v>ZZ</v>
          </cell>
          <cell r="T322">
            <v>11</v>
          </cell>
          <cell r="U322" t="str">
            <v>1206230019218MRCZZ11</v>
          </cell>
          <cell r="V322">
            <v>320</v>
          </cell>
          <cell r="W322" t="str">
            <v>OC: ASSETS LESS THAN CAP THRESHOLD(TOOL</v>
          </cell>
          <cell r="X322">
            <v>0</v>
          </cell>
          <cell r="Y322">
            <v>0</v>
          </cell>
          <cell r="Z322">
            <v>0</v>
          </cell>
          <cell r="AA322"/>
          <cell r="AB322">
            <v>0</v>
          </cell>
          <cell r="AC322">
            <v>0</v>
          </cell>
        </row>
        <row r="323">
          <cell r="F323" t="str">
            <v>OC: SKILLS DEVELOPMENT FUND LEVY</v>
          </cell>
          <cell r="G323" t="str">
            <v>P230452</v>
          </cell>
          <cell r="H323" t="str">
            <v>P230541</v>
          </cell>
          <cell r="I323"/>
          <cell r="J323"/>
          <cell r="K323" t="str">
            <v>12</v>
          </cell>
          <cell r="L323" t="str">
            <v>06</v>
          </cell>
          <cell r="M323" t="str">
            <v>2</v>
          </cell>
          <cell r="N323" t="str">
            <v>30</v>
          </cell>
          <cell r="O323" t="str">
            <v>541</v>
          </cell>
          <cell r="P323" t="str">
            <v>0</v>
          </cell>
          <cell r="Q323">
            <v>18</v>
          </cell>
          <cell r="R323" t="str">
            <v>MRC</v>
          </cell>
          <cell r="S323" t="str">
            <v>ZZ</v>
          </cell>
          <cell r="T323">
            <v>11</v>
          </cell>
          <cell r="U323" t="str">
            <v>1206230541018MRCZZ11</v>
          </cell>
          <cell r="V323">
            <v>321</v>
          </cell>
          <cell r="W323" t="str">
            <v>OC: SKILLS DEVELOPMENT FUND LEVY</v>
          </cell>
          <cell r="X323">
            <v>0</v>
          </cell>
          <cell r="Y323">
            <v>0</v>
          </cell>
          <cell r="Z323">
            <v>0</v>
          </cell>
          <cell r="AA323"/>
          <cell r="AB323">
            <v>0</v>
          </cell>
          <cell r="AC323">
            <v>0</v>
          </cell>
        </row>
        <row r="324">
          <cell r="F324" t="str">
            <v>OC: SMALL DIFFERENCES TOLERANCES</v>
          </cell>
          <cell r="G324" t="str">
            <v>P230452</v>
          </cell>
          <cell r="H324" t="str">
            <v>P230547</v>
          </cell>
          <cell r="I324"/>
          <cell r="J324"/>
          <cell r="K324" t="str">
            <v>12</v>
          </cell>
          <cell r="L324" t="str">
            <v>06</v>
          </cell>
          <cell r="M324" t="str">
            <v>2</v>
          </cell>
          <cell r="N324" t="str">
            <v>30</v>
          </cell>
          <cell r="O324" t="str">
            <v>547</v>
          </cell>
          <cell r="P324" t="str">
            <v>0</v>
          </cell>
          <cell r="Q324">
            <v>18</v>
          </cell>
          <cell r="R324" t="str">
            <v>MRC</v>
          </cell>
          <cell r="S324" t="str">
            <v>ZZ</v>
          </cell>
          <cell r="T324">
            <v>11</v>
          </cell>
          <cell r="U324" t="str">
            <v>1206230547018MRCZZ11</v>
          </cell>
          <cell r="V324">
            <v>322</v>
          </cell>
          <cell r="W324" t="str">
            <v>OC: SMALL DIFFERENCES TOLERANCES</v>
          </cell>
          <cell r="X324">
            <v>0</v>
          </cell>
          <cell r="Y324">
            <v>0.09</v>
          </cell>
          <cell r="Z324">
            <v>0.10799999999999998</v>
          </cell>
          <cell r="AA324"/>
          <cell r="AB324">
            <v>0</v>
          </cell>
          <cell r="AC324">
            <v>0</v>
          </cell>
        </row>
        <row r="325">
          <cell r="F325" t="str">
            <v>OC: UNIFORM &amp; PROTECTIVE CLOTHING</v>
          </cell>
          <cell r="G325" t="str">
            <v>P230452</v>
          </cell>
          <cell r="H325" t="str">
            <v>P230610</v>
          </cell>
          <cell r="I325"/>
          <cell r="J325"/>
          <cell r="K325" t="str">
            <v>12</v>
          </cell>
          <cell r="L325" t="str">
            <v>06</v>
          </cell>
          <cell r="M325" t="str">
            <v>2</v>
          </cell>
          <cell r="N325" t="str">
            <v>30</v>
          </cell>
          <cell r="O325" t="str">
            <v>610</v>
          </cell>
          <cell r="P325" t="str">
            <v>0</v>
          </cell>
          <cell r="Q325">
            <v>18</v>
          </cell>
          <cell r="R325" t="str">
            <v>MRC</v>
          </cell>
          <cell r="S325" t="str">
            <v>ZZ</v>
          </cell>
          <cell r="T325">
            <v>11</v>
          </cell>
          <cell r="U325" t="str">
            <v>1206230610018MRCZZ11</v>
          </cell>
          <cell r="V325">
            <v>323</v>
          </cell>
          <cell r="W325" t="str">
            <v>OC: UNIFORM &amp; PROTECTIVE CLOTHING</v>
          </cell>
          <cell r="X325">
            <v>8620</v>
          </cell>
          <cell r="Y325">
            <v>953.27</v>
          </cell>
          <cell r="Z325">
            <v>1143.924</v>
          </cell>
          <cell r="AA325"/>
          <cell r="AB325">
            <v>8620</v>
          </cell>
          <cell r="AC325">
            <v>9033.76</v>
          </cell>
        </row>
        <row r="326">
          <cell r="F326" t="str">
            <v>INVENTORY - MATERIALS &amp; SUPP (COVID-19)</v>
          </cell>
          <cell r="G326" t="str">
            <v>P232360</v>
          </cell>
          <cell r="H326" t="str">
            <v>P232360</v>
          </cell>
          <cell r="I326"/>
          <cell r="J326"/>
          <cell r="K326" t="str">
            <v>12</v>
          </cell>
          <cell r="L326" t="str">
            <v>06</v>
          </cell>
          <cell r="M326" t="str">
            <v>2</v>
          </cell>
          <cell r="N326" t="str">
            <v>32</v>
          </cell>
          <cell r="O326" t="str">
            <v>360</v>
          </cell>
          <cell r="P326" t="str">
            <v>A</v>
          </cell>
          <cell r="Q326">
            <v>18</v>
          </cell>
          <cell r="R326" t="str">
            <v>CV5</v>
          </cell>
          <cell r="S326" t="str">
            <v>ZZ</v>
          </cell>
          <cell r="T326">
            <v>11</v>
          </cell>
          <cell r="U326" t="str">
            <v>1206232360A18CV5ZZ11</v>
          </cell>
          <cell r="V326">
            <v>324</v>
          </cell>
          <cell r="W326" t="str">
            <v>INVENTORY - MATERIALS &amp; SUPP (COVID-19)</v>
          </cell>
          <cell r="X326">
            <v>555864</v>
          </cell>
          <cell r="Y326">
            <v>188401.08</v>
          </cell>
          <cell r="Z326">
            <v>226081.296</v>
          </cell>
          <cell r="AA326"/>
          <cell r="AB326">
            <v>555864</v>
          </cell>
          <cell r="AC326">
            <v>582545.47199999995</v>
          </cell>
        </row>
        <row r="327">
          <cell r="F327" t="str">
            <v>INVENTORY - MATERIALS &amp; SUPPLIES(PRINT&amp;</v>
          </cell>
          <cell r="G327" t="str">
            <v>P232360</v>
          </cell>
          <cell r="H327" t="str">
            <v>P232360</v>
          </cell>
          <cell r="I327"/>
          <cell r="J327"/>
          <cell r="K327" t="str">
            <v>12</v>
          </cell>
          <cell r="L327" t="str">
            <v>06</v>
          </cell>
          <cell r="M327" t="str">
            <v>2</v>
          </cell>
          <cell r="N327" t="str">
            <v>32</v>
          </cell>
          <cell r="O327" t="str">
            <v>360</v>
          </cell>
          <cell r="P327" t="str">
            <v>D</v>
          </cell>
          <cell r="Q327">
            <v>18</v>
          </cell>
          <cell r="R327" t="str">
            <v>MRC</v>
          </cell>
          <cell r="S327" t="str">
            <v>ZZ</v>
          </cell>
          <cell r="T327">
            <v>11</v>
          </cell>
          <cell r="U327" t="str">
            <v>1206232360D18MRCZZ11</v>
          </cell>
          <cell r="V327">
            <v>325</v>
          </cell>
          <cell r="W327" t="str">
            <v>INVENTORY - MATERIALS &amp; SUPPLIES(PRINT&amp;</v>
          </cell>
          <cell r="X327">
            <v>19692</v>
          </cell>
          <cell r="Y327">
            <v>14947.57</v>
          </cell>
          <cell r="Z327">
            <v>17937.084000000003</v>
          </cell>
          <cell r="AA327"/>
          <cell r="AB327">
            <v>19692</v>
          </cell>
          <cell r="AC327">
            <v>20000</v>
          </cell>
        </row>
        <row r="328">
          <cell r="F328" t="str">
            <v>INVENTORY - MATERIALS &amp; SUPPLIES(R&amp;M)</v>
          </cell>
          <cell r="G328" t="str">
            <v>P232360</v>
          </cell>
          <cell r="H328" t="str">
            <v>P232360</v>
          </cell>
          <cell r="I328"/>
          <cell r="J328"/>
          <cell r="K328" t="str">
            <v>12</v>
          </cell>
          <cell r="L328" t="str">
            <v>06</v>
          </cell>
          <cell r="M328" t="str">
            <v>2</v>
          </cell>
          <cell r="N328" t="str">
            <v>32</v>
          </cell>
          <cell r="O328" t="str">
            <v>360</v>
          </cell>
          <cell r="P328" t="str">
            <v>J</v>
          </cell>
          <cell r="Q328">
            <v>18</v>
          </cell>
          <cell r="R328" t="str">
            <v>MRC</v>
          </cell>
          <cell r="S328" t="str">
            <v>ZZ</v>
          </cell>
          <cell r="T328">
            <v>11</v>
          </cell>
          <cell r="U328" t="str">
            <v>1206232360J18MRCZZ11</v>
          </cell>
          <cell r="V328">
            <v>326</v>
          </cell>
          <cell r="W328" t="str">
            <v>INVENTORY - MATERIALS &amp; SUPPLIES(R&amp;M)</v>
          </cell>
          <cell r="X328">
            <v>0</v>
          </cell>
          <cell r="Y328">
            <v>0</v>
          </cell>
          <cell r="Z328">
            <v>0</v>
          </cell>
          <cell r="AA328"/>
          <cell r="AB328">
            <v>0</v>
          </cell>
          <cell r="AC328">
            <v>0</v>
          </cell>
        </row>
        <row r="329">
          <cell r="F329" t="str">
            <v>INVENTORY - MATERIALS &amp; SUPPLIES(STOCK &amp;</v>
          </cell>
          <cell r="G329" t="str">
            <v>P232360</v>
          </cell>
          <cell r="H329" t="str">
            <v>P232360</v>
          </cell>
          <cell r="I329"/>
          <cell r="J329"/>
          <cell r="K329" t="str">
            <v>12</v>
          </cell>
          <cell r="L329" t="str">
            <v>06</v>
          </cell>
          <cell r="M329" t="str">
            <v>2</v>
          </cell>
          <cell r="N329" t="str">
            <v>32</v>
          </cell>
          <cell r="O329" t="str">
            <v>360</v>
          </cell>
          <cell r="P329" t="str">
            <v>R</v>
          </cell>
          <cell r="Q329">
            <v>18</v>
          </cell>
          <cell r="R329" t="str">
            <v>MRC</v>
          </cell>
          <cell r="S329" t="str">
            <v>ZZ</v>
          </cell>
          <cell r="T329">
            <v>11</v>
          </cell>
          <cell r="U329" t="str">
            <v>1206232360R18MRCZZ11</v>
          </cell>
          <cell r="V329">
            <v>327</v>
          </cell>
          <cell r="W329" t="str">
            <v>INVENTORY - MATERIALS &amp; SUPPLIES(STOCK &amp;</v>
          </cell>
          <cell r="X329">
            <v>2859</v>
          </cell>
          <cell r="Y329">
            <v>2830.25</v>
          </cell>
          <cell r="Z329">
            <v>3396.2999999999997</v>
          </cell>
          <cell r="AA329"/>
          <cell r="AB329">
            <v>2859</v>
          </cell>
          <cell r="AC329">
            <v>15000</v>
          </cell>
        </row>
        <row r="330">
          <cell r="F330" t="str">
            <v>DEPRECIATION FURNITURE &amp; OFFICE EQUIPM</v>
          </cell>
          <cell r="G330" t="str">
            <v>P272150</v>
          </cell>
          <cell r="H330" t="str">
            <v>P272150</v>
          </cell>
          <cell r="I330"/>
          <cell r="J330"/>
          <cell r="K330" t="str">
            <v>12</v>
          </cell>
          <cell r="L330" t="str">
            <v>06</v>
          </cell>
          <cell r="M330" t="str">
            <v>2</v>
          </cell>
          <cell r="N330" t="str">
            <v>72</v>
          </cell>
          <cell r="O330" t="str">
            <v>150</v>
          </cell>
          <cell r="P330" t="str">
            <v>0</v>
          </cell>
          <cell r="Q330">
            <v>18</v>
          </cell>
          <cell r="R330" t="str">
            <v>MRC</v>
          </cell>
          <cell r="S330" t="str">
            <v>ZZ</v>
          </cell>
          <cell r="T330">
            <v>11</v>
          </cell>
          <cell r="U330" t="str">
            <v>1206272150018MRCZZ11</v>
          </cell>
          <cell r="V330">
            <v>328</v>
          </cell>
          <cell r="W330" t="str">
            <v>DEPRECIATION FURNITURE &amp; OFFICE EQUIPM</v>
          </cell>
          <cell r="X330">
            <v>0</v>
          </cell>
          <cell r="Y330">
            <v>0</v>
          </cell>
          <cell r="Z330">
            <v>0</v>
          </cell>
          <cell r="AA330"/>
          <cell r="AB330">
            <v>0</v>
          </cell>
          <cell r="AC330">
            <v>0</v>
          </cell>
        </row>
        <row r="331">
          <cell r="F331" t="str">
            <v>INV - PHYSICAL &amp; NET-REL VALUE GAINS</v>
          </cell>
          <cell r="G331" t="str">
            <v>P320085</v>
          </cell>
          <cell r="H331" t="str">
            <v>P370015</v>
          </cell>
          <cell r="I331"/>
          <cell r="J331"/>
          <cell r="K331" t="str">
            <v>12</v>
          </cell>
          <cell r="L331" t="str">
            <v>06</v>
          </cell>
          <cell r="M331" t="str">
            <v>3</v>
          </cell>
          <cell r="N331" t="str">
            <v>70</v>
          </cell>
          <cell r="O331" t="str">
            <v>015</v>
          </cell>
          <cell r="P331" t="str">
            <v>0</v>
          </cell>
          <cell r="Q331">
            <v>6</v>
          </cell>
          <cell r="R331" t="str">
            <v>MRC</v>
          </cell>
          <cell r="S331" t="str">
            <v>ZZ</v>
          </cell>
          <cell r="T331">
            <v>11</v>
          </cell>
          <cell r="U331" t="str">
            <v>1206370015006MRCZZ11</v>
          </cell>
          <cell r="V331">
            <v>329</v>
          </cell>
          <cell r="W331" t="str">
            <v>INV - PHYSICAL &amp; NET-REL VALUE GAINS</v>
          </cell>
          <cell r="X331">
            <v>-1035</v>
          </cell>
          <cell r="Y331">
            <v>-14447.69</v>
          </cell>
          <cell r="Z331">
            <v>-17337.227999999999</v>
          </cell>
          <cell r="AA331"/>
          <cell r="AB331">
            <v>-1035</v>
          </cell>
          <cell r="AC331">
            <v>-365413.49600000004</v>
          </cell>
        </row>
        <row r="332">
          <cell r="F332" t="str">
            <v>INV - PHYSICAL &amp; NET-REL VALUE LOSSES</v>
          </cell>
          <cell r="G332" t="str">
            <v>P370020</v>
          </cell>
          <cell r="H332" t="str">
            <v>P370020</v>
          </cell>
          <cell r="I332"/>
          <cell r="J332"/>
          <cell r="K332" t="str">
            <v>12</v>
          </cell>
          <cell r="L332" t="str">
            <v>06</v>
          </cell>
          <cell r="M332" t="str">
            <v>3</v>
          </cell>
          <cell r="N332" t="str">
            <v>70</v>
          </cell>
          <cell r="O332" t="str">
            <v>020</v>
          </cell>
          <cell r="P332" t="str">
            <v>0</v>
          </cell>
          <cell r="Q332">
            <v>6</v>
          </cell>
          <cell r="R332" t="str">
            <v>MRC</v>
          </cell>
          <cell r="S332" t="str">
            <v>ZZ</v>
          </cell>
          <cell r="T332">
            <v>11</v>
          </cell>
          <cell r="U332" t="str">
            <v>1206370020006MRCZZ11</v>
          </cell>
          <cell r="V332">
            <v>330</v>
          </cell>
          <cell r="W332" t="str">
            <v>INV - PHYSICAL &amp; NET-REL VALUE LOSSES</v>
          </cell>
          <cell r="X332">
            <v>116077</v>
          </cell>
          <cell r="Y332">
            <v>604446.23</v>
          </cell>
          <cell r="Z332">
            <v>725335.47600000002</v>
          </cell>
          <cell r="AA332"/>
          <cell r="AB332">
            <v>116077</v>
          </cell>
          <cell r="AC332">
            <v>0</v>
          </cell>
        </row>
        <row r="333">
          <cell r="F333" t="str">
            <v>COMMISSION: INSURANCE</v>
          </cell>
          <cell r="G333" t="str">
            <v>P138061</v>
          </cell>
          <cell r="H333" t="str">
            <v>P138061</v>
          </cell>
          <cell r="I333"/>
          <cell r="J333"/>
          <cell r="K333" t="str">
            <v>12</v>
          </cell>
          <cell r="L333" t="str">
            <v>08</v>
          </cell>
          <cell r="M333" t="str">
            <v>1</v>
          </cell>
          <cell r="N333" t="str">
            <v>38</v>
          </cell>
          <cell r="O333" t="str">
            <v>061</v>
          </cell>
          <cell r="P333" t="str">
            <v>0</v>
          </cell>
          <cell r="Q333">
            <v>28</v>
          </cell>
          <cell r="R333" t="str">
            <v>ZZZ</v>
          </cell>
          <cell r="S333" t="str">
            <v>ZZ</v>
          </cell>
          <cell r="T333">
            <v>11</v>
          </cell>
          <cell r="U333" t="str">
            <v>1208138061028ZZZZZ11</v>
          </cell>
          <cell r="V333">
            <v>331</v>
          </cell>
          <cell r="W333" t="str">
            <v>COMMISSION: INSURANCE</v>
          </cell>
          <cell r="X333">
            <v>-2354567</v>
          </cell>
          <cell r="Y333">
            <v>197161</v>
          </cell>
          <cell r="Z333">
            <v>236593.19999999998</v>
          </cell>
          <cell r="AA333"/>
          <cell r="AB333">
            <v>-2354567</v>
          </cell>
          <cell r="AC333">
            <v>-4467586.216</v>
          </cell>
        </row>
        <row r="334">
          <cell r="F334" t="str">
            <v>MS: SAL &amp; ALL: BASIC SALARY &amp; WAGES</v>
          </cell>
          <cell r="G334" t="str">
            <v>P211001</v>
          </cell>
          <cell r="H334" t="str">
            <v>P211001</v>
          </cell>
          <cell r="I334" t="str">
            <v>501208</v>
          </cell>
          <cell r="J334">
            <v>50</v>
          </cell>
          <cell r="K334" t="str">
            <v>12</v>
          </cell>
          <cell r="L334" t="str">
            <v>08</v>
          </cell>
          <cell r="M334" t="str">
            <v>2</v>
          </cell>
          <cell r="N334" t="str">
            <v>11</v>
          </cell>
          <cell r="O334" t="str">
            <v>001</v>
          </cell>
          <cell r="P334" t="str">
            <v>0</v>
          </cell>
          <cell r="Q334">
            <v>18</v>
          </cell>
          <cell r="R334" t="str">
            <v>MRC</v>
          </cell>
          <cell r="S334" t="str">
            <v>ZZ</v>
          </cell>
          <cell r="T334">
            <v>11</v>
          </cell>
          <cell r="U334" t="str">
            <v>1208211001018MRCZZ11</v>
          </cell>
          <cell r="V334">
            <v>332</v>
          </cell>
          <cell r="W334" t="str">
            <v>MS: SAL &amp; ALL: BASIC SALARY &amp; WAGES</v>
          </cell>
          <cell r="X334">
            <v>824782</v>
          </cell>
          <cell r="Y334">
            <v>1000817.85</v>
          </cell>
          <cell r="Z334">
            <v>1200981.42</v>
          </cell>
          <cell r="AA334"/>
          <cell r="AB334">
            <v>824782</v>
          </cell>
          <cell r="AC334">
            <v>1213093.5360000001</v>
          </cell>
        </row>
        <row r="335">
          <cell r="F335" t="str">
            <v>MS: ALL - CELLULAR &amp; TELEPHONE</v>
          </cell>
          <cell r="G335" t="str">
            <v>P211022</v>
          </cell>
          <cell r="H335" t="str">
            <v>P211022</v>
          </cell>
          <cell r="I335" t="str">
            <v>501208</v>
          </cell>
          <cell r="J335">
            <v>50</v>
          </cell>
          <cell r="K335" t="str">
            <v>12</v>
          </cell>
          <cell r="L335" t="str">
            <v>08</v>
          </cell>
          <cell r="M335" t="str">
            <v>2</v>
          </cell>
          <cell r="N335" t="str">
            <v>11</v>
          </cell>
          <cell r="O335" t="str">
            <v>022</v>
          </cell>
          <cell r="P335" t="str">
            <v>0</v>
          </cell>
          <cell r="Q335">
            <v>18</v>
          </cell>
          <cell r="R335" t="str">
            <v>MRC</v>
          </cell>
          <cell r="S335" t="str">
            <v>ZZ</v>
          </cell>
          <cell r="T335">
            <v>11</v>
          </cell>
          <cell r="U335" t="str">
            <v>1208211022018MRCZZ11</v>
          </cell>
          <cell r="V335">
            <v>333</v>
          </cell>
          <cell r="W335" t="str">
            <v>MS: ALL - CELLULAR &amp; TELEPHONE</v>
          </cell>
          <cell r="X335">
            <v>0</v>
          </cell>
          <cell r="Y335">
            <v>0</v>
          </cell>
          <cell r="Z335">
            <v>0</v>
          </cell>
          <cell r="AA335"/>
          <cell r="AB335">
            <v>0</v>
          </cell>
          <cell r="AC335">
            <v>9432</v>
          </cell>
        </row>
        <row r="336">
          <cell r="F336" t="str">
            <v>MS: HB &amp; INC: HOUSING BENEFITS</v>
          </cell>
          <cell r="G336" t="str">
            <v>P211026</v>
          </cell>
          <cell r="H336" t="str">
            <v>P211026</v>
          </cell>
          <cell r="I336" t="str">
            <v>501208</v>
          </cell>
          <cell r="J336">
            <v>50</v>
          </cell>
          <cell r="K336" t="str">
            <v>12</v>
          </cell>
          <cell r="L336" t="str">
            <v>08</v>
          </cell>
          <cell r="M336" t="str">
            <v>2</v>
          </cell>
          <cell r="N336" t="str">
            <v>11</v>
          </cell>
          <cell r="O336" t="str">
            <v>026</v>
          </cell>
          <cell r="P336" t="str">
            <v>0</v>
          </cell>
          <cell r="Q336">
            <v>18</v>
          </cell>
          <cell r="R336" t="str">
            <v>MRC</v>
          </cell>
          <cell r="S336" t="str">
            <v>ZZ</v>
          </cell>
          <cell r="T336">
            <v>11</v>
          </cell>
          <cell r="U336" t="str">
            <v>1208211026018MRCZZ11</v>
          </cell>
          <cell r="V336">
            <v>334</v>
          </cell>
          <cell r="W336" t="str">
            <v>MS: HB &amp; INC: HOUSING BENEFITS</v>
          </cell>
          <cell r="X336">
            <v>0</v>
          </cell>
          <cell r="Y336">
            <v>0</v>
          </cell>
          <cell r="Z336">
            <v>0</v>
          </cell>
          <cell r="AA336"/>
          <cell r="AB336">
            <v>0</v>
          </cell>
          <cell r="AC336">
            <v>24259.355519999997</v>
          </cell>
        </row>
        <row r="337">
          <cell r="F337" t="str">
            <v>MS: ALL - TRAVEL OR MOTOR VEHICLE (SUBS</v>
          </cell>
          <cell r="G337" t="str">
            <v>P211034</v>
          </cell>
          <cell r="H337" t="str">
            <v>P211034</v>
          </cell>
          <cell r="I337" t="str">
            <v>501208</v>
          </cell>
          <cell r="J337">
            <v>50</v>
          </cell>
          <cell r="K337" t="str">
            <v>12</v>
          </cell>
          <cell r="L337" t="str">
            <v>08</v>
          </cell>
          <cell r="M337" t="str">
            <v>2</v>
          </cell>
          <cell r="N337" t="str">
            <v>11</v>
          </cell>
          <cell r="O337" t="str">
            <v>034</v>
          </cell>
          <cell r="P337" t="str">
            <v>1</v>
          </cell>
          <cell r="Q337">
            <v>18</v>
          </cell>
          <cell r="R337" t="str">
            <v>MRC</v>
          </cell>
          <cell r="S337" t="str">
            <v>ZZ</v>
          </cell>
          <cell r="T337">
            <v>11</v>
          </cell>
          <cell r="U337" t="str">
            <v>1208211034118MRCZZ11</v>
          </cell>
          <cell r="W337" t="str">
            <v>MS: ALL - TRAVEL OR MOTOR VEHICLE (SUBS</v>
          </cell>
          <cell r="X337">
            <v>0</v>
          </cell>
          <cell r="Y337">
            <v>0</v>
          </cell>
          <cell r="Z337">
            <v>0</v>
          </cell>
          <cell r="AA337"/>
          <cell r="AB337">
            <v>0</v>
          </cell>
          <cell r="AC337">
            <v>19511.664000000001</v>
          </cell>
        </row>
        <row r="338">
          <cell r="F338" t="str">
            <v>MS: SRB - ANNUAL BONUS</v>
          </cell>
          <cell r="G338" t="str">
            <v>P211046</v>
          </cell>
          <cell r="H338" t="str">
            <v>P211046</v>
          </cell>
          <cell r="I338" t="str">
            <v>501208</v>
          </cell>
          <cell r="J338">
            <v>50</v>
          </cell>
          <cell r="K338" t="str">
            <v>12</v>
          </cell>
          <cell r="L338" t="str">
            <v>08</v>
          </cell>
          <cell r="M338" t="str">
            <v>2</v>
          </cell>
          <cell r="N338" t="str">
            <v>11</v>
          </cell>
          <cell r="O338" t="str">
            <v>046</v>
          </cell>
          <cell r="P338" t="str">
            <v>0</v>
          </cell>
          <cell r="Q338">
            <v>18</v>
          </cell>
          <cell r="R338" t="str">
            <v>MRC</v>
          </cell>
          <cell r="S338" t="str">
            <v>ZZ</v>
          </cell>
          <cell r="T338">
            <v>11</v>
          </cell>
          <cell r="U338" t="str">
            <v>1208211046018MRCZZ11</v>
          </cell>
          <cell r="V338">
            <v>335</v>
          </cell>
          <cell r="W338" t="str">
            <v>MS: SRB - ANNUAL BONUS</v>
          </cell>
          <cell r="X338">
            <v>80516</v>
          </cell>
          <cell r="Y338">
            <v>91948</v>
          </cell>
          <cell r="Z338">
            <v>110337.59999999999</v>
          </cell>
          <cell r="AA338"/>
          <cell r="AB338">
            <v>80516</v>
          </cell>
          <cell r="AC338">
            <v>101091.128</v>
          </cell>
        </row>
        <row r="339">
          <cell r="F339" t="str">
            <v>MS: SOC CONTR - BARGAINING COUNCIL</v>
          </cell>
          <cell r="G339" t="str">
            <v>P213001</v>
          </cell>
          <cell r="H339" t="str">
            <v>P213001</v>
          </cell>
          <cell r="I339" t="str">
            <v>501208</v>
          </cell>
          <cell r="J339">
            <v>50</v>
          </cell>
          <cell r="K339" t="str">
            <v>12</v>
          </cell>
          <cell r="L339" t="str">
            <v>08</v>
          </cell>
          <cell r="M339" t="str">
            <v>2</v>
          </cell>
          <cell r="N339" t="str">
            <v>13</v>
          </cell>
          <cell r="O339" t="str">
            <v>001</v>
          </cell>
          <cell r="P339" t="str">
            <v>0</v>
          </cell>
          <cell r="Q339">
            <v>18</v>
          </cell>
          <cell r="R339" t="str">
            <v>MRC</v>
          </cell>
          <cell r="S339" t="str">
            <v>ZZ</v>
          </cell>
          <cell r="T339">
            <v>11</v>
          </cell>
          <cell r="U339" t="str">
            <v>1208213001018MRCZZ11</v>
          </cell>
          <cell r="V339">
            <v>336</v>
          </cell>
          <cell r="W339" t="str">
            <v>MS: SOC CONTR - BARGAINING COUNCIL</v>
          </cell>
          <cell r="X339">
            <v>244</v>
          </cell>
          <cell r="Y339">
            <v>329.6</v>
          </cell>
          <cell r="Z339">
            <v>395.52</v>
          </cell>
          <cell r="AA339"/>
          <cell r="AB339">
            <v>244</v>
          </cell>
          <cell r="AC339">
            <v>259.06560000000002</v>
          </cell>
        </row>
        <row r="340">
          <cell r="F340" t="str">
            <v>MS: SOC CONTR - GROUP LIFE INSURANCE</v>
          </cell>
          <cell r="G340" t="str">
            <v>P213010</v>
          </cell>
          <cell r="H340" t="str">
            <v>P213010</v>
          </cell>
          <cell r="I340" t="str">
            <v>501208</v>
          </cell>
          <cell r="J340">
            <v>50</v>
          </cell>
          <cell r="K340" t="str">
            <v>12</v>
          </cell>
          <cell r="L340" t="str">
            <v>08</v>
          </cell>
          <cell r="M340" t="str">
            <v>2</v>
          </cell>
          <cell r="N340" t="str">
            <v>13</v>
          </cell>
          <cell r="O340" t="str">
            <v>010</v>
          </cell>
          <cell r="P340" t="str">
            <v>0</v>
          </cell>
          <cell r="Q340">
            <v>18</v>
          </cell>
          <cell r="R340" t="str">
            <v>MRC</v>
          </cell>
          <cell r="S340" t="str">
            <v>ZZ</v>
          </cell>
          <cell r="T340">
            <v>11</v>
          </cell>
          <cell r="U340" t="str">
            <v>1208213010018MRCZZ11</v>
          </cell>
          <cell r="V340">
            <v>337</v>
          </cell>
          <cell r="W340" t="str">
            <v>MS: SOC CONTR - GROUP LIFE INSURANCE</v>
          </cell>
          <cell r="X340">
            <v>11658</v>
          </cell>
          <cell r="Y340">
            <v>10509.54</v>
          </cell>
          <cell r="Z340">
            <v>12611.448000000002</v>
          </cell>
          <cell r="AA340"/>
          <cell r="AB340">
            <v>11658</v>
          </cell>
          <cell r="AC340">
            <v>20622.590112000002</v>
          </cell>
        </row>
        <row r="341">
          <cell r="F341" t="str">
            <v>MS: SOC CONTR - MEDICAL</v>
          </cell>
          <cell r="G341" t="str">
            <v>P213020</v>
          </cell>
          <cell r="H341" t="str">
            <v>P213020</v>
          </cell>
          <cell r="I341" t="str">
            <v>501208</v>
          </cell>
          <cell r="J341">
            <v>50</v>
          </cell>
          <cell r="K341" t="str">
            <v>12</v>
          </cell>
          <cell r="L341" t="str">
            <v>08</v>
          </cell>
          <cell r="M341" t="str">
            <v>2</v>
          </cell>
          <cell r="N341" t="str">
            <v>13</v>
          </cell>
          <cell r="O341" t="str">
            <v>020</v>
          </cell>
          <cell r="P341" t="str">
            <v>0</v>
          </cell>
          <cell r="Q341">
            <v>18</v>
          </cell>
          <cell r="R341" t="str">
            <v>MRC</v>
          </cell>
          <cell r="S341" t="str">
            <v>ZZ</v>
          </cell>
          <cell r="T341">
            <v>11</v>
          </cell>
          <cell r="U341" t="str">
            <v>1208213020018MRCZZ11</v>
          </cell>
          <cell r="V341">
            <v>338</v>
          </cell>
          <cell r="W341" t="str">
            <v>MS: SOC CONTR - MEDICAL</v>
          </cell>
          <cell r="X341">
            <v>81805</v>
          </cell>
          <cell r="Y341">
            <v>116273.4</v>
          </cell>
          <cell r="Z341">
            <v>139528.08000000002</v>
          </cell>
          <cell r="AA341"/>
          <cell r="AB341">
            <v>81805</v>
          </cell>
          <cell r="AC341">
            <v>120053.51424</v>
          </cell>
        </row>
        <row r="342">
          <cell r="F342" t="str">
            <v>MS: SOC CONTR - PENSION</v>
          </cell>
          <cell r="G342" t="str">
            <v>P213030</v>
          </cell>
          <cell r="H342" t="str">
            <v>P213030</v>
          </cell>
          <cell r="I342" t="str">
            <v>501208</v>
          </cell>
          <cell r="J342">
            <v>50</v>
          </cell>
          <cell r="K342" t="str">
            <v>12</v>
          </cell>
          <cell r="L342" t="str">
            <v>08</v>
          </cell>
          <cell r="M342" t="str">
            <v>2</v>
          </cell>
          <cell r="N342" t="str">
            <v>13</v>
          </cell>
          <cell r="O342" t="str">
            <v>030</v>
          </cell>
          <cell r="P342" t="str">
            <v>0</v>
          </cell>
          <cell r="Q342">
            <v>18</v>
          </cell>
          <cell r="R342" t="str">
            <v>MRC</v>
          </cell>
          <cell r="S342" t="str">
            <v>ZZ</v>
          </cell>
          <cell r="T342">
            <v>11</v>
          </cell>
          <cell r="U342" t="str">
            <v>1208213030018MRCZZ11</v>
          </cell>
          <cell r="V342">
            <v>339</v>
          </cell>
          <cell r="W342" t="str">
            <v>MS: SOC CONTR - PENSION</v>
          </cell>
          <cell r="X342">
            <v>130435</v>
          </cell>
          <cell r="Y342">
            <v>186170.38</v>
          </cell>
          <cell r="Z342">
            <v>223404.45600000001</v>
          </cell>
          <cell r="AA342"/>
          <cell r="AB342">
            <v>130435</v>
          </cell>
          <cell r="AC342">
            <v>219206.00195520004</v>
          </cell>
        </row>
        <row r="343">
          <cell r="F343" t="str">
            <v>MS: SOC CONTR - UNEMPLOYMENT INSUR FUND</v>
          </cell>
          <cell r="G343" t="str">
            <v>P213040</v>
          </cell>
          <cell r="H343" t="str">
            <v>P213040</v>
          </cell>
          <cell r="I343" t="str">
            <v>501208</v>
          </cell>
          <cell r="J343">
            <v>50</v>
          </cell>
          <cell r="K343" t="str">
            <v>12</v>
          </cell>
          <cell r="L343" t="str">
            <v>08</v>
          </cell>
          <cell r="M343" t="str">
            <v>2</v>
          </cell>
          <cell r="N343" t="str">
            <v>13</v>
          </cell>
          <cell r="O343" t="str">
            <v>040</v>
          </cell>
          <cell r="P343" t="str">
            <v>0</v>
          </cell>
          <cell r="Q343">
            <v>18</v>
          </cell>
          <cell r="R343" t="str">
            <v>MRC</v>
          </cell>
          <cell r="S343" t="str">
            <v>ZZ</v>
          </cell>
          <cell r="T343">
            <v>11</v>
          </cell>
          <cell r="U343" t="str">
            <v>1208213040018MRCZZ11</v>
          </cell>
          <cell r="V343">
            <v>340</v>
          </cell>
          <cell r="W343" t="str">
            <v>MS: SOC CONTR - UNEMPLOYMENT INSUR FUND</v>
          </cell>
          <cell r="X343">
            <v>3669</v>
          </cell>
          <cell r="Y343">
            <v>5667.84</v>
          </cell>
          <cell r="Z343">
            <v>6801.4079999999994</v>
          </cell>
          <cell r="AA343"/>
          <cell r="AB343">
            <v>3669</v>
          </cell>
          <cell r="AC343">
            <v>4454.9222399999999</v>
          </cell>
        </row>
        <row r="344">
          <cell r="F344" t="str">
            <v>OS: CATERING SERVICES(REFRESHMENTS)</v>
          </cell>
          <cell r="G344" t="str">
            <v>P226060</v>
          </cell>
          <cell r="H344" t="str">
            <v>P226060</v>
          </cell>
          <cell r="I344"/>
          <cell r="J344"/>
          <cell r="K344" t="str">
            <v>12</v>
          </cell>
          <cell r="L344" t="str">
            <v>08</v>
          </cell>
          <cell r="M344" t="str">
            <v>2</v>
          </cell>
          <cell r="N344" t="str">
            <v>26</v>
          </cell>
          <cell r="O344" t="str">
            <v>060</v>
          </cell>
          <cell r="P344" t="str">
            <v>H</v>
          </cell>
          <cell r="Q344">
            <v>18</v>
          </cell>
          <cell r="R344" t="str">
            <v>MRC</v>
          </cell>
          <cell r="S344" t="str">
            <v>ZZ</v>
          </cell>
          <cell r="T344">
            <v>11</v>
          </cell>
          <cell r="U344" t="str">
            <v>1208226060H18MRCZZ11</v>
          </cell>
          <cell r="V344">
            <v>341</v>
          </cell>
          <cell r="W344" t="str">
            <v>OS: CATERING SERVICES(REFRESHMENTS)</v>
          </cell>
          <cell r="X344">
            <v>0</v>
          </cell>
          <cell r="Y344">
            <v>0</v>
          </cell>
          <cell r="Z344">
            <v>0</v>
          </cell>
          <cell r="AA344"/>
          <cell r="AB344">
            <v>0</v>
          </cell>
          <cell r="AC344">
            <v>0</v>
          </cell>
        </row>
        <row r="345">
          <cell r="F345" t="str">
            <v>C&amp;PS: B&amp;A PROJECT MANAGEMENT</v>
          </cell>
          <cell r="G345" t="str">
            <v>P227334</v>
          </cell>
          <cell r="H345" t="str">
            <v>P227041</v>
          </cell>
          <cell r="I345"/>
          <cell r="J345"/>
          <cell r="K345" t="str">
            <v>12</v>
          </cell>
          <cell r="L345" t="str">
            <v>08</v>
          </cell>
          <cell r="M345" t="str">
            <v>2</v>
          </cell>
          <cell r="N345" t="str">
            <v>27</v>
          </cell>
          <cell r="O345" t="str">
            <v>041</v>
          </cell>
          <cell r="P345" t="str">
            <v>0</v>
          </cell>
          <cell r="Q345">
            <v>18</v>
          </cell>
          <cell r="R345" t="str">
            <v>MRC</v>
          </cell>
          <cell r="S345" t="str">
            <v>ZZ</v>
          </cell>
          <cell r="T345">
            <v>11</v>
          </cell>
          <cell r="U345" t="str">
            <v>1208227041018MRCZZ11</v>
          </cell>
          <cell r="V345">
            <v>342</v>
          </cell>
          <cell r="W345" t="str">
            <v>C&amp;PS: B&amp;A PROJECT MANAGEMENT</v>
          </cell>
          <cell r="X345">
            <v>2417944</v>
          </cell>
          <cell r="Y345">
            <v>2244972.9</v>
          </cell>
          <cell r="Z345">
            <v>2693967.4799999995</v>
          </cell>
          <cell r="AA345"/>
          <cell r="AB345">
            <v>2417944</v>
          </cell>
          <cell r="AC345">
            <v>2534005.3119999999</v>
          </cell>
        </row>
        <row r="346">
          <cell r="F346" t="str">
            <v>OC: INSUR UNDER - PREMIUMS</v>
          </cell>
          <cell r="G346" t="str">
            <v>P230452</v>
          </cell>
          <cell r="H346" t="str">
            <v>P230246</v>
          </cell>
          <cell r="I346"/>
          <cell r="J346"/>
          <cell r="K346" t="str">
            <v>12</v>
          </cell>
          <cell r="L346" t="str">
            <v>08</v>
          </cell>
          <cell r="M346" t="str">
            <v>2</v>
          </cell>
          <cell r="N346" t="str">
            <v>30</v>
          </cell>
          <cell r="O346" t="str">
            <v>246</v>
          </cell>
          <cell r="P346" t="str">
            <v>1</v>
          </cell>
          <cell r="Q346">
            <v>18</v>
          </cell>
          <cell r="R346" t="str">
            <v>MRC</v>
          </cell>
          <cell r="S346" t="str">
            <v>ZZ</v>
          </cell>
          <cell r="T346">
            <v>11</v>
          </cell>
          <cell r="U346" t="str">
            <v>1208230246118MRCZZ11</v>
          </cell>
          <cell r="V346">
            <v>343</v>
          </cell>
          <cell r="W346" t="str">
            <v>OC: INSUR UNDER - PREMIUMS</v>
          </cell>
          <cell r="X346">
            <v>7162971</v>
          </cell>
          <cell r="Y346">
            <v>6203487.3499999996</v>
          </cell>
          <cell r="Z346">
            <v>7444184.8200000003</v>
          </cell>
          <cell r="AA346"/>
          <cell r="AB346">
            <v>7162971</v>
          </cell>
          <cell r="AC346">
            <v>7506793.608</v>
          </cell>
        </row>
        <row r="347">
          <cell r="F347" t="str">
            <v>INVENTORY - MATERIALS &amp; SUPPLIES(PRINT&amp;</v>
          </cell>
          <cell r="G347" t="str">
            <v>P232360</v>
          </cell>
          <cell r="H347" t="str">
            <v>P232360</v>
          </cell>
          <cell r="I347"/>
          <cell r="J347"/>
          <cell r="K347" t="str">
            <v>12</v>
          </cell>
          <cell r="L347" t="str">
            <v>08</v>
          </cell>
          <cell r="M347" t="str">
            <v>2</v>
          </cell>
          <cell r="N347" t="str">
            <v>32</v>
          </cell>
          <cell r="O347" t="str">
            <v>360</v>
          </cell>
          <cell r="P347" t="str">
            <v>D</v>
          </cell>
          <cell r="Q347">
            <v>18</v>
          </cell>
          <cell r="R347" t="str">
            <v>MRC</v>
          </cell>
          <cell r="S347" t="str">
            <v>ZZ</v>
          </cell>
          <cell r="T347">
            <v>11</v>
          </cell>
          <cell r="U347" t="str">
            <v>1208232360D18MRCZZ11</v>
          </cell>
          <cell r="V347">
            <v>344</v>
          </cell>
          <cell r="W347" t="str">
            <v>INVENTORY - MATERIALS &amp; SUPPLIES(PRINT&amp;</v>
          </cell>
          <cell r="X347">
            <v>0</v>
          </cell>
          <cell r="Y347">
            <v>0</v>
          </cell>
          <cell r="Z347">
            <v>0</v>
          </cell>
          <cell r="AA347"/>
          <cell r="AB347">
            <v>0</v>
          </cell>
          <cell r="AC347">
            <v>0</v>
          </cell>
        </row>
        <row r="348">
          <cell r="F348" t="str">
            <v>INT PAID: FINANCE LEASES</v>
          </cell>
          <cell r="G348" t="str">
            <v>P236254</v>
          </cell>
          <cell r="H348" t="str">
            <v>P236254</v>
          </cell>
          <cell r="I348"/>
          <cell r="J348"/>
          <cell r="K348" t="str">
            <v>12</v>
          </cell>
          <cell r="L348" t="str">
            <v>08</v>
          </cell>
          <cell r="M348" t="str">
            <v>2</v>
          </cell>
          <cell r="N348" t="str">
            <v>36</v>
          </cell>
          <cell r="O348" t="str">
            <v>254</v>
          </cell>
          <cell r="P348" t="str">
            <v>0</v>
          </cell>
          <cell r="Q348">
            <v>18</v>
          </cell>
          <cell r="R348" t="str">
            <v>MRC</v>
          </cell>
          <cell r="S348" t="str">
            <v>ZZ</v>
          </cell>
          <cell r="T348">
            <v>11</v>
          </cell>
          <cell r="U348" t="str">
            <v>1208236254018MRCZZ11</v>
          </cell>
          <cell r="V348">
            <v>345</v>
          </cell>
          <cell r="W348" t="str">
            <v>INT PAID: FINANCE LEASES</v>
          </cell>
          <cell r="X348">
            <v>58864</v>
          </cell>
          <cell r="Y348">
            <v>49050.67</v>
          </cell>
          <cell r="Z348">
            <v>58860.804000000004</v>
          </cell>
          <cell r="AA348"/>
          <cell r="AB348">
            <v>58864</v>
          </cell>
          <cell r="AC348">
            <v>240805.7</v>
          </cell>
        </row>
        <row r="349">
          <cell r="F349" t="str">
            <v>DEPRECIATION  TRANSPORT ASSETS</v>
          </cell>
          <cell r="G349" t="str">
            <v>P272150</v>
          </cell>
          <cell r="H349" t="str">
            <v>P272570</v>
          </cell>
          <cell r="I349"/>
          <cell r="J349"/>
          <cell r="K349" t="str">
            <v>12</v>
          </cell>
          <cell r="L349" t="str">
            <v>08</v>
          </cell>
          <cell r="M349" t="str">
            <v>2</v>
          </cell>
          <cell r="N349" t="str">
            <v>72</v>
          </cell>
          <cell r="O349" t="str">
            <v>570</v>
          </cell>
          <cell r="P349" t="str">
            <v>0</v>
          </cell>
          <cell r="Q349">
            <v>18</v>
          </cell>
          <cell r="R349" t="str">
            <v>MRC</v>
          </cell>
          <cell r="S349" t="str">
            <v>ZZ</v>
          </cell>
          <cell r="T349">
            <v>11</v>
          </cell>
          <cell r="U349" t="str">
            <v>1208272570018MRCZZ11</v>
          </cell>
          <cell r="V349">
            <v>346</v>
          </cell>
          <cell r="W349" t="str">
            <v>DEPRECIATION  TRANSPORT ASSETS</v>
          </cell>
          <cell r="X349">
            <v>0</v>
          </cell>
          <cell r="Y349">
            <v>0</v>
          </cell>
          <cell r="Z349">
            <v>0</v>
          </cell>
          <cell r="AA349"/>
          <cell r="AB349">
            <v>0</v>
          </cell>
          <cell r="AC349">
            <v>0</v>
          </cell>
        </row>
        <row r="350">
          <cell r="F350" t="str">
            <v>SM D11: SAL &amp; ALL -  BASIC SALARY</v>
          </cell>
          <cell r="G350" t="str">
            <v>P1302203485</v>
          </cell>
          <cell r="H350" t="str">
            <v>P1302203485</v>
          </cell>
          <cell r="I350" t="str">
            <v>501302</v>
          </cell>
          <cell r="J350">
            <v>50</v>
          </cell>
          <cell r="K350" t="str">
            <v>13</v>
          </cell>
          <cell r="L350" t="str">
            <v>02</v>
          </cell>
          <cell r="M350" t="str">
            <v>2</v>
          </cell>
          <cell r="N350" t="str">
            <v>03</v>
          </cell>
          <cell r="O350" t="str">
            <v>485</v>
          </cell>
          <cell r="P350" t="str">
            <v>0</v>
          </cell>
          <cell r="Q350">
            <v>18</v>
          </cell>
          <cell r="R350" t="str">
            <v>MRC</v>
          </cell>
          <cell r="S350" t="str">
            <v>ZZ</v>
          </cell>
          <cell r="T350">
            <v>11</v>
          </cell>
          <cell r="U350" t="str">
            <v>1302203485018MRCZZ11</v>
          </cell>
          <cell r="V350">
            <v>347</v>
          </cell>
          <cell r="W350" t="str">
            <v>SM D11: SAL &amp; ALL -  BASIC SALARY</v>
          </cell>
          <cell r="X350">
            <v>1831777</v>
          </cell>
          <cell r="Y350">
            <v>125642.83</v>
          </cell>
          <cell r="Z350">
            <v>150771.39600000001</v>
          </cell>
          <cell r="AA350"/>
          <cell r="AB350">
            <v>1831777</v>
          </cell>
          <cell r="AC350">
            <v>1751036.1917184002</v>
          </cell>
        </row>
        <row r="351">
          <cell r="F351" t="str">
            <v>SM D11: ALLOW - CELLULAR &amp; TELEPHONE</v>
          </cell>
          <cell r="G351" t="str">
            <v>P1302203487</v>
          </cell>
          <cell r="H351" t="str">
            <v>P1302203487</v>
          </cell>
          <cell r="I351" t="str">
            <v>501302</v>
          </cell>
          <cell r="J351">
            <v>50</v>
          </cell>
          <cell r="K351" t="str">
            <v>13</v>
          </cell>
          <cell r="L351" t="str">
            <v>02</v>
          </cell>
          <cell r="M351" t="str">
            <v>2</v>
          </cell>
          <cell r="N351" t="str">
            <v>03</v>
          </cell>
          <cell r="O351" t="str">
            <v>487</v>
          </cell>
          <cell r="P351" t="str">
            <v>0</v>
          </cell>
          <cell r="Q351">
            <v>18</v>
          </cell>
          <cell r="R351" t="str">
            <v>MRC</v>
          </cell>
          <cell r="S351" t="str">
            <v>ZZ</v>
          </cell>
          <cell r="T351">
            <v>11</v>
          </cell>
          <cell r="U351" t="str">
            <v>1302203487018MRCZZ11</v>
          </cell>
          <cell r="V351">
            <v>348</v>
          </cell>
          <cell r="W351" t="str">
            <v>SM D11: ALLOW - CELLULAR &amp; TELEPHONE</v>
          </cell>
          <cell r="X351">
            <v>16736</v>
          </cell>
          <cell r="Y351">
            <v>1200</v>
          </cell>
          <cell r="Z351">
            <v>1440</v>
          </cell>
          <cell r="AA351"/>
          <cell r="AB351">
            <v>16736</v>
          </cell>
          <cell r="AC351">
            <v>15091.2</v>
          </cell>
        </row>
        <row r="352">
          <cell r="F352" t="str">
            <v>SM D11: SOC CONTR: UIF</v>
          </cell>
          <cell r="G352" t="str">
            <v>P1302205503</v>
          </cell>
          <cell r="H352" t="str">
            <v>P1302205503</v>
          </cell>
          <cell r="I352" t="str">
            <v>501302</v>
          </cell>
          <cell r="J352">
            <v>50</v>
          </cell>
          <cell r="K352" t="str">
            <v>13</v>
          </cell>
          <cell r="L352" t="str">
            <v>02</v>
          </cell>
          <cell r="M352" t="str">
            <v>2</v>
          </cell>
          <cell r="N352" t="str">
            <v>05</v>
          </cell>
          <cell r="O352" t="str">
            <v>503</v>
          </cell>
          <cell r="P352" t="str">
            <v>0</v>
          </cell>
          <cell r="Q352">
            <v>18</v>
          </cell>
          <cell r="R352" t="str">
            <v>MRC</v>
          </cell>
          <cell r="S352" t="str">
            <v>ZZ</v>
          </cell>
          <cell r="T352">
            <v>11</v>
          </cell>
          <cell r="U352" t="str">
            <v>1302205503018MRCZZ11</v>
          </cell>
          <cell r="V352">
            <v>349</v>
          </cell>
          <cell r="W352" t="str">
            <v>SM D11: SOC CONTR: UIF</v>
          </cell>
          <cell r="X352">
            <v>2023</v>
          </cell>
          <cell r="Y352">
            <v>177.12</v>
          </cell>
          <cell r="Z352">
            <v>212.54399999999998</v>
          </cell>
          <cell r="AA352"/>
          <cell r="AB352">
            <v>2023</v>
          </cell>
          <cell r="AC352">
            <v>0</v>
          </cell>
        </row>
        <row r="353">
          <cell r="F353" t="str">
            <v>MS: SAL &amp; ALL: BASIC SALARY &amp; WAGES</v>
          </cell>
          <cell r="G353" t="str">
            <v>P211001</v>
          </cell>
          <cell r="H353" t="str">
            <v>P211001</v>
          </cell>
          <cell r="I353" t="str">
            <v>501302</v>
          </cell>
          <cell r="J353">
            <v>50</v>
          </cell>
          <cell r="K353" t="str">
            <v>13</v>
          </cell>
          <cell r="L353" t="str">
            <v>02</v>
          </cell>
          <cell r="M353" t="str">
            <v>2</v>
          </cell>
          <cell r="N353" t="str">
            <v>11</v>
          </cell>
          <cell r="O353" t="str">
            <v>001</v>
          </cell>
          <cell r="P353" t="str">
            <v>0</v>
          </cell>
          <cell r="Q353">
            <v>18</v>
          </cell>
          <cell r="R353" t="str">
            <v>MRC</v>
          </cell>
          <cell r="S353" t="str">
            <v>ZZ</v>
          </cell>
          <cell r="T353">
            <v>11</v>
          </cell>
          <cell r="U353" t="str">
            <v>1302211001018MRCZZ11</v>
          </cell>
          <cell r="V353">
            <v>350</v>
          </cell>
          <cell r="W353" t="str">
            <v>MS: SAL &amp; ALL: BASIC SALARY &amp; WAGES</v>
          </cell>
          <cell r="X353">
            <v>0</v>
          </cell>
          <cell r="Y353">
            <v>1761652.29</v>
          </cell>
          <cell r="Z353">
            <v>2113982.7479999997</v>
          </cell>
          <cell r="AA353"/>
          <cell r="AB353">
            <v>0</v>
          </cell>
          <cell r="AC353">
            <v>861129.02400000009</v>
          </cell>
        </row>
        <row r="354">
          <cell r="F354" t="str">
            <v>MS: ALL - CELLULAR &amp; TELEPHONE</v>
          </cell>
          <cell r="G354" t="str">
            <v>P211022</v>
          </cell>
          <cell r="H354" t="str">
            <v>P211022</v>
          </cell>
          <cell r="I354" t="str">
            <v>501302</v>
          </cell>
          <cell r="J354">
            <v>50</v>
          </cell>
          <cell r="K354" t="str">
            <v>13</v>
          </cell>
          <cell r="L354" t="str">
            <v>02</v>
          </cell>
          <cell r="M354" t="str">
            <v>2</v>
          </cell>
          <cell r="N354" t="str">
            <v>11</v>
          </cell>
          <cell r="O354" t="str">
            <v>022</v>
          </cell>
          <cell r="P354" t="str">
            <v>0</v>
          </cell>
          <cell r="Q354">
            <v>18</v>
          </cell>
          <cell r="R354" t="str">
            <v>MRC</v>
          </cell>
          <cell r="S354" t="str">
            <v>ZZ</v>
          </cell>
          <cell r="T354">
            <v>11</v>
          </cell>
          <cell r="U354" t="str">
            <v>1302211022018MRCZZ11</v>
          </cell>
          <cell r="V354">
            <v>351</v>
          </cell>
          <cell r="W354" t="str">
            <v>MS: ALL - CELLULAR &amp; TELEPHONE</v>
          </cell>
          <cell r="X354">
            <v>0</v>
          </cell>
          <cell r="Y354">
            <v>12000</v>
          </cell>
          <cell r="Z354">
            <v>14400</v>
          </cell>
          <cell r="AA354"/>
          <cell r="AB354">
            <v>0</v>
          </cell>
          <cell r="AC354">
            <v>0</v>
          </cell>
        </row>
        <row r="355">
          <cell r="F355" t="str">
            <v>MS: HB &amp; INC: HOUSING BENEFITS</v>
          </cell>
          <cell r="G355" t="str">
            <v>P211026</v>
          </cell>
          <cell r="H355" t="str">
            <v>P211026</v>
          </cell>
          <cell r="I355" t="str">
            <v>501302</v>
          </cell>
          <cell r="J355">
            <v>50</v>
          </cell>
          <cell r="K355" t="str">
            <v>13</v>
          </cell>
          <cell r="L355" t="str">
            <v>02</v>
          </cell>
          <cell r="M355" t="str">
            <v>2</v>
          </cell>
          <cell r="N355" t="str">
            <v>11</v>
          </cell>
          <cell r="O355" t="str">
            <v>026</v>
          </cell>
          <cell r="P355" t="str">
            <v>0</v>
          </cell>
          <cell r="Q355">
            <v>18</v>
          </cell>
          <cell r="R355" t="str">
            <v>MRC</v>
          </cell>
          <cell r="S355" t="str">
            <v>ZZ</v>
          </cell>
          <cell r="T355">
            <v>11</v>
          </cell>
          <cell r="U355" t="str">
            <v>1302211026018MRCZZ11</v>
          </cell>
          <cell r="W355" t="str">
            <v>MS: HB &amp; INC: HOUSING BENEFITS</v>
          </cell>
          <cell r="X355">
            <v>0</v>
          </cell>
          <cell r="Y355">
            <v>0</v>
          </cell>
          <cell r="Z355">
            <v>0</v>
          </cell>
          <cell r="AA355"/>
          <cell r="AB355">
            <v>0</v>
          </cell>
          <cell r="AC355">
            <v>24259.355519999997</v>
          </cell>
        </row>
        <row r="356">
          <cell r="F356" t="str">
            <v>MS: HB &amp; INC: ESSENTIAL USER</v>
          </cell>
          <cell r="G356" t="str">
            <v>P211024</v>
          </cell>
          <cell r="H356" t="str">
            <v>P211024</v>
          </cell>
          <cell r="I356" t="str">
            <v>501302</v>
          </cell>
          <cell r="J356">
            <v>50</v>
          </cell>
          <cell r="K356" t="str">
            <v>13</v>
          </cell>
          <cell r="L356" t="str">
            <v>02</v>
          </cell>
          <cell r="M356" t="str">
            <v>2</v>
          </cell>
          <cell r="N356" t="str">
            <v>11</v>
          </cell>
          <cell r="O356" t="str">
            <v>024</v>
          </cell>
          <cell r="P356" t="str">
            <v>0</v>
          </cell>
          <cell r="Q356">
            <v>18</v>
          </cell>
          <cell r="R356" t="str">
            <v>MRC</v>
          </cell>
          <cell r="S356" t="str">
            <v>ZZ</v>
          </cell>
          <cell r="T356">
            <v>11</v>
          </cell>
          <cell r="U356" t="str">
            <v>1302211024018MRCZZ11</v>
          </cell>
          <cell r="V356">
            <v>352</v>
          </cell>
          <cell r="W356" t="str">
            <v>MS: HB &amp; INC: ESSENTIAL USER</v>
          </cell>
          <cell r="X356">
            <v>0</v>
          </cell>
          <cell r="Y356">
            <v>0</v>
          </cell>
          <cell r="Z356">
            <v>0</v>
          </cell>
          <cell r="AA356"/>
          <cell r="AB356">
            <v>0</v>
          </cell>
          <cell r="AC356">
            <v>0</v>
          </cell>
        </row>
        <row r="357">
          <cell r="F357" t="str">
            <v>MS: ALL - TRAVEL OR MOTOR VEHICLE (SUBS</v>
          </cell>
          <cell r="G357" t="str">
            <v>P211034</v>
          </cell>
          <cell r="H357" t="str">
            <v>P211034</v>
          </cell>
          <cell r="I357" t="str">
            <v>501302</v>
          </cell>
          <cell r="J357">
            <v>50</v>
          </cell>
          <cell r="K357" t="str">
            <v>13</v>
          </cell>
          <cell r="L357" t="str">
            <v>02</v>
          </cell>
          <cell r="M357" t="str">
            <v>2</v>
          </cell>
          <cell r="N357" t="str">
            <v>11</v>
          </cell>
          <cell r="O357" t="str">
            <v>034</v>
          </cell>
          <cell r="P357" t="str">
            <v>1</v>
          </cell>
          <cell r="Q357">
            <v>18</v>
          </cell>
          <cell r="R357" t="str">
            <v>MRC</v>
          </cell>
          <cell r="S357" t="str">
            <v>ZZ</v>
          </cell>
          <cell r="T357">
            <v>11</v>
          </cell>
          <cell r="U357" t="str">
            <v>1302211034118MRCZZ11</v>
          </cell>
          <cell r="V357">
            <v>353</v>
          </cell>
          <cell r="W357" t="str">
            <v>MS: ALL - TRAVEL OR MOTOR VEHICLE (SUBS</v>
          </cell>
          <cell r="X357">
            <v>0</v>
          </cell>
          <cell r="Y357">
            <v>120000</v>
          </cell>
          <cell r="Z357">
            <v>144000</v>
          </cell>
          <cell r="AA357"/>
          <cell r="AB357">
            <v>0</v>
          </cell>
          <cell r="AC357">
            <v>0</v>
          </cell>
        </row>
        <row r="358">
          <cell r="F358" t="str">
            <v>MS: OVERTIME - STRUCTURED</v>
          </cell>
          <cell r="G358" t="str">
            <v>P211038</v>
          </cell>
          <cell r="H358" t="str">
            <v>P211038</v>
          </cell>
          <cell r="I358" t="str">
            <v>501302</v>
          </cell>
          <cell r="J358">
            <v>50</v>
          </cell>
          <cell r="K358" t="str">
            <v>13</v>
          </cell>
          <cell r="L358" t="str">
            <v>02</v>
          </cell>
          <cell r="M358" t="str">
            <v>2</v>
          </cell>
          <cell r="N358" t="str">
            <v>11</v>
          </cell>
          <cell r="O358" t="str">
            <v>038</v>
          </cell>
          <cell r="P358" t="str">
            <v>0</v>
          </cell>
          <cell r="Q358">
            <v>18</v>
          </cell>
          <cell r="R358" t="str">
            <v>MRC</v>
          </cell>
          <cell r="S358" t="str">
            <v>ZZ</v>
          </cell>
          <cell r="T358">
            <v>11</v>
          </cell>
          <cell r="U358" t="str">
            <v>1302211038018MRCZZ11</v>
          </cell>
          <cell r="V358">
            <v>354</v>
          </cell>
          <cell r="W358" t="str">
            <v>MS: OVERTIME - STRUCTURED</v>
          </cell>
          <cell r="X358">
            <v>0</v>
          </cell>
          <cell r="Y358">
            <v>0</v>
          </cell>
          <cell r="Z358">
            <v>0</v>
          </cell>
          <cell r="AA358"/>
          <cell r="AB358">
            <v>0</v>
          </cell>
          <cell r="AC358">
            <v>0</v>
          </cell>
        </row>
        <row r="359">
          <cell r="F359" t="str">
            <v>MS: SRB - ANNUAL BONUS</v>
          </cell>
          <cell r="G359" t="str">
            <v>P211046</v>
          </cell>
          <cell r="H359" t="str">
            <v>P211046</v>
          </cell>
          <cell r="I359" t="str">
            <v>501302</v>
          </cell>
          <cell r="J359">
            <v>50</v>
          </cell>
          <cell r="K359" t="str">
            <v>13</v>
          </cell>
          <cell r="L359" t="str">
            <v>02</v>
          </cell>
          <cell r="M359" t="str">
            <v>2</v>
          </cell>
          <cell r="N359" t="str">
            <v>11</v>
          </cell>
          <cell r="O359" t="str">
            <v>046</v>
          </cell>
          <cell r="P359" t="str">
            <v>0</v>
          </cell>
          <cell r="Q359">
            <v>18</v>
          </cell>
          <cell r="R359" t="str">
            <v>MRC</v>
          </cell>
          <cell r="S359" t="str">
            <v>ZZ</v>
          </cell>
          <cell r="T359">
            <v>11</v>
          </cell>
          <cell r="U359" t="str">
            <v>1302211046018MRCZZ11</v>
          </cell>
          <cell r="V359">
            <v>355</v>
          </cell>
          <cell r="W359" t="str">
            <v>MS: SRB - ANNUAL BONUS</v>
          </cell>
          <cell r="X359">
            <v>0</v>
          </cell>
          <cell r="Y359">
            <v>31142</v>
          </cell>
          <cell r="Z359">
            <v>37370.399999999994</v>
          </cell>
          <cell r="AA359"/>
          <cell r="AB359">
            <v>0</v>
          </cell>
          <cell r="AC359">
            <v>71760.752000000008</v>
          </cell>
        </row>
        <row r="360">
          <cell r="F360" t="str">
            <v>MS: SOC CONTR - BARGAINING COUNCIL</v>
          </cell>
          <cell r="G360" t="str">
            <v>P213001</v>
          </cell>
          <cell r="H360" t="str">
            <v>P213001</v>
          </cell>
          <cell r="I360" t="str">
            <v>501302</v>
          </cell>
          <cell r="J360">
            <v>50</v>
          </cell>
          <cell r="K360" t="str">
            <v>13</v>
          </cell>
          <cell r="L360" t="str">
            <v>02</v>
          </cell>
          <cell r="M360" t="str">
            <v>2</v>
          </cell>
          <cell r="N360" t="str">
            <v>13</v>
          </cell>
          <cell r="O360" t="str">
            <v>001</v>
          </cell>
          <cell r="P360" t="str">
            <v>0</v>
          </cell>
          <cell r="Q360">
            <v>18</v>
          </cell>
          <cell r="R360" t="str">
            <v>MRC</v>
          </cell>
          <cell r="S360" t="str">
            <v>ZZ</v>
          </cell>
          <cell r="T360">
            <v>11</v>
          </cell>
          <cell r="U360" t="str">
            <v>1302213001018MRCZZ11</v>
          </cell>
          <cell r="V360">
            <v>356</v>
          </cell>
          <cell r="W360" t="str">
            <v>MS: SOC CONTR - BARGAINING COUNCIL</v>
          </cell>
          <cell r="X360">
            <v>0</v>
          </cell>
          <cell r="Y360">
            <v>216.3</v>
          </cell>
          <cell r="Z360">
            <v>259.56000000000006</v>
          </cell>
          <cell r="AA360"/>
          <cell r="AB360">
            <v>0</v>
          </cell>
          <cell r="AC360">
            <v>259.06560000000002</v>
          </cell>
        </row>
        <row r="361">
          <cell r="F361" t="str">
            <v>MS: SOC CONTR - GROUP LIFE INSURANCE</v>
          </cell>
          <cell r="G361" t="str">
            <v>P213010</v>
          </cell>
          <cell r="H361" t="str">
            <v>P213010</v>
          </cell>
          <cell r="I361" t="str">
            <v>501302</v>
          </cell>
          <cell r="J361">
            <v>50</v>
          </cell>
          <cell r="K361" t="str">
            <v>13</v>
          </cell>
          <cell r="L361" t="str">
            <v>02</v>
          </cell>
          <cell r="M361" t="str">
            <v>2</v>
          </cell>
          <cell r="N361" t="str">
            <v>13</v>
          </cell>
          <cell r="O361" t="str">
            <v>010</v>
          </cell>
          <cell r="P361" t="str">
            <v>0</v>
          </cell>
          <cell r="Q361">
            <v>18</v>
          </cell>
          <cell r="R361" t="str">
            <v>MRC</v>
          </cell>
          <cell r="S361" t="str">
            <v>ZZ</v>
          </cell>
          <cell r="T361">
            <v>11</v>
          </cell>
          <cell r="U361" t="str">
            <v>1302213010018MRCZZ11</v>
          </cell>
          <cell r="V361">
            <v>357</v>
          </cell>
          <cell r="W361" t="str">
            <v>MS: SOC CONTR - GROUP LIFE INSURANCE</v>
          </cell>
          <cell r="X361">
            <v>0</v>
          </cell>
          <cell r="Y361">
            <v>0</v>
          </cell>
          <cell r="Z361">
            <v>0</v>
          </cell>
          <cell r="AA361"/>
          <cell r="AB361">
            <v>0</v>
          </cell>
          <cell r="AC361">
            <v>14639.193408000003</v>
          </cell>
        </row>
        <row r="362">
          <cell r="F362" t="str">
            <v>MS: SOC CONTR - MEDICAL</v>
          </cell>
          <cell r="G362" t="str">
            <v>P213020</v>
          </cell>
          <cell r="H362" t="str">
            <v>P213020</v>
          </cell>
          <cell r="I362" t="str">
            <v>501302</v>
          </cell>
          <cell r="J362">
            <v>50</v>
          </cell>
          <cell r="K362" t="str">
            <v>13</v>
          </cell>
          <cell r="L362" t="str">
            <v>02</v>
          </cell>
          <cell r="M362" t="str">
            <v>2</v>
          </cell>
          <cell r="N362" t="str">
            <v>13</v>
          </cell>
          <cell r="O362" t="str">
            <v>020</v>
          </cell>
          <cell r="P362" t="str">
            <v>0</v>
          </cell>
          <cell r="Q362">
            <v>18</v>
          </cell>
          <cell r="R362" t="str">
            <v>MRC</v>
          </cell>
          <cell r="S362" t="str">
            <v>ZZ</v>
          </cell>
          <cell r="T362">
            <v>11</v>
          </cell>
          <cell r="U362" t="str">
            <v>1302213020018MRCZZ11</v>
          </cell>
          <cell r="V362">
            <v>358</v>
          </cell>
          <cell r="W362" t="str">
            <v>MS: SOC CONTR - MEDICAL</v>
          </cell>
          <cell r="X362">
            <v>0</v>
          </cell>
          <cell r="Y362">
            <v>0</v>
          </cell>
          <cell r="Z362">
            <v>0</v>
          </cell>
          <cell r="AA362"/>
          <cell r="AB362">
            <v>0</v>
          </cell>
          <cell r="AC362">
            <v>120053.51424</v>
          </cell>
        </row>
        <row r="363">
          <cell r="F363" t="str">
            <v>MS: SOC CONTR - PENSION</v>
          </cell>
          <cell r="G363" t="str">
            <v>P213030</v>
          </cell>
          <cell r="H363" t="str">
            <v>P213030</v>
          </cell>
          <cell r="I363" t="str">
            <v>501302</v>
          </cell>
          <cell r="J363">
            <v>50</v>
          </cell>
          <cell r="K363" t="str">
            <v>13</v>
          </cell>
          <cell r="L363" t="str">
            <v>02</v>
          </cell>
          <cell r="M363" t="str">
            <v>2</v>
          </cell>
          <cell r="N363" t="str">
            <v>13</v>
          </cell>
          <cell r="O363" t="str">
            <v>030</v>
          </cell>
          <cell r="P363" t="str">
            <v>0</v>
          </cell>
          <cell r="Q363">
            <v>18</v>
          </cell>
          <cell r="R363" t="str">
            <v>MRC</v>
          </cell>
          <cell r="S363" t="str">
            <v>ZZ</v>
          </cell>
          <cell r="T363">
            <v>11</v>
          </cell>
          <cell r="U363" t="str">
            <v>1302213030018MRCZZ11</v>
          </cell>
          <cell r="V363">
            <v>359</v>
          </cell>
          <cell r="W363" t="str">
            <v>MS: SOC CONTR - PENSION</v>
          </cell>
          <cell r="X363">
            <v>0</v>
          </cell>
          <cell r="Y363">
            <v>56509.919999999998</v>
          </cell>
          <cell r="Z363">
            <v>67811.90400000001</v>
          </cell>
          <cell r="AA363"/>
          <cell r="AB363">
            <v>0</v>
          </cell>
          <cell r="AC363">
            <v>155606.01463679998</v>
          </cell>
        </row>
        <row r="364">
          <cell r="F364" t="str">
            <v>MS: SOC CONTR - UNEMPLOYMENT INSUR FUND</v>
          </cell>
          <cell r="G364" t="str">
            <v>P213040</v>
          </cell>
          <cell r="H364" t="str">
            <v>P213040</v>
          </cell>
          <cell r="I364" t="str">
            <v>501302</v>
          </cell>
          <cell r="J364">
            <v>50</v>
          </cell>
          <cell r="K364" t="str">
            <v>13</v>
          </cell>
          <cell r="L364" t="str">
            <v>02</v>
          </cell>
          <cell r="M364" t="str">
            <v>2</v>
          </cell>
          <cell r="N364" t="str">
            <v>13</v>
          </cell>
          <cell r="O364" t="str">
            <v>040</v>
          </cell>
          <cell r="P364" t="str">
            <v>0</v>
          </cell>
          <cell r="Q364">
            <v>18</v>
          </cell>
          <cell r="R364" t="str">
            <v>MRC</v>
          </cell>
          <cell r="S364" t="str">
            <v>ZZ</v>
          </cell>
          <cell r="T364">
            <v>11</v>
          </cell>
          <cell r="U364" t="str">
            <v>1302213040018MRCZZ11</v>
          </cell>
          <cell r="V364">
            <v>360</v>
          </cell>
          <cell r="W364" t="str">
            <v>MS: SOC CONTR - UNEMPLOYMENT INSUR FUND</v>
          </cell>
          <cell r="X364">
            <v>0</v>
          </cell>
          <cell r="Y364">
            <v>3542.4</v>
          </cell>
          <cell r="Z364">
            <v>4250.88</v>
          </cell>
          <cell r="AA364"/>
          <cell r="AB364">
            <v>0</v>
          </cell>
          <cell r="AC364">
            <v>4454.9222399999999</v>
          </cell>
        </row>
        <row r="365">
          <cell r="F365" t="str">
            <v>OS: CATERING SERVICES(REFRESHMENTS)</v>
          </cell>
          <cell r="G365" t="str">
            <v>P226060</v>
          </cell>
          <cell r="H365" t="str">
            <v>P226060</v>
          </cell>
          <cell r="I365"/>
          <cell r="J365"/>
          <cell r="K365" t="str">
            <v>13</v>
          </cell>
          <cell r="L365" t="str">
            <v>02</v>
          </cell>
          <cell r="M365" t="str">
            <v>2</v>
          </cell>
          <cell r="N365" t="str">
            <v>26</v>
          </cell>
          <cell r="O365" t="str">
            <v>060</v>
          </cell>
          <cell r="P365" t="str">
            <v>H</v>
          </cell>
          <cell r="Q365">
            <v>18</v>
          </cell>
          <cell r="R365" t="str">
            <v>MRC</v>
          </cell>
          <cell r="S365" t="str">
            <v>ZZ</v>
          </cell>
          <cell r="T365">
            <v>11</v>
          </cell>
          <cell r="U365" t="str">
            <v>1302226060H18MRCZZ11</v>
          </cell>
          <cell r="V365">
            <v>361</v>
          </cell>
          <cell r="W365" t="str">
            <v>OS: CATERING SERVICES(REFRESHMENTS)</v>
          </cell>
          <cell r="X365">
            <v>0</v>
          </cell>
          <cell r="Y365">
            <v>0</v>
          </cell>
          <cell r="Z365">
            <v>0</v>
          </cell>
          <cell r="AA365"/>
          <cell r="AB365">
            <v>0</v>
          </cell>
          <cell r="AC365">
            <v>0</v>
          </cell>
        </row>
        <row r="366">
          <cell r="F366" t="str">
            <v>C&amp;PS: B&amp;A PROJECT MANAGEMENT</v>
          </cell>
          <cell r="G366" t="str">
            <v>P227334</v>
          </cell>
          <cell r="H366" t="str">
            <v>P227041</v>
          </cell>
          <cell r="I366"/>
          <cell r="J366"/>
          <cell r="K366" t="str">
            <v>13</v>
          </cell>
          <cell r="L366" t="str">
            <v>02</v>
          </cell>
          <cell r="M366" t="str">
            <v>2</v>
          </cell>
          <cell r="N366" t="str">
            <v>27</v>
          </cell>
          <cell r="O366" t="str">
            <v>041</v>
          </cell>
          <cell r="P366" t="str">
            <v>0</v>
          </cell>
          <cell r="Q366">
            <v>18</v>
          </cell>
          <cell r="R366" t="str">
            <v>MRC</v>
          </cell>
          <cell r="S366" t="str">
            <v>ZZ</v>
          </cell>
          <cell r="T366">
            <v>11</v>
          </cell>
          <cell r="U366" t="str">
            <v>1302227041018MRCZZ11</v>
          </cell>
          <cell r="V366">
            <v>362</v>
          </cell>
          <cell r="W366" t="str">
            <v>C&amp;PS: B&amp;A PROJECT MANAGEMENT</v>
          </cell>
          <cell r="X366">
            <v>15973</v>
          </cell>
          <cell r="Y366">
            <v>0</v>
          </cell>
          <cell r="Z366">
            <v>0</v>
          </cell>
          <cell r="AA366">
            <v>85000</v>
          </cell>
          <cell r="AB366">
            <v>100973</v>
          </cell>
          <cell r="AC366">
            <v>100000</v>
          </cell>
        </row>
        <row r="367">
          <cell r="F367" t="str">
            <v>OC: REG FEES NATIONAL</v>
          </cell>
          <cell r="G367" t="str">
            <v>P230452</v>
          </cell>
          <cell r="H367" t="str">
            <v>P230511</v>
          </cell>
          <cell r="I367"/>
          <cell r="J367"/>
          <cell r="K367" t="str">
            <v>13</v>
          </cell>
          <cell r="L367" t="str">
            <v>02</v>
          </cell>
          <cell r="M367" t="str">
            <v>2</v>
          </cell>
          <cell r="N367" t="str">
            <v>30</v>
          </cell>
          <cell r="O367" t="str">
            <v>511</v>
          </cell>
          <cell r="P367" t="str">
            <v>0</v>
          </cell>
          <cell r="Q367">
            <v>18</v>
          </cell>
          <cell r="R367" t="str">
            <v>MRC</v>
          </cell>
          <cell r="S367" t="str">
            <v>ZZ</v>
          </cell>
          <cell r="T367">
            <v>11</v>
          </cell>
          <cell r="U367" t="str">
            <v>1302230511018MRCZZ11</v>
          </cell>
          <cell r="V367">
            <v>363</v>
          </cell>
          <cell r="W367" t="str">
            <v>OC: REG FEES NATIONAL</v>
          </cell>
          <cell r="X367">
            <v>0</v>
          </cell>
          <cell r="Y367">
            <v>0</v>
          </cell>
          <cell r="Z367">
            <v>0</v>
          </cell>
          <cell r="AA367"/>
          <cell r="AB367">
            <v>0</v>
          </cell>
          <cell r="AC367">
            <v>0</v>
          </cell>
        </row>
        <row r="368">
          <cell r="F368" t="str">
            <v>OC: SKILLS DEVELOPMENT FUND LEVY</v>
          </cell>
          <cell r="G368" t="str">
            <v>P230452</v>
          </cell>
          <cell r="H368" t="str">
            <v>P230541</v>
          </cell>
          <cell r="I368"/>
          <cell r="J368"/>
          <cell r="K368" t="str">
            <v>13</v>
          </cell>
          <cell r="L368" t="str">
            <v>02</v>
          </cell>
          <cell r="M368" t="str">
            <v>2</v>
          </cell>
          <cell r="N368" t="str">
            <v>30</v>
          </cell>
          <cell r="O368" t="str">
            <v>541</v>
          </cell>
          <cell r="P368" t="str">
            <v>0</v>
          </cell>
          <cell r="Q368">
            <v>18</v>
          </cell>
          <cell r="R368" t="str">
            <v>MRC</v>
          </cell>
          <cell r="S368" t="str">
            <v>ZZ</v>
          </cell>
          <cell r="T368">
            <v>11</v>
          </cell>
          <cell r="U368" t="str">
            <v>1302230541018MRCZZ11</v>
          </cell>
          <cell r="V368">
            <v>364</v>
          </cell>
          <cell r="W368" t="str">
            <v>OC: SKILLS DEVELOPMENT FUND LEVY</v>
          </cell>
          <cell r="X368">
            <v>0</v>
          </cell>
          <cell r="Y368">
            <v>0</v>
          </cell>
          <cell r="Z368">
            <v>0</v>
          </cell>
          <cell r="AA368"/>
          <cell r="AB368">
            <v>0</v>
          </cell>
          <cell r="AC368">
            <v>0</v>
          </cell>
        </row>
        <row r="369">
          <cell r="F369" t="str">
            <v>OC: T&amp;S DOM - ACCOMMODATION</v>
          </cell>
          <cell r="G369" t="str">
            <v>P230452</v>
          </cell>
          <cell r="H369" t="str">
            <v>P230576</v>
          </cell>
          <cell r="I369"/>
          <cell r="J369"/>
          <cell r="K369" t="str">
            <v>13</v>
          </cell>
          <cell r="L369" t="str">
            <v>02</v>
          </cell>
          <cell r="M369" t="str">
            <v>2</v>
          </cell>
          <cell r="N369" t="str">
            <v>30</v>
          </cell>
          <cell r="O369" t="str">
            <v>576</v>
          </cell>
          <cell r="P369" t="str">
            <v>0</v>
          </cell>
          <cell r="Q369">
            <v>18</v>
          </cell>
          <cell r="R369" t="str">
            <v>MRC</v>
          </cell>
          <cell r="S369" t="str">
            <v>ZZ</v>
          </cell>
          <cell r="T369">
            <v>11</v>
          </cell>
          <cell r="U369" t="str">
            <v>1302230576018MRCZZ11</v>
          </cell>
          <cell r="V369">
            <v>365</v>
          </cell>
          <cell r="W369" t="str">
            <v>OC: T&amp;S DOM - ACCOMMODATION</v>
          </cell>
          <cell r="X369">
            <v>0</v>
          </cell>
          <cell r="Y369">
            <v>0</v>
          </cell>
          <cell r="Z369">
            <v>0</v>
          </cell>
          <cell r="AA369"/>
          <cell r="AB369">
            <v>0</v>
          </cell>
          <cell r="AC369">
            <v>0</v>
          </cell>
        </row>
        <row r="370">
          <cell r="F370" t="str">
            <v>OC: T&amp;S DOM - DAILY ALLOWANCE</v>
          </cell>
          <cell r="G370" t="str">
            <v>P230452</v>
          </cell>
          <cell r="H370" t="str">
            <v>P230577</v>
          </cell>
          <cell r="I370"/>
          <cell r="J370"/>
          <cell r="K370" t="str">
            <v>13</v>
          </cell>
          <cell r="L370" t="str">
            <v>02</v>
          </cell>
          <cell r="M370" t="str">
            <v>2</v>
          </cell>
          <cell r="N370" t="str">
            <v>30</v>
          </cell>
          <cell r="O370" t="str">
            <v>577</v>
          </cell>
          <cell r="P370" t="str">
            <v>0</v>
          </cell>
          <cell r="Q370">
            <v>18</v>
          </cell>
          <cell r="R370" t="str">
            <v>MRC</v>
          </cell>
          <cell r="S370" t="str">
            <v>ZZ</v>
          </cell>
          <cell r="T370">
            <v>11</v>
          </cell>
          <cell r="U370" t="str">
            <v>1302230577018MRCZZ11</v>
          </cell>
          <cell r="V370">
            <v>366</v>
          </cell>
          <cell r="W370" t="str">
            <v>OC: T&amp;S DOM - DAILY ALLOWANCE</v>
          </cell>
          <cell r="X370">
            <v>0</v>
          </cell>
          <cell r="Y370">
            <v>0</v>
          </cell>
          <cell r="Z370">
            <v>0</v>
          </cell>
          <cell r="AA370"/>
          <cell r="AB370">
            <v>0</v>
          </cell>
          <cell r="AC370">
            <v>0</v>
          </cell>
        </row>
        <row r="371">
          <cell r="F371" t="str">
            <v>OC: T&amp;S DOM TRP - WITHOUT OPR CAR RENTAL</v>
          </cell>
          <cell r="G371" t="str">
            <v>P230452</v>
          </cell>
          <cell r="H371" t="str">
            <v>P230580</v>
          </cell>
          <cell r="I371"/>
          <cell r="J371"/>
          <cell r="K371" t="str">
            <v>13</v>
          </cell>
          <cell r="L371" t="str">
            <v>02</v>
          </cell>
          <cell r="M371" t="str">
            <v>2</v>
          </cell>
          <cell r="N371" t="str">
            <v>30</v>
          </cell>
          <cell r="O371" t="str">
            <v>580</v>
          </cell>
          <cell r="P371" t="str">
            <v>0</v>
          </cell>
          <cell r="Q371">
            <v>18</v>
          </cell>
          <cell r="R371" t="str">
            <v>MRC</v>
          </cell>
          <cell r="S371" t="str">
            <v>ZZ</v>
          </cell>
          <cell r="T371">
            <v>11</v>
          </cell>
          <cell r="U371" t="str">
            <v>1302230580018MRCZZ11</v>
          </cell>
          <cell r="V371">
            <v>367</v>
          </cell>
          <cell r="W371" t="str">
            <v>OC: T&amp;S DOM TRP - WITHOUT OPR CAR RENTAL</v>
          </cell>
          <cell r="X371">
            <v>0</v>
          </cell>
          <cell r="Y371">
            <v>0</v>
          </cell>
          <cell r="Z371">
            <v>0</v>
          </cell>
          <cell r="AA371"/>
          <cell r="AB371">
            <v>0</v>
          </cell>
          <cell r="AC371">
            <v>0</v>
          </cell>
        </row>
        <row r="372">
          <cell r="F372" t="str">
            <v>OC: T&amp;S DOM PUB TRP - AIR TRANSPORT</v>
          </cell>
          <cell r="G372" t="str">
            <v>P230452</v>
          </cell>
          <cell r="H372" t="str">
            <v>P230583</v>
          </cell>
          <cell r="I372"/>
          <cell r="J372"/>
          <cell r="K372" t="str">
            <v>13</v>
          </cell>
          <cell r="L372" t="str">
            <v>02</v>
          </cell>
          <cell r="M372" t="str">
            <v>2</v>
          </cell>
          <cell r="N372" t="str">
            <v>30</v>
          </cell>
          <cell r="O372" t="str">
            <v>583</v>
          </cell>
          <cell r="P372" t="str">
            <v>0</v>
          </cell>
          <cell r="Q372">
            <v>18</v>
          </cell>
          <cell r="R372" t="str">
            <v>MRC</v>
          </cell>
          <cell r="S372" t="str">
            <v>ZZ</v>
          </cell>
          <cell r="T372">
            <v>11</v>
          </cell>
          <cell r="U372" t="str">
            <v>1302230583018MRCZZ11</v>
          </cell>
          <cell r="V372">
            <v>368</v>
          </cell>
          <cell r="W372" t="str">
            <v>OC: T&amp;S DOM PUB TRP - AIR TRANSPORT</v>
          </cell>
          <cell r="X372">
            <v>0</v>
          </cell>
          <cell r="Y372">
            <v>0</v>
          </cell>
          <cell r="Z372">
            <v>0</v>
          </cell>
          <cell r="AA372"/>
          <cell r="AB372">
            <v>0</v>
          </cell>
          <cell r="AC372">
            <v>0</v>
          </cell>
        </row>
        <row r="373">
          <cell r="F373" t="str">
            <v>INVENTORY - MATERIALS &amp; SUPPLIES(PRINT&amp;</v>
          </cell>
          <cell r="G373" t="str">
            <v>P232360</v>
          </cell>
          <cell r="H373" t="str">
            <v>P232360</v>
          </cell>
          <cell r="I373"/>
          <cell r="J373"/>
          <cell r="K373" t="str">
            <v>13</v>
          </cell>
          <cell r="L373" t="str">
            <v>02</v>
          </cell>
          <cell r="M373" t="str">
            <v>2</v>
          </cell>
          <cell r="N373" t="str">
            <v>32</v>
          </cell>
          <cell r="O373" t="str">
            <v>360</v>
          </cell>
          <cell r="P373" t="str">
            <v>D</v>
          </cell>
          <cell r="Q373">
            <v>18</v>
          </cell>
          <cell r="R373" t="str">
            <v>MRC</v>
          </cell>
          <cell r="S373" t="str">
            <v>ZZ</v>
          </cell>
          <cell r="T373">
            <v>11</v>
          </cell>
          <cell r="U373" t="str">
            <v>1302232360D18MRCZZ11</v>
          </cell>
          <cell r="V373">
            <v>369</v>
          </cell>
          <cell r="W373" t="str">
            <v>INVENTORY - MATERIALS &amp; SUPPLIES(PRINT&amp;</v>
          </cell>
          <cell r="X373">
            <v>0</v>
          </cell>
          <cell r="Y373">
            <v>0</v>
          </cell>
          <cell r="Z373">
            <v>0</v>
          </cell>
          <cell r="AA373">
            <v>28000</v>
          </cell>
          <cell r="AB373">
            <v>28000</v>
          </cell>
          <cell r="AC373">
            <v>28000</v>
          </cell>
        </row>
        <row r="374">
          <cell r="F374" t="str">
            <v>MS: SAL &amp; ALL: BASIC SALARY &amp; WAGES</v>
          </cell>
          <cell r="G374" t="str">
            <v>P211001</v>
          </cell>
          <cell r="H374" t="str">
            <v>P211001</v>
          </cell>
          <cell r="I374" t="str">
            <v>501303</v>
          </cell>
          <cell r="J374">
            <v>50</v>
          </cell>
          <cell r="K374" t="str">
            <v>13</v>
          </cell>
          <cell r="L374" t="str">
            <v>03</v>
          </cell>
          <cell r="M374" t="str">
            <v>2</v>
          </cell>
          <cell r="N374" t="str">
            <v>11</v>
          </cell>
          <cell r="O374" t="str">
            <v>001</v>
          </cell>
          <cell r="P374" t="str">
            <v>0</v>
          </cell>
          <cell r="Q374">
            <v>18</v>
          </cell>
          <cell r="R374" t="str">
            <v>MRC</v>
          </cell>
          <cell r="S374" t="str">
            <v>ZZ</v>
          </cell>
          <cell r="T374">
            <v>11</v>
          </cell>
          <cell r="U374" t="str">
            <v>1303211001018MRCZZ11</v>
          </cell>
          <cell r="V374">
            <v>370</v>
          </cell>
          <cell r="W374" t="str">
            <v>MS: SAL &amp; ALL: BASIC SALARY &amp; WAGES</v>
          </cell>
          <cell r="X374">
            <v>1394560</v>
          </cell>
          <cell r="Y374">
            <v>1251391.99</v>
          </cell>
          <cell r="Z374">
            <v>1501670.3879999998</v>
          </cell>
          <cell r="AA374"/>
          <cell r="AB374">
            <v>1394560</v>
          </cell>
          <cell r="AC374">
            <v>1453025.8</v>
          </cell>
        </row>
        <row r="375">
          <cell r="F375" t="str">
            <v>MS: ALL - CELLULAR &amp; TELEPHONE</v>
          </cell>
          <cell r="G375" t="str">
            <v>P211022</v>
          </cell>
          <cell r="H375" t="str">
            <v>P211022</v>
          </cell>
          <cell r="I375" t="str">
            <v>501303</v>
          </cell>
          <cell r="J375">
            <v>50</v>
          </cell>
          <cell r="K375" t="str">
            <v>13</v>
          </cell>
          <cell r="L375" t="str">
            <v>03</v>
          </cell>
          <cell r="M375" t="str">
            <v>2</v>
          </cell>
          <cell r="N375" t="str">
            <v>11</v>
          </cell>
          <cell r="O375" t="str">
            <v>022</v>
          </cell>
          <cell r="P375" t="str">
            <v>0</v>
          </cell>
          <cell r="Q375">
            <v>18</v>
          </cell>
          <cell r="R375" t="str">
            <v>MRC</v>
          </cell>
          <cell r="S375" t="str">
            <v>ZZ</v>
          </cell>
          <cell r="T375">
            <v>11</v>
          </cell>
          <cell r="U375" t="str">
            <v>1303211022018MRCZZ11</v>
          </cell>
          <cell r="V375">
            <v>371</v>
          </cell>
          <cell r="W375" t="str">
            <v>MS: ALL - CELLULAR &amp; TELEPHONE</v>
          </cell>
          <cell r="X375">
            <v>13158</v>
          </cell>
          <cell r="Y375">
            <v>11000</v>
          </cell>
          <cell r="Z375">
            <v>13200</v>
          </cell>
          <cell r="AA375"/>
          <cell r="AB375">
            <v>13158</v>
          </cell>
          <cell r="AC375">
            <v>12576</v>
          </cell>
        </row>
        <row r="376">
          <cell r="F376" t="str">
            <v>MS: HB &amp; INC: HOUSING BENEFITS</v>
          </cell>
          <cell r="G376" t="str">
            <v>P211026</v>
          </cell>
          <cell r="H376" t="str">
            <v>P211026</v>
          </cell>
          <cell r="I376" t="str">
            <v>501303</v>
          </cell>
          <cell r="J376">
            <v>50</v>
          </cell>
          <cell r="K376" t="str">
            <v>13</v>
          </cell>
          <cell r="L376" t="str">
            <v>03</v>
          </cell>
          <cell r="M376" t="str">
            <v>2</v>
          </cell>
          <cell r="N376" t="str">
            <v>11</v>
          </cell>
          <cell r="O376" t="str">
            <v>026</v>
          </cell>
          <cell r="P376" t="str">
            <v>0</v>
          </cell>
          <cell r="Q376">
            <v>18</v>
          </cell>
          <cell r="R376" t="str">
            <v>MRC</v>
          </cell>
          <cell r="S376" t="str">
            <v>ZZ</v>
          </cell>
          <cell r="T376">
            <v>11</v>
          </cell>
          <cell r="U376" t="str">
            <v>1303211026018MRCZZ11</v>
          </cell>
          <cell r="V376">
            <v>372</v>
          </cell>
          <cell r="W376" t="str">
            <v>MS: HB &amp; INC: HOUSING BENEFITS</v>
          </cell>
          <cell r="X376">
            <v>0</v>
          </cell>
          <cell r="Y376">
            <v>0</v>
          </cell>
          <cell r="Z376">
            <v>0</v>
          </cell>
          <cell r="AA376"/>
          <cell r="AB376">
            <v>0</v>
          </cell>
          <cell r="AC376">
            <v>0</v>
          </cell>
        </row>
        <row r="377">
          <cell r="F377" t="str">
            <v>MS: ALL - TRAVEL OR MOTOR VEHICLE (SUBS</v>
          </cell>
          <cell r="G377" t="str">
            <v>P211034</v>
          </cell>
          <cell r="H377" t="str">
            <v>P211034</v>
          </cell>
          <cell r="I377" t="str">
            <v>501303</v>
          </cell>
          <cell r="J377">
            <v>50</v>
          </cell>
          <cell r="K377" t="str">
            <v>13</v>
          </cell>
          <cell r="L377" t="str">
            <v>03</v>
          </cell>
          <cell r="M377" t="str">
            <v>2</v>
          </cell>
          <cell r="N377" t="str">
            <v>11</v>
          </cell>
          <cell r="O377" t="str">
            <v>034</v>
          </cell>
          <cell r="P377" t="str">
            <v>1</v>
          </cell>
          <cell r="Q377">
            <v>18</v>
          </cell>
          <cell r="R377" t="str">
            <v>MRC</v>
          </cell>
          <cell r="S377" t="str">
            <v>ZZ</v>
          </cell>
          <cell r="T377">
            <v>11</v>
          </cell>
          <cell r="U377" t="str">
            <v>1303211034118MRCZZ11</v>
          </cell>
          <cell r="V377">
            <v>373</v>
          </cell>
          <cell r="W377" t="str">
            <v>MS: ALL - TRAVEL OR MOTOR VEHICLE (SUBS</v>
          </cell>
          <cell r="X377">
            <v>246720</v>
          </cell>
          <cell r="Y377">
            <v>221725.07</v>
          </cell>
          <cell r="Z377">
            <v>266070.08400000003</v>
          </cell>
          <cell r="AA377"/>
          <cell r="AB377">
            <v>246720</v>
          </cell>
          <cell r="AC377">
            <v>0</v>
          </cell>
        </row>
        <row r="378">
          <cell r="F378" t="str">
            <v>MS: SRB - ACTING ALLOWANCE</v>
          </cell>
          <cell r="G378" t="str">
            <v>P211044</v>
          </cell>
          <cell r="H378" t="str">
            <v>P211044</v>
          </cell>
          <cell r="I378" t="str">
            <v>501303</v>
          </cell>
          <cell r="J378">
            <v>50</v>
          </cell>
          <cell r="K378" t="str">
            <v>13</v>
          </cell>
          <cell r="L378" t="str">
            <v>03</v>
          </cell>
          <cell r="M378" t="str">
            <v>2</v>
          </cell>
          <cell r="N378" t="str">
            <v>11</v>
          </cell>
          <cell r="O378" t="str">
            <v>044</v>
          </cell>
          <cell r="P378" t="str">
            <v>0</v>
          </cell>
          <cell r="Q378">
            <v>18</v>
          </cell>
          <cell r="R378" t="str">
            <v>MRC</v>
          </cell>
          <cell r="S378" t="str">
            <v>ZZ</v>
          </cell>
          <cell r="T378">
            <v>11</v>
          </cell>
          <cell r="U378" t="str">
            <v>1303211044018MRCZZ11</v>
          </cell>
          <cell r="V378">
            <v>374</v>
          </cell>
          <cell r="W378" t="str">
            <v>MS: SRB - ACTING ALLOWANCE</v>
          </cell>
          <cell r="X378">
            <v>0</v>
          </cell>
          <cell r="Y378">
            <v>0</v>
          </cell>
          <cell r="Z378">
            <v>0</v>
          </cell>
          <cell r="AA378"/>
          <cell r="AB378">
            <v>0</v>
          </cell>
          <cell r="AC378">
            <v>0</v>
          </cell>
        </row>
        <row r="379">
          <cell r="F379" t="str">
            <v>MS: SRB - ANNUAL BONUS</v>
          </cell>
          <cell r="G379" t="str">
            <v>P211046</v>
          </cell>
          <cell r="H379" t="str">
            <v>P211046</v>
          </cell>
          <cell r="I379" t="str">
            <v>501303</v>
          </cell>
          <cell r="J379">
            <v>50</v>
          </cell>
          <cell r="K379" t="str">
            <v>13</v>
          </cell>
          <cell r="L379" t="str">
            <v>03</v>
          </cell>
          <cell r="M379" t="str">
            <v>2</v>
          </cell>
          <cell r="N379" t="str">
            <v>11</v>
          </cell>
          <cell r="O379" t="str">
            <v>046</v>
          </cell>
          <cell r="P379" t="str">
            <v>0</v>
          </cell>
          <cell r="Q379">
            <v>18</v>
          </cell>
          <cell r="R379" t="str">
            <v>MRC</v>
          </cell>
          <cell r="S379" t="str">
            <v>ZZ</v>
          </cell>
          <cell r="T379">
            <v>11</v>
          </cell>
          <cell r="U379" t="str">
            <v>1303211046018MRCZZ11</v>
          </cell>
          <cell r="V379">
            <v>375</v>
          </cell>
          <cell r="W379" t="str">
            <v>MS: SRB - ANNUAL BONUS</v>
          </cell>
          <cell r="X379">
            <v>0</v>
          </cell>
          <cell r="Y379">
            <v>21759</v>
          </cell>
          <cell r="Z379">
            <v>26110.800000000003</v>
          </cell>
          <cell r="AA379"/>
          <cell r="AB379">
            <v>0</v>
          </cell>
          <cell r="AC379">
            <v>0</v>
          </cell>
        </row>
        <row r="380">
          <cell r="F380" t="str">
            <v>MS: SOC CONTR - BARGAINING COUNCIL</v>
          </cell>
          <cell r="G380" t="str">
            <v>P213001</v>
          </cell>
          <cell r="H380" t="str">
            <v>P213001</v>
          </cell>
          <cell r="I380" t="str">
            <v>501303</v>
          </cell>
          <cell r="J380">
            <v>50</v>
          </cell>
          <cell r="K380" t="str">
            <v>13</v>
          </cell>
          <cell r="L380" t="str">
            <v>03</v>
          </cell>
          <cell r="M380" t="str">
            <v>2</v>
          </cell>
          <cell r="N380" t="str">
            <v>13</v>
          </cell>
          <cell r="O380" t="str">
            <v>001</v>
          </cell>
          <cell r="P380" t="str">
            <v>0</v>
          </cell>
          <cell r="Q380">
            <v>18</v>
          </cell>
          <cell r="R380" t="str">
            <v>MRC</v>
          </cell>
          <cell r="S380" t="str">
            <v>ZZ</v>
          </cell>
          <cell r="T380">
            <v>11</v>
          </cell>
          <cell r="U380" t="str">
            <v>1303213001018MRCZZ11</v>
          </cell>
          <cell r="V380">
            <v>376</v>
          </cell>
          <cell r="W380" t="str">
            <v>MS: SOC CONTR - BARGAINING COUNCIL</v>
          </cell>
          <cell r="X380">
            <v>204</v>
          </cell>
          <cell r="Y380">
            <v>216.3</v>
          </cell>
          <cell r="Z380">
            <v>259.56000000000006</v>
          </cell>
          <cell r="AA380"/>
          <cell r="AB380">
            <v>204</v>
          </cell>
          <cell r="AC380">
            <v>0</v>
          </cell>
        </row>
        <row r="381">
          <cell r="F381" t="str">
            <v>MS: SOC CONTR - GROUP LIFE INSURANCE</v>
          </cell>
          <cell r="G381" t="str">
            <v>P213010</v>
          </cell>
          <cell r="H381" t="str">
            <v>P213010</v>
          </cell>
          <cell r="I381" t="str">
            <v>501303</v>
          </cell>
          <cell r="J381">
            <v>50</v>
          </cell>
          <cell r="K381" t="str">
            <v>13</v>
          </cell>
          <cell r="L381" t="str">
            <v>03</v>
          </cell>
          <cell r="M381" t="str">
            <v>2</v>
          </cell>
          <cell r="N381" t="str">
            <v>13</v>
          </cell>
          <cell r="O381" t="str">
            <v>010</v>
          </cell>
          <cell r="P381" t="str">
            <v>0</v>
          </cell>
          <cell r="Q381">
            <v>18</v>
          </cell>
          <cell r="R381" t="str">
            <v>MRC</v>
          </cell>
          <cell r="S381" t="str">
            <v>ZZ</v>
          </cell>
          <cell r="T381">
            <v>11</v>
          </cell>
          <cell r="U381" t="str">
            <v>1303213010018MRCZZ11</v>
          </cell>
          <cell r="V381">
            <v>377</v>
          </cell>
          <cell r="W381" t="str">
            <v>MS: SOC CONTR - GROUP LIFE INSURANCE</v>
          </cell>
          <cell r="X381">
            <v>3026</v>
          </cell>
          <cell r="Y381">
            <v>1221.7</v>
          </cell>
          <cell r="Z381">
            <v>1466.04</v>
          </cell>
          <cell r="AA381"/>
          <cell r="AB381">
            <v>3026</v>
          </cell>
          <cell r="AC381">
            <v>0</v>
          </cell>
        </row>
        <row r="382">
          <cell r="F382" t="str">
            <v>MS: SOC CONTR - MEDICAL</v>
          </cell>
          <cell r="G382" t="str">
            <v>P213020</v>
          </cell>
          <cell r="H382" t="str">
            <v>P213020</v>
          </cell>
          <cell r="I382" t="str">
            <v>501303</v>
          </cell>
          <cell r="J382">
            <v>50</v>
          </cell>
          <cell r="K382" t="str">
            <v>13</v>
          </cell>
          <cell r="L382" t="str">
            <v>03</v>
          </cell>
          <cell r="M382" t="str">
            <v>2</v>
          </cell>
          <cell r="N382" t="str">
            <v>13</v>
          </cell>
          <cell r="O382" t="str">
            <v>020</v>
          </cell>
          <cell r="P382" t="str">
            <v>0</v>
          </cell>
          <cell r="Q382">
            <v>18</v>
          </cell>
          <cell r="R382" t="str">
            <v>MRC</v>
          </cell>
          <cell r="S382" t="str">
            <v>ZZ</v>
          </cell>
          <cell r="T382">
            <v>11</v>
          </cell>
          <cell r="U382" t="str">
            <v>1303213020018MRCZZ11</v>
          </cell>
          <cell r="V382">
            <v>378</v>
          </cell>
          <cell r="W382" t="str">
            <v>MS: SOC CONTR - MEDICAL</v>
          </cell>
          <cell r="X382">
            <v>73040</v>
          </cell>
          <cell r="Y382">
            <v>77111.64</v>
          </cell>
          <cell r="Z382">
            <v>92533.967999999993</v>
          </cell>
          <cell r="AA382"/>
          <cell r="AB382">
            <v>73040</v>
          </cell>
          <cell r="AC382">
            <v>0</v>
          </cell>
        </row>
        <row r="383">
          <cell r="F383" t="str">
            <v>MS: SOC CONTR - PENSION</v>
          </cell>
          <cell r="G383" t="str">
            <v>P213030</v>
          </cell>
          <cell r="H383" t="str">
            <v>P213030</v>
          </cell>
          <cell r="I383" t="str">
            <v>501303</v>
          </cell>
          <cell r="J383">
            <v>50</v>
          </cell>
          <cell r="K383" t="str">
            <v>13</v>
          </cell>
          <cell r="L383" t="str">
            <v>03</v>
          </cell>
          <cell r="M383" t="str">
            <v>2</v>
          </cell>
          <cell r="N383" t="str">
            <v>13</v>
          </cell>
          <cell r="O383" t="str">
            <v>030</v>
          </cell>
          <cell r="P383" t="str">
            <v>0</v>
          </cell>
          <cell r="Q383">
            <v>18</v>
          </cell>
          <cell r="R383" t="str">
            <v>MRC</v>
          </cell>
          <cell r="S383" t="str">
            <v>ZZ</v>
          </cell>
          <cell r="T383">
            <v>11</v>
          </cell>
          <cell r="U383" t="str">
            <v>1303213030018MRCZZ11</v>
          </cell>
          <cell r="V383">
            <v>379</v>
          </cell>
          <cell r="W383" t="str">
            <v>MS: SOC CONTR - PENSION</v>
          </cell>
          <cell r="X383">
            <v>31242</v>
          </cell>
          <cell r="Y383">
            <v>39451.51</v>
          </cell>
          <cell r="Z383">
            <v>47341.812000000005</v>
          </cell>
          <cell r="AA383"/>
          <cell r="AB383">
            <v>31242</v>
          </cell>
          <cell r="AC383">
            <v>0</v>
          </cell>
        </row>
        <row r="384">
          <cell r="F384" t="str">
            <v>MS: SOC CONTR - UNEMPLOYMENT INSUR FUND</v>
          </cell>
          <cell r="G384" t="str">
            <v>P213040</v>
          </cell>
          <cell r="H384" t="str">
            <v>P213040</v>
          </cell>
          <cell r="I384" t="str">
            <v>501303</v>
          </cell>
          <cell r="J384">
            <v>50</v>
          </cell>
          <cell r="K384" t="str">
            <v>13</v>
          </cell>
          <cell r="L384" t="str">
            <v>03</v>
          </cell>
          <cell r="M384" t="str">
            <v>2</v>
          </cell>
          <cell r="N384" t="str">
            <v>13</v>
          </cell>
          <cell r="O384" t="str">
            <v>040</v>
          </cell>
          <cell r="P384" t="str">
            <v>0</v>
          </cell>
          <cell r="Q384">
            <v>18</v>
          </cell>
          <cell r="R384" t="str">
            <v>MRC</v>
          </cell>
          <cell r="S384" t="str">
            <v>ZZ</v>
          </cell>
          <cell r="T384">
            <v>11</v>
          </cell>
          <cell r="U384" t="str">
            <v>1303213040018MRCZZ11</v>
          </cell>
          <cell r="V384">
            <v>380</v>
          </cell>
          <cell r="W384" t="str">
            <v>MS: SOC CONTR - UNEMPLOYMENT INSUR FUND</v>
          </cell>
          <cell r="X384">
            <v>3058</v>
          </cell>
          <cell r="Y384">
            <v>3719.52</v>
          </cell>
          <cell r="Z384">
            <v>4463.424</v>
          </cell>
          <cell r="AA384"/>
          <cell r="AB384">
            <v>3058</v>
          </cell>
          <cell r="AC384">
            <v>0</v>
          </cell>
        </row>
        <row r="385">
          <cell r="F385" t="str">
            <v>OS: CATERING SERVICES(REFRESHMENTS)</v>
          </cell>
          <cell r="G385" t="str">
            <v>P226060</v>
          </cell>
          <cell r="H385" t="str">
            <v>P226060</v>
          </cell>
          <cell r="I385"/>
          <cell r="J385"/>
          <cell r="K385" t="str">
            <v>13</v>
          </cell>
          <cell r="L385" t="str">
            <v>03</v>
          </cell>
          <cell r="M385" t="str">
            <v>2</v>
          </cell>
          <cell r="N385" t="str">
            <v>26</v>
          </cell>
          <cell r="O385" t="str">
            <v>060</v>
          </cell>
          <cell r="P385" t="str">
            <v>H</v>
          </cell>
          <cell r="Q385">
            <v>18</v>
          </cell>
          <cell r="R385" t="str">
            <v>MRC</v>
          </cell>
          <cell r="S385" t="str">
            <v>ZZ</v>
          </cell>
          <cell r="T385">
            <v>11</v>
          </cell>
          <cell r="U385" t="str">
            <v>1303226060H18MRCZZ11</v>
          </cell>
          <cell r="V385">
            <v>381</v>
          </cell>
          <cell r="W385" t="str">
            <v>OS: CATERING SERVICES(REFRESHMENTS)</v>
          </cell>
          <cell r="X385">
            <v>0</v>
          </cell>
          <cell r="Y385">
            <v>0</v>
          </cell>
          <cell r="Z385">
            <v>0</v>
          </cell>
          <cell r="AA385"/>
          <cell r="AB385">
            <v>0</v>
          </cell>
          <cell r="AC385">
            <v>15720</v>
          </cell>
        </row>
        <row r="386">
          <cell r="F386" t="str">
            <v>OC: SKILLS DEVELOPMENT FUND LEVY</v>
          </cell>
          <cell r="G386" t="str">
            <v>P230452</v>
          </cell>
          <cell r="H386" t="str">
            <v>P230541</v>
          </cell>
          <cell r="I386"/>
          <cell r="J386"/>
          <cell r="K386" t="str">
            <v>13</v>
          </cell>
          <cell r="L386" t="str">
            <v>03</v>
          </cell>
          <cell r="M386" t="str">
            <v>2</v>
          </cell>
          <cell r="N386" t="str">
            <v>30</v>
          </cell>
          <cell r="O386" t="str">
            <v>541</v>
          </cell>
          <cell r="P386" t="str">
            <v>0</v>
          </cell>
          <cell r="Q386">
            <v>18</v>
          </cell>
          <cell r="R386" t="str">
            <v>MRC</v>
          </cell>
          <cell r="S386" t="str">
            <v>ZZ</v>
          </cell>
          <cell r="T386">
            <v>11</v>
          </cell>
          <cell r="U386" t="str">
            <v>1303230541018MRCZZ11</v>
          </cell>
          <cell r="V386">
            <v>382</v>
          </cell>
          <cell r="W386" t="str">
            <v>OC: SKILLS DEVELOPMENT FUND LEVY</v>
          </cell>
          <cell r="X386">
            <v>0</v>
          </cell>
          <cell r="Y386">
            <v>0</v>
          </cell>
          <cell r="Z386">
            <v>0</v>
          </cell>
          <cell r="AA386"/>
          <cell r="AB386">
            <v>0</v>
          </cell>
          <cell r="AC386">
            <v>0</v>
          </cell>
        </row>
        <row r="387">
          <cell r="F387" t="str">
            <v>OC: T&amp;S DOM - ACCOMMODATION</v>
          </cell>
          <cell r="G387" t="str">
            <v>P230452</v>
          </cell>
          <cell r="H387" t="str">
            <v>P230576</v>
          </cell>
          <cell r="I387"/>
          <cell r="J387"/>
          <cell r="K387" t="str">
            <v>13</v>
          </cell>
          <cell r="L387" t="str">
            <v>03</v>
          </cell>
          <cell r="M387" t="str">
            <v>2</v>
          </cell>
          <cell r="N387" t="str">
            <v>30</v>
          </cell>
          <cell r="O387" t="str">
            <v>576</v>
          </cell>
          <cell r="P387" t="str">
            <v>0</v>
          </cell>
          <cell r="Q387">
            <v>18</v>
          </cell>
          <cell r="R387" t="str">
            <v>MRC</v>
          </cell>
          <cell r="S387" t="str">
            <v>ZZ</v>
          </cell>
          <cell r="T387">
            <v>11</v>
          </cell>
          <cell r="U387" t="str">
            <v>1303230576018MRCZZ11</v>
          </cell>
          <cell r="V387">
            <v>383</v>
          </cell>
          <cell r="W387" t="str">
            <v>OC: T&amp;S DOM - ACCOMMODATION</v>
          </cell>
          <cell r="X387">
            <v>0</v>
          </cell>
          <cell r="Y387">
            <v>0</v>
          </cell>
          <cell r="Z387">
            <v>0</v>
          </cell>
          <cell r="AA387"/>
          <cell r="AB387">
            <v>0</v>
          </cell>
          <cell r="AC387">
            <v>0</v>
          </cell>
        </row>
        <row r="388">
          <cell r="F388" t="str">
            <v>OC: T&amp;S DOM - DAILY ALLOWANCE</v>
          </cell>
          <cell r="G388" t="str">
            <v>P230452</v>
          </cell>
          <cell r="H388" t="str">
            <v>P230577</v>
          </cell>
          <cell r="I388"/>
          <cell r="J388"/>
          <cell r="K388" t="str">
            <v>13</v>
          </cell>
          <cell r="L388" t="str">
            <v>03</v>
          </cell>
          <cell r="M388" t="str">
            <v>2</v>
          </cell>
          <cell r="N388" t="str">
            <v>30</v>
          </cell>
          <cell r="O388" t="str">
            <v>577</v>
          </cell>
          <cell r="P388" t="str">
            <v>0</v>
          </cell>
          <cell r="Q388">
            <v>18</v>
          </cell>
          <cell r="R388" t="str">
            <v>MRC</v>
          </cell>
          <cell r="S388" t="str">
            <v>ZZ</v>
          </cell>
          <cell r="T388">
            <v>11</v>
          </cell>
          <cell r="U388" t="str">
            <v>1303230577018MRCZZ11</v>
          </cell>
          <cell r="V388">
            <v>384</v>
          </cell>
          <cell r="W388" t="str">
            <v>OC: T&amp;S DOM - DAILY ALLOWANCE</v>
          </cell>
          <cell r="X388">
            <v>0</v>
          </cell>
          <cell r="Y388">
            <v>0</v>
          </cell>
          <cell r="Z388">
            <v>0</v>
          </cell>
          <cell r="AA388"/>
          <cell r="AB388">
            <v>0</v>
          </cell>
          <cell r="AC388">
            <v>0</v>
          </cell>
        </row>
        <row r="389">
          <cell r="F389" t="str">
            <v>OC: T&amp;S DOM TRP - WITHOUT OPR CAR RENTAL</v>
          </cell>
          <cell r="G389" t="str">
            <v>P230452</v>
          </cell>
          <cell r="H389" t="str">
            <v>P230580</v>
          </cell>
          <cell r="I389"/>
          <cell r="J389"/>
          <cell r="K389" t="str">
            <v>13</v>
          </cell>
          <cell r="L389" t="str">
            <v>03</v>
          </cell>
          <cell r="M389" t="str">
            <v>2</v>
          </cell>
          <cell r="N389" t="str">
            <v>30</v>
          </cell>
          <cell r="O389" t="str">
            <v>580</v>
          </cell>
          <cell r="P389" t="str">
            <v>0</v>
          </cell>
          <cell r="Q389">
            <v>18</v>
          </cell>
          <cell r="R389" t="str">
            <v>MRC</v>
          </cell>
          <cell r="S389" t="str">
            <v>ZZ</v>
          </cell>
          <cell r="T389">
            <v>11</v>
          </cell>
          <cell r="U389" t="str">
            <v>1303230580018MRCZZ11</v>
          </cell>
          <cell r="V389">
            <v>385</v>
          </cell>
          <cell r="W389" t="str">
            <v>OC: T&amp;S DOM TRP - WITHOUT OPR CAR RENTAL</v>
          </cell>
          <cell r="X389">
            <v>0</v>
          </cell>
          <cell r="Y389">
            <v>0</v>
          </cell>
          <cell r="Z389">
            <v>0</v>
          </cell>
          <cell r="AA389"/>
          <cell r="AB389">
            <v>0</v>
          </cell>
          <cell r="AC389">
            <v>0</v>
          </cell>
        </row>
        <row r="390">
          <cell r="F390" t="str">
            <v>OC: T&amp;S DOM PUB TRP - AIR TRANSPORT</v>
          </cell>
          <cell r="G390" t="str">
            <v>P230452</v>
          </cell>
          <cell r="H390" t="str">
            <v>P230583</v>
          </cell>
          <cell r="I390"/>
          <cell r="J390"/>
          <cell r="K390" t="str">
            <v>13</v>
          </cell>
          <cell r="L390" t="str">
            <v>03</v>
          </cell>
          <cell r="M390" t="str">
            <v>2</v>
          </cell>
          <cell r="N390" t="str">
            <v>30</v>
          </cell>
          <cell r="O390" t="str">
            <v>583</v>
          </cell>
          <cell r="P390" t="str">
            <v>0</v>
          </cell>
          <cell r="Q390">
            <v>18</v>
          </cell>
          <cell r="R390" t="str">
            <v>MRC</v>
          </cell>
          <cell r="S390" t="str">
            <v>ZZ</v>
          </cell>
          <cell r="T390">
            <v>11</v>
          </cell>
          <cell r="U390" t="str">
            <v>1303230583018MRCZZ11</v>
          </cell>
          <cell r="V390">
            <v>386</v>
          </cell>
          <cell r="W390" t="str">
            <v>OC: T&amp;S DOM PUB TRP - AIR TRANSPORT</v>
          </cell>
          <cell r="X390">
            <v>0</v>
          </cell>
          <cell r="Y390">
            <v>0</v>
          </cell>
          <cell r="Z390">
            <v>0</v>
          </cell>
          <cell r="AA390"/>
          <cell r="AB390">
            <v>0</v>
          </cell>
          <cell r="AC390">
            <v>0</v>
          </cell>
        </row>
        <row r="391">
          <cell r="F391" t="str">
            <v>INVENTORY - MATERIALS &amp; SUPPLIES(PRINT&amp;</v>
          </cell>
          <cell r="G391" t="str">
            <v>P232360</v>
          </cell>
          <cell r="H391" t="str">
            <v>P232360</v>
          </cell>
          <cell r="I391"/>
          <cell r="J391"/>
          <cell r="K391" t="str">
            <v>13</v>
          </cell>
          <cell r="L391" t="str">
            <v>03</v>
          </cell>
          <cell r="M391" t="str">
            <v>2</v>
          </cell>
          <cell r="N391" t="str">
            <v>32</v>
          </cell>
          <cell r="O391" t="str">
            <v>360</v>
          </cell>
          <cell r="P391" t="str">
            <v>D</v>
          </cell>
          <cell r="Q391">
            <v>18</v>
          </cell>
          <cell r="R391" t="str">
            <v>MRC</v>
          </cell>
          <cell r="S391" t="str">
            <v>ZZ</v>
          </cell>
          <cell r="T391">
            <v>11</v>
          </cell>
          <cell r="U391" t="str">
            <v>1303232360D18MRCZZ11</v>
          </cell>
          <cell r="V391">
            <v>387</v>
          </cell>
          <cell r="W391" t="str">
            <v>INVENTORY - MATERIALS &amp; SUPPLIES(PRINT&amp;</v>
          </cell>
          <cell r="X391">
            <v>19614</v>
          </cell>
          <cell r="Y391">
            <v>0</v>
          </cell>
          <cell r="Z391">
            <v>0</v>
          </cell>
          <cell r="AA391"/>
          <cell r="AB391">
            <v>19614</v>
          </cell>
          <cell r="AC391">
            <v>19000</v>
          </cell>
        </row>
        <row r="392">
          <cell r="F392" t="str">
            <v>MS: SAL &amp; ALL: BASIC SALARY &amp; WAGES</v>
          </cell>
          <cell r="G392" t="str">
            <v>P211001</v>
          </cell>
          <cell r="H392" t="str">
            <v>P211001</v>
          </cell>
          <cell r="I392" t="str">
            <v>501304</v>
          </cell>
          <cell r="J392">
            <v>50</v>
          </cell>
          <cell r="K392" t="str">
            <v>13</v>
          </cell>
          <cell r="L392" t="str">
            <v>04</v>
          </cell>
          <cell r="M392" t="str">
            <v>2</v>
          </cell>
          <cell r="N392" t="str">
            <v>11</v>
          </cell>
          <cell r="O392" t="str">
            <v>001</v>
          </cell>
          <cell r="P392" t="str">
            <v>0</v>
          </cell>
          <cell r="Q392">
            <v>18</v>
          </cell>
          <cell r="R392" t="str">
            <v>MRC</v>
          </cell>
          <cell r="S392" t="str">
            <v>ZZ</v>
          </cell>
          <cell r="T392">
            <v>11</v>
          </cell>
          <cell r="U392" t="str">
            <v>1304211001018MRCZZ11</v>
          </cell>
          <cell r="V392">
            <v>388</v>
          </cell>
          <cell r="W392" t="str">
            <v>MS: SAL &amp; ALL: BASIC SALARY &amp; WAGES</v>
          </cell>
          <cell r="X392">
            <v>8520082</v>
          </cell>
          <cell r="Y392">
            <v>7752010.7400000002</v>
          </cell>
          <cell r="Z392">
            <v>9302412.8880000003</v>
          </cell>
          <cell r="AA392"/>
          <cell r="AB392">
            <v>8520082</v>
          </cell>
          <cell r="AC392">
            <v>8299656.96</v>
          </cell>
        </row>
        <row r="393">
          <cell r="F393" t="str">
            <v>MS: ALL - CELLULAR &amp; TELEPHONE</v>
          </cell>
          <cell r="G393" t="str">
            <v>P211022</v>
          </cell>
          <cell r="H393" t="str">
            <v>P211022</v>
          </cell>
          <cell r="I393" t="str">
            <v>501304</v>
          </cell>
          <cell r="J393">
            <v>50</v>
          </cell>
          <cell r="K393" t="str">
            <v>13</v>
          </cell>
          <cell r="L393" t="str">
            <v>04</v>
          </cell>
          <cell r="M393" t="str">
            <v>2</v>
          </cell>
          <cell r="N393" t="str">
            <v>11</v>
          </cell>
          <cell r="O393" t="str">
            <v>022</v>
          </cell>
          <cell r="P393" t="str">
            <v>0</v>
          </cell>
          <cell r="Q393">
            <v>18</v>
          </cell>
          <cell r="R393" t="str">
            <v>MRC</v>
          </cell>
          <cell r="S393" t="str">
            <v>ZZ</v>
          </cell>
          <cell r="T393">
            <v>11</v>
          </cell>
          <cell r="U393" t="str">
            <v>1304211022018MRCZZ11</v>
          </cell>
          <cell r="V393">
            <v>389</v>
          </cell>
          <cell r="W393" t="str">
            <v>MS: ALL - CELLULAR &amp; TELEPHONE</v>
          </cell>
          <cell r="X393">
            <v>25700</v>
          </cell>
          <cell r="Y393">
            <v>24750</v>
          </cell>
          <cell r="Z393">
            <v>29700</v>
          </cell>
          <cell r="AA393"/>
          <cell r="AB393">
            <v>25700</v>
          </cell>
          <cell r="AC393">
            <v>28296</v>
          </cell>
        </row>
        <row r="394">
          <cell r="F394" t="str">
            <v>MS: HB &amp; INC: HOUSING BENEFITS</v>
          </cell>
          <cell r="G394" t="str">
            <v>P211026</v>
          </cell>
          <cell r="H394" t="str">
            <v>P211026</v>
          </cell>
          <cell r="I394" t="str">
            <v>501304</v>
          </cell>
          <cell r="J394">
            <v>50</v>
          </cell>
          <cell r="K394" t="str">
            <v>13</v>
          </cell>
          <cell r="L394" t="str">
            <v>04</v>
          </cell>
          <cell r="M394" t="str">
            <v>2</v>
          </cell>
          <cell r="N394" t="str">
            <v>11</v>
          </cell>
          <cell r="O394" t="str">
            <v>026</v>
          </cell>
          <cell r="P394" t="str">
            <v>0</v>
          </cell>
          <cell r="Q394">
            <v>18</v>
          </cell>
          <cell r="R394" t="str">
            <v>MRC</v>
          </cell>
          <cell r="S394" t="str">
            <v>ZZ</v>
          </cell>
          <cell r="T394">
            <v>11</v>
          </cell>
          <cell r="U394" t="str">
            <v>1304211026018MRCZZ11</v>
          </cell>
          <cell r="V394">
            <v>390</v>
          </cell>
          <cell r="W394" t="str">
            <v>MS: HB &amp; INC: HOUSING BENEFITS</v>
          </cell>
          <cell r="X394">
            <v>87253</v>
          </cell>
          <cell r="Y394">
            <v>84876.88</v>
          </cell>
          <cell r="Z394">
            <v>101852.25599999999</v>
          </cell>
          <cell r="AA394"/>
          <cell r="AB394">
            <v>87253</v>
          </cell>
          <cell r="AC394">
            <v>181945.16639999996</v>
          </cell>
        </row>
        <row r="395">
          <cell r="F395" t="str">
            <v>MS: ALL - LEAVE PAY</v>
          </cell>
          <cell r="G395" t="str">
            <v>P211032</v>
          </cell>
          <cell r="H395" t="str">
            <v>P211032</v>
          </cell>
          <cell r="I395" t="str">
            <v>501304</v>
          </cell>
          <cell r="J395">
            <v>50</v>
          </cell>
          <cell r="K395" t="str">
            <v>13</v>
          </cell>
          <cell r="L395" t="str">
            <v>04</v>
          </cell>
          <cell r="M395" t="str">
            <v>2</v>
          </cell>
          <cell r="N395" t="str">
            <v>11</v>
          </cell>
          <cell r="O395" t="str">
            <v>032</v>
          </cell>
          <cell r="P395" t="str">
            <v>0</v>
          </cell>
          <cell r="Q395">
            <v>18</v>
          </cell>
          <cell r="R395" t="str">
            <v>MRC</v>
          </cell>
          <cell r="S395" t="str">
            <v>ZZ</v>
          </cell>
          <cell r="T395">
            <v>11</v>
          </cell>
          <cell r="U395" t="str">
            <v>1304211032018MRCZZ11</v>
          </cell>
          <cell r="V395">
            <v>391</v>
          </cell>
          <cell r="W395" t="str">
            <v>MS: ALL - LEAVE PAY</v>
          </cell>
          <cell r="X395">
            <v>462127</v>
          </cell>
          <cell r="Y395">
            <v>461608.86</v>
          </cell>
          <cell r="Z395">
            <v>553930.63199999998</v>
          </cell>
          <cell r="AA395"/>
          <cell r="AB395">
            <v>462127</v>
          </cell>
          <cell r="AC395">
            <v>484309.09600000002</v>
          </cell>
        </row>
        <row r="396">
          <cell r="F396" t="str">
            <v>MS: ALL - TRAVEL OR MOTOR VEHICLE (SUBS</v>
          </cell>
          <cell r="G396" t="str">
            <v>P211034</v>
          </cell>
          <cell r="H396" t="str">
            <v>P211034</v>
          </cell>
          <cell r="I396" t="str">
            <v>501304</v>
          </cell>
          <cell r="J396">
            <v>50</v>
          </cell>
          <cell r="K396" t="str">
            <v>13</v>
          </cell>
          <cell r="L396" t="str">
            <v>04</v>
          </cell>
          <cell r="M396" t="str">
            <v>2</v>
          </cell>
          <cell r="N396" t="str">
            <v>11</v>
          </cell>
          <cell r="O396" t="str">
            <v>034</v>
          </cell>
          <cell r="P396" t="str">
            <v>1</v>
          </cell>
          <cell r="Q396">
            <v>18</v>
          </cell>
          <cell r="R396" t="str">
            <v>MRC</v>
          </cell>
          <cell r="S396" t="str">
            <v>ZZ</v>
          </cell>
          <cell r="T396">
            <v>11</v>
          </cell>
          <cell r="U396" t="str">
            <v>1304211034118MRCZZ11</v>
          </cell>
          <cell r="V396">
            <v>392</v>
          </cell>
          <cell r="W396" t="str">
            <v>MS: ALL - TRAVEL OR MOTOR VEHICLE (SUBS</v>
          </cell>
          <cell r="X396">
            <v>1410013</v>
          </cell>
          <cell r="Y396">
            <v>1424680.2</v>
          </cell>
          <cell r="Z396">
            <v>1709616.2399999998</v>
          </cell>
          <cell r="AA396"/>
          <cell r="AB396">
            <v>1410013</v>
          </cell>
          <cell r="AC396">
            <v>112863.31200000001</v>
          </cell>
        </row>
        <row r="397">
          <cell r="F397" t="str">
            <v>MS: OVERTIME - STRUCTURED</v>
          </cell>
          <cell r="G397" t="str">
            <v>P211038</v>
          </cell>
          <cell r="H397" t="str">
            <v>P211038</v>
          </cell>
          <cell r="I397" t="str">
            <v>501304</v>
          </cell>
          <cell r="J397">
            <v>50</v>
          </cell>
          <cell r="K397" t="str">
            <v>13</v>
          </cell>
          <cell r="L397" t="str">
            <v>04</v>
          </cell>
          <cell r="M397" t="str">
            <v>2</v>
          </cell>
          <cell r="N397" t="str">
            <v>11</v>
          </cell>
          <cell r="O397" t="str">
            <v>038</v>
          </cell>
          <cell r="P397" t="str">
            <v>0</v>
          </cell>
          <cell r="Q397">
            <v>18</v>
          </cell>
          <cell r="R397" t="str">
            <v>MRC</v>
          </cell>
          <cell r="S397" t="str">
            <v>ZZ</v>
          </cell>
          <cell r="T397">
            <v>11</v>
          </cell>
          <cell r="U397" t="str">
            <v>1304211038018MRCZZ11</v>
          </cell>
          <cell r="V397">
            <v>393</v>
          </cell>
          <cell r="W397" t="str">
            <v>MS: OVERTIME - STRUCTURED</v>
          </cell>
          <cell r="X397">
            <v>1060</v>
          </cell>
          <cell r="Y397">
            <v>2946.02</v>
          </cell>
          <cell r="Z397">
            <v>3535.2239999999997</v>
          </cell>
          <cell r="AA397"/>
          <cell r="AB397">
            <v>1060</v>
          </cell>
          <cell r="AC397">
            <v>954</v>
          </cell>
        </row>
        <row r="398">
          <cell r="F398" t="str">
            <v>MS: OVERTIME - NIGHT SHIFT</v>
          </cell>
          <cell r="G398" t="str">
            <v>P211042</v>
          </cell>
          <cell r="H398" t="str">
            <v>P211042</v>
          </cell>
          <cell r="I398" t="str">
            <v>501304</v>
          </cell>
          <cell r="J398">
            <v>50</v>
          </cell>
          <cell r="K398" t="str">
            <v>13</v>
          </cell>
          <cell r="L398" t="str">
            <v>04</v>
          </cell>
          <cell r="M398" t="str">
            <v>2</v>
          </cell>
          <cell r="N398" t="str">
            <v>11</v>
          </cell>
          <cell r="O398" t="str">
            <v>042</v>
          </cell>
          <cell r="P398" t="str">
            <v>0</v>
          </cell>
          <cell r="Q398">
            <v>18</v>
          </cell>
          <cell r="R398" t="str">
            <v>MRC</v>
          </cell>
          <cell r="S398" t="str">
            <v>ZZ</v>
          </cell>
          <cell r="T398">
            <v>11</v>
          </cell>
          <cell r="U398" t="str">
            <v>1304211042018MRCZZ11</v>
          </cell>
          <cell r="V398">
            <v>394</v>
          </cell>
          <cell r="W398" t="str">
            <v>MS: OVERTIME - NIGHT SHIFT</v>
          </cell>
          <cell r="X398">
            <v>0</v>
          </cell>
          <cell r="Y398">
            <v>212.95</v>
          </cell>
          <cell r="Z398">
            <v>255.53999999999996</v>
          </cell>
          <cell r="AA398"/>
          <cell r="AB398">
            <v>0</v>
          </cell>
          <cell r="AC398">
            <v>0</v>
          </cell>
        </row>
        <row r="399">
          <cell r="F399" t="str">
            <v>MS: SRB - ACTING ALLOWANCE</v>
          </cell>
          <cell r="G399" t="str">
            <v>P211044</v>
          </cell>
          <cell r="H399" t="str">
            <v>P211044</v>
          </cell>
          <cell r="I399" t="str">
            <v>501304</v>
          </cell>
          <cell r="J399">
            <v>50</v>
          </cell>
          <cell r="K399" t="str">
            <v>13</v>
          </cell>
          <cell r="L399" t="str">
            <v>04</v>
          </cell>
          <cell r="M399" t="str">
            <v>2</v>
          </cell>
          <cell r="N399" t="str">
            <v>11</v>
          </cell>
          <cell r="O399" t="str">
            <v>044</v>
          </cell>
          <cell r="P399" t="str">
            <v>0</v>
          </cell>
          <cell r="Q399">
            <v>18</v>
          </cell>
          <cell r="R399" t="str">
            <v>MRC</v>
          </cell>
          <cell r="S399" t="str">
            <v>ZZ</v>
          </cell>
          <cell r="T399">
            <v>11</v>
          </cell>
          <cell r="U399" t="str">
            <v>1304211044018MRCZZ11</v>
          </cell>
          <cell r="V399">
            <v>395</v>
          </cell>
          <cell r="W399" t="str">
            <v>MS: SRB - ACTING ALLOWANCE</v>
          </cell>
          <cell r="X399">
            <v>0</v>
          </cell>
          <cell r="Y399">
            <v>304982</v>
          </cell>
          <cell r="Z399">
            <v>365978.4</v>
          </cell>
          <cell r="AA399"/>
          <cell r="AB399">
            <v>0</v>
          </cell>
          <cell r="AC399">
            <v>0</v>
          </cell>
        </row>
        <row r="400">
          <cell r="F400" t="str">
            <v>MS: SRB - ANNUAL BONUS</v>
          </cell>
          <cell r="G400" t="str">
            <v>P211046</v>
          </cell>
          <cell r="H400" t="str">
            <v>P211046</v>
          </cell>
          <cell r="I400" t="str">
            <v>501304</v>
          </cell>
          <cell r="J400">
            <v>50</v>
          </cell>
          <cell r="K400" t="str">
            <v>13</v>
          </cell>
          <cell r="L400" t="str">
            <v>04</v>
          </cell>
          <cell r="M400" t="str">
            <v>2</v>
          </cell>
          <cell r="N400" t="str">
            <v>11</v>
          </cell>
          <cell r="O400" t="str">
            <v>046</v>
          </cell>
          <cell r="P400" t="str">
            <v>0</v>
          </cell>
          <cell r="Q400">
            <v>18</v>
          </cell>
          <cell r="R400" t="str">
            <v>MRC</v>
          </cell>
          <cell r="S400" t="str">
            <v>ZZ</v>
          </cell>
          <cell r="T400">
            <v>11</v>
          </cell>
          <cell r="U400" t="str">
            <v>1304211046018MRCZZ11</v>
          </cell>
          <cell r="V400">
            <v>396</v>
          </cell>
          <cell r="W400" t="str">
            <v>MS: SRB - ANNUAL BONUS</v>
          </cell>
          <cell r="X400">
            <v>886340</v>
          </cell>
          <cell r="Y400">
            <v>838391.8</v>
          </cell>
          <cell r="Z400">
            <v>1006070.1600000001</v>
          </cell>
          <cell r="AA400"/>
          <cell r="AB400">
            <v>886340</v>
          </cell>
          <cell r="AC400">
            <v>691638.08000000007</v>
          </cell>
        </row>
        <row r="401">
          <cell r="F401" t="str">
            <v>MS: SRB - STANDBY ALLOWANCE</v>
          </cell>
          <cell r="G401" t="str">
            <v>P211056</v>
          </cell>
          <cell r="H401" t="str">
            <v>P211056</v>
          </cell>
          <cell r="I401" t="str">
            <v>501304</v>
          </cell>
          <cell r="J401">
            <v>50</v>
          </cell>
          <cell r="K401" t="str">
            <v>13</v>
          </cell>
          <cell r="L401" t="str">
            <v>04</v>
          </cell>
          <cell r="M401" t="str">
            <v>2</v>
          </cell>
          <cell r="N401" t="str">
            <v>11</v>
          </cell>
          <cell r="O401" t="str">
            <v>056</v>
          </cell>
          <cell r="P401" t="str">
            <v>0</v>
          </cell>
          <cell r="Q401">
            <v>18</v>
          </cell>
          <cell r="R401" t="str">
            <v>MRC</v>
          </cell>
          <cell r="S401" t="str">
            <v>ZZ</v>
          </cell>
          <cell r="T401">
            <v>11</v>
          </cell>
          <cell r="U401" t="str">
            <v>1304211056018MRCZZ11</v>
          </cell>
          <cell r="V401">
            <v>397</v>
          </cell>
          <cell r="W401" t="str">
            <v>MS: SRB - STANDBY ALLOWANCE</v>
          </cell>
          <cell r="X401">
            <v>0</v>
          </cell>
          <cell r="Y401">
            <v>0</v>
          </cell>
          <cell r="Z401">
            <v>0</v>
          </cell>
          <cell r="AA401"/>
          <cell r="AB401">
            <v>0</v>
          </cell>
          <cell r="AC401">
            <v>0</v>
          </cell>
        </row>
        <row r="402">
          <cell r="F402" t="str">
            <v>MS: SRB - TOOLS ALLOWANCE</v>
          </cell>
          <cell r="G402" t="str">
            <v>P211058</v>
          </cell>
          <cell r="H402" t="str">
            <v>P211058</v>
          </cell>
          <cell r="I402" t="str">
            <v>501304</v>
          </cell>
          <cell r="J402">
            <v>50</v>
          </cell>
          <cell r="K402" t="str">
            <v>13</v>
          </cell>
          <cell r="L402" t="str">
            <v>04</v>
          </cell>
          <cell r="M402" t="str">
            <v>2</v>
          </cell>
          <cell r="N402" t="str">
            <v>11</v>
          </cell>
          <cell r="O402" t="str">
            <v>058</v>
          </cell>
          <cell r="P402" t="str">
            <v>0</v>
          </cell>
          <cell r="Q402">
            <v>18</v>
          </cell>
          <cell r="R402" t="str">
            <v>MRC</v>
          </cell>
          <cell r="S402" t="str">
            <v>ZZ</v>
          </cell>
          <cell r="T402">
            <v>11</v>
          </cell>
          <cell r="U402" t="str">
            <v>1304211058018MRCZZ11</v>
          </cell>
          <cell r="V402">
            <v>398</v>
          </cell>
          <cell r="W402" t="str">
            <v>MS: SRB - TOOLS ALLOWANCE</v>
          </cell>
          <cell r="X402">
            <v>0</v>
          </cell>
          <cell r="Y402">
            <v>0</v>
          </cell>
          <cell r="Z402">
            <v>0</v>
          </cell>
          <cell r="AA402"/>
          <cell r="AB402">
            <v>0</v>
          </cell>
          <cell r="AC402">
            <v>0</v>
          </cell>
        </row>
        <row r="403">
          <cell r="F403" t="str">
            <v>MS: SOC CONTR - BARGAINING COUNCIL</v>
          </cell>
          <cell r="G403" t="str">
            <v>P213001</v>
          </cell>
          <cell r="H403" t="str">
            <v>P213001</v>
          </cell>
          <cell r="I403" t="str">
            <v>501304</v>
          </cell>
          <cell r="J403">
            <v>50</v>
          </cell>
          <cell r="K403" t="str">
            <v>13</v>
          </cell>
          <cell r="L403" t="str">
            <v>04</v>
          </cell>
          <cell r="M403" t="str">
            <v>2</v>
          </cell>
          <cell r="N403" t="str">
            <v>13</v>
          </cell>
          <cell r="O403" t="str">
            <v>001</v>
          </cell>
          <cell r="P403" t="str">
            <v>0</v>
          </cell>
          <cell r="Q403">
            <v>18</v>
          </cell>
          <cell r="R403" t="str">
            <v>MRC</v>
          </cell>
          <cell r="S403" t="str">
            <v>ZZ</v>
          </cell>
          <cell r="T403">
            <v>11</v>
          </cell>
          <cell r="U403" t="str">
            <v>1304213001018MRCZZ11</v>
          </cell>
          <cell r="V403">
            <v>399</v>
          </cell>
          <cell r="W403" t="str">
            <v>MS: SOC CONTR - BARGAINING COUNCIL</v>
          </cell>
          <cell r="X403">
            <v>2022</v>
          </cell>
          <cell r="Y403">
            <v>1812.8</v>
          </cell>
          <cell r="Z403">
            <v>2175.36</v>
          </cell>
          <cell r="AA403"/>
          <cell r="AB403">
            <v>2022</v>
          </cell>
          <cell r="AC403">
            <v>1942.9919999999995</v>
          </cell>
        </row>
        <row r="404">
          <cell r="F404" t="str">
            <v>MS: SOC CONTR - GROUP LIFE INSURANCE</v>
          </cell>
          <cell r="G404" t="str">
            <v>P213010</v>
          </cell>
          <cell r="H404" t="str">
            <v>P213010</v>
          </cell>
          <cell r="I404" t="str">
            <v>501304</v>
          </cell>
          <cell r="J404">
            <v>50</v>
          </cell>
          <cell r="K404" t="str">
            <v>13</v>
          </cell>
          <cell r="L404" t="str">
            <v>04</v>
          </cell>
          <cell r="M404" t="str">
            <v>2</v>
          </cell>
          <cell r="N404" t="str">
            <v>13</v>
          </cell>
          <cell r="O404" t="str">
            <v>010</v>
          </cell>
          <cell r="P404" t="str">
            <v>0</v>
          </cell>
          <cell r="Q404">
            <v>18</v>
          </cell>
          <cell r="R404" t="str">
            <v>MRC</v>
          </cell>
          <cell r="S404" t="str">
            <v>ZZ</v>
          </cell>
          <cell r="T404">
            <v>11</v>
          </cell>
          <cell r="U404" t="str">
            <v>1304213010018MRCZZ11</v>
          </cell>
          <cell r="V404">
            <v>400</v>
          </cell>
          <cell r="W404" t="str">
            <v>MS: SOC CONTR - GROUP LIFE INSURANCE</v>
          </cell>
          <cell r="X404">
            <v>61847</v>
          </cell>
          <cell r="Y404">
            <v>49062.52</v>
          </cell>
          <cell r="Z404">
            <v>58875.02399999999</v>
          </cell>
          <cell r="AA404"/>
          <cell r="AB404">
            <v>61847</v>
          </cell>
          <cell r="AC404">
            <v>141094.16832</v>
          </cell>
        </row>
        <row r="405">
          <cell r="F405" t="str">
            <v>MS: SOC CONTR - MEDICAL</v>
          </cell>
          <cell r="G405" t="str">
            <v>P213020</v>
          </cell>
          <cell r="H405" t="str">
            <v>P213020</v>
          </cell>
          <cell r="I405" t="str">
            <v>501304</v>
          </cell>
          <cell r="J405">
            <v>50</v>
          </cell>
          <cell r="K405" t="str">
            <v>13</v>
          </cell>
          <cell r="L405" t="str">
            <v>04</v>
          </cell>
          <cell r="M405" t="str">
            <v>2</v>
          </cell>
          <cell r="N405" t="str">
            <v>13</v>
          </cell>
          <cell r="O405" t="str">
            <v>020</v>
          </cell>
          <cell r="P405" t="str">
            <v>0</v>
          </cell>
          <cell r="Q405">
            <v>18</v>
          </cell>
          <cell r="R405" t="str">
            <v>MRC</v>
          </cell>
          <cell r="S405" t="str">
            <v>ZZ</v>
          </cell>
          <cell r="T405">
            <v>11</v>
          </cell>
          <cell r="U405" t="str">
            <v>1304213020018MRCZZ11</v>
          </cell>
          <cell r="V405">
            <v>401</v>
          </cell>
          <cell r="W405" t="str">
            <v>MS: SOC CONTR - MEDICAL</v>
          </cell>
          <cell r="X405">
            <v>664876</v>
          </cell>
          <cell r="Y405">
            <v>599243.4</v>
          </cell>
          <cell r="Z405">
            <v>719092.08000000007</v>
          </cell>
          <cell r="AA405"/>
          <cell r="AB405">
            <v>664876</v>
          </cell>
          <cell r="AC405">
            <v>900401.35679999983</v>
          </cell>
        </row>
        <row r="406">
          <cell r="F406" t="str">
            <v>MS: SOC CONTR - PENSION</v>
          </cell>
          <cell r="G406" t="str">
            <v>P213030</v>
          </cell>
          <cell r="H406" t="str">
            <v>P213030</v>
          </cell>
          <cell r="I406" t="str">
            <v>501304</v>
          </cell>
          <cell r="J406">
            <v>50</v>
          </cell>
          <cell r="K406" t="str">
            <v>13</v>
          </cell>
          <cell r="L406" t="str">
            <v>04</v>
          </cell>
          <cell r="M406" t="str">
            <v>2</v>
          </cell>
          <cell r="N406" t="str">
            <v>13</v>
          </cell>
          <cell r="O406" t="str">
            <v>030</v>
          </cell>
          <cell r="P406" t="str">
            <v>0</v>
          </cell>
          <cell r="Q406">
            <v>18</v>
          </cell>
          <cell r="R406" t="str">
            <v>MRC</v>
          </cell>
          <cell r="S406" t="str">
            <v>ZZ</v>
          </cell>
          <cell r="T406">
            <v>11</v>
          </cell>
          <cell r="U406" t="str">
            <v>1304213030018MRCZZ11</v>
          </cell>
          <cell r="V406">
            <v>402</v>
          </cell>
          <cell r="W406" t="str">
            <v>MS: SOC CONTR - PENSION</v>
          </cell>
          <cell r="X406">
            <v>1534718</v>
          </cell>
          <cell r="Y406">
            <v>1475201.79</v>
          </cell>
          <cell r="Z406">
            <v>1770242.148</v>
          </cell>
          <cell r="AA406"/>
          <cell r="AB406">
            <v>1534718</v>
          </cell>
          <cell r="AC406">
            <v>1499748.0126719996</v>
          </cell>
        </row>
        <row r="407">
          <cell r="F407" t="str">
            <v>MS: SOC CONTR - UNEMPLOYMENT INSUR FUND</v>
          </cell>
          <cell r="G407" t="str">
            <v>P213040</v>
          </cell>
          <cell r="H407" t="str">
            <v>P213040</v>
          </cell>
          <cell r="I407" t="str">
            <v>501304</v>
          </cell>
          <cell r="J407">
            <v>50</v>
          </cell>
          <cell r="K407" t="str">
            <v>13</v>
          </cell>
          <cell r="L407" t="str">
            <v>04</v>
          </cell>
          <cell r="M407" t="str">
            <v>2</v>
          </cell>
          <cell r="N407" t="str">
            <v>13</v>
          </cell>
          <cell r="O407" t="str">
            <v>040</v>
          </cell>
          <cell r="P407" t="str">
            <v>0</v>
          </cell>
          <cell r="Q407">
            <v>18</v>
          </cell>
          <cell r="R407" t="str">
            <v>MRC</v>
          </cell>
          <cell r="S407" t="str">
            <v>ZZ</v>
          </cell>
          <cell r="T407">
            <v>11</v>
          </cell>
          <cell r="U407" t="str">
            <v>1304213040018MRCZZ11</v>
          </cell>
          <cell r="V407">
            <v>403</v>
          </cell>
          <cell r="W407" t="str">
            <v>MS: SOC CONTR - UNEMPLOYMENT INSUR FUND</v>
          </cell>
          <cell r="X407">
            <v>30373</v>
          </cell>
          <cell r="Y407">
            <v>31173.119999999999</v>
          </cell>
          <cell r="Z407">
            <v>37407.743999999999</v>
          </cell>
          <cell r="AA407"/>
          <cell r="AB407">
            <v>30373</v>
          </cell>
          <cell r="AC407">
            <v>33411.916799999992</v>
          </cell>
        </row>
        <row r="408">
          <cell r="F408" t="str">
            <v>OS: CATERING SERVICES(REFRESHMENTS)</v>
          </cell>
          <cell r="G408" t="str">
            <v>P226060</v>
          </cell>
          <cell r="H408" t="str">
            <v>P226060</v>
          </cell>
          <cell r="I408"/>
          <cell r="J408"/>
          <cell r="K408" t="str">
            <v>13</v>
          </cell>
          <cell r="L408" t="str">
            <v>04</v>
          </cell>
          <cell r="M408" t="str">
            <v>2</v>
          </cell>
          <cell r="N408" t="str">
            <v>26</v>
          </cell>
          <cell r="O408" t="str">
            <v>060</v>
          </cell>
          <cell r="P408" t="str">
            <v>H</v>
          </cell>
          <cell r="Q408">
            <v>18</v>
          </cell>
          <cell r="R408" t="str">
            <v>MRC</v>
          </cell>
          <cell r="S408" t="str">
            <v>ZZ</v>
          </cell>
          <cell r="T408">
            <v>11</v>
          </cell>
          <cell r="U408" t="str">
            <v>1304226060H18MRCZZ11</v>
          </cell>
          <cell r="V408">
            <v>404</v>
          </cell>
          <cell r="W408" t="str">
            <v>OS: CATERING SERVICES(REFRESHMENTS)</v>
          </cell>
          <cell r="X408">
            <v>0</v>
          </cell>
          <cell r="Y408">
            <v>0</v>
          </cell>
          <cell r="Z408">
            <v>0</v>
          </cell>
          <cell r="AA408"/>
          <cell r="AB408">
            <v>0</v>
          </cell>
          <cell r="AC408">
            <v>20000</v>
          </cell>
        </row>
        <row r="409">
          <cell r="F409" t="str">
            <v>C&amp;PS: B&amp;A HUMAN RESOURCES</v>
          </cell>
          <cell r="G409" t="str">
            <v>P227334</v>
          </cell>
          <cell r="H409" t="str">
            <v>P227037</v>
          </cell>
          <cell r="I409"/>
          <cell r="J409"/>
          <cell r="K409" t="str">
            <v>13</v>
          </cell>
          <cell r="L409" t="str">
            <v>04</v>
          </cell>
          <cell r="M409" t="str">
            <v>2</v>
          </cell>
          <cell r="N409" t="str">
            <v>27</v>
          </cell>
          <cell r="O409" t="str">
            <v>037</v>
          </cell>
          <cell r="P409" t="str">
            <v>0</v>
          </cell>
          <cell r="Q409">
            <v>18</v>
          </cell>
          <cell r="R409">
            <v>414</v>
          </cell>
          <cell r="S409" t="str">
            <v>ZZ</v>
          </cell>
          <cell r="T409">
            <v>11</v>
          </cell>
          <cell r="U409" t="str">
            <v>1304227037018414ZZ11</v>
          </cell>
          <cell r="V409">
            <v>405</v>
          </cell>
          <cell r="W409" t="str">
            <v>C&amp;PS: B&amp;A HUMAN RESOURCES</v>
          </cell>
          <cell r="X409">
            <v>0</v>
          </cell>
          <cell r="Y409">
            <v>0</v>
          </cell>
          <cell r="Z409">
            <v>0</v>
          </cell>
          <cell r="AA409"/>
          <cell r="AB409">
            <v>0</v>
          </cell>
          <cell r="AC409">
            <v>0</v>
          </cell>
        </row>
        <row r="410">
          <cell r="F410" t="str">
            <v>CONTR: EMPLOYEE WELLNESS</v>
          </cell>
          <cell r="G410" t="str">
            <v>P228361</v>
          </cell>
          <cell r="H410" t="str">
            <v>P228121</v>
          </cell>
          <cell r="I410"/>
          <cell r="J410"/>
          <cell r="K410" t="str">
            <v>13</v>
          </cell>
          <cell r="L410" t="str">
            <v>04</v>
          </cell>
          <cell r="M410" t="str">
            <v>2</v>
          </cell>
          <cell r="N410" t="str">
            <v>28</v>
          </cell>
          <cell r="O410" t="str">
            <v>121</v>
          </cell>
          <cell r="P410" t="str">
            <v>0</v>
          </cell>
          <cell r="Q410">
            <v>18</v>
          </cell>
          <cell r="R410">
            <v>417</v>
          </cell>
          <cell r="S410" t="str">
            <v>ZZ</v>
          </cell>
          <cell r="T410">
            <v>11</v>
          </cell>
          <cell r="U410" t="str">
            <v>1304228121018417ZZ11</v>
          </cell>
          <cell r="V410">
            <v>406</v>
          </cell>
          <cell r="W410" t="str">
            <v>CONTR: EMPLOYEE WELLNESS</v>
          </cell>
          <cell r="X410">
            <v>45083</v>
          </cell>
          <cell r="Y410">
            <v>2000</v>
          </cell>
          <cell r="Z410">
            <v>2400</v>
          </cell>
          <cell r="AA410">
            <v>2466666.66</v>
          </cell>
          <cell r="AB410">
            <v>2511749.66</v>
          </cell>
          <cell r="AC410">
            <v>3000000</v>
          </cell>
        </row>
        <row r="411">
          <cell r="F411" t="str">
            <v>OC: BURSARIES (EMPLOYEES)</v>
          </cell>
          <cell r="G411" t="str">
            <v>P230452</v>
          </cell>
          <cell r="H411" t="str">
            <v>P230049</v>
          </cell>
          <cell r="I411"/>
          <cell r="J411"/>
          <cell r="K411" t="str">
            <v>13</v>
          </cell>
          <cell r="L411" t="str">
            <v>04</v>
          </cell>
          <cell r="M411" t="str">
            <v>2</v>
          </cell>
          <cell r="N411" t="str">
            <v>30</v>
          </cell>
          <cell r="O411" t="str">
            <v>049</v>
          </cell>
          <cell r="P411" t="str">
            <v>0</v>
          </cell>
          <cell r="Q411">
            <v>18</v>
          </cell>
          <cell r="R411" t="str">
            <v>MRC</v>
          </cell>
          <cell r="S411" t="str">
            <v>ZZ</v>
          </cell>
          <cell r="T411">
            <v>11</v>
          </cell>
          <cell r="U411" t="str">
            <v>1304230049018MRCZZ11</v>
          </cell>
          <cell r="V411">
            <v>407</v>
          </cell>
          <cell r="W411" t="str">
            <v>OC: BURSARIES (EMPLOYEES)</v>
          </cell>
          <cell r="X411">
            <v>354329</v>
          </cell>
          <cell r="Y411">
            <v>442891</v>
          </cell>
          <cell r="Z411">
            <v>531469.19999999995</v>
          </cell>
          <cell r="AA411"/>
          <cell r="AB411">
            <v>354329</v>
          </cell>
          <cell r="AC411">
            <v>1000000</v>
          </cell>
        </row>
        <row r="412">
          <cell r="F412" t="str">
            <v>OC: LIC - VEHICLE LIC &amp; REGISTRATIONS</v>
          </cell>
          <cell r="G412" t="str">
            <v>P230452</v>
          </cell>
          <cell r="H412" t="str">
            <v>P230333</v>
          </cell>
          <cell r="I412"/>
          <cell r="J412"/>
          <cell r="K412" t="str">
            <v>13</v>
          </cell>
          <cell r="L412" t="str">
            <v>04</v>
          </cell>
          <cell r="M412" t="str">
            <v>2</v>
          </cell>
          <cell r="N412" t="str">
            <v>30</v>
          </cell>
          <cell r="O412" t="str">
            <v>333</v>
          </cell>
          <cell r="P412" t="str">
            <v>0</v>
          </cell>
          <cell r="Q412">
            <v>18</v>
          </cell>
          <cell r="R412" t="str">
            <v>MRC</v>
          </cell>
          <cell r="S412" t="str">
            <v>ZZ</v>
          </cell>
          <cell r="T412">
            <v>11</v>
          </cell>
          <cell r="U412" t="str">
            <v>1304230333018MRCZZ11</v>
          </cell>
          <cell r="V412">
            <v>408</v>
          </cell>
          <cell r="W412" t="str">
            <v>OC: LIC - VEHICLE LIC &amp; REGISTRATIONS</v>
          </cell>
          <cell r="X412">
            <v>0</v>
          </cell>
          <cell r="Y412">
            <v>0</v>
          </cell>
          <cell r="Z412">
            <v>0</v>
          </cell>
          <cell r="AA412"/>
          <cell r="AB412">
            <v>0</v>
          </cell>
          <cell r="AC412">
            <v>0</v>
          </cell>
        </row>
        <row r="413">
          <cell r="F413" t="str">
            <v>OC: PROFESSIONAL BODIES M/SHIP &amp; SUBS</v>
          </cell>
          <cell r="G413" t="str">
            <v>P230452</v>
          </cell>
          <cell r="H413" t="str">
            <v>P230452</v>
          </cell>
          <cell r="I413"/>
          <cell r="J413"/>
          <cell r="K413" t="str">
            <v>13</v>
          </cell>
          <cell r="L413" t="str">
            <v>04</v>
          </cell>
          <cell r="M413" t="str">
            <v>2</v>
          </cell>
          <cell r="N413" t="str">
            <v>30</v>
          </cell>
          <cell r="O413" t="str">
            <v>452</v>
          </cell>
          <cell r="P413" t="str">
            <v>0</v>
          </cell>
          <cell r="Q413">
            <v>18</v>
          </cell>
          <cell r="R413" t="str">
            <v>MRC</v>
          </cell>
          <cell r="S413" t="str">
            <v>ZZ</v>
          </cell>
          <cell r="T413">
            <v>11</v>
          </cell>
          <cell r="U413" t="str">
            <v>1304230452018MRCZZ11</v>
          </cell>
          <cell r="V413">
            <v>409</v>
          </cell>
          <cell r="W413" t="str">
            <v>OC: PROFESSIONAL BODIES M/SHIP &amp; SUBS</v>
          </cell>
          <cell r="X413">
            <v>108493</v>
          </cell>
          <cell r="Y413">
            <v>118043.07</v>
          </cell>
          <cell r="Z413">
            <v>141651.68400000001</v>
          </cell>
          <cell r="AA413">
            <v>119064.38</v>
          </cell>
          <cell r="AB413">
            <v>227557.38</v>
          </cell>
          <cell r="AC413">
            <v>204000</v>
          </cell>
        </row>
        <row r="414">
          <cell r="F414" t="str">
            <v>OC: REG FEES NATIONAL</v>
          </cell>
          <cell r="G414" t="str">
            <v>P230452</v>
          </cell>
          <cell r="H414" t="str">
            <v>P230511</v>
          </cell>
          <cell r="I414"/>
          <cell r="J414"/>
          <cell r="K414" t="str">
            <v>13</v>
          </cell>
          <cell r="L414" t="str">
            <v>04</v>
          </cell>
          <cell r="M414" t="str">
            <v>2</v>
          </cell>
          <cell r="N414" t="str">
            <v>30</v>
          </cell>
          <cell r="O414" t="str">
            <v>511</v>
          </cell>
          <cell r="P414" t="str">
            <v>0</v>
          </cell>
          <cell r="Q414">
            <v>18</v>
          </cell>
          <cell r="R414" t="str">
            <v>MRC</v>
          </cell>
          <cell r="S414" t="str">
            <v>ZZ</v>
          </cell>
          <cell r="T414">
            <v>11</v>
          </cell>
          <cell r="U414" t="str">
            <v>1304230511018MRCZZ11</v>
          </cell>
          <cell r="V414">
            <v>410</v>
          </cell>
          <cell r="W414" t="str">
            <v>OC: REG FEES NATIONAL</v>
          </cell>
          <cell r="X414">
            <v>0</v>
          </cell>
          <cell r="Y414">
            <v>0</v>
          </cell>
          <cell r="Z414">
            <v>0</v>
          </cell>
          <cell r="AA414"/>
          <cell r="AB414">
            <v>0</v>
          </cell>
          <cell r="AC414">
            <v>135000</v>
          </cell>
        </row>
        <row r="415">
          <cell r="F415" t="str">
            <v>OC: SKILLS DEVELOPMENT FUND LEVY</v>
          </cell>
          <cell r="G415" t="str">
            <v>P230452</v>
          </cell>
          <cell r="H415" t="str">
            <v>P230541</v>
          </cell>
          <cell r="I415"/>
          <cell r="J415"/>
          <cell r="K415" t="str">
            <v>13</v>
          </cell>
          <cell r="L415" t="str">
            <v>04</v>
          </cell>
          <cell r="M415" t="str">
            <v>2</v>
          </cell>
          <cell r="N415" t="str">
            <v>30</v>
          </cell>
          <cell r="O415" t="str">
            <v>541</v>
          </cell>
          <cell r="P415" t="str">
            <v>0</v>
          </cell>
          <cell r="Q415">
            <v>18</v>
          </cell>
          <cell r="R415" t="str">
            <v>MRC</v>
          </cell>
          <cell r="S415" t="str">
            <v>ZZ</v>
          </cell>
          <cell r="T415">
            <v>11</v>
          </cell>
          <cell r="U415" t="str">
            <v>1304230541018MRCZZ11</v>
          </cell>
          <cell r="V415">
            <v>411</v>
          </cell>
          <cell r="W415" t="str">
            <v>OC: SKILLS DEVELOPMENT FUND LEVY</v>
          </cell>
          <cell r="X415">
            <v>107092</v>
          </cell>
          <cell r="Y415">
            <v>0</v>
          </cell>
          <cell r="Z415">
            <v>0</v>
          </cell>
          <cell r="AA415">
            <v>-50000</v>
          </cell>
          <cell r="AB415">
            <v>57092</v>
          </cell>
          <cell r="AC415">
            <v>0</v>
          </cell>
        </row>
        <row r="416">
          <cell r="F416" t="str">
            <v>INVENTORY - MATERIALS &amp; SUPPLIES(PRINT&amp;</v>
          </cell>
          <cell r="G416" t="str">
            <v>P232360</v>
          </cell>
          <cell r="H416" t="str">
            <v>P232360</v>
          </cell>
          <cell r="I416"/>
          <cell r="J416"/>
          <cell r="K416" t="str">
            <v>13</v>
          </cell>
          <cell r="L416" t="str">
            <v>04</v>
          </cell>
          <cell r="M416" t="str">
            <v>2</v>
          </cell>
          <cell r="N416" t="str">
            <v>32</v>
          </cell>
          <cell r="O416" t="str">
            <v>360</v>
          </cell>
          <cell r="P416" t="str">
            <v>D</v>
          </cell>
          <cell r="Q416">
            <v>18</v>
          </cell>
          <cell r="R416" t="str">
            <v>MRC</v>
          </cell>
          <cell r="S416" t="str">
            <v>ZZ</v>
          </cell>
          <cell r="T416">
            <v>11</v>
          </cell>
          <cell r="U416" t="str">
            <v>1304232360D18MRCZZ11</v>
          </cell>
          <cell r="V416">
            <v>412</v>
          </cell>
          <cell r="W416" t="str">
            <v>INVENTORY - MATERIALS &amp; SUPPLIES(PRINT&amp;</v>
          </cell>
          <cell r="X416">
            <v>0</v>
          </cell>
          <cell r="Y416">
            <v>0</v>
          </cell>
          <cell r="Z416">
            <v>0</v>
          </cell>
          <cell r="AA416">
            <v>25000</v>
          </cell>
          <cell r="AB416">
            <v>25000</v>
          </cell>
          <cell r="AC416">
            <v>25000</v>
          </cell>
        </row>
        <row r="417">
          <cell r="F417" t="str">
            <v>DEPRECIATION FURNITURE &amp; OFFICE EQUIPM</v>
          </cell>
          <cell r="G417" t="str">
            <v>P272150</v>
          </cell>
          <cell r="H417" t="str">
            <v>P272150</v>
          </cell>
          <cell r="I417"/>
          <cell r="J417"/>
          <cell r="K417" t="str">
            <v>13</v>
          </cell>
          <cell r="L417" t="str">
            <v>04</v>
          </cell>
          <cell r="M417" t="str">
            <v>2</v>
          </cell>
          <cell r="N417" t="str">
            <v>72</v>
          </cell>
          <cell r="O417" t="str">
            <v>150</v>
          </cell>
          <cell r="P417" t="str">
            <v>0</v>
          </cell>
          <cell r="Q417">
            <v>18</v>
          </cell>
          <cell r="R417" t="str">
            <v>MRC</v>
          </cell>
          <cell r="S417" t="str">
            <v>ZZ</v>
          </cell>
          <cell r="T417">
            <v>11</v>
          </cell>
          <cell r="U417" t="str">
            <v>1304272150018MRCZZ11</v>
          </cell>
          <cell r="V417">
            <v>413</v>
          </cell>
          <cell r="W417" t="str">
            <v>DEPRECIATION FURNITURE &amp; OFFICE EQUIPM</v>
          </cell>
          <cell r="X417">
            <v>0</v>
          </cell>
          <cell r="Y417">
            <v>0</v>
          </cell>
          <cell r="Z417">
            <v>0</v>
          </cell>
          <cell r="AA417"/>
          <cell r="AB417">
            <v>0</v>
          </cell>
          <cell r="AC417">
            <v>0</v>
          </cell>
        </row>
        <row r="418">
          <cell r="F418" t="str">
            <v>DEPRECIATION  TRANSPORT ASSETS</v>
          </cell>
          <cell r="G418" t="str">
            <v>P272150</v>
          </cell>
          <cell r="H418" t="str">
            <v>P272570</v>
          </cell>
          <cell r="I418"/>
          <cell r="J418"/>
          <cell r="K418" t="str">
            <v>13</v>
          </cell>
          <cell r="L418" t="str">
            <v>04</v>
          </cell>
          <cell r="M418" t="str">
            <v>2</v>
          </cell>
          <cell r="N418" t="str">
            <v>72</v>
          </cell>
          <cell r="O418" t="str">
            <v>570</v>
          </cell>
          <cell r="P418" t="str">
            <v>0</v>
          </cell>
          <cell r="Q418">
            <v>18</v>
          </cell>
          <cell r="R418" t="str">
            <v>MRC</v>
          </cell>
          <cell r="S418" t="str">
            <v>ZZ</v>
          </cell>
          <cell r="T418">
            <v>11</v>
          </cell>
          <cell r="U418" t="str">
            <v>1304272570018MRCZZ11</v>
          </cell>
          <cell r="V418">
            <v>414</v>
          </cell>
          <cell r="W418" t="str">
            <v>DEPRECIATION  TRANSPORT ASSETS</v>
          </cell>
          <cell r="X418">
            <v>0</v>
          </cell>
          <cell r="Y418">
            <v>0</v>
          </cell>
          <cell r="Z418">
            <v>0</v>
          </cell>
          <cell r="AA418"/>
          <cell r="AB418">
            <v>0</v>
          </cell>
          <cell r="AC418">
            <v>0</v>
          </cell>
        </row>
        <row r="419">
          <cell r="F419" t="str">
            <v>ACADDEMIC SERVICES: FORMAL TRAINING</v>
          </cell>
          <cell r="G419" t="str">
            <v>P142002</v>
          </cell>
          <cell r="H419" t="str">
            <v>P142002</v>
          </cell>
          <cell r="I419"/>
          <cell r="J419"/>
          <cell r="K419" t="str">
            <v>13</v>
          </cell>
          <cell r="L419" t="str">
            <v>05</v>
          </cell>
          <cell r="M419" t="str">
            <v>1</v>
          </cell>
          <cell r="N419" t="str">
            <v>42</v>
          </cell>
          <cell r="O419" t="str">
            <v>002</v>
          </cell>
          <cell r="P419" t="str">
            <v>0</v>
          </cell>
          <cell r="Q419">
            <v>29</v>
          </cell>
          <cell r="R419" t="str">
            <v>ZZZ</v>
          </cell>
          <cell r="S419" t="str">
            <v>ZZ</v>
          </cell>
          <cell r="T419">
            <v>11</v>
          </cell>
          <cell r="U419" t="str">
            <v>1305142002029ZZZZZ11</v>
          </cell>
          <cell r="V419">
            <v>415</v>
          </cell>
          <cell r="W419" t="str">
            <v>ACADDEMIC SERVICES: FORMAL TRAINING</v>
          </cell>
          <cell r="X419">
            <v>0</v>
          </cell>
          <cell r="Y419">
            <v>0</v>
          </cell>
          <cell r="Z419">
            <v>0</v>
          </cell>
          <cell r="AA419"/>
          <cell r="AB419">
            <v>0</v>
          </cell>
          <cell r="AC419">
            <v>0</v>
          </cell>
        </row>
        <row r="420">
          <cell r="F420" t="str">
            <v>ACADEMIC SERVICES: FORMAL TRAINING(COST</v>
          </cell>
          <cell r="G420" t="str">
            <v>P142002</v>
          </cell>
          <cell r="H420" t="str">
            <v>P142002</v>
          </cell>
          <cell r="I420"/>
          <cell r="J420"/>
          <cell r="K420" t="str">
            <v>13</v>
          </cell>
          <cell r="L420" t="str">
            <v>05</v>
          </cell>
          <cell r="M420" t="str">
            <v>1</v>
          </cell>
          <cell r="N420" t="str">
            <v>42</v>
          </cell>
          <cell r="O420" t="str">
            <v>002</v>
          </cell>
          <cell r="P420" t="str">
            <v>1</v>
          </cell>
          <cell r="Q420">
            <v>29</v>
          </cell>
          <cell r="R420" t="str">
            <v>ZZZ</v>
          </cell>
          <cell r="S420" t="str">
            <v>ZZ</v>
          </cell>
          <cell r="T420">
            <v>11</v>
          </cell>
          <cell r="U420" t="str">
            <v>1305142002129ZZZZZ11</v>
          </cell>
          <cell r="V420">
            <v>416</v>
          </cell>
          <cell r="W420" t="str">
            <v>ACADEMIC SERVICES: FORMAL TRAINING(COST</v>
          </cell>
          <cell r="X420">
            <v>-16640</v>
          </cell>
          <cell r="Y420">
            <v>-337234.39</v>
          </cell>
          <cell r="Z420">
            <v>-404681.26799999998</v>
          </cell>
          <cell r="AA420">
            <v>-500000</v>
          </cell>
          <cell r="AB420">
            <v>-516640</v>
          </cell>
          <cell r="AC420">
            <v>-1141438.72</v>
          </cell>
        </row>
        <row r="421">
          <cell r="F421" t="str">
            <v>MS: SAL &amp; ALL: BASIC SALARY &amp; WAGES</v>
          </cell>
          <cell r="G421" t="str">
            <v>P211001</v>
          </cell>
          <cell r="H421" t="str">
            <v>P211001</v>
          </cell>
          <cell r="I421" t="str">
            <v>501305</v>
          </cell>
          <cell r="J421">
            <v>50</v>
          </cell>
          <cell r="K421" t="str">
            <v>13</v>
          </cell>
          <cell r="L421" t="str">
            <v>05</v>
          </cell>
          <cell r="M421" t="str">
            <v>2</v>
          </cell>
          <cell r="N421" t="str">
            <v>11</v>
          </cell>
          <cell r="O421" t="str">
            <v>001</v>
          </cell>
          <cell r="P421" t="str">
            <v>0</v>
          </cell>
          <cell r="Q421">
            <v>18</v>
          </cell>
          <cell r="R421" t="str">
            <v>MRC</v>
          </cell>
          <cell r="S421" t="str">
            <v>ZZ</v>
          </cell>
          <cell r="T421">
            <v>11</v>
          </cell>
          <cell r="U421" t="str">
            <v>1305211001018MRCZZ11</v>
          </cell>
          <cell r="V421">
            <v>417</v>
          </cell>
          <cell r="W421" t="str">
            <v>MS: SAL &amp; ALL: BASIC SALARY &amp; WAGES</v>
          </cell>
          <cell r="X421">
            <v>8609197</v>
          </cell>
          <cell r="Y421">
            <v>9071433.3300000001</v>
          </cell>
          <cell r="Z421">
            <v>10885719.995999999</v>
          </cell>
          <cell r="AA421"/>
          <cell r="AB421">
            <v>8609197</v>
          </cell>
          <cell r="AC421">
            <v>6785380.7999999998</v>
          </cell>
        </row>
        <row r="422">
          <cell r="F422" t="str">
            <v>MS: ALL - CELLULAR &amp; TELEPHONE</v>
          </cell>
          <cell r="G422" t="str">
            <v>P211022</v>
          </cell>
          <cell r="H422" t="str">
            <v>P211022</v>
          </cell>
          <cell r="I422" t="str">
            <v>501305</v>
          </cell>
          <cell r="J422">
            <v>50</v>
          </cell>
          <cell r="K422" t="str">
            <v>13</v>
          </cell>
          <cell r="L422" t="str">
            <v>05</v>
          </cell>
          <cell r="M422" t="str">
            <v>2</v>
          </cell>
          <cell r="N422" t="str">
            <v>11</v>
          </cell>
          <cell r="O422" t="str">
            <v>022</v>
          </cell>
          <cell r="P422" t="str">
            <v>0</v>
          </cell>
          <cell r="Q422">
            <v>18</v>
          </cell>
          <cell r="R422" t="str">
            <v>MRC</v>
          </cell>
          <cell r="S422" t="str">
            <v>ZZ</v>
          </cell>
          <cell r="T422">
            <v>11</v>
          </cell>
          <cell r="U422" t="str">
            <v>1305211022018MRCZZ11</v>
          </cell>
          <cell r="V422">
            <v>418</v>
          </cell>
          <cell r="W422" t="str">
            <v>MS: ALL - CELLULAR &amp; TELEPHONE</v>
          </cell>
          <cell r="X422">
            <v>18504</v>
          </cell>
          <cell r="Y422">
            <v>16500</v>
          </cell>
          <cell r="Z422">
            <v>19800</v>
          </cell>
          <cell r="AA422"/>
          <cell r="AB422">
            <v>18504</v>
          </cell>
          <cell r="AC422">
            <v>18864</v>
          </cell>
        </row>
        <row r="423">
          <cell r="F423" t="str">
            <v>MS: HB &amp; INC: HOUSING BENEFITS</v>
          </cell>
          <cell r="G423" t="str">
            <v>P211026</v>
          </cell>
          <cell r="H423" t="str">
            <v>P211026</v>
          </cell>
          <cell r="I423" t="str">
            <v>501305</v>
          </cell>
          <cell r="J423">
            <v>50</v>
          </cell>
          <cell r="K423" t="str">
            <v>13</v>
          </cell>
          <cell r="L423" t="str">
            <v>05</v>
          </cell>
          <cell r="M423" t="str">
            <v>2</v>
          </cell>
          <cell r="N423" t="str">
            <v>11</v>
          </cell>
          <cell r="O423" t="str">
            <v>026</v>
          </cell>
          <cell r="P423" t="str">
            <v>0</v>
          </cell>
          <cell r="Q423">
            <v>18</v>
          </cell>
          <cell r="R423" t="str">
            <v>MRC</v>
          </cell>
          <cell r="S423" t="str">
            <v>ZZ</v>
          </cell>
          <cell r="T423">
            <v>11</v>
          </cell>
          <cell r="U423" t="str">
            <v>1305211026018MRCZZ11</v>
          </cell>
          <cell r="V423">
            <v>419</v>
          </cell>
          <cell r="W423" t="str">
            <v>MS: HB &amp; INC: HOUSING BENEFITS</v>
          </cell>
          <cell r="X423">
            <v>85931</v>
          </cell>
          <cell r="Y423">
            <v>84876.88</v>
          </cell>
          <cell r="Z423">
            <v>101852.25599999999</v>
          </cell>
          <cell r="AA423"/>
          <cell r="AB423">
            <v>85931</v>
          </cell>
          <cell r="AC423">
            <v>181945.16639999996</v>
          </cell>
        </row>
        <row r="424">
          <cell r="F424" t="str">
            <v>MS: ALL - LEAVE PAY</v>
          </cell>
          <cell r="G424" t="str">
            <v>P211032</v>
          </cell>
          <cell r="H424" t="str">
            <v>P211032</v>
          </cell>
          <cell r="I424" t="str">
            <v>501305</v>
          </cell>
          <cell r="J424">
            <v>50</v>
          </cell>
          <cell r="K424" t="str">
            <v>13</v>
          </cell>
          <cell r="L424" t="str">
            <v>05</v>
          </cell>
          <cell r="M424" t="str">
            <v>2</v>
          </cell>
          <cell r="N424" t="str">
            <v>11</v>
          </cell>
          <cell r="O424" t="str">
            <v>032</v>
          </cell>
          <cell r="P424" t="str">
            <v>0</v>
          </cell>
          <cell r="Q424">
            <v>18</v>
          </cell>
          <cell r="R424" t="str">
            <v>MRC</v>
          </cell>
          <cell r="S424" t="str">
            <v>ZZ</v>
          </cell>
          <cell r="T424">
            <v>11</v>
          </cell>
          <cell r="U424" t="str">
            <v>1305211032018MRCZZ11</v>
          </cell>
          <cell r="V424">
            <v>420</v>
          </cell>
          <cell r="W424" t="str">
            <v>MS: ALL - LEAVE PAY</v>
          </cell>
          <cell r="X424">
            <v>0</v>
          </cell>
          <cell r="Y424">
            <v>0</v>
          </cell>
          <cell r="Z424">
            <v>0</v>
          </cell>
          <cell r="AA424"/>
          <cell r="AB424">
            <v>0</v>
          </cell>
          <cell r="AC424">
            <v>0</v>
          </cell>
        </row>
        <row r="425">
          <cell r="F425" t="str">
            <v>MS: ALL - TRAVEL OR MOTOR VEHICLE (SUBS</v>
          </cell>
          <cell r="G425" t="str">
            <v>P211034</v>
          </cell>
          <cell r="H425" t="str">
            <v>P211034</v>
          </cell>
          <cell r="I425" t="str">
            <v>501305</v>
          </cell>
          <cell r="J425">
            <v>50</v>
          </cell>
          <cell r="K425" t="str">
            <v>13</v>
          </cell>
          <cell r="L425" t="str">
            <v>05</v>
          </cell>
          <cell r="M425" t="str">
            <v>2</v>
          </cell>
          <cell r="N425" t="str">
            <v>11</v>
          </cell>
          <cell r="O425" t="str">
            <v>034</v>
          </cell>
          <cell r="P425" t="str">
            <v>1</v>
          </cell>
          <cell r="Q425">
            <v>18</v>
          </cell>
          <cell r="R425" t="str">
            <v>MRC</v>
          </cell>
          <cell r="S425" t="str">
            <v>ZZ</v>
          </cell>
          <cell r="T425">
            <v>11</v>
          </cell>
          <cell r="U425" t="str">
            <v>1305211034118MRCZZ11</v>
          </cell>
          <cell r="V425">
            <v>421</v>
          </cell>
          <cell r="W425" t="str">
            <v>MS: ALL - TRAVEL OR MOTOR VEHICLE (SUBS</v>
          </cell>
          <cell r="X425">
            <v>562615</v>
          </cell>
          <cell r="Y425">
            <v>599840.15</v>
          </cell>
          <cell r="Z425">
            <v>719808.17999999993</v>
          </cell>
          <cell r="AA425"/>
          <cell r="AB425">
            <v>562615</v>
          </cell>
          <cell r="AC425">
            <v>51228.336000000003</v>
          </cell>
        </row>
        <row r="426">
          <cell r="F426" t="str">
            <v>MS: OVERTIME - STRUCTURED</v>
          </cell>
          <cell r="G426" t="str">
            <v>P211038</v>
          </cell>
          <cell r="H426" t="str">
            <v>P211038</v>
          </cell>
          <cell r="I426" t="str">
            <v>501305</v>
          </cell>
          <cell r="J426">
            <v>50</v>
          </cell>
          <cell r="K426" t="str">
            <v>13</v>
          </cell>
          <cell r="L426" t="str">
            <v>05</v>
          </cell>
          <cell r="M426" t="str">
            <v>2</v>
          </cell>
          <cell r="N426" t="str">
            <v>11</v>
          </cell>
          <cell r="O426" t="str">
            <v>038</v>
          </cell>
          <cell r="P426" t="str">
            <v>0</v>
          </cell>
          <cell r="Q426">
            <v>18</v>
          </cell>
          <cell r="R426" t="str">
            <v>MRC</v>
          </cell>
          <cell r="S426" t="str">
            <v>ZZ</v>
          </cell>
          <cell r="T426">
            <v>11</v>
          </cell>
          <cell r="U426" t="str">
            <v>1305211038018MRCZZ11</v>
          </cell>
          <cell r="V426">
            <v>422</v>
          </cell>
          <cell r="W426" t="str">
            <v>MS: OVERTIME - STRUCTURED</v>
          </cell>
          <cell r="X426">
            <v>192738</v>
          </cell>
          <cell r="Y426">
            <v>315592.07</v>
          </cell>
          <cell r="Z426">
            <v>378710.48400000005</v>
          </cell>
          <cell r="AA426"/>
          <cell r="AB426">
            <v>192738</v>
          </cell>
          <cell r="AC426">
            <v>173464.2</v>
          </cell>
        </row>
        <row r="427">
          <cell r="F427" t="str">
            <v>MS: OVERTIME - NIGHT SHIFT</v>
          </cell>
          <cell r="G427" t="str">
            <v>P211042</v>
          </cell>
          <cell r="H427" t="str">
            <v>P211042</v>
          </cell>
          <cell r="I427" t="str">
            <v>501305</v>
          </cell>
          <cell r="J427">
            <v>50</v>
          </cell>
          <cell r="K427" t="str">
            <v>13</v>
          </cell>
          <cell r="L427" t="str">
            <v>05</v>
          </cell>
          <cell r="M427" t="str">
            <v>2</v>
          </cell>
          <cell r="N427" t="str">
            <v>11</v>
          </cell>
          <cell r="O427" t="str">
            <v>042</v>
          </cell>
          <cell r="P427" t="str">
            <v>0</v>
          </cell>
          <cell r="Q427">
            <v>18</v>
          </cell>
          <cell r="R427" t="str">
            <v>MRC</v>
          </cell>
          <cell r="S427" t="str">
            <v>ZZ</v>
          </cell>
          <cell r="T427">
            <v>11</v>
          </cell>
          <cell r="U427" t="str">
            <v>1305211042018MRCZZ11</v>
          </cell>
          <cell r="V427">
            <v>423</v>
          </cell>
          <cell r="W427" t="str">
            <v>MS: OVERTIME - NIGHT SHIFT</v>
          </cell>
          <cell r="X427">
            <v>16667</v>
          </cell>
          <cell r="Y427">
            <v>24260.95</v>
          </cell>
          <cell r="Z427">
            <v>29113.140000000003</v>
          </cell>
          <cell r="AA427"/>
          <cell r="AB427">
            <v>16667</v>
          </cell>
          <cell r="AC427">
            <v>15000.300000000001</v>
          </cell>
        </row>
        <row r="428">
          <cell r="F428" t="str">
            <v>MS: SRB - ACTING ALLOWANCE</v>
          </cell>
          <cell r="G428" t="str">
            <v>P211044</v>
          </cell>
          <cell r="H428" t="str">
            <v>P211044</v>
          </cell>
          <cell r="I428" t="str">
            <v>501305</v>
          </cell>
          <cell r="J428">
            <v>50</v>
          </cell>
          <cell r="K428" t="str">
            <v>13</v>
          </cell>
          <cell r="L428" t="str">
            <v>05</v>
          </cell>
          <cell r="M428" t="str">
            <v>2</v>
          </cell>
          <cell r="N428" t="str">
            <v>11</v>
          </cell>
          <cell r="O428" t="str">
            <v>044</v>
          </cell>
          <cell r="P428" t="str">
            <v>0</v>
          </cell>
          <cell r="Q428">
            <v>18</v>
          </cell>
          <cell r="R428" t="str">
            <v>MRC</v>
          </cell>
          <cell r="S428" t="str">
            <v>ZZ</v>
          </cell>
          <cell r="T428">
            <v>11</v>
          </cell>
          <cell r="U428" t="str">
            <v>1305211044018MRCZZ11</v>
          </cell>
          <cell r="V428">
            <v>424</v>
          </cell>
          <cell r="W428" t="str">
            <v>MS: SRB - ACTING ALLOWANCE</v>
          </cell>
          <cell r="X428">
            <v>0</v>
          </cell>
          <cell r="Y428">
            <v>15318</v>
          </cell>
          <cell r="Z428">
            <v>18381.599999999999</v>
          </cell>
          <cell r="AA428"/>
          <cell r="AB428">
            <v>0</v>
          </cell>
          <cell r="AC428">
            <v>0</v>
          </cell>
        </row>
        <row r="429">
          <cell r="F429" t="str">
            <v>MS: SRB - ANNUAL BONUS</v>
          </cell>
          <cell r="G429" t="str">
            <v>P211046</v>
          </cell>
          <cell r="H429" t="str">
            <v>P211046</v>
          </cell>
          <cell r="I429" t="str">
            <v>501305</v>
          </cell>
          <cell r="J429">
            <v>50</v>
          </cell>
          <cell r="K429" t="str">
            <v>13</v>
          </cell>
          <cell r="L429" t="str">
            <v>05</v>
          </cell>
          <cell r="M429" t="str">
            <v>2</v>
          </cell>
          <cell r="N429" t="str">
            <v>11</v>
          </cell>
          <cell r="O429" t="str">
            <v>046</v>
          </cell>
          <cell r="P429" t="str">
            <v>0</v>
          </cell>
          <cell r="Q429">
            <v>18</v>
          </cell>
          <cell r="R429" t="str">
            <v>MRC</v>
          </cell>
          <cell r="S429" t="str">
            <v>ZZ</v>
          </cell>
          <cell r="T429">
            <v>11</v>
          </cell>
          <cell r="U429" t="str">
            <v>1305211046018MRCZZ11</v>
          </cell>
          <cell r="V429">
            <v>425</v>
          </cell>
          <cell r="W429" t="str">
            <v>MS: SRB - ANNUAL BONUS</v>
          </cell>
          <cell r="X429">
            <v>646161</v>
          </cell>
          <cell r="Y429">
            <v>576531.37</v>
          </cell>
          <cell r="Z429">
            <v>691837.64400000009</v>
          </cell>
          <cell r="AA429"/>
          <cell r="AB429">
            <v>646161</v>
          </cell>
          <cell r="AC429">
            <v>565448.4</v>
          </cell>
        </row>
        <row r="430">
          <cell r="F430" t="str">
            <v>MS: SRB - STANDBY ALLOWANCE</v>
          </cell>
          <cell r="G430" t="str">
            <v>P211056</v>
          </cell>
          <cell r="H430" t="str">
            <v>P211056</v>
          </cell>
          <cell r="I430" t="str">
            <v>501305</v>
          </cell>
          <cell r="J430">
            <v>50</v>
          </cell>
          <cell r="K430" t="str">
            <v>13</v>
          </cell>
          <cell r="L430" t="str">
            <v>05</v>
          </cell>
          <cell r="M430" t="str">
            <v>2</v>
          </cell>
          <cell r="N430" t="str">
            <v>11</v>
          </cell>
          <cell r="O430" t="str">
            <v>056</v>
          </cell>
          <cell r="P430" t="str">
            <v>0</v>
          </cell>
          <cell r="Q430">
            <v>18</v>
          </cell>
          <cell r="R430" t="str">
            <v>MRC</v>
          </cell>
          <cell r="S430" t="str">
            <v>ZZ</v>
          </cell>
          <cell r="T430">
            <v>11</v>
          </cell>
          <cell r="U430" t="str">
            <v>1305211056018MRCZZ11</v>
          </cell>
          <cell r="V430">
            <v>426</v>
          </cell>
          <cell r="W430" t="str">
            <v>MS: SRB - STANDBY ALLOWANCE</v>
          </cell>
          <cell r="X430">
            <v>33451</v>
          </cell>
          <cell r="Y430">
            <v>81875.990000000005</v>
          </cell>
          <cell r="Z430">
            <v>98251.187999999995</v>
          </cell>
          <cell r="AA430"/>
          <cell r="AB430">
            <v>33451</v>
          </cell>
          <cell r="AC430">
            <v>30105.9</v>
          </cell>
        </row>
        <row r="431">
          <cell r="F431" t="str">
            <v>MS: SOC CONTR - BARGAINING COUNCIL</v>
          </cell>
          <cell r="G431" t="str">
            <v>P213001</v>
          </cell>
          <cell r="H431" t="str">
            <v>P213001</v>
          </cell>
          <cell r="I431" t="str">
            <v>501305</v>
          </cell>
          <cell r="J431">
            <v>50</v>
          </cell>
          <cell r="K431" t="str">
            <v>13</v>
          </cell>
          <cell r="L431" t="str">
            <v>05</v>
          </cell>
          <cell r="M431" t="str">
            <v>2</v>
          </cell>
          <cell r="N431" t="str">
            <v>13</v>
          </cell>
          <cell r="O431" t="str">
            <v>001</v>
          </cell>
          <cell r="P431" t="str">
            <v>0</v>
          </cell>
          <cell r="Q431">
            <v>18</v>
          </cell>
          <cell r="R431" t="str">
            <v>MRC</v>
          </cell>
          <cell r="S431" t="str">
            <v>ZZ</v>
          </cell>
          <cell r="T431">
            <v>11</v>
          </cell>
          <cell r="U431" t="str">
            <v>1305213001018MRCZZ11</v>
          </cell>
          <cell r="V431">
            <v>427</v>
          </cell>
          <cell r="W431" t="str">
            <v>MS: SOC CONTR - BARGAINING COUNCIL</v>
          </cell>
          <cell r="X431">
            <v>2958</v>
          </cell>
          <cell r="Y431">
            <v>2904.6</v>
          </cell>
          <cell r="Z431">
            <v>3485.5199999999995</v>
          </cell>
          <cell r="AA431"/>
          <cell r="AB431">
            <v>2958</v>
          </cell>
          <cell r="AC431">
            <v>1942.9919999999995</v>
          </cell>
        </row>
        <row r="432">
          <cell r="F432" t="str">
            <v>MS: SOC CONTR - GROUP LIFE INSURANCE</v>
          </cell>
          <cell r="G432" t="str">
            <v>P213010</v>
          </cell>
          <cell r="H432" t="str">
            <v>P213010</v>
          </cell>
          <cell r="I432" t="str">
            <v>501305</v>
          </cell>
          <cell r="J432">
            <v>50</v>
          </cell>
          <cell r="K432" t="str">
            <v>13</v>
          </cell>
          <cell r="L432" t="str">
            <v>05</v>
          </cell>
          <cell r="M432" t="str">
            <v>2</v>
          </cell>
          <cell r="N432" t="str">
            <v>13</v>
          </cell>
          <cell r="O432" t="str">
            <v>010</v>
          </cell>
          <cell r="P432" t="str">
            <v>0</v>
          </cell>
          <cell r="Q432">
            <v>18</v>
          </cell>
          <cell r="R432" t="str">
            <v>MRC</v>
          </cell>
          <cell r="S432" t="str">
            <v>ZZ</v>
          </cell>
          <cell r="T432">
            <v>11</v>
          </cell>
          <cell r="U432" t="str">
            <v>1305213010018MRCZZ11</v>
          </cell>
          <cell r="V432">
            <v>428</v>
          </cell>
          <cell r="W432" t="str">
            <v>MS: SOC CONTR - GROUP LIFE INSURANCE</v>
          </cell>
          <cell r="X432">
            <v>72141</v>
          </cell>
          <cell r="Y432">
            <v>65064.17</v>
          </cell>
          <cell r="Z432">
            <v>78077.003999999986</v>
          </cell>
          <cell r="AA432"/>
          <cell r="AB432">
            <v>72141</v>
          </cell>
          <cell r="AC432">
            <v>115351.47360000001</v>
          </cell>
        </row>
        <row r="433">
          <cell r="F433" t="str">
            <v>MS: SOC CONTR - MEDICAL</v>
          </cell>
          <cell r="G433" t="str">
            <v>P213020</v>
          </cell>
          <cell r="H433" t="str">
            <v>P213020</v>
          </cell>
          <cell r="I433" t="str">
            <v>501305</v>
          </cell>
          <cell r="J433">
            <v>50</v>
          </cell>
          <cell r="K433" t="str">
            <v>13</v>
          </cell>
          <cell r="L433" t="str">
            <v>05</v>
          </cell>
          <cell r="M433" t="str">
            <v>2</v>
          </cell>
          <cell r="N433" t="str">
            <v>13</v>
          </cell>
          <cell r="O433" t="str">
            <v>020</v>
          </cell>
          <cell r="P433" t="str">
            <v>0</v>
          </cell>
          <cell r="Q433">
            <v>18</v>
          </cell>
          <cell r="R433" t="str">
            <v>MRC</v>
          </cell>
          <cell r="S433" t="str">
            <v>ZZ</v>
          </cell>
          <cell r="T433">
            <v>11</v>
          </cell>
          <cell r="U433" t="str">
            <v>1305213020018MRCZZ11</v>
          </cell>
          <cell r="V433">
            <v>429</v>
          </cell>
          <cell r="W433" t="str">
            <v>MS: SOC CONTR - MEDICAL</v>
          </cell>
          <cell r="X433">
            <v>576009</v>
          </cell>
          <cell r="Y433">
            <v>572207.28</v>
          </cell>
          <cell r="Z433">
            <v>686648.73600000003</v>
          </cell>
          <cell r="AA433"/>
          <cell r="AB433">
            <v>576009</v>
          </cell>
          <cell r="AC433">
            <v>900401.35679999983</v>
          </cell>
        </row>
        <row r="434">
          <cell r="F434" t="str">
            <v>MS: SOC CONTR - PENSION</v>
          </cell>
          <cell r="G434" t="str">
            <v>P213030</v>
          </cell>
          <cell r="H434" t="str">
            <v>P213030</v>
          </cell>
          <cell r="I434" t="str">
            <v>501305</v>
          </cell>
          <cell r="J434">
            <v>50</v>
          </cell>
          <cell r="K434" t="str">
            <v>13</v>
          </cell>
          <cell r="L434" t="str">
            <v>05</v>
          </cell>
          <cell r="M434" t="str">
            <v>2</v>
          </cell>
          <cell r="N434" t="str">
            <v>13</v>
          </cell>
          <cell r="O434" t="str">
            <v>030</v>
          </cell>
          <cell r="P434" t="str">
            <v>0</v>
          </cell>
          <cell r="Q434">
            <v>18</v>
          </cell>
          <cell r="R434" t="str">
            <v>MRC</v>
          </cell>
          <cell r="S434" t="str">
            <v>ZZ</v>
          </cell>
          <cell r="T434">
            <v>11</v>
          </cell>
          <cell r="U434" t="str">
            <v>1305213030018MRCZZ11</v>
          </cell>
          <cell r="V434">
            <v>430</v>
          </cell>
          <cell r="W434" t="str">
            <v>MS: SOC CONTR - PENSION</v>
          </cell>
          <cell r="X434">
            <v>1221562</v>
          </cell>
          <cell r="Y434">
            <v>1199681.18</v>
          </cell>
          <cell r="Z434">
            <v>1439617.4159999997</v>
          </cell>
          <cell r="AA434"/>
          <cell r="AB434">
            <v>1221562</v>
          </cell>
          <cell r="AC434">
            <v>1226118.3105599997</v>
          </cell>
        </row>
        <row r="435">
          <cell r="F435" t="str">
            <v>MS: SOC CONTR - UNEMPLOYMENT INSUR FUND</v>
          </cell>
          <cell r="G435" t="str">
            <v>P213040</v>
          </cell>
          <cell r="H435" t="str">
            <v>P213040</v>
          </cell>
          <cell r="I435" t="str">
            <v>501305</v>
          </cell>
          <cell r="J435">
            <v>50</v>
          </cell>
          <cell r="K435" t="str">
            <v>13</v>
          </cell>
          <cell r="L435" t="str">
            <v>05</v>
          </cell>
          <cell r="M435" t="str">
            <v>2</v>
          </cell>
          <cell r="N435" t="str">
            <v>13</v>
          </cell>
          <cell r="O435" t="str">
            <v>040</v>
          </cell>
          <cell r="P435" t="str">
            <v>0</v>
          </cell>
          <cell r="Q435">
            <v>18</v>
          </cell>
          <cell r="R435" t="str">
            <v>MRC</v>
          </cell>
          <cell r="S435" t="str">
            <v>ZZ</v>
          </cell>
          <cell r="T435">
            <v>11</v>
          </cell>
          <cell r="U435" t="str">
            <v>1305213040018MRCZZ11</v>
          </cell>
          <cell r="V435">
            <v>431</v>
          </cell>
          <cell r="W435" t="str">
            <v>MS: SOC CONTR - UNEMPLOYMENT INSUR FUND</v>
          </cell>
          <cell r="X435">
            <v>44748</v>
          </cell>
          <cell r="Y435">
            <v>48821.59</v>
          </cell>
          <cell r="Z435">
            <v>58585.907999999996</v>
          </cell>
          <cell r="AA435"/>
          <cell r="AB435">
            <v>44748</v>
          </cell>
          <cell r="AC435">
            <v>33411.916799999992</v>
          </cell>
        </row>
        <row r="436">
          <cell r="F436" t="str">
            <v>OS: CATERING SERVICES(REFRESHMENTS)</v>
          </cell>
          <cell r="G436" t="str">
            <v>P226060</v>
          </cell>
          <cell r="H436" t="str">
            <v>P226060</v>
          </cell>
          <cell r="I436"/>
          <cell r="J436"/>
          <cell r="K436" t="str">
            <v>13</v>
          </cell>
          <cell r="L436" t="str">
            <v>05</v>
          </cell>
          <cell r="M436" t="str">
            <v>2</v>
          </cell>
          <cell r="N436" t="str">
            <v>26</v>
          </cell>
          <cell r="O436" t="str">
            <v>060</v>
          </cell>
          <cell r="P436" t="str">
            <v>H</v>
          </cell>
          <cell r="Q436">
            <v>18</v>
          </cell>
          <cell r="R436" t="str">
            <v>MRC</v>
          </cell>
          <cell r="S436" t="str">
            <v>ZZ</v>
          </cell>
          <cell r="T436">
            <v>11</v>
          </cell>
          <cell r="U436" t="str">
            <v>1305226060H18MRCZZ11</v>
          </cell>
          <cell r="V436">
            <v>432</v>
          </cell>
          <cell r="W436" t="str">
            <v>OS: CATERING SERVICES(REFRESHMENTS)</v>
          </cell>
          <cell r="X436">
            <v>0</v>
          </cell>
          <cell r="Y436">
            <v>0</v>
          </cell>
          <cell r="Z436">
            <v>0</v>
          </cell>
          <cell r="AA436"/>
          <cell r="AB436">
            <v>0</v>
          </cell>
          <cell r="AC436">
            <v>10000</v>
          </cell>
        </row>
        <row r="437">
          <cell r="F437" t="str">
            <v>C&amp;PS: B&amp;A HUMAN RESOURCES</v>
          </cell>
          <cell r="G437" t="str">
            <v>P227334</v>
          </cell>
          <cell r="H437" t="str">
            <v>P227037</v>
          </cell>
          <cell r="I437"/>
          <cell r="J437"/>
          <cell r="K437" t="str">
            <v>13</v>
          </cell>
          <cell r="L437" t="str">
            <v>05</v>
          </cell>
          <cell r="M437" t="str">
            <v>2</v>
          </cell>
          <cell r="N437" t="str">
            <v>27</v>
          </cell>
          <cell r="O437" t="str">
            <v>037</v>
          </cell>
          <cell r="P437" t="str">
            <v>0</v>
          </cell>
          <cell r="Q437">
            <v>18</v>
          </cell>
          <cell r="R437">
            <v>414</v>
          </cell>
          <cell r="S437" t="str">
            <v>ZZ</v>
          </cell>
          <cell r="T437">
            <v>11</v>
          </cell>
          <cell r="U437" t="str">
            <v>1305227037018414ZZ11</v>
          </cell>
          <cell r="V437">
            <v>433</v>
          </cell>
          <cell r="W437" t="str">
            <v>C&amp;PS: B&amp;A HUMAN RESOURCES</v>
          </cell>
          <cell r="X437">
            <v>3043000</v>
          </cell>
          <cell r="Y437">
            <v>1673989.82</v>
          </cell>
          <cell r="Z437">
            <v>2008787.7840000002</v>
          </cell>
          <cell r="AA437">
            <v>7500000</v>
          </cell>
          <cell r="AB437">
            <v>10543000</v>
          </cell>
          <cell r="AC437">
            <v>10000000</v>
          </cell>
        </row>
        <row r="438">
          <cell r="F438" t="str">
            <v>C&amp;PS: B&amp;A HUMAN RESOURCES (TRAINING)</v>
          </cell>
          <cell r="G438" t="str">
            <v>P227334</v>
          </cell>
          <cell r="H438" t="str">
            <v>P227037</v>
          </cell>
          <cell r="I438"/>
          <cell r="J438"/>
          <cell r="K438" t="str">
            <v>13</v>
          </cell>
          <cell r="L438" t="str">
            <v>05</v>
          </cell>
          <cell r="M438" t="str">
            <v>2</v>
          </cell>
          <cell r="N438" t="str">
            <v>27</v>
          </cell>
          <cell r="O438" t="str">
            <v>037</v>
          </cell>
          <cell r="P438" t="str">
            <v>0</v>
          </cell>
          <cell r="Q438">
            <v>29</v>
          </cell>
          <cell r="R438" t="str">
            <v>MRC</v>
          </cell>
          <cell r="S438" t="str">
            <v>ZZ</v>
          </cell>
          <cell r="T438">
            <v>11</v>
          </cell>
          <cell r="U438" t="str">
            <v>1305227037029MRCZZ11</v>
          </cell>
          <cell r="V438">
            <v>433</v>
          </cell>
          <cell r="W438" t="str">
            <v>C&amp;PS: B&amp;A HUMAN RESOURCES (TRAINING)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600000</v>
          </cell>
        </row>
        <row r="439">
          <cell r="F439" t="str">
            <v>OC: ASSETS LESS THAN CAPITAL THRESHOLD</v>
          </cell>
          <cell r="G439" t="str">
            <v>P230452</v>
          </cell>
          <cell r="H439" t="str">
            <v>P230019</v>
          </cell>
          <cell r="I439"/>
          <cell r="J439"/>
          <cell r="K439" t="str">
            <v>13</v>
          </cell>
          <cell r="L439" t="str">
            <v>05</v>
          </cell>
          <cell r="M439" t="str">
            <v>2</v>
          </cell>
          <cell r="N439" t="str">
            <v>30</v>
          </cell>
          <cell r="O439" t="str">
            <v>019</v>
          </cell>
          <cell r="P439" t="str">
            <v>0</v>
          </cell>
          <cell r="Q439">
            <v>18</v>
          </cell>
          <cell r="R439" t="str">
            <v>MRC</v>
          </cell>
          <cell r="S439" t="str">
            <v>ZZ</v>
          </cell>
          <cell r="T439">
            <v>11</v>
          </cell>
          <cell r="U439" t="str">
            <v>1305230019018MRCZZ11</v>
          </cell>
          <cell r="V439">
            <v>434</v>
          </cell>
          <cell r="W439" t="str">
            <v>OC: ASSETS LESS THAN CAPITAL THRESHOLD</v>
          </cell>
          <cell r="X439">
            <v>17224</v>
          </cell>
          <cell r="Y439">
            <v>15662.75</v>
          </cell>
          <cell r="Z439">
            <v>18795.300000000003</v>
          </cell>
          <cell r="AA439"/>
          <cell r="AB439">
            <v>17224</v>
          </cell>
          <cell r="AC439">
            <v>0</v>
          </cell>
        </row>
        <row r="440">
          <cell r="F440" t="str">
            <v>OC: MUNICIPAL SERVICES</v>
          </cell>
          <cell r="G440" t="str">
            <v>P230452</v>
          </cell>
          <cell r="H440" t="str">
            <v>P230361</v>
          </cell>
          <cell r="I440"/>
          <cell r="J440"/>
          <cell r="K440" t="str">
            <v>13</v>
          </cell>
          <cell r="L440" t="str">
            <v>05</v>
          </cell>
          <cell r="M440" t="str">
            <v>2</v>
          </cell>
          <cell r="N440" t="str">
            <v>30</v>
          </cell>
          <cell r="O440" t="str">
            <v>361</v>
          </cell>
          <cell r="P440" t="str">
            <v>0</v>
          </cell>
          <cell r="Q440">
            <v>18</v>
          </cell>
          <cell r="R440" t="str">
            <v>MRC</v>
          </cell>
          <cell r="S440" t="str">
            <v>ZZ</v>
          </cell>
          <cell r="T440">
            <v>11</v>
          </cell>
          <cell r="U440" t="str">
            <v>1305230361018MRCZZ11</v>
          </cell>
          <cell r="V440">
            <v>435</v>
          </cell>
          <cell r="W440" t="str">
            <v>OC: MUNICIPAL SERVICES</v>
          </cell>
          <cell r="X440">
            <v>1106155</v>
          </cell>
          <cell r="Y440">
            <v>1480357.85</v>
          </cell>
          <cell r="Z440">
            <v>1776429.42</v>
          </cell>
          <cell r="AA440"/>
          <cell r="AB440">
            <v>1106155</v>
          </cell>
          <cell r="AC440">
            <v>0</v>
          </cell>
        </row>
        <row r="441">
          <cell r="F441" t="str">
            <v>OC: SKILLS DEVELOPMENT FUND LEVY</v>
          </cell>
          <cell r="G441" t="str">
            <v>P230452</v>
          </cell>
          <cell r="H441" t="str">
            <v>P230541</v>
          </cell>
          <cell r="I441"/>
          <cell r="J441"/>
          <cell r="K441" t="str">
            <v>13</v>
          </cell>
          <cell r="L441" t="str">
            <v>05</v>
          </cell>
          <cell r="M441" t="str">
            <v>2</v>
          </cell>
          <cell r="N441" t="str">
            <v>30</v>
          </cell>
          <cell r="O441" t="str">
            <v>541</v>
          </cell>
          <cell r="P441" t="str">
            <v>0</v>
          </cell>
          <cell r="Q441">
            <v>18</v>
          </cell>
          <cell r="R441" t="str">
            <v>MRC</v>
          </cell>
          <cell r="S441" t="str">
            <v>ZZ</v>
          </cell>
          <cell r="T441">
            <v>11</v>
          </cell>
          <cell r="U441" t="str">
            <v>1305230541018MRCZZ11</v>
          </cell>
          <cell r="V441">
            <v>436</v>
          </cell>
          <cell r="W441" t="str">
            <v>OC: SKILLS DEVELOPMENT FUND LEVY</v>
          </cell>
          <cell r="X441">
            <v>0</v>
          </cell>
          <cell r="Y441">
            <v>0</v>
          </cell>
          <cell r="Z441">
            <v>0</v>
          </cell>
          <cell r="AA441"/>
          <cell r="AB441">
            <v>0</v>
          </cell>
          <cell r="AC441">
            <v>0</v>
          </cell>
        </row>
        <row r="442">
          <cell r="F442" t="str">
            <v>OC: T&amp;S DOM - ACCOMMODATION</v>
          </cell>
          <cell r="G442" t="str">
            <v>P230452</v>
          </cell>
          <cell r="H442" t="str">
            <v>P230576</v>
          </cell>
          <cell r="I442"/>
          <cell r="J442"/>
          <cell r="K442" t="str">
            <v>13</v>
          </cell>
          <cell r="L442" t="str">
            <v>05</v>
          </cell>
          <cell r="M442" t="str">
            <v>2</v>
          </cell>
          <cell r="N442" t="str">
            <v>30</v>
          </cell>
          <cell r="O442" t="str">
            <v>576</v>
          </cell>
          <cell r="P442" t="str">
            <v>0</v>
          </cell>
          <cell r="Q442">
            <v>18</v>
          </cell>
          <cell r="R442" t="str">
            <v>MRC</v>
          </cell>
          <cell r="S442" t="str">
            <v>ZZ</v>
          </cell>
          <cell r="T442">
            <v>11</v>
          </cell>
          <cell r="U442" t="str">
            <v>1305230576018MRCZZ11</v>
          </cell>
          <cell r="V442">
            <v>437</v>
          </cell>
          <cell r="W442" t="str">
            <v>OC: T&amp;S DOM - ACCOMMODATION</v>
          </cell>
          <cell r="X442">
            <v>5000</v>
          </cell>
          <cell r="Y442">
            <v>2542.92</v>
          </cell>
          <cell r="Z442">
            <v>3051.5039999999999</v>
          </cell>
          <cell r="AA442"/>
          <cell r="AB442">
            <v>5000</v>
          </cell>
          <cell r="AC442">
            <v>0</v>
          </cell>
        </row>
        <row r="443">
          <cell r="F443" t="str">
            <v>OC: T&amp;S DOM - DAILY ALLOWANCE</v>
          </cell>
          <cell r="G443" t="str">
            <v>P230452</v>
          </cell>
          <cell r="H443" t="str">
            <v>P230577</v>
          </cell>
          <cell r="I443"/>
          <cell r="J443"/>
          <cell r="K443" t="str">
            <v>13</v>
          </cell>
          <cell r="L443" t="str">
            <v>05</v>
          </cell>
          <cell r="M443" t="str">
            <v>2</v>
          </cell>
          <cell r="N443" t="str">
            <v>30</v>
          </cell>
          <cell r="O443" t="str">
            <v>577</v>
          </cell>
          <cell r="P443" t="str">
            <v>0</v>
          </cell>
          <cell r="Q443">
            <v>18</v>
          </cell>
          <cell r="R443" t="str">
            <v>MRC</v>
          </cell>
          <cell r="S443" t="str">
            <v>ZZ</v>
          </cell>
          <cell r="T443">
            <v>11</v>
          </cell>
          <cell r="U443" t="str">
            <v>1305230577018MRCZZ11</v>
          </cell>
          <cell r="V443">
            <v>438</v>
          </cell>
          <cell r="W443" t="str">
            <v>OC: T&amp;S DOM - DAILY ALLOWANCE</v>
          </cell>
          <cell r="X443">
            <v>0</v>
          </cell>
          <cell r="Y443">
            <v>0</v>
          </cell>
          <cell r="Z443">
            <v>0</v>
          </cell>
          <cell r="AA443"/>
          <cell r="AB443">
            <v>0</v>
          </cell>
          <cell r="AC443">
            <v>0</v>
          </cell>
        </row>
        <row r="444">
          <cell r="F444" t="str">
            <v>OC: T&amp;S DOM TRP - WITHOUT OPR CAR RENTAL</v>
          </cell>
          <cell r="G444" t="str">
            <v>P230452</v>
          </cell>
          <cell r="H444" t="str">
            <v>P230580</v>
          </cell>
          <cell r="I444"/>
          <cell r="J444"/>
          <cell r="K444" t="str">
            <v>13</v>
          </cell>
          <cell r="L444" t="str">
            <v>05</v>
          </cell>
          <cell r="M444" t="str">
            <v>2</v>
          </cell>
          <cell r="N444" t="str">
            <v>30</v>
          </cell>
          <cell r="O444" t="str">
            <v>580</v>
          </cell>
          <cell r="P444" t="str">
            <v>0</v>
          </cell>
          <cell r="Q444">
            <v>18</v>
          </cell>
          <cell r="R444" t="str">
            <v>MRC</v>
          </cell>
          <cell r="S444" t="str">
            <v>ZZ</v>
          </cell>
          <cell r="T444">
            <v>11</v>
          </cell>
          <cell r="U444" t="str">
            <v>1305230580018MRCZZ11</v>
          </cell>
          <cell r="V444">
            <v>439</v>
          </cell>
          <cell r="W444" t="str">
            <v>OC: T&amp;S DOM TRP - WITHOUT OPR CAR RENTAL</v>
          </cell>
          <cell r="X444">
            <v>0</v>
          </cell>
          <cell r="Y444">
            <v>0</v>
          </cell>
          <cell r="Z444">
            <v>0</v>
          </cell>
          <cell r="AA444"/>
          <cell r="AB444">
            <v>0</v>
          </cell>
          <cell r="AC444">
            <v>31440</v>
          </cell>
        </row>
        <row r="445">
          <cell r="F445" t="str">
            <v>OC: T&amp;S DOM PUB TRP - AIR TRANSPORT</v>
          </cell>
          <cell r="G445" t="str">
            <v>P230452</v>
          </cell>
          <cell r="H445" t="str">
            <v>P230583</v>
          </cell>
          <cell r="I445"/>
          <cell r="J445"/>
          <cell r="K445" t="str">
            <v>13</v>
          </cell>
          <cell r="L445" t="str">
            <v>05</v>
          </cell>
          <cell r="M445" t="str">
            <v>2</v>
          </cell>
          <cell r="N445" t="str">
            <v>30</v>
          </cell>
          <cell r="O445" t="str">
            <v>583</v>
          </cell>
          <cell r="P445" t="str">
            <v>0</v>
          </cell>
          <cell r="Q445">
            <v>18</v>
          </cell>
          <cell r="R445" t="str">
            <v>MRC</v>
          </cell>
          <cell r="S445" t="str">
            <v>ZZ</v>
          </cell>
          <cell r="T445">
            <v>11</v>
          </cell>
          <cell r="U445" t="str">
            <v>1305230583018MRCZZ11</v>
          </cell>
          <cell r="V445">
            <v>440</v>
          </cell>
          <cell r="W445" t="str">
            <v>OC: T&amp;S DOM PUB TRP - AIR TRANSPORT</v>
          </cell>
          <cell r="X445">
            <v>62841</v>
          </cell>
          <cell r="Y445">
            <v>50335.64</v>
          </cell>
          <cell r="Z445">
            <v>60402.768000000004</v>
          </cell>
          <cell r="AA445"/>
          <cell r="AB445">
            <v>62841</v>
          </cell>
          <cell r="AC445">
            <v>31440</v>
          </cell>
        </row>
        <row r="446">
          <cell r="F446" t="str">
            <v>OC: UNIFORM &amp; PROTECTIVE CLOTHING</v>
          </cell>
          <cell r="G446" t="str">
            <v>P230452</v>
          </cell>
          <cell r="H446" t="str">
            <v>P230610</v>
          </cell>
          <cell r="I446"/>
          <cell r="J446"/>
          <cell r="K446" t="str">
            <v>13</v>
          </cell>
          <cell r="L446" t="str">
            <v>05</v>
          </cell>
          <cell r="M446" t="str">
            <v>2</v>
          </cell>
          <cell r="N446" t="str">
            <v>30</v>
          </cell>
          <cell r="O446" t="str">
            <v>610</v>
          </cell>
          <cell r="P446" t="str">
            <v>0</v>
          </cell>
          <cell r="Q446">
            <v>18</v>
          </cell>
          <cell r="R446" t="str">
            <v>MRC</v>
          </cell>
          <cell r="S446" t="str">
            <v>ZZ</v>
          </cell>
          <cell r="T446">
            <v>11</v>
          </cell>
          <cell r="U446" t="str">
            <v>1305230610018MRCZZ11</v>
          </cell>
          <cell r="V446">
            <v>441</v>
          </cell>
          <cell r="W446" t="str">
            <v>OC: UNIFORM &amp; PROTECTIVE CLOTHING</v>
          </cell>
          <cell r="X446">
            <v>23161</v>
          </cell>
          <cell r="Y446">
            <v>4171.9399999999996</v>
          </cell>
          <cell r="Z446">
            <v>5006.3279999999995</v>
          </cell>
          <cell r="AA446"/>
          <cell r="AB446">
            <v>23161</v>
          </cell>
          <cell r="AC446">
            <v>0</v>
          </cell>
        </row>
        <row r="447">
          <cell r="F447" t="str">
            <v>INVENTORY - MATERIALS &amp; SUPPLIES(PRINT&amp;</v>
          </cell>
          <cell r="G447" t="str">
            <v>P232360</v>
          </cell>
          <cell r="H447" t="str">
            <v>P232360</v>
          </cell>
          <cell r="I447"/>
          <cell r="J447"/>
          <cell r="K447" t="str">
            <v>13</v>
          </cell>
          <cell r="L447" t="str">
            <v>05</v>
          </cell>
          <cell r="M447" t="str">
            <v>2</v>
          </cell>
          <cell r="N447" t="str">
            <v>32</v>
          </cell>
          <cell r="O447" t="str">
            <v>360</v>
          </cell>
          <cell r="P447" t="str">
            <v>D</v>
          </cell>
          <cell r="Q447">
            <v>18</v>
          </cell>
          <cell r="R447" t="str">
            <v>MRC</v>
          </cell>
          <cell r="S447" t="str">
            <v>ZZ</v>
          </cell>
          <cell r="T447">
            <v>11</v>
          </cell>
          <cell r="U447" t="str">
            <v>1305232360D18MRCZZ11</v>
          </cell>
          <cell r="V447">
            <v>442</v>
          </cell>
          <cell r="W447" t="str">
            <v>INVENTORY - MATERIALS &amp; SUPPLIES(PRINT&amp;</v>
          </cell>
          <cell r="X447">
            <v>33750</v>
          </cell>
          <cell r="Y447">
            <v>33182.480000000003</v>
          </cell>
          <cell r="Z447">
            <v>39818.97600000001</v>
          </cell>
          <cell r="AA447"/>
          <cell r="AB447">
            <v>33750</v>
          </cell>
          <cell r="AC447">
            <v>30000</v>
          </cell>
        </row>
        <row r="448">
          <cell r="F448" t="str">
            <v>INVENTORY - MATERIALS &amp; SUPPLIES(STOCK &amp;</v>
          </cell>
          <cell r="G448" t="str">
            <v>P232360</v>
          </cell>
          <cell r="H448" t="str">
            <v>P232360</v>
          </cell>
          <cell r="I448"/>
          <cell r="J448"/>
          <cell r="K448" t="str">
            <v>13</v>
          </cell>
          <cell r="L448" t="str">
            <v>05</v>
          </cell>
          <cell r="M448" t="str">
            <v>2</v>
          </cell>
          <cell r="N448" t="str">
            <v>32</v>
          </cell>
          <cell r="O448" t="str">
            <v>360</v>
          </cell>
          <cell r="P448" t="str">
            <v>R</v>
          </cell>
          <cell r="Q448">
            <v>18</v>
          </cell>
          <cell r="R448" t="str">
            <v>MRC</v>
          </cell>
          <cell r="S448" t="str">
            <v>ZZ</v>
          </cell>
          <cell r="T448">
            <v>11</v>
          </cell>
          <cell r="U448" t="str">
            <v>1305232360R18MRCZZ11</v>
          </cell>
          <cell r="V448">
            <v>443</v>
          </cell>
          <cell r="W448" t="str">
            <v>INVENTORY - MATERIALS &amp; SUPPLIES(STOCK &amp;</v>
          </cell>
          <cell r="X448">
            <v>87988</v>
          </cell>
          <cell r="Y448">
            <v>76947.23</v>
          </cell>
          <cell r="Z448">
            <v>92336.676000000007</v>
          </cell>
          <cell r="AA448"/>
          <cell r="AB448">
            <v>87988</v>
          </cell>
          <cell r="AC448">
            <v>0</v>
          </cell>
        </row>
        <row r="449">
          <cell r="F449" t="str">
            <v>DEPRECIATION FURNITURE &amp; OFFICE EQUIPM</v>
          </cell>
          <cell r="G449" t="str">
            <v>P272150</v>
          </cell>
          <cell r="H449" t="str">
            <v>P272150</v>
          </cell>
          <cell r="I449"/>
          <cell r="J449"/>
          <cell r="K449" t="str">
            <v>13</v>
          </cell>
          <cell r="L449" t="str">
            <v>05</v>
          </cell>
          <cell r="M449" t="str">
            <v>2</v>
          </cell>
          <cell r="N449" t="str">
            <v>72</v>
          </cell>
          <cell r="O449" t="str">
            <v>150</v>
          </cell>
          <cell r="P449" t="str">
            <v>0</v>
          </cell>
          <cell r="Q449">
            <v>18</v>
          </cell>
          <cell r="R449" t="str">
            <v>MRC</v>
          </cell>
          <cell r="S449" t="str">
            <v>ZZ</v>
          </cell>
          <cell r="T449">
            <v>11</v>
          </cell>
          <cell r="U449" t="str">
            <v>1305272150018MRCZZ11</v>
          </cell>
          <cell r="V449">
            <v>444</v>
          </cell>
          <cell r="W449" t="str">
            <v>DEPRECIATION FURNITURE &amp; OFFICE EQUIPM</v>
          </cell>
          <cell r="X449">
            <v>0</v>
          </cell>
          <cell r="Y449">
            <v>0</v>
          </cell>
          <cell r="Z449">
            <v>0</v>
          </cell>
          <cell r="AA449"/>
          <cell r="AB449">
            <v>0</v>
          </cell>
          <cell r="AC449">
            <v>0</v>
          </cell>
        </row>
        <row r="450">
          <cell r="F450" t="str">
            <v>DEPRECIATION COMMUNITY HALLS</v>
          </cell>
          <cell r="G450" t="str">
            <v>P272150</v>
          </cell>
          <cell r="H450" t="str">
            <v>P272880</v>
          </cell>
          <cell r="I450"/>
          <cell r="J450"/>
          <cell r="K450" t="str">
            <v>13</v>
          </cell>
          <cell r="L450" t="str">
            <v>05</v>
          </cell>
          <cell r="M450" t="str">
            <v>2</v>
          </cell>
          <cell r="N450" t="str">
            <v>72</v>
          </cell>
          <cell r="O450" t="str">
            <v>880</v>
          </cell>
          <cell r="P450" t="str">
            <v>0</v>
          </cell>
          <cell r="Q450">
            <v>18</v>
          </cell>
          <cell r="R450" t="str">
            <v>MRC</v>
          </cell>
          <cell r="S450" t="str">
            <v>ZZ</v>
          </cell>
          <cell r="T450">
            <v>11</v>
          </cell>
          <cell r="U450" t="str">
            <v>1305272880018MRCZZ11</v>
          </cell>
          <cell r="V450">
            <v>445</v>
          </cell>
          <cell r="W450" t="str">
            <v>DEPRECIATION COMMUNITY HALLS</v>
          </cell>
          <cell r="X450">
            <v>1636856</v>
          </cell>
          <cell r="Y450">
            <v>2899613.71</v>
          </cell>
          <cell r="Z450">
            <v>3479536.4519999996</v>
          </cell>
          <cell r="AA450"/>
          <cell r="AB450">
            <v>1636856</v>
          </cell>
          <cell r="AC450">
            <v>1715425.088</v>
          </cell>
        </row>
        <row r="451">
          <cell r="F451" t="str">
            <v>PPE COMMUNITY ASSETS - GAINS</v>
          </cell>
          <cell r="G451" t="str">
            <v>P320085</v>
          </cell>
          <cell r="H451" t="str">
            <v>P320280</v>
          </cell>
          <cell r="I451"/>
          <cell r="J451"/>
          <cell r="K451" t="str">
            <v>13</v>
          </cell>
          <cell r="L451" t="str">
            <v>05</v>
          </cell>
          <cell r="M451" t="str">
            <v>3</v>
          </cell>
          <cell r="N451" t="str">
            <v>20</v>
          </cell>
          <cell r="O451" t="str">
            <v>280</v>
          </cell>
          <cell r="P451" t="str">
            <v>0</v>
          </cell>
          <cell r="Q451">
            <v>18</v>
          </cell>
          <cell r="R451" t="str">
            <v>MRC</v>
          </cell>
          <cell r="S451" t="str">
            <v>ZZ</v>
          </cell>
          <cell r="T451">
            <v>11</v>
          </cell>
          <cell r="U451" t="str">
            <v>1305320280018MRCZZ11</v>
          </cell>
          <cell r="V451">
            <v>446</v>
          </cell>
          <cell r="W451" t="str">
            <v>PPE COMMUNITY ASSETS - GAINS</v>
          </cell>
          <cell r="X451">
            <v>0</v>
          </cell>
          <cell r="Y451">
            <v>0</v>
          </cell>
          <cell r="Z451">
            <v>0</v>
          </cell>
          <cell r="AA451"/>
          <cell r="AB451">
            <v>0</v>
          </cell>
          <cell r="AC451">
            <v>0</v>
          </cell>
        </row>
        <row r="452">
          <cell r="F452" t="str">
            <v>PPE COMMUNITY ASSETS - LOSSES</v>
          </cell>
          <cell r="G452" t="str">
            <v>P370020</v>
          </cell>
          <cell r="H452" t="str">
            <v>P320285</v>
          </cell>
          <cell r="I452"/>
          <cell r="J452"/>
          <cell r="K452" t="str">
            <v>13</v>
          </cell>
          <cell r="L452" t="str">
            <v>05</v>
          </cell>
          <cell r="M452" t="str">
            <v>3</v>
          </cell>
          <cell r="N452" t="str">
            <v>20</v>
          </cell>
          <cell r="O452" t="str">
            <v>285</v>
          </cell>
          <cell r="P452" t="str">
            <v>0</v>
          </cell>
          <cell r="Q452">
            <v>18</v>
          </cell>
          <cell r="R452" t="str">
            <v>MRC</v>
          </cell>
          <cell r="S452" t="str">
            <v>ZZ</v>
          </cell>
          <cell r="T452">
            <v>11</v>
          </cell>
          <cell r="U452" t="str">
            <v>1305320285018MRCZZ11</v>
          </cell>
          <cell r="V452">
            <v>447</v>
          </cell>
          <cell r="W452" t="str">
            <v>PPE COMMUNITY ASSETS - LOSSES</v>
          </cell>
          <cell r="X452">
            <v>0</v>
          </cell>
          <cell r="Y452">
            <v>0</v>
          </cell>
          <cell r="Z452">
            <v>0</v>
          </cell>
          <cell r="AA452"/>
          <cell r="AB452">
            <v>0</v>
          </cell>
          <cell r="AC452">
            <v>0</v>
          </cell>
        </row>
        <row r="453">
          <cell r="F453" t="str">
            <v>PPE OTHER - ASSETS - LOSSES</v>
          </cell>
          <cell r="G453" t="str">
            <v>P370020</v>
          </cell>
          <cell r="H453" t="str">
            <v>P320300</v>
          </cell>
          <cell r="I453"/>
          <cell r="J453"/>
          <cell r="K453" t="str">
            <v>13</v>
          </cell>
          <cell r="L453" t="str">
            <v>05</v>
          </cell>
          <cell r="M453" t="str">
            <v>3</v>
          </cell>
          <cell r="N453" t="str">
            <v>20</v>
          </cell>
          <cell r="O453" t="str">
            <v>300</v>
          </cell>
          <cell r="P453" t="str">
            <v>0</v>
          </cell>
          <cell r="Q453">
            <v>18</v>
          </cell>
          <cell r="R453" t="str">
            <v>MRC</v>
          </cell>
          <cell r="S453" t="str">
            <v>ZZ</v>
          </cell>
          <cell r="T453">
            <v>11</v>
          </cell>
          <cell r="U453" t="str">
            <v>1305320300018MRCZZ11</v>
          </cell>
          <cell r="V453">
            <v>448</v>
          </cell>
          <cell r="W453" t="str">
            <v>PPE OTHER - ASSETS - LOSSES</v>
          </cell>
          <cell r="X453">
            <v>0</v>
          </cell>
          <cell r="Y453">
            <v>0</v>
          </cell>
          <cell r="Z453">
            <v>0</v>
          </cell>
          <cell r="AA453"/>
          <cell r="AB453">
            <v>0</v>
          </cell>
          <cell r="AC453">
            <v>0</v>
          </cell>
        </row>
        <row r="454">
          <cell r="F454" t="str">
            <v>IL: NON SPECIFIC ACCOUNTS</v>
          </cell>
          <cell r="G454" t="str">
            <v>P350110</v>
          </cell>
          <cell r="H454" t="str">
            <v>P350110</v>
          </cell>
          <cell r="I454"/>
          <cell r="J454"/>
          <cell r="K454" t="str">
            <v>13</v>
          </cell>
          <cell r="L454" t="str">
            <v>05</v>
          </cell>
          <cell r="M454" t="str">
            <v>3</v>
          </cell>
          <cell r="N454" t="str">
            <v>50</v>
          </cell>
          <cell r="O454" t="str">
            <v>110</v>
          </cell>
          <cell r="P454" t="str">
            <v>0</v>
          </cell>
          <cell r="Q454">
            <v>18</v>
          </cell>
          <cell r="R454" t="str">
            <v>MRC</v>
          </cell>
          <cell r="S454" t="str">
            <v>ZZ</v>
          </cell>
          <cell r="T454">
            <v>11</v>
          </cell>
          <cell r="U454" t="str">
            <v>1305350110018MRCZZ11</v>
          </cell>
          <cell r="V454">
            <v>449</v>
          </cell>
          <cell r="W454" t="str">
            <v>IL: NON SPECIFIC ACCOUNTS</v>
          </cell>
          <cell r="X454">
            <v>0</v>
          </cell>
          <cell r="Y454">
            <v>0</v>
          </cell>
          <cell r="Z454">
            <v>0</v>
          </cell>
          <cell r="AA454"/>
          <cell r="AB454">
            <v>0</v>
          </cell>
          <cell r="AC454">
            <v>0</v>
          </cell>
        </row>
        <row r="455">
          <cell r="F455" t="str">
            <v>TRAINING &amp; DEVELOPMENT</v>
          </cell>
          <cell r="G455" t="str">
            <v>P647352QX3</v>
          </cell>
          <cell r="H455" t="str">
            <v>P647352QX3</v>
          </cell>
          <cell r="I455"/>
          <cell r="J455"/>
          <cell r="K455" t="str">
            <v>13</v>
          </cell>
          <cell r="L455" t="str">
            <v>05</v>
          </cell>
          <cell r="M455" t="str">
            <v>6</v>
          </cell>
          <cell r="N455" t="str">
            <v>47</v>
          </cell>
          <cell r="O455" t="str">
            <v>352</v>
          </cell>
          <cell r="P455" t="str">
            <v>0</v>
          </cell>
          <cell r="Q455" t="str">
            <v>CF</v>
          </cell>
          <cell r="R455" t="str">
            <v>QX3</v>
          </cell>
          <cell r="S455" t="str">
            <v>ZZ</v>
          </cell>
          <cell r="T455">
            <v>11</v>
          </cell>
          <cell r="U455" t="str">
            <v>13056473520CFQX3ZZ11</v>
          </cell>
          <cell r="V455">
            <v>450</v>
          </cell>
          <cell r="W455" t="str">
            <v>TRAINING &amp; DEVELOPMENT</v>
          </cell>
          <cell r="X455">
            <v>574174</v>
          </cell>
          <cell r="Y455">
            <v>36580</v>
          </cell>
          <cell r="Z455">
            <v>43896</v>
          </cell>
          <cell r="AA455"/>
          <cell r="AB455">
            <v>574174</v>
          </cell>
          <cell r="AC455">
            <v>574174</v>
          </cell>
        </row>
        <row r="456">
          <cell r="F456" t="str">
            <v>SM D12: SAL &amp; ALL -  BASIC SALARY</v>
          </cell>
          <cell r="G456" t="str">
            <v>P1405203525</v>
          </cell>
          <cell r="H456" t="str">
            <v>P1405203525</v>
          </cell>
          <cell r="I456" t="str">
            <v>501405</v>
          </cell>
          <cell r="J456">
            <v>50</v>
          </cell>
          <cell r="K456" t="str">
            <v>14</v>
          </cell>
          <cell r="L456" t="str">
            <v>05</v>
          </cell>
          <cell r="M456" t="str">
            <v>2</v>
          </cell>
          <cell r="N456" t="str">
            <v>03</v>
          </cell>
          <cell r="O456" t="str">
            <v>525</v>
          </cell>
          <cell r="P456" t="str">
            <v>0</v>
          </cell>
          <cell r="Q456">
            <v>18</v>
          </cell>
          <cell r="R456" t="str">
            <v>MRC</v>
          </cell>
          <cell r="S456" t="str">
            <v>ZZ</v>
          </cell>
          <cell r="T456">
            <v>11</v>
          </cell>
          <cell r="U456" t="str">
            <v>1405203525018MRCZZ11</v>
          </cell>
          <cell r="V456">
            <v>451</v>
          </cell>
          <cell r="W456" t="str">
            <v>SM D12: SAL &amp; ALL -  BASIC SALARY</v>
          </cell>
          <cell r="X456">
            <v>1814116</v>
          </cell>
          <cell r="Y456">
            <v>75356.5</v>
          </cell>
          <cell r="Z456">
            <v>90427.799999999988</v>
          </cell>
          <cell r="AA456"/>
          <cell r="AB456">
            <v>1814116</v>
          </cell>
          <cell r="AC456">
            <v>1341533.6626944002</v>
          </cell>
        </row>
        <row r="457">
          <cell r="F457" t="str">
            <v>SM D12: ALLOW - CELLULAR &amp; TELEPHONE</v>
          </cell>
          <cell r="G457" t="str">
            <v>P1405203527</v>
          </cell>
          <cell r="H457" t="str">
            <v>P1405203527</v>
          </cell>
          <cell r="I457" t="str">
            <v>501405</v>
          </cell>
          <cell r="J457">
            <v>50</v>
          </cell>
          <cell r="K457" t="str">
            <v>14</v>
          </cell>
          <cell r="L457" t="str">
            <v>05</v>
          </cell>
          <cell r="M457" t="str">
            <v>2</v>
          </cell>
          <cell r="N457" t="str">
            <v>03</v>
          </cell>
          <cell r="O457" t="str">
            <v>527</v>
          </cell>
          <cell r="P457" t="str">
            <v>0</v>
          </cell>
          <cell r="Q457">
            <v>18</v>
          </cell>
          <cell r="R457" t="str">
            <v>MRC</v>
          </cell>
          <cell r="S457" t="str">
            <v>ZZ</v>
          </cell>
          <cell r="T457">
            <v>11</v>
          </cell>
          <cell r="U457" t="str">
            <v>1405203527018MRCZZ11</v>
          </cell>
          <cell r="V457">
            <v>452</v>
          </cell>
          <cell r="W457" t="str">
            <v>SM D12: ALLOW - CELLULAR &amp; TELEPHONE</v>
          </cell>
          <cell r="X457">
            <v>16736</v>
          </cell>
          <cell r="Y457">
            <v>1200</v>
          </cell>
          <cell r="Z457">
            <v>1440</v>
          </cell>
          <cell r="AA457"/>
          <cell r="AB457">
            <v>16736</v>
          </cell>
          <cell r="AC457">
            <v>15091.2</v>
          </cell>
        </row>
        <row r="458">
          <cell r="F458" t="str">
            <v>SM D12: ALLOW - TRAVEL OR MOTOR VEHICLE</v>
          </cell>
          <cell r="G458" t="str">
            <v>P1405203529</v>
          </cell>
          <cell r="H458" t="str">
            <v>P1405203529</v>
          </cell>
          <cell r="I458" t="str">
            <v>501405</v>
          </cell>
          <cell r="J458">
            <v>50</v>
          </cell>
          <cell r="K458" t="str">
            <v>14</v>
          </cell>
          <cell r="L458" t="str">
            <v>05</v>
          </cell>
          <cell r="M458" t="str">
            <v>2</v>
          </cell>
          <cell r="N458" t="str">
            <v>03</v>
          </cell>
          <cell r="O458" t="str">
            <v>529</v>
          </cell>
          <cell r="P458" t="str">
            <v>0</v>
          </cell>
          <cell r="Q458">
            <v>18</v>
          </cell>
          <cell r="R458" t="str">
            <v>MRC</v>
          </cell>
          <cell r="S458" t="str">
            <v>ZZ</v>
          </cell>
          <cell r="T458">
            <v>11</v>
          </cell>
          <cell r="U458" t="str">
            <v>1405203529018MRCZZ11</v>
          </cell>
          <cell r="V458">
            <v>453</v>
          </cell>
          <cell r="W458" t="str">
            <v>SM D12: ALLOW - TRAVEL OR MOTOR VEHICLE</v>
          </cell>
          <cell r="X458">
            <v>159680</v>
          </cell>
          <cell r="Y458">
            <v>26400</v>
          </cell>
          <cell r="Z458">
            <v>31680</v>
          </cell>
          <cell r="AA458"/>
          <cell r="AB458">
            <v>159680</v>
          </cell>
          <cell r="AC458">
            <v>0</v>
          </cell>
        </row>
        <row r="459">
          <cell r="F459" t="str">
            <v>SM D11: SOC CONTR: UIF</v>
          </cell>
          <cell r="G459" t="str">
            <v>P1405205503</v>
          </cell>
          <cell r="H459" t="str">
            <v>P1405205503</v>
          </cell>
          <cell r="I459" t="str">
            <v>501405</v>
          </cell>
          <cell r="J459">
            <v>50</v>
          </cell>
          <cell r="K459" t="str">
            <v>14</v>
          </cell>
          <cell r="L459" t="str">
            <v>05</v>
          </cell>
          <cell r="M459" t="str">
            <v>2</v>
          </cell>
          <cell r="N459" t="str">
            <v>05</v>
          </cell>
          <cell r="O459" t="str">
            <v>503</v>
          </cell>
          <cell r="P459" t="str">
            <v>0</v>
          </cell>
          <cell r="Q459">
            <v>18</v>
          </cell>
          <cell r="R459" t="str">
            <v>MRC</v>
          </cell>
          <cell r="S459" t="str">
            <v>ZZ</v>
          </cell>
          <cell r="T459">
            <v>11</v>
          </cell>
          <cell r="U459" t="str">
            <v>1405205503018MRCZZ11</v>
          </cell>
          <cell r="V459">
            <v>454</v>
          </cell>
          <cell r="W459" t="str">
            <v>SM D11: SOC CONTR: UIF</v>
          </cell>
          <cell r="X459">
            <v>0</v>
          </cell>
          <cell r="Y459">
            <v>177.12</v>
          </cell>
          <cell r="Z459">
            <v>212.54399999999998</v>
          </cell>
          <cell r="AA459"/>
          <cell r="AB459">
            <v>0</v>
          </cell>
          <cell r="AC459">
            <v>0</v>
          </cell>
        </row>
        <row r="460">
          <cell r="F460" t="str">
            <v>MS: SAL &amp; ALL: BASIC SALARY &amp; WAGES</v>
          </cell>
          <cell r="G460" t="str">
            <v>P211001</v>
          </cell>
          <cell r="H460" t="str">
            <v>P211001</v>
          </cell>
          <cell r="I460" t="str">
            <v>501405</v>
          </cell>
          <cell r="J460">
            <v>50</v>
          </cell>
          <cell r="K460" t="str">
            <v>14</v>
          </cell>
          <cell r="L460" t="str">
            <v>05</v>
          </cell>
          <cell r="M460" t="str">
            <v>2</v>
          </cell>
          <cell r="N460" t="str">
            <v>11</v>
          </cell>
          <cell r="O460" t="str">
            <v>001</v>
          </cell>
          <cell r="P460" t="str">
            <v>0</v>
          </cell>
          <cell r="Q460">
            <v>18</v>
          </cell>
          <cell r="R460" t="str">
            <v>MRC</v>
          </cell>
          <cell r="S460" t="str">
            <v>ZZ</v>
          </cell>
          <cell r="T460">
            <v>11</v>
          </cell>
          <cell r="U460" t="str">
            <v>1405211001018MRCZZ11</v>
          </cell>
          <cell r="V460">
            <v>455</v>
          </cell>
          <cell r="W460" t="str">
            <v>MS: SAL &amp; ALL: BASIC SALARY &amp; WAGES</v>
          </cell>
          <cell r="X460">
            <v>1868960</v>
          </cell>
          <cell r="Y460">
            <v>1288272.69</v>
          </cell>
          <cell r="Z460">
            <v>1545927.2280000001</v>
          </cell>
          <cell r="AA460"/>
          <cell r="AB460">
            <v>1868960</v>
          </cell>
          <cell r="AC460">
            <v>0</v>
          </cell>
        </row>
        <row r="461">
          <cell r="F461" t="str">
            <v>MS: ALL - CELLULAR &amp; TELEPHONE</v>
          </cell>
          <cell r="G461" t="str">
            <v>P211022</v>
          </cell>
          <cell r="H461" t="str">
            <v>P211022</v>
          </cell>
          <cell r="I461" t="str">
            <v>501405</v>
          </cell>
          <cell r="J461">
            <v>50</v>
          </cell>
          <cell r="K461" t="str">
            <v>14</v>
          </cell>
          <cell r="L461" t="str">
            <v>05</v>
          </cell>
          <cell r="M461" t="str">
            <v>2</v>
          </cell>
          <cell r="N461" t="str">
            <v>11</v>
          </cell>
          <cell r="O461" t="str">
            <v>022</v>
          </cell>
          <cell r="P461" t="str">
            <v>0</v>
          </cell>
          <cell r="Q461">
            <v>18</v>
          </cell>
          <cell r="R461" t="str">
            <v>MRC</v>
          </cell>
          <cell r="S461" t="str">
            <v>ZZ</v>
          </cell>
          <cell r="T461">
            <v>11</v>
          </cell>
          <cell r="U461" t="str">
            <v>1405211022018MRCZZ11</v>
          </cell>
          <cell r="V461">
            <v>456</v>
          </cell>
          <cell r="W461" t="str">
            <v>MS: ALL - CELLULAR &amp; TELEPHONE</v>
          </cell>
          <cell r="X461">
            <v>14803</v>
          </cell>
          <cell r="Y461">
            <v>12000</v>
          </cell>
          <cell r="Z461">
            <v>14400</v>
          </cell>
          <cell r="AA461"/>
          <cell r="AB461">
            <v>14803</v>
          </cell>
          <cell r="AC461">
            <v>0</v>
          </cell>
        </row>
        <row r="462">
          <cell r="F462" t="str">
            <v>MS: HB &amp; INC: HOUSING BENEFITS</v>
          </cell>
          <cell r="G462" t="str">
            <v>P211026</v>
          </cell>
          <cell r="H462" t="str">
            <v>P211026</v>
          </cell>
          <cell r="I462" t="str">
            <v>501405</v>
          </cell>
          <cell r="J462">
            <v>50</v>
          </cell>
          <cell r="K462" t="str">
            <v>14</v>
          </cell>
          <cell r="L462" t="str">
            <v>05</v>
          </cell>
          <cell r="M462" t="str">
            <v>2</v>
          </cell>
          <cell r="N462" t="str">
            <v>11</v>
          </cell>
          <cell r="O462" t="str">
            <v>026</v>
          </cell>
          <cell r="P462" t="str">
            <v>0</v>
          </cell>
          <cell r="Q462">
            <v>18</v>
          </cell>
          <cell r="R462" t="str">
            <v>MRC</v>
          </cell>
          <cell r="S462" t="str">
            <v>ZZ</v>
          </cell>
          <cell r="T462">
            <v>11</v>
          </cell>
          <cell r="U462" t="str">
            <v>1405211026018MRCZZ11</v>
          </cell>
          <cell r="V462">
            <v>457</v>
          </cell>
          <cell r="W462" t="str">
            <v>MS: HB &amp; INC: HOUSING BENEFITS</v>
          </cell>
          <cell r="X462">
            <v>0</v>
          </cell>
          <cell r="Y462">
            <v>0</v>
          </cell>
          <cell r="Z462">
            <v>0</v>
          </cell>
          <cell r="AA462"/>
          <cell r="AB462">
            <v>0</v>
          </cell>
          <cell r="AC462">
            <v>0</v>
          </cell>
        </row>
        <row r="463">
          <cell r="F463" t="str">
            <v>MS: ALL - TRAVEL OR MOTOR VEHICLE (SUBS</v>
          </cell>
          <cell r="G463" t="str">
            <v>P211034</v>
          </cell>
          <cell r="H463" t="str">
            <v>P211034</v>
          </cell>
          <cell r="I463" t="str">
            <v>501405</v>
          </cell>
          <cell r="J463">
            <v>50</v>
          </cell>
          <cell r="K463" t="str">
            <v>14</v>
          </cell>
          <cell r="L463" t="str">
            <v>05</v>
          </cell>
          <cell r="M463" t="str">
            <v>2</v>
          </cell>
          <cell r="N463" t="str">
            <v>11</v>
          </cell>
          <cell r="O463" t="str">
            <v>034</v>
          </cell>
          <cell r="P463" t="str">
            <v>1</v>
          </cell>
          <cell r="Q463">
            <v>18</v>
          </cell>
          <cell r="R463" t="str">
            <v>MRC</v>
          </cell>
          <cell r="S463" t="str">
            <v>ZZ</v>
          </cell>
          <cell r="T463">
            <v>11</v>
          </cell>
          <cell r="U463" t="str">
            <v>1405211034118MRCZZ11</v>
          </cell>
          <cell r="V463">
            <v>458</v>
          </cell>
          <cell r="W463" t="str">
            <v>MS: ALL - TRAVEL OR MOTOR VEHICLE (SUBS</v>
          </cell>
          <cell r="X463">
            <v>384403</v>
          </cell>
          <cell r="Y463">
            <v>264000</v>
          </cell>
          <cell r="Z463">
            <v>316800</v>
          </cell>
          <cell r="AA463"/>
          <cell r="AB463">
            <v>384403</v>
          </cell>
          <cell r="AC463">
            <v>0</v>
          </cell>
        </row>
        <row r="464">
          <cell r="F464" t="str">
            <v>MS: OVERTIME - STRUCTURED</v>
          </cell>
          <cell r="G464" t="str">
            <v>P211038</v>
          </cell>
          <cell r="H464" t="str">
            <v>P211038</v>
          </cell>
          <cell r="I464" t="str">
            <v>501405</v>
          </cell>
          <cell r="J464">
            <v>50</v>
          </cell>
          <cell r="K464" t="str">
            <v>14</v>
          </cell>
          <cell r="L464" t="str">
            <v>05</v>
          </cell>
          <cell r="M464" t="str">
            <v>2</v>
          </cell>
          <cell r="N464" t="str">
            <v>11</v>
          </cell>
          <cell r="O464" t="str">
            <v>038</v>
          </cell>
          <cell r="P464" t="str">
            <v>0</v>
          </cell>
          <cell r="Q464">
            <v>18</v>
          </cell>
          <cell r="R464" t="str">
            <v>MRC</v>
          </cell>
          <cell r="S464" t="str">
            <v>ZZ</v>
          </cell>
          <cell r="T464">
            <v>11</v>
          </cell>
          <cell r="U464" t="str">
            <v>1405211038018MRCZZ11</v>
          </cell>
          <cell r="V464">
            <v>459</v>
          </cell>
          <cell r="W464" t="str">
            <v>MS: OVERTIME - STRUCTURED</v>
          </cell>
          <cell r="X464">
            <v>266433</v>
          </cell>
          <cell r="Y464">
            <v>242221.93</v>
          </cell>
          <cell r="Z464">
            <v>290666.31599999999</v>
          </cell>
          <cell r="AA464"/>
          <cell r="AB464">
            <v>266433</v>
          </cell>
          <cell r="AC464">
            <v>239789.7</v>
          </cell>
        </row>
        <row r="465">
          <cell r="F465" t="str">
            <v>MS: PAYMENTS - SHIFT ADD REMUNERATION</v>
          </cell>
          <cell r="G465" t="str">
            <v>P211040</v>
          </cell>
          <cell r="H465" t="str">
            <v>P211040</v>
          </cell>
          <cell r="I465" t="str">
            <v>501405</v>
          </cell>
          <cell r="J465">
            <v>50</v>
          </cell>
          <cell r="K465" t="str">
            <v>14</v>
          </cell>
          <cell r="L465" t="str">
            <v>05</v>
          </cell>
          <cell r="M465" t="str">
            <v>2</v>
          </cell>
          <cell r="N465" t="str">
            <v>11</v>
          </cell>
          <cell r="O465" t="str">
            <v>040</v>
          </cell>
          <cell r="P465" t="str">
            <v>0</v>
          </cell>
          <cell r="Q465">
            <v>18</v>
          </cell>
          <cell r="R465" t="str">
            <v>MRC</v>
          </cell>
          <cell r="S465" t="str">
            <v>ZZ</v>
          </cell>
          <cell r="T465">
            <v>11</v>
          </cell>
          <cell r="U465" t="str">
            <v>1405211040018MRCZZ11</v>
          </cell>
          <cell r="V465">
            <v>460</v>
          </cell>
          <cell r="W465" t="str">
            <v>MS: PAYMENTS - SHIFT ADD REMUNERATION</v>
          </cell>
          <cell r="X465">
            <v>53785</v>
          </cell>
          <cell r="Y465">
            <v>50542.32</v>
          </cell>
          <cell r="Z465">
            <v>60650.784</v>
          </cell>
          <cell r="AA465"/>
          <cell r="AB465">
            <v>53785</v>
          </cell>
          <cell r="AC465">
            <v>40338.75</v>
          </cell>
        </row>
        <row r="466">
          <cell r="F466" t="str">
            <v>MS: OVERTIME - NIGHT SHIFT</v>
          </cell>
          <cell r="G466" t="str">
            <v>P211042</v>
          </cell>
          <cell r="H466" t="str">
            <v>P211042</v>
          </cell>
          <cell r="I466" t="str">
            <v>501405</v>
          </cell>
          <cell r="J466">
            <v>50</v>
          </cell>
          <cell r="K466" t="str">
            <v>14</v>
          </cell>
          <cell r="L466" t="str">
            <v>05</v>
          </cell>
          <cell r="M466" t="str">
            <v>2</v>
          </cell>
          <cell r="N466" t="str">
            <v>11</v>
          </cell>
          <cell r="O466" t="str">
            <v>042</v>
          </cell>
          <cell r="P466" t="str">
            <v>0</v>
          </cell>
          <cell r="Q466">
            <v>18</v>
          </cell>
          <cell r="R466" t="str">
            <v>MRC</v>
          </cell>
          <cell r="S466" t="str">
            <v>ZZ</v>
          </cell>
          <cell r="T466">
            <v>11</v>
          </cell>
          <cell r="U466" t="str">
            <v>1405211042018MRCZZ11</v>
          </cell>
          <cell r="V466">
            <v>461</v>
          </cell>
          <cell r="W466" t="str">
            <v>MS: OVERTIME - NIGHT SHIFT</v>
          </cell>
          <cell r="X466">
            <v>14451</v>
          </cell>
          <cell r="Y466">
            <v>15623.12</v>
          </cell>
          <cell r="Z466">
            <v>18747.744000000002</v>
          </cell>
          <cell r="AA466"/>
          <cell r="AB466">
            <v>14451</v>
          </cell>
          <cell r="AC466">
            <v>13005.9</v>
          </cell>
        </row>
        <row r="467">
          <cell r="F467" t="str">
            <v>MS: SRB - ACTING ALLOWANCE</v>
          </cell>
          <cell r="G467" t="str">
            <v>P211044</v>
          </cell>
          <cell r="H467" t="str">
            <v>P211044</v>
          </cell>
          <cell r="I467" t="str">
            <v>501405</v>
          </cell>
          <cell r="J467">
            <v>50</v>
          </cell>
          <cell r="K467" t="str">
            <v>14</v>
          </cell>
          <cell r="L467" t="str">
            <v>05</v>
          </cell>
          <cell r="M467" t="str">
            <v>2</v>
          </cell>
          <cell r="N467" t="str">
            <v>11</v>
          </cell>
          <cell r="O467" t="str">
            <v>044</v>
          </cell>
          <cell r="P467" t="str">
            <v>0</v>
          </cell>
          <cell r="Q467">
            <v>18</v>
          </cell>
          <cell r="R467" t="str">
            <v>MRC</v>
          </cell>
          <cell r="S467" t="str">
            <v>ZZ</v>
          </cell>
          <cell r="T467">
            <v>11</v>
          </cell>
          <cell r="U467" t="str">
            <v>1405211044018MRCZZ11</v>
          </cell>
          <cell r="V467">
            <v>462</v>
          </cell>
          <cell r="W467" t="str">
            <v>MS: SRB - ACTING ALLOWANCE</v>
          </cell>
          <cell r="X467">
            <v>0</v>
          </cell>
          <cell r="Y467">
            <v>0</v>
          </cell>
          <cell r="Z467">
            <v>0</v>
          </cell>
          <cell r="AA467"/>
          <cell r="AB467">
            <v>0</v>
          </cell>
          <cell r="AC467">
            <v>0</v>
          </cell>
        </row>
        <row r="468">
          <cell r="F468" t="str">
            <v>MS: SRB - ANNUAL BONUS</v>
          </cell>
          <cell r="G468" t="str">
            <v>P211046</v>
          </cell>
          <cell r="H468" t="str">
            <v>P211046</v>
          </cell>
          <cell r="I468" t="str">
            <v>501405</v>
          </cell>
          <cell r="J468">
            <v>50</v>
          </cell>
          <cell r="K468" t="str">
            <v>14</v>
          </cell>
          <cell r="L468" t="str">
            <v>05</v>
          </cell>
          <cell r="M468" t="str">
            <v>2</v>
          </cell>
          <cell r="N468" t="str">
            <v>11</v>
          </cell>
          <cell r="O468" t="str">
            <v>046</v>
          </cell>
          <cell r="P468" t="str">
            <v>0</v>
          </cell>
          <cell r="Q468">
            <v>18</v>
          </cell>
          <cell r="R468" t="str">
            <v>MRC</v>
          </cell>
          <cell r="S468" t="str">
            <v>ZZ</v>
          </cell>
          <cell r="T468">
            <v>11</v>
          </cell>
          <cell r="U468" t="str">
            <v>1405211046018MRCZZ11</v>
          </cell>
          <cell r="V468">
            <v>463</v>
          </cell>
          <cell r="W468" t="str">
            <v>MS: SRB - ANNUAL BONUS</v>
          </cell>
          <cell r="X468">
            <v>58046</v>
          </cell>
          <cell r="Y468">
            <v>44705.35</v>
          </cell>
          <cell r="Z468">
            <v>53646.42</v>
          </cell>
          <cell r="AA468"/>
          <cell r="AB468">
            <v>58046</v>
          </cell>
          <cell r="AC468">
            <v>0</v>
          </cell>
        </row>
        <row r="469">
          <cell r="F469" t="str">
            <v>MS: SRB - STANDBY ALLOWANCE</v>
          </cell>
          <cell r="G469" t="str">
            <v>P211056</v>
          </cell>
          <cell r="H469" t="str">
            <v>P211056</v>
          </cell>
          <cell r="I469" t="str">
            <v>501405</v>
          </cell>
          <cell r="J469">
            <v>50</v>
          </cell>
          <cell r="K469" t="str">
            <v>14</v>
          </cell>
          <cell r="L469" t="str">
            <v>05</v>
          </cell>
          <cell r="M469" t="str">
            <v>2</v>
          </cell>
          <cell r="N469" t="str">
            <v>11</v>
          </cell>
          <cell r="O469" t="str">
            <v>056</v>
          </cell>
          <cell r="P469" t="str">
            <v>0</v>
          </cell>
          <cell r="Q469">
            <v>18</v>
          </cell>
          <cell r="R469" t="str">
            <v>MRC</v>
          </cell>
          <cell r="S469" t="str">
            <v>ZZ</v>
          </cell>
          <cell r="T469">
            <v>11</v>
          </cell>
          <cell r="U469" t="str">
            <v>1405211056018MRCZZ11</v>
          </cell>
          <cell r="V469">
            <v>464</v>
          </cell>
          <cell r="W469" t="str">
            <v>MS: SRB - STANDBY ALLOWANCE</v>
          </cell>
          <cell r="X469">
            <v>33866</v>
          </cell>
          <cell r="Y469">
            <v>35969.360000000001</v>
          </cell>
          <cell r="Z469">
            <v>43163.232000000004</v>
          </cell>
          <cell r="AA469"/>
          <cell r="AB469">
            <v>33866</v>
          </cell>
          <cell r="AC469">
            <v>30479.4</v>
          </cell>
        </row>
        <row r="470">
          <cell r="F470" t="str">
            <v>MS: SOC CONTR - BARGAINING COUNCIL</v>
          </cell>
          <cell r="G470" t="str">
            <v>P213001</v>
          </cell>
          <cell r="H470" t="str">
            <v>P213001</v>
          </cell>
          <cell r="I470" t="str">
            <v>501405</v>
          </cell>
          <cell r="J470">
            <v>50</v>
          </cell>
          <cell r="K470" t="str">
            <v>14</v>
          </cell>
          <cell r="L470" t="str">
            <v>05</v>
          </cell>
          <cell r="M470" t="str">
            <v>2</v>
          </cell>
          <cell r="N470" t="str">
            <v>13</v>
          </cell>
          <cell r="O470" t="str">
            <v>001</v>
          </cell>
          <cell r="P470" t="str">
            <v>0</v>
          </cell>
          <cell r="Q470">
            <v>18</v>
          </cell>
          <cell r="R470" t="str">
            <v>MRC</v>
          </cell>
          <cell r="S470" t="str">
            <v>ZZ</v>
          </cell>
          <cell r="T470">
            <v>11</v>
          </cell>
          <cell r="U470" t="str">
            <v>1405213001018MRCZZ11</v>
          </cell>
          <cell r="V470">
            <v>465</v>
          </cell>
          <cell r="W470" t="str">
            <v>MS: SOC CONTR - BARGAINING COUNCIL</v>
          </cell>
          <cell r="X470">
            <v>434</v>
          </cell>
          <cell r="Y470">
            <v>339.9</v>
          </cell>
          <cell r="Z470">
            <v>407.87999999999994</v>
          </cell>
          <cell r="AA470"/>
          <cell r="AB470">
            <v>434</v>
          </cell>
          <cell r="AC470">
            <v>0</v>
          </cell>
        </row>
        <row r="471">
          <cell r="F471" t="str">
            <v>MS: SOC CONTR - GROUP LIFE INSURANCE</v>
          </cell>
          <cell r="G471" t="str">
            <v>P213010</v>
          </cell>
          <cell r="H471" t="str">
            <v>P213010</v>
          </cell>
          <cell r="I471" t="str">
            <v>501405</v>
          </cell>
          <cell r="J471">
            <v>50</v>
          </cell>
          <cell r="K471" t="str">
            <v>14</v>
          </cell>
          <cell r="L471" t="str">
            <v>05</v>
          </cell>
          <cell r="M471" t="str">
            <v>2</v>
          </cell>
          <cell r="N471" t="str">
            <v>13</v>
          </cell>
          <cell r="O471" t="str">
            <v>010</v>
          </cell>
          <cell r="P471" t="str">
            <v>0</v>
          </cell>
          <cell r="Q471">
            <v>18</v>
          </cell>
          <cell r="R471" t="str">
            <v>MRC</v>
          </cell>
          <cell r="S471" t="str">
            <v>ZZ</v>
          </cell>
          <cell r="T471">
            <v>11</v>
          </cell>
          <cell r="U471" t="str">
            <v>1405213010018MRCZZ11</v>
          </cell>
          <cell r="V471">
            <v>466</v>
          </cell>
          <cell r="W471" t="str">
            <v>MS: SOC CONTR - GROUP LIFE INSURANCE</v>
          </cell>
          <cell r="X471">
            <v>8215</v>
          </cell>
          <cell r="Y471">
            <v>5843.91</v>
          </cell>
          <cell r="Z471">
            <v>7012.6919999999991</v>
          </cell>
          <cell r="AA471"/>
          <cell r="AB471">
            <v>8215</v>
          </cell>
          <cell r="AC471">
            <v>0</v>
          </cell>
        </row>
        <row r="472">
          <cell r="F472" t="str">
            <v>MS: SOC CONTR - MEDICAL</v>
          </cell>
          <cell r="G472" t="str">
            <v>P213020</v>
          </cell>
          <cell r="H472" t="str">
            <v>P213020</v>
          </cell>
          <cell r="I472" t="str">
            <v>501405</v>
          </cell>
          <cell r="J472">
            <v>50</v>
          </cell>
          <cell r="K472" t="str">
            <v>14</v>
          </cell>
          <cell r="L472" t="str">
            <v>05</v>
          </cell>
          <cell r="M472" t="str">
            <v>2</v>
          </cell>
          <cell r="N472" t="str">
            <v>13</v>
          </cell>
          <cell r="O472" t="str">
            <v>020</v>
          </cell>
          <cell r="P472" t="str">
            <v>0</v>
          </cell>
          <cell r="Q472">
            <v>18</v>
          </cell>
          <cell r="R472" t="str">
            <v>MRC</v>
          </cell>
          <cell r="S472" t="str">
            <v>ZZ</v>
          </cell>
          <cell r="T472">
            <v>11</v>
          </cell>
          <cell r="U472" t="str">
            <v>1405213020018MRCZZ11</v>
          </cell>
          <cell r="V472">
            <v>467</v>
          </cell>
          <cell r="W472" t="str">
            <v>MS: SOC CONTR - MEDICAL</v>
          </cell>
          <cell r="X472">
            <v>108282</v>
          </cell>
          <cell r="Y472">
            <v>87455.4</v>
          </cell>
          <cell r="Z472">
            <v>104946.47999999998</v>
          </cell>
          <cell r="AA472"/>
          <cell r="AB472">
            <v>108282</v>
          </cell>
          <cell r="AC472">
            <v>0</v>
          </cell>
        </row>
        <row r="473">
          <cell r="F473" t="str">
            <v>MS: SOC CONTR - PENSION</v>
          </cell>
          <cell r="G473" t="str">
            <v>P213030</v>
          </cell>
          <cell r="H473" t="str">
            <v>P213030</v>
          </cell>
          <cell r="I473" t="str">
            <v>501405</v>
          </cell>
          <cell r="J473">
            <v>50</v>
          </cell>
          <cell r="K473" t="str">
            <v>14</v>
          </cell>
          <cell r="L473" t="str">
            <v>05</v>
          </cell>
          <cell r="M473" t="str">
            <v>2</v>
          </cell>
          <cell r="N473" t="str">
            <v>13</v>
          </cell>
          <cell r="O473" t="str">
            <v>030</v>
          </cell>
          <cell r="P473" t="str">
            <v>0</v>
          </cell>
          <cell r="Q473">
            <v>18</v>
          </cell>
          <cell r="R473" t="str">
            <v>MRC</v>
          </cell>
          <cell r="S473" t="str">
            <v>ZZ</v>
          </cell>
          <cell r="T473">
            <v>11</v>
          </cell>
          <cell r="U473" t="str">
            <v>1405213030018MRCZZ11</v>
          </cell>
          <cell r="V473">
            <v>468</v>
          </cell>
          <cell r="W473" t="str">
            <v>MS: SOC CONTR - PENSION</v>
          </cell>
          <cell r="X473">
            <v>136075</v>
          </cell>
          <cell r="Y473">
            <v>89100.9</v>
          </cell>
          <cell r="Z473">
            <v>106921.08</v>
          </cell>
          <cell r="AA473"/>
          <cell r="AB473">
            <v>136075</v>
          </cell>
          <cell r="AC473">
            <v>0</v>
          </cell>
        </row>
        <row r="474">
          <cell r="F474" t="str">
            <v>MS: SOC CONTR - UNEMPLOYMENT INSUR FUND</v>
          </cell>
          <cell r="G474" t="str">
            <v>P213040</v>
          </cell>
          <cell r="H474" t="str">
            <v>P213040</v>
          </cell>
          <cell r="I474" t="str">
            <v>501405</v>
          </cell>
          <cell r="J474">
            <v>50</v>
          </cell>
          <cell r="K474" t="str">
            <v>14</v>
          </cell>
          <cell r="L474" t="str">
            <v>05</v>
          </cell>
          <cell r="M474" t="str">
            <v>2</v>
          </cell>
          <cell r="N474" t="str">
            <v>13</v>
          </cell>
          <cell r="O474" t="str">
            <v>040</v>
          </cell>
          <cell r="P474" t="str">
            <v>0</v>
          </cell>
          <cell r="Q474">
            <v>18</v>
          </cell>
          <cell r="R474" t="str">
            <v>MRC</v>
          </cell>
          <cell r="S474" t="str">
            <v>ZZ</v>
          </cell>
          <cell r="T474">
            <v>11</v>
          </cell>
          <cell r="U474" t="str">
            <v>1405213040018MRCZZ11</v>
          </cell>
          <cell r="V474">
            <v>469</v>
          </cell>
          <cell r="W474" t="str">
            <v>MS: SOC CONTR - UNEMPLOYMENT INSUR FUND</v>
          </cell>
          <cell r="X474">
            <v>6523</v>
          </cell>
          <cell r="Y474">
            <v>5667.84</v>
          </cell>
          <cell r="Z474">
            <v>6801.4079999999994</v>
          </cell>
          <cell r="AA474"/>
          <cell r="AB474">
            <v>6523</v>
          </cell>
          <cell r="AC474">
            <v>0</v>
          </cell>
        </row>
        <row r="475">
          <cell r="F475" t="str">
            <v>OS: CATERING SERVICES(REFRESHMENTS)</v>
          </cell>
          <cell r="G475" t="str">
            <v>P226060</v>
          </cell>
          <cell r="H475" t="str">
            <v>P226060</v>
          </cell>
          <cell r="I475"/>
          <cell r="J475"/>
          <cell r="K475" t="str">
            <v>14</v>
          </cell>
          <cell r="L475" t="str">
            <v>05</v>
          </cell>
          <cell r="M475" t="str">
            <v>2</v>
          </cell>
          <cell r="N475" t="str">
            <v>26</v>
          </cell>
          <cell r="O475" t="str">
            <v>060</v>
          </cell>
          <cell r="P475" t="str">
            <v>H</v>
          </cell>
          <cell r="Q475">
            <v>18</v>
          </cell>
          <cell r="R475" t="str">
            <v>MRC</v>
          </cell>
          <cell r="S475" t="str">
            <v>ZZ</v>
          </cell>
          <cell r="T475">
            <v>11</v>
          </cell>
          <cell r="U475" t="str">
            <v>1405226060H18MRCZZ11</v>
          </cell>
          <cell r="V475">
            <v>470</v>
          </cell>
          <cell r="W475" t="str">
            <v>OS: CATERING SERVICES(REFRESHMENTS)</v>
          </cell>
          <cell r="X475">
            <v>6161</v>
          </cell>
          <cell r="Y475">
            <v>4082.5</v>
          </cell>
          <cell r="Z475">
            <v>4899</v>
          </cell>
          <cell r="AA475"/>
          <cell r="AB475">
            <v>6161</v>
          </cell>
          <cell r="AC475">
            <v>6000</v>
          </cell>
        </row>
        <row r="476">
          <cell r="F476" t="str">
            <v>OC: REG FEES NATIONAL</v>
          </cell>
          <cell r="G476" t="str">
            <v>P230452</v>
          </cell>
          <cell r="H476" t="str">
            <v>P230511</v>
          </cell>
          <cell r="I476"/>
          <cell r="J476"/>
          <cell r="K476" t="str">
            <v>14</v>
          </cell>
          <cell r="L476" t="str">
            <v>05</v>
          </cell>
          <cell r="M476" t="str">
            <v>2</v>
          </cell>
          <cell r="N476" t="str">
            <v>30</v>
          </cell>
          <cell r="O476" t="str">
            <v>511</v>
          </cell>
          <cell r="P476" t="str">
            <v>0</v>
          </cell>
          <cell r="Q476">
            <v>18</v>
          </cell>
          <cell r="R476" t="str">
            <v>MRC</v>
          </cell>
          <cell r="S476" t="str">
            <v>ZZ</v>
          </cell>
          <cell r="T476">
            <v>11</v>
          </cell>
          <cell r="U476" t="str">
            <v>1405230511018MRCZZ11</v>
          </cell>
          <cell r="V476">
            <v>471</v>
          </cell>
          <cell r="W476" t="str">
            <v>OC: REG FEES NATIONAL</v>
          </cell>
          <cell r="X476">
            <v>0</v>
          </cell>
          <cell r="Y476">
            <v>0</v>
          </cell>
          <cell r="Z476">
            <v>0</v>
          </cell>
          <cell r="AA476"/>
          <cell r="AB476">
            <v>0</v>
          </cell>
          <cell r="AC476">
            <v>0</v>
          </cell>
        </row>
        <row r="477">
          <cell r="F477" t="str">
            <v>OC: SKILLS DEVELOPMENT FUND LEVY</v>
          </cell>
          <cell r="G477" t="str">
            <v>P230452</v>
          </cell>
          <cell r="H477" t="str">
            <v>P230541</v>
          </cell>
          <cell r="I477"/>
          <cell r="J477"/>
          <cell r="K477" t="str">
            <v>14</v>
          </cell>
          <cell r="L477" t="str">
            <v>05</v>
          </cell>
          <cell r="M477" t="str">
            <v>2</v>
          </cell>
          <cell r="N477" t="str">
            <v>30</v>
          </cell>
          <cell r="O477" t="str">
            <v>541</v>
          </cell>
          <cell r="P477" t="str">
            <v>0</v>
          </cell>
          <cell r="Q477">
            <v>18</v>
          </cell>
          <cell r="R477" t="str">
            <v>MRC</v>
          </cell>
          <cell r="S477" t="str">
            <v>ZZ</v>
          </cell>
          <cell r="T477">
            <v>11</v>
          </cell>
          <cell r="U477" t="str">
            <v>1405230541018MRCZZ11</v>
          </cell>
          <cell r="V477">
            <v>472</v>
          </cell>
          <cell r="W477" t="str">
            <v>OC: SKILLS DEVELOPMENT FUND LEVY</v>
          </cell>
          <cell r="X477">
            <v>0</v>
          </cell>
          <cell r="Y477">
            <v>0</v>
          </cell>
          <cell r="Z477">
            <v>0</v>
          </cell>
          <cell r="AA477"/>
          <cell r="AB477">
            <v>0</v>
          </cell>
          <cell r="AC477">
            <v>0</v>
          </cell>
        </row>
        <row r="478">
          <cell r="F478" t="str">
            <v>OC: T&amp;S DOM - ACCOMMODATION</v>
          </cell>
          <cell r="G478" t="str">
            <v>P230452</v>
          </cell>
          <cell r="H478" t="str">
            <v>P230576</v>
          </cell>
          <cell r="I478"/>
          <cell r="J478"/>
          <cell r="K478" t="str">
            <v>14</v>
          </cell>
          <cell r="L478" t="str">
            <v>05</v>
          </cell>
          <cell r="M478" t="str">
            <v>2</v>
          </cell>
          <cell r="N478" t="str">
            <v>30</v>
          </cell>
          <cell r="O478" t="str">
            <v>576</v>
          </cell>
          <cell r="P478" t="str">
            <v>0</v>
          </cell>
          <cell r="Q478">
            <v>18</v>
          </cell>
          <cell r="R478" t="str">
            <v>MRC</v>
          </cell>
          <cell r="S478" t="str">
            <v>ZZ</v>
          </cell>
          <cell r="T478">
            <v>11</v>
          </cell>
          <cell r="U478" t="str">
            <v>1405230576018MRCZZ11</v>
          </cell>
          <cell r="V478">
            <v>473</v>
          </cell>
          <cell r="W478" t="str">
            <v>OC: T&amp;S DOM - ACCOMMODATION</v>
          </cell>
          <cell r="X478">
            <v>0</v>
          </cell>
          <cell r="Y478">
            <v>0</v>
          </cell>
          <cell r="Z478">
            <v>0</v>
          </cell>
          <cell r="AA478"/>
          <cell r="AB478">
            <v>0</v>
          </cell>
          <cell r="AC478">
            <v>0</v>
          </cell>
        </row>
        <row r="479">
          <cell r="F479" t="str">
            <v>OC: T&amp;S DOM - DAILY ALLOWANCE</v>
          </cell>
          <cell r="G479" t="str">
            <v>P230452</v>
          </cell>
          <cell r="H479" t="str">
            <v>P230577</v>
          </cell>
          <cell r="I479"/>
          <cell r="J479"/>
          <cell r="K479" t="str">
            <v>14</v>
          </cell>
          <cell r="L479" t="str">
            <v>05</v>
          </cell>
          <cell r="M479" t="str">
            <v>2</v>
          </cell>
          <cell r="N479" t="str">
            <v>30</v>
          </cell>
          <cell r="O479" t="str">
            <v>577</v>
          </cell>
          <cell r="P479" t="str">
            <v>0</v>
          </cell>
          <cell r="Q479">
            <v>18</v>
          </cell>
          <cell r="R479" t="str">
            <v>MRC</v>
          </cell>
          <cell r="S479" t="str">
            <v>ZZ</v>
          </cell>
          <cell r="T479">
            <v>11</v>
          </cell>
          <cell r="U479" t="str">
            <v>1405230577018MRCZZ11</v>
          </cell>
          <cell r="V479">
            <v>474</v>
          </cell>
          <cell r="W479" t="str">
            <v>OC: T&amp;S DOM - DAILY ALLOWANCE</v>
          </cell>
          <cell r="X479">
            <v>0</v>
          </cell>
          <cell r="Y479">
            <v>0</v>
          </cell>
          <cell r="Z479">
            <v>0</v>
          </cell>
          <cell r="AA479"/>
          <cell r="AB479">
            <v>0</v>
          </cell>
          <cell r="AC479">
            <v>0</v>
          </cell>
        </row>
        <row r="480">
          <cell r="F480" t="str">
            <v>OC: T&amp;S DOM TRP - WITHOUT OPR CAR RENTAL</v>
          </cell>
          <cell r="G480" t="str">
            <v>P230452</v>
          </cell>
          <cell r="H480" t="str">
            <v>P230580</v>
          </cell>
          <cell r="I480"/>
          <cell r="J480"/>
          <cell r="K480" t="str">
            <v>14</v>
          </cell>
          <cell r="L480" t="str">
            <v>05</v>
          </cell>
          <cell r="M480" t="str">
            <v>2</v>
          </cell>
          <cell r="N480" t="str">
            <v>30</v>
          </cell>
          <cell r="O480" t="str">
            <v>580</v>
          </cell>
          <cell r="P480" t="str">
            <v>0</v>
          </cell>
          <cell r="Q480">
            <v>18</v>
          </cell>
          <cell r="R480" t="str">
            <v>MRC</v>
          </cell>
          <cell r="S480" t="str">
            <v>ZZ</v>
          </cell>
          <cell r="T480">
            <v>11</v>
          </cell>
          <cell r="U480" t="str">
            <v>1405230580018MRCZZ11</v>
          </cell>
          <cell r="V480">
            <v>475</v>
          </cell>
          <cell r="W480" t="str">
            <v>OC: T&amp;S DOM TRP - WITHOUT OPR CAR RENTAL</v>
          </cell>
          <cell r="X480">
            <v>0</v>
          </cell>
          <cell r="Y480">
            <v>0</v>
          </cell>
          <cell r="Z480">
            <v>0</v>
          </cell>
          <cell r="AA480"/>
          <cell r="AB480">
            <v>0</v>
          </cell>
          <cell r="AC480">
            <v>0</v>
          </cell>
        </row>
        <row r="481">
          <cell r="F481" t="str">
            <v>OC: T&amp;S DOM PUB TRP - AIR TRANSPORT</v>
          </cell>
          <cell r="G481" t="str">
            <v>P230452</v>
          </cell>
          <cell r="H481" t="str">
            <v>P230583</v>
          </cell>
          <cell r="I481"/>
          <cell r="J481"/>
          <cell r="K481" t="str">
            <v>14</v>
          </cell>
          <cell r="L481" t="str">
            <v>05</v>
          </cell>
          <cell r="M481" t="str">
            <v>2</v>
          </cell>
          <cell r="N481" t="str">
            <v>30</v>
          </cell>
          <cell r="O481" t="str">
            <v>583</v>
          </cell>
          <cell r="P481" t="str">
            <v>0</v>
          </cell>
          <cell r="Q481">
            <v>18</v>
          </cell>
          <cell r="R481" t="str">
            <v>MRC</v>
          </cell>
          <cell r="S481" t="str">
            <v>ZZ</v>
          </cell>
          <cell r="T481">
            <v>11</v>
          </cell>
          <cell r="U481" t="str">
            <v>1405230583018MRCZZ11</v>
          </cell>
          <cell r="V481">
            <v>476</v>
          </cell>
          <cell r="W481" t="str">
            <v>OC: T&amp;S DOM PUB TRP - AIR TRANSPORT</v>
          </cell>
          <cell r="X481">
            <v>0</v>
          </cell>
          <cell r="Y481">
            <v>0</v>
          </cell>
          <cell r="Z481">
            <v>0</v>
          </cell>
          <cell r="AA481"/>
          <cell r="AB481">
            <v>0</v>
          </cell>
          <cell r="AC481">
            <v>0</v>
          </cell>
        </row>
        <row r="482">
          <cell r="F482" t="str">
            <v>INVENTORY - MATERIALS &amp; SUPPLIES(PRINT&amp;</v>
          </cell>
          <cell r="G482" t="str">
            <v>P232360</v>
          </cell>
          <cell r="H482" t="str">
            <v>P232360</v>
          </cell>
          <cell r="I482"/>
          <cell r="J482"/>
          <cell r="K482" t="str">
            <v>14</v>
          </cell>
          <cell r="L482" t="str">
            <v>05</v>
          </cell>
          <cell r="M482" t="str">
            <v>2</v>
          </cell>
          <cell r="N482" t="str">
            <v>32</v>
          </cell>
          <cell r="O482" t="str">
            <v>360</v>
          </cell>
          <cell r="P482" t="str">
            <v>D</v>
          </cell>
          <cell r="Q482">
            <v>18</v>
          </cell>
          <cell r="R482" t="str">
            <v>MRC</v>
          </cell>
          <cell r="S482" t="str">
            <v>ZZ</v>
          </cell>
          <cell r="T482">
            <v>11</v>
          </cell>
          <cell r="U482" t="str">
            <v>1405232360D18MRCZZ11</v>
          </cell>
          <cell r="V482">
            <v>477</v>
          </cell>
          <cell r="W482" t="str">
            <v>INVENTORY - MATERIALS &amp; SUPPLIES(PRINT&amp;</v>
          </cell>
          <cell r="X482">
            <v>0</v>
          </cell>
          <cell r="Y482">
            <v>0</v>
          </cell>
          <cell r="Z482">
            <v>0</v>
          </cell>
          <cell r="AA482"/>
          <cell r="AB482">
            <v>0</v>
          </cell>
          <cell r="AC482">
            <v>0</v>
          </cell>
        </row>
        <row r="483">
          <cell r="F483" t="str">
            <v>FINES: ILLEGAL CONNECTIONS - ELECTRICITY</v>
          </cell>
          <cell r="G483" t="str">
            <v>P104002</v>
          </cell>
          <cell r="H483" t="str">
            <v>P104002</v>
          </cell>
          <cell r="I483"/>
          <cell r="J483"/>
          <cell r="K483" t="str">
            <v>14</v>
          </cell>
          <cell r="L483" t="str">
            <v>06</v>
          </cell>
          <cell r="M483" t="str">
            <v>1</v>
          </cell>
          <cell r="N483" t="str">
            <v>04</v>
          </cell>
          <cell r="O483" t="str">
            <v>002</v>
          </cell>
          <cell r="P483" t="str">
            <v>0</v>
          </cell>
          <cell r="Q483">
            <v>7</v>
          </cell>
          <cell r="R483" t="str">
            <v>ZZZ</v>
          </cell>
          <cell r="S483" t="str">
            <v>ZZ</v>
          </cell>
          <cell r="T483">
            <v>11</v>
          </cell>
          <cell r="U483" t="str">
            <v>1406104002007ZZZZZ11</v>
          </cell>
          <cell r="V483">
            <v>478</v>
          </cell>
          <cell r="W483" t="str">
            <v>FINES: ILLEGAL CONNECTIONS - ELECTRICITY</v>
          </cell>
          <cell r="X483">
            <v>-1829923</v>
          </cell>
          <cell r="Y483">
            <v>-2853313.76</v>
          </cell>
          <cell r="Z483">
            <v>-3423976.5120000001</v>
          </cell>
          <cell r="AA483"/>
          <cell r="AB483">
            <v>-1829923</v>
          </cell>
          <cell r="AC483">
            <v>-4917759.3039999995</v>
          </cell>
        </row>
        <row r="484">
          <cell r="F484" t="str">
            <v>ELEC: CONNEC/RECON DISCONN/RECONN FEES</v>
          </cell>
          <cell r="G484" t="str">
            <v>P132104</v>
          </cell>
          <cell r="H484" t="str">
            <v>P132104</v>
          </cell>
          <cell r="I484"/>
          <cell r="J484"/>
          <cell r="K484" t="str">
            <v>14</v>
          </cell>
          <cell r="L484" t="str">
            <v>06</v>
          </cell>
          <cell r="M484" t="str">
            <v>1</v>
          </cell>
          <cell r="N484" t="str">
            <v>32</v>
          </cell>
          <cell r="O484" t="str">
            <v>104</v>
          </cell>
          <cell r="P484" t="str">
            <v>0</v>
          </cell>
          <cell r="Q484">
            <v>18</v>
          </cell>
          <cell r="R484" t="str">
            <v>ZZZ</v>
          </cell>
          <cell r="S484" t="str">
            <v>ZZ</v>
          </cell>
          <cell r="T484">
            <v>11</v>
          </cell>
          <cell r="U484" t="str">
            <v>1406132104018ZZZZZ11</v>
          </cell>
          <cell r="V484">
            <v>479</v>
          </cell>
          <cell r="W484" t="str">
            <v>ELEC: CONNEC/RECON DISCONN/RECONN FEES</v>
          </cell>
          <cell r="X484">
            <v>-7745746</v>
          </cell>
          <cell r="Y484">
            <v>-3930718.2</v>
          </cell>
          <cell r="Z484">
            <v>-4716861.84</v>
          </cell>
          <cell r="AA484"/>
          <cell r="AB484">
            <v>-7745746</v>
          </cell>
          <cell r="AC484">
            <v>-9917541.8080000002</v>
          </cell>
        </row>
        <row r="485">
          <cell r="F485" t="str">
            <v>MS: SAL &amp; ALL: BASIC SALARY &amp; WAGES</v>
          </cell>
          <cell r="G485" t="str">
            <v>P211001</v>
          </cell>
          <cell r="H485" t="str">
            <v>P211001</v>
          </cell>
          <cell r="I485" t="str">
            <v>501406</v>
          </cell>
          <cell r="J485">
            <v>50</v>
          </cell>
          <cell r="K485" t="str">
            <v>14</v>
          </cell>
          <cell r="L485" t="str">
            <v>06</v>
          </cell>
          <cell r="M485" t="str">
            <v>2</v>
          </cell>
          <cell r="N485" t="str">
            <v>11</v>
          </cell>
          <cell r="O485" t="str">
            <v>001</v>
          </cell>
          <cell r="P485" t="str">
            <v>0</v>
          </cell>
          <cell r="Q485">
            <v>18</v>
          </cell>
          <cell r="R485" t="str">
            <v>MRC</v>
          </cell>
          <cell r="S485" t="str">
            <v>ZZ</v>
          </cell>
          <cell r="T485">
            <v>11</v>
          </cell>
          <cell r="U485" t="str">
            <v>1406211001018MRCZZ11</v>
          </cell>
          <cell r="V485">
            <v>480</v>
          </cell>
          <cell r="W485" t="str">
            <v>MS: SAL &amp; ALL: BASIC SALARY &amp; WAGES</v>
          </cell>
          <cell r="X485">
            <v>17582479</v>
          </cell>
          <cell r="Y485">
            <v>19794396.949999999</v>
          </cell>
          <cell r="Z485">
            <v>23753276.339999996</v>
          </cell>
          <cell r="AA485"/>
          <cell r="AB485">
            <v>17582479</v>
          </cell>
          <cell r="AC485">
            <v>23369930.495999999</v>
          </cell>
        </row>
        <row r="486">
          <cell r="F486" t="str">
            <v>MS: ALL - CELLULAR &amp; TELEPHONE</v>
          </cell>
          <cell r="G486" t="str">
            <v>P211022</v>
          </cell>
          <cell r="H486" t="str">
            <v>P211022</v>
          </cell>
          <cell r="I486" t="str">
            <v>501406</v>
          </cell>
          <cell r="J486">
            <v>50</v>
          </cell>
          <cell r="K486" t="str">
            <v>14</v>
          </cell>
          <cell r="L486" t="str">
            <v>06</v>
          </cell>
          <cell r="M486" t="str">
            <v>2</v>
          </cell>
          <cell r="N486" t="str">
            <v>11</v>
          </cell>
          <cell r="O486" t="str">
            <v>022</v>
          </cell>
          <cell r="P486" t="str">
            <v>0</v>
          </cell>
          <cell r="Q486">
            <v>18</v>
          </cell>
          <cell r="R486" t="str">
            <v>MRC</v>
          </cell>
          <cell r="S486" t="str">
            <v>ZZ</v>
          </cell>
          <cell r="T486">
            <v>11</v>
          </cell>
          <cell r="U486" t="str">
            <v>1406211022018MRCZZ11</v>
          </cell>
          <cell r="V486">
            <v>481</v>
          </cell>
          <cell r="W486" t="str">
            <v>MS: ALL - CELLULAR &amp; TELEPHONE</v>
          </cell>
          <cell r="X486">
            <v>18754</v>
          </cell>
          <cell r="Y486">
            <v>16500</v>
          </cell>
          <cell r="Z486">
            <v>19800</v>
          </cell>
          <cell r="AA486"/>
          <cell r="AB486">
            <v>18754</v>
          </cell>
          <cell r="AC486">
            <v>18864</v>
          </cell>
        </row>
        <row r="487">
          <cell r="F487" t="str">
            <v>MS: HB &amp; INC: HOUSING BENEFITS</v>
          </cell>
          <cell r="G487" t="str">
            <v>P211026</v>
          </cell>
          <cell r="H487" t="str">
            <v>P211026</v>
          </cell>
          <cell r="I487" t="str">
            <v>501406</v>
          </cell>
          <cell r="J487">
            <v>50</v>
          </cell>
          <cell r="K487" t="str">
            <v>14</v>
          </cell>
          <cell r="L487" t="str">
            <v>06</v>
          </cell>
          <cell r="M487" t="str">
            <v>2</v>
          </cell>
          <cell r="N487" t="str">
            <v>11</v>
          </cell>
          <cell r="O487" t="str">
            <v>026</v>
          </cell>
          <cell r="P487" t="str">
            <v>0</v>
          </cell>
          <cell r="Q487">
            <v>18</v>
          </cell>
          <cell r="R487" t="str">
            <v>MRC</v>
          </cell>
          <cell r="S487" t="str">
            <v>ZZ</v>
          </cell>
          <cell r="T487">
            <v>11</v>
          </cell>
          <cell r="U487" t="str">
            <v>1406211026018MRCZZ11</v>
          </cell>
          <cell r="V487">
            <v>482</v>
          </cell>
          <cell r="W487" t="str">
            <v>MS: HB &amp; INC: HOUSING BENEFITS</v>
          </cell>
          <cell r="X487">
            <v>88575</v>
          </cell>
          <cell r="Y487">
            <v>97415.51</v>
          </cell>
          <cell r="Z487">
            <v>116898.61199999999</v>
          </cell>
          <cell r="AA487"/>
          <cell r="AB487">
            <v>88575</v>
          </cell>
          <cell r="AC487">
            <v>909725.83199999982</v>
          </cell>
        </row>
        <row r="488">
          <cell r="F488" t="str">
            <v>MS: ALL - LEAVE PAY</v>
          </cell>
          <cell r="G488" t="str">
            <v>P211032</v>
          </cell>
          <cell r="H488" t="str">
            <v>P211032</v>
          </cell>
          <cell r="I488" t="str">
            <v>501406</v>
          </cell>
          <cell r="J488">
            <v>50</v>
          </cell>
          <cell r="K488" t="str">
            <v>14</v>
          </cell>
          <cell r="L488" t="str">
            <v>06</v>
          </cell>
          <cell r="M488" t="str">
            <v>2</v>
          </cell>
          <cell r="N488" t="str">
            <v>11</v>
          </cell>
          <cell r="O488" t="str">
            <v>032</v>
          </cell>
          <cell r="P488" t="str">
            <v>0</v>
          </cell>
          <cell r="Q488">
            <v>18</v>
          </cell>
          <cell r="R488" t="str">
            <v>MRC</v>
          </cell>
          <cell r="S488" t="str">
            <v>ZZ</v>
          </cell>
          <cell r="T488">
            <v>11</v>
          </cell>
          <cell r="U488" t="str">
            <v>1406211032018MRCZZ11</v>
          </cell>
          <cell r="V488">
            <v>483</v>
          </cell>
          <cell r="W488" t="str">
            <v>MS: ALL - LEAVE PAY</v>
          </cell>
          <cell r="X488">
            <v>0</v>
          </cell>
          <cell r="Y488">
            <v>0</v>
          </cell>
          <cell r="Z488">
            <v>0</v>
          </cell>
          <cell r="AA488"/>
          <cell r="AB488">
            <v>0</v>
          </cell>
          <cell r="AC488">
            <v>0</v>
          </cell>
        </row>
        <row r="489">
          <cell r="F489" t="str">
            <v>MS: ALL - TRAVEL OR MOTOR VEHICLE (SUBS</v>
          </cell>
          <cell r="G489" t="str">
            <v>P211034</v>
          </cell>
          <cell r="H489" t="str">
            <v>P211034</v>
          </cell>
          <cell r="I489" t="str">
            <v>501406</v>
          </cell>
          <cell r="J489">
            <v>50</v>
          </cell>
          <cell r="K489" t="str">
            <v>14</v>
          </cell>
          <cell r="L489" t="str">
            <v>06</v>
          </cell>
          <cell r="M489" t="str">
            <v>2</v>
          </cell>
          <cell r="N489" t="str">
            <v>11</v>
          </cell>
          <cell r="O489" t="str">
            <v>034</v>
          </cell>
          <cell r="P489" t="str">
            <v>1</v>
          </cell>
          <cell r="Q489">
            <v>18</v>
          </cell>
          <cell r="R489" t="str">
            <v>MRC</v>
          </cell>
          <cell r="S489" t="str">
            <v>ZZ</v>
          </cell>
          <cell r="T489">
            <v>11</v>
          </cell>
          <cell r="U489" t="str">
            <v>1406211034118MRCZZ11</v>
          </cell>
          <cell r="V489">
            <v>484</v>
          </cell>
          <cell r="W489" t="str">
            <v>MS: ALL - TRAVEL OR MOTOR VEHICLE (SUBS</v>
          </cell>
          <cell r="X489">
            <v>636521</v>
          </cell>
          <cell r="Y489">
            <v>957859.6</v>
          </cell>
          <cell r="Z489">
            <v>1149431.52</v>
          </cell>
          <cell r="AA489"/>
          <cell r="AB489">
            <v>636521</v>
          </cell>
          <cell r="AC489">
            <v>93861.762000000002</v>
          </cell>
        </row>
        <row r="490">
          <cell r="F490" t="str">
            <v>MS: OVERTIME - STRUCTURED</v>
          </cell>
          <cell r="G490" t="str">
            <v>P211038</v>
          </cell>
          <cell r="H490" t="str">
            <v>P211038</v>
          </cell>
          <cell r="I490" t="str">
            <v>501406</v>
          </cell>
          <cell r="J490">
            <v>50</v>
          </cell>
          <cell r="K490" t="str">
            <v>14</v>
          </cell>
          <cell r="L490" t="str">
            <v>06</v>
          </cell>
          <cell r="M490" t="str">
            <v>2</v>
          </cell>
          <cell r="N490" t="str">
            <v>11</v>
          </cell>
          <cell r="O490" t="str">
            <v>038</v>
          </cell>
          <cell r="P490" t="str">
            <v>0</v>
          </cell>
          <cell r="Q490">
            <v>18</v>
          </cell>
          <cell r="R490" t="str">
            <v>MRC</v>
          </cell>
          <cell r="S490" t="str">
            <v>ZZ</v>
          </cell>
          <cell r="T490">
            <v>11</v>
          </cell>
          <cell r="U490" t="str">
            <v>1406211038018MRCZZ11</v>
          </cell>
          <cell r="V490">
            <v>485</v>
          </cell>
          <cell r="W490" t="str">
            <v>MS: OVERTIME - STRUCTURED</v>
          </cell>
          <cell r="X490">
            <v>2418087</v>
          </cell>
          <cell r="Y490">
            <v>2380093.4700000002</v>
          </cell>
          <cell r="Z490">
            <v>2856112.1639999999</v>
          </cell>
          <cell r="AA490"/>
          <cell r="AB490">
            <v>2418087</v>
          </cell>
          <cell r="AC490">
            <v>2176278.3000000003</v>
          </cell>
        </row>
        <row r="491">
          <cell r="F491" t="str">
            <v>MS: PAYMENTS - SHIFT ADD REMUNERATION</v>
          </cell>
          <cell r="G491" t="str">
            <v>P211040</v>
          </cell>
          <cell r="H491" t="str">
            <v>P211040</v>
          </cell>
          <cell r="I491" t="str">
            <v>501406</v>
          </cell>
          <cell r="J491">
            <v>50</v>
          </cell>
          <cell r="K491" t="str">
            <v>14</v>
          </cell>
          <cell r="L491" t="str">
            <v>06</v>
          </cell>
          <cell r="M491" t="str">
            <v>2</v>
          </cell>
          <cell r="N491" t="str">
            <v>11</v>
          </cell>
          <cell r="O491" t="str">
            <v>040</v>
          </cell>
          <cell r="P491" t="str">
            <v>0</v>
          </cell>
          <cell r="Q491">
            <v>18</v>
          </cell>
          <cell r="R491" t="str">
            <v>MRC</v>
          </cell>
          <cell r="S491" t="str">
            <v>ZZ</v>
          </cell>
          <cell r="T491">
            <v>11</v>
          </cell>
          <cell r="U491" t="str">
            <v>1406211040018MRCZZ11</v>
          </cell>
          <cell r="V491">
            <v>486</v>
          </cell>
          <cell r="W491" t="str">
            <v>MS: PAYMENTS - SHIFT ADD REMUNERATION</v>
          </cell>
          <cell r="X491">
            <v>1329279</v>
          </cell>
          <cell r="Y491">
            <v>1692467.25</v>
          </cell>
          <cell r="Z491">
            <v>2030960.7000000002</v>
          </cell>
          <cell r="AA491"/>
          <cell r="AB491">
            <v>1329279</v>
          </cell>
          <cell r="AC491">
            <v>996959.25</v>
          </cell>
        </row>
        <row r="492">
          <cell r="F492" t="str">
            <v>MS: OVERTIME - NIGHT SHIFT</v>
          </cell>
          <cell r="G492" t="str">
            <v>P211042</v>
          </cell>
          <cell r="H492" t="str">
            <v>P211042</v>
          </cell>
          <cell r="I492" t="str">
            <v>501406</v>
          </cell>
          <cell r="J492">
            <v>50</v>
          </cell>
          <cell r="K492" t="str">
            <v>14</v>
          </cell>
          <cell r="L492" t="str">
            <v>06</v>
          </cell>
          <cell r="M492" t="str">
            <v>2</v>
          </cell>
          <cell r="N492" t="str">
            <v>11</v>
          </cell>
          <cell r="O492" t="str">
            <v>042</v>
          </cell>
          <cell r="P492" t="str">
            <v>0</v>
          </cell>
          <cell r="Q492">
            <v>18</v>
          </cell>
          <cell r="R492" t="str">
            <v>MRC</v>
          </cell>
          <cell r="S492" t="str">
            <v>ZZ</v>
          </cell>
          <cell r="T492">
            <v>11</v>
          </cell>
          <cell r="U492" t="str">
            <v>1406211042018MRCZZ11</v>
          </cell>
          <cell r="V492">
            <v>487</v>
          </cell>
          <cell r="W492" t="str">
            <v>MS: OVERTIME - NIGHT SHIFT</v>
          </cell>
          <cell r="X492">
            <v>124421</v>
          </cell>
          <cell r="Y492">
            <v>108832.93</v>
          </cell>
          <cell r="Z492">
            <v>130599.516</v>
          </cell>
          <cell r="AA492"/>
          <cell r="AB492">
            <v>124421</v>
          </cell>
          <cell r="AC492">
            <v>111978.90000000001</v>
          </cell>
        </row>
        <row r="493">
          <cell r="F493" t="str">
            <v>MS: SRB - ACTING ALLOWANCE</v>
          </cell>
          <cell r="G493" t="str">
            <v>P211044</v>
          </cell>
          <cell r="H493" t="str">
            <v>P211044</v>
          </cell>
          <cell r="I493" t="str">
            <v>501406</v>
          </cell>
          <cell r="J493">
            <v>50</v>
          </cell>
          <cell r="K493" t="str">
            <v>14</v>
          </cell>
          <cell r="L493" t="str">
            <v>06</v>
          </cell>
          <cell r="M493" t="str">
            <v>2</v>
          </cell>
          <cell r="N493" t="str">
            <v>11</v>
          </cell>
          <cell r="O493" t="str">
            <v>044</v>
          </cell>
          <cell r="P493" t="str">
            <v>0</v>
          </cell>
          <cell r="Q493">
            <v>18</v>
          </cell>
          <cell r="R493" t="str">
            <v>MRC</v>
          </cell>
          <cell r="S493" t="str">
            <v>ZZ</v>
          </cell>
          <cell r="T493">
            <v>11</v>
          </cell>
          <cell r="U493" t="str">
            <v>1406211044018MRCZZ11</v>
          </cell>
          <cell r="V493">
            <v>488</v>
          </cell>
          <cell r="W493" t="str">
            <v>MS: SRB - ACTING ALLOWANCE</v>
          </cell>
          <cell r="X493">
            <v>0</v>
          </cell>
          <cell r="Y493">
            <v>105775</v>
          </cell>
          <cell r="Z493">
            <v>126930</v>
          </cell>
          <cell r="AA493"/>
          <cell r="AB493">
            <v>0</v>
          </cell>
          <cell r="AC493">
            <v>0</v>
          </cell>
        </row>
        <row r="494">
          <cell r="F494" t="str">
            <v>MS: SRB - ANNUAL BONUS</v>
          </cell>
          <cell r="G494" t="str">
            <v>P211046</v>
          </cell>
          <cell r="H494" t="str">
            <v>P211046</v>
          </cell>
          <cell r="I494" t="str">
            <v>501406</v>
          </cell>
          <cell r="J494">
            <v>50</v>
          </cell>
          <cell r="K494" t="str">
            <v>14</v>
          </cell>
          <cell r="L494" t="str">
            <v>06</v>
          </cell>
          <cell r="M494" t="str">
            <v>2</v>
          </cell>
          <cell r="N494" t="str">
            <v>11</v>
          </cell>
          <cell r="O494" t="str">
            <v>046</v>
          </cell>
          <cell r="P494" t="str">
            <v>0</v>
          </cell>
          <cell r="Q494">
            <v>18</v>
          </cell>
          <cell r="R494" t="str">
            <v>MRC</v>
          </cell>
          <cell r="S494" t="str">
            <v>ZZ</v>
          </cell>
          <cell r="T494">
            <v>11</v>
          </cell>
          <cell r="U494" t="str">
            <v>1406211046018MRCZZ11</v>
          </cell>
          <cell r="V494">
            <v>489</v>
          </cell>
          <cell r="W494" t="str">
            <v>MS: SRB - ANNUAL BONUS</v>
          </cell>
          <cell r="X494">
            <v>1246687</v>
          </cell>
          <cell r="Y494">
            <v>1600294.7</v>
          </cell>
          <cell r="Z494">
            <v>1920353.6400000001</v>
          </cell>
          <cell r="AA494"/>
          <cell r="AB494">
            <v>1246687</v>
          </cell>
          <cell r="AC494">
            <v>1947494.2080000001</v>
          </cell>
        </row>
        <row r="495">
          <cell r="F495" t="str">
            <v>MS: SRB - STANDBY ALLOWANCE</v>
          </cell>
          <cell r="G495" t="str">
            <v>P211056</v>
          </cell>
          <cell r="H495" t="str">
            <v>P211056</v>
          </cell>
          <cell r="I495" t="str">
            <v>501406</v>
          </cell>
          <cell r="J495">
            <v>50</v>
          </cell>
          <cell r="K495" t="str">
            <v>14</v>
          </cell>
          <cell r="L495" t="str">
            <v>06</v>
          </cell>
          <cell r="M495" t="str">
            <v>2</v>
          </cell>
          <cell r="N495" t="str">
            <v>11</v>
          </cell>
          <cell r="O495" t="str">
            <v>056</v>
          </cell>
          <cell r="P495" t="str">
            <v>0</v>
          </cell>
          <cell r="Q495">
            <v>18</v>
          </cell>
          <cell r="R495" t="str">
            <v>MRC</v>
          </cell>
          <cell r="S495" t="str">
            <v>ZZ</v>
          </cell>
          <cell r="T495">
            <v>11</v>
          </cell>
          <cell r="U495" t="str">
            <v>1406211056018MRCZZ11</v>
          </cell>
          <cell r="V495">
            <v>490</v>
          </cell>
          <cell r="W495" t="str">
            <v>MS: SRB - STANDBY ALLOWANCE</v>
          </cell>
          <cell r="X495">
            <v>414535</v>
          </cell>
          <cell r="Y495">
            <v>463860.45</v>
          </cell>
          <cell r="Z495">
            <v>556632.54</v>
          </cell>
          <cell r="AA495"/>
          <cell r="AB495">
            <v>414535</v>
          </cell>
          <cell r="AC495">
            <v>373081.5</v>
          </cell>
        </row>
        <row r="496">
          <cell r="F496" t="str">
            <v>MS: SRB - TOOLS ALLOWANCE</v>
          </cell>
          <cell r="G496" t="str">
            <v>P211058</v>
          </cell>
          <cell r="H496" t="str">
            <v>P211058</v>
          </cell>
          <cell r="I496" t="str">
            <v>501406</v>
          </cell>
          <cell r="J496">
            <v>50</v>
          </cell>
          <cell r="K496" t="str">
            <v>14</v>
          </cell>
          <cell r="L496" t="str">
            <v>06</v>
          </cell>
          <cell r="M496" t="str">
            <v>2</v>
          </cell>
          <cell r="N496" t="str">
            <v>11</v>
          </cell>
          <cell r="O496" t="str">
            <v>058</v>
          </cell>
          <cell r="P496" t="str">
            <v>0</v>
          </cell>
          <cell r="Q496">
            <v>18</v>
          </cell>
          <cell r="R496" t="str">
            <v>MRC</v>
          </cell>
          <cell r="S496" t="str">
            <v>ZZ</v>
          </cell>
          <cell r="T496">
            <v>11</v>
          </cell>
          <cell r="U496" t="str">
            <v>1406211058018MRCZZ11</v>
          </cell>
          <cell r="V496">
            <v>491</v>
          </cell>
          <cell r="W496" t="str">
            <v>MS: SRB - TOOLS ALLOWANCE</v>
          </cell>
          <cell r="X496">
            <v>0</v>
          </cell>
          <cell r="Y496">
            <v>0</v>
          </cell>
          <cell r="Z496">
            <v>0</v>
          </cell>
          <cell r="AA496"/>
          <cell r="AB496">
            <v>0</v>
          </cell>
          <cell r="AC496">
            <v>0</v>
          </cell>
        </row>
        <row r="497">
          <cell r="F497" t="str">
            <v>MS: SOC CONTR - BARGAINING COUNCIL</v>
          </cell>
          <cell r="G497" t="str">
            <v>P213001</v>
          </cell>
          <cell r="H497" t="str">
            <v>P213001</v>
          </cell>
          <cell r="I497" t="str">
            <v>501406</v>
          </cell>
          <cell r="J497">
            <v>50</v>
          </cell>
          <cell r="K497" t="str">
            <v>14</v>
          </cell>
          <cell r="L497" t="str">
            <v>06</v>
          </cell>
          <cell r="M497" t="str">
            <v>2</v>
          </cell>
          <cell r="N497" t="str">
            <v>13</v>
          </cell>
          <cell r="O497" t="str">
            <v>001</v>
          </cell>
          <cell r="P497" t="str">
            <v>0</v>
          </cell>
          <cell r="Q497">
            <v>18</v>
          </cell>
          <cell r="R497" t="str">
            <v>MRC</v>
          </cell>
          <cell r="S497" t="str">
            <v>ZZ</v>
          </cell>
          <cell r="T497">
            <v>11</v>
          </cell>
          <cell r="U497" t="str">
            <v>1406213001018MRCZZ11</v>
          </cell>
          <cell r="V497">
            <v>492</v>
          </cell>
          <cell r="W497" t="str">
            <v>MS: SOC CONTR - BARGAINING COUNCIL</v>
          </cell>
          <cell r="X497">
            <v>7138</v>
          </cell>
          <cell r="Y497">
            <v>7869.2</v>
          </cell>
          <cell r="Z497">
            <v>9443.0399999999991</v>
          </cell>
          <cell r="AA497"/>
          <cell r="AB497">
            <v>7138</v>
          </cell>
          <cell r="AC497">
            <v>9714.9600000000137</v>
          </cell>
        </row>
        <row r="498">
          <cell r="F498" t="str">
            <v>MS: SOC CONTR - GROUP LIFE INSURANCE</v>
          </cell>
          <cell r="G498" t="str">
            <v>P213010</v>
          </cell>
          <cell r="H498" t="str">
            <v>P213010</v>
          </cell>
          <cell r="I498" t="str">
            <v>501406</v>
          </cell>
          <cell r="J498">
            <v>50</v>
          </cell>
          <cell r="K498" t="str">
            <v>14</v>
          </cell>
          <cell r="L498" t="str">
            <v>06</v>
          </cell>
          <cell r="M498" t="str">
            <v>2</v>
          </cell>
          <cell r="N498" t="str">
            <v>13</v>
          </cell>
          <cell r="O498" t="str">
            <v>010</v>
          </cell>
          <cell r="P498" t="str">
            <v>0</v>
          </cell>
          <cell r="Q498">
            <v>18</v>
          </cell>
          <cell r="R498" t="str">
            <v>MRC</v>
          </cell>
          <cell r="S498" t="str">
            <v>ZZ</v>
          </cell>
          <cell r="T498">
            <v>11</v>
          </cell>
          <cell r="U498" t="str">
            <v>1406213010018MRCZZ11</v>
          </cell>
          <cell r="V498">
            <v>493</v>
          </cell>
          <cell r="W498" t="str">
            <v>MS: SOC CONTR - GROUP LIFE INSURANCE</v>
          </cell>
          <cell r="X498">
            <v>143564</v>
          </cell>
          <cell r="Y498">
            <v>158753.48000000001</v>
          </cell>
          <cell r="Z498">
            <v>190504.17600000004</v>
          </cell>
          <cell r="AA498"/>
          <cell r="AB498">
            <v>143564</v>
          </cell>
          <cell r="AC498">
            <v>397288.81843199994</v>
          </cell>
        </row>
        <row r="499">
          <cell r="F499" t="str">
            <v>MS: SOC CONTR - MEDICAL</v>
          </cell>
          <cell r="G499" t="str">
            <v>P213020</v>
          </cell>
          <cell r="H499" t="str">
            <v>P213020</v>
          </cell>
          <cell r="I499" t="str">
            <v>501406</v>
          </cell>
          <cell r="J499">
            <v>50</v>
          </cell>
          <cell r="K499" t="str">
            <v>14</v>
          </cell>
          <cell r="L499" t="str">
            <v>06</v>
          </cell>
          <cell r="M499" t="str">
            <v>2</v>
          </cell>
          <cell r="N499" t="str">
            <v>13</v>
          </cell>
          <cell r="O499" t="str">
            <v>020</v>
          </cell>
          <cell r="P499" t="str">
            <v>0</v>
          </cell>
          <cell r="Q499">
            <v>18</v>
          </cell>
          <cell r="R499" t="str">
            <v>MRC</v>
          </cell>
          <cell r="S499" t="str">
            <v>ZZ</v>
          </cell>
          <cell r="T499">
            <v>11</v>
          </cell>
          <cell r="U499" t="str">
            <v>1406213020018MRCZZ11</v>
          </cell>
          <cell r="V499">
            <v>494</v>
          </cell>
          <cell r="W499" t="str">
            <v>MS: SOC CONTR - MEDICAL</v>
          </cell>
          <cell r="X499">
            <v>1882528</v>
          </cell>
          <cell r="Y499">
            <v>2146714.6800000002</v>
          </cell>
          <cell r="Z499">
            <v>2576057.6160000004</v>
          </cell>
          <cell r="AA499"/>
          <cell r="AB499">
            <v>1882528</v>
          </cell>
          <cell r="AC499">
            <v>4502006.7839999972</v>
          </cell>
        </row>
        <row r="500">
          <cell r="F500" t="str">
            <v>MS: SOC CONTR - PENSION</v>
          </cell>
          <cell r="G500" t="str">
            <v>P213030</v>
          </cell>
          <cell r="H500" t="str">
            <v>P213030</v>
          </cell>
          <cell r="I500" t="str">
            <v>501406</v>
          </cell>
          <cell r="J500">
            <v>50</v>
          </cell>
          <cell r="K500" t="str">
            <v>14</v>
          </cell>
          <cell r="L500" t="str">
            <v>06</v>
          </cell>
          <cell r="M500" t="str">
            <v>2</v>
          </cell>
          <cell r="N500" t="str">
            <v>13</v>
          </cell>
          <cell r="O500" t="str">
            <v>030</v>
          </cell>
          <cell r="P500" t="str">
            <v>0</v>
          </cell>
          <cell r="Q500">
            <v>18</v>
          </cell>
          <cell r="R500" t="str">
            <v>MRC</v>
          </cell>
          <cell r="S500" t="str">
            <v>ZZ</v>
          </cell>
          <cell r="T500">
            <v>11</v>
          </cell>
          <cell r="U500" t="str">
            <v>1406213030018MRCZZ11</v>
          </cell>
          <cell r="V500">
            <v>495</v>
          </cell>
          <cell r="W500" t="str">
            <v>MS: SOC CONTR - PENSION</v>
          </cell>
          <cell r="X500">
            <v>2976742</v>
          </cell>
          <cell r="Y500">
            <v>3414378.02</v>
          </cell>
          <cell r="Z500">
            <v>4097253.6240000003</v>
          </cell>
          <cell r="AA500"/>
          <cell r="AB500">
            <v>2976742</v>
          </cell>
          <cell r="AC500">
            <v>4222946.4406272024</v>
          </cell>
        </row>
        <row r="501">
          <cell r="F501" t="str">
            <v>MS: SOC CONTR - UNEMPLOYMENT INSUR FUND</v>
          </cell>
          <cell r="G501" t="str">
            <v>P213040</v>
          </cell>
          <cell r="H501" t="str">
            <v>P213040</v>
          </cell>
          <cell r="I501" t="str">
            <v>501406</v>
          </cell>
          <cell r="J501">
            <v>50</v>
          </cell>
          <cell r="K501" t="str">
            <v>14</v>
          </cell>
          <cell r="L501" t="str">
            <v>06</v>
          </cell>
          <cell r="M501" t="str">
            <v>2</v>
          </cell>
          <cell r="N501" t="str">
            <v>13</v>
          </cell>
          <cell r="O501" t="str">
            <v>040</v>
          </cell>
          <cell r="P501" t="str">
            <v>0</v>
          </cell>
          <cell r="Q501">
            <v>18</v>
          </cell>
          <cell r="R501" t="str">
            <v>MRC</v>
          </cell>
          <cell r="S501" t="str">
            <v>ZZ</v>
          </cell>
          <cell r="T501">
            <v>11</v>
          </cell>
          <cell r="U501" t="str">
            <v>1406213040018MRCZZ11</v>
          </cell>
          <cell r="V501">
            <v>496</v>
          </cell>
          <cell r="W501" t="str">
            <v>MS: SOC CONTR - UNEMPLOYMENT INSUR FUND</v>
          </cell>
          <cell r="X501">
            <v>109261</v>
          </cell>
          <cell r="Y501">
            <v>135304.85</v>
          </cell>
          <cell r="Z501">
            <v>162365.82</v>
          </cell>
          <cell r="AA501"/>
          <cell r="AB501">
            <v>109261</v>
          </cell>
          <cell r="AC501">
            <v>167059.58400000012</v>
          </cell>
        </row>
        <row r="502">
          <cell r="F502" t="str">
            <v>OS: CONNECT/DIS-CONNECTION: ELECTICITY</v>
          </cell>
          <cell r="G502" t="str">
            <v>P226060</v>
          </cell>
          <cell r="H502" t="str">
            <v>P226511</v>
          </cell>
          <cell r="I502"/>
          <cell r="J502"/>
          <cell r="K502" t="str">
            <v>14</v>
          </cell>
          <cell r="L502" t="str">
            <v>06</v>
          </cell>
          <cell r="M502" t="str">
            <v>2</v>
          </cell>
          <cell r="N502" t="str">
            <v>26</v>
          </cell>
          <cell r="O502" t="str">
            <v>511</v>
          </cell>
          <cell r="P502" t="str">
            <v>0</v>
          </cell>
          <cell r="Q502">
            <v>18</v>
          </cell>
          <cell r="R502" t="str">
            <v>MRC</v>
          </cell>
          <cell r="S502" t="str">
            <v>ZZ</v>
          </cell>
          <cell r="T502">
            <v>11</v>
          </cell>
          <cell r="U502" t="str">
            <v>1406226511018MRCZZ11</v>
          </cell>
          <cell r="V502">
            <v>497</v>
          </cell>
          <cell r="W502" t="str">
            <v>OS: CONNECT/DIS-CONNECTION: ELECTICITY</v>
          </cell>
          <cell r="X502">
            <v>0</v>
          </cell>
          <cell r="Y502">
            <v>0</v>
          </cell>
          <cell r="Z502">
            <v>0</v>
          </cell>
          <cell r="AA502"/>
          <cell r="AB502">
            <v>0</v>
          </cell>
          <cell r="AC502">
            <v>0</v>
          </cell>
        </row>
        <row r="503">
          <cell r="F503" t="str">
            <v>OC: REG FEES NATIONAL</v>
          </cell>
          <cell r="G503" t="str">
            <v>P230452</v>
          </cell>
          <cell r="H503" t="str">
            <v>P230511</v>
          </cell>
          <cell r="I503"/>
          <cell r="J503"/>
          <cell r="K503" t="str">
            <v>14</v>
          </cell>
          <cell r="L503" t="str">
            <v>06</v>
          </cell>
          <cell r="M503" t="str">
            <v>2</v>
          </cell>
          <cell r="N503" t="str">
            <v>30</v>
          </cell>
          <cell r="O503" t="str">
            <v>511</v>
          </cell>
          <cell r="P503" t="str">
            <v>0</v>
          </cell>
          <cell r="Q503">
            <v>18</v>
          </cell>
          <cell r="R503" t="str">
            <v>MRC</v>
          </cell>
          <cell r="S503" t="str">
            <v>ZZ</v>
          </cell>
          <cell r="T503">
            <v>11</v>
          </cell>
          <cell r="U503" t="str">
            <v>1406230511018MRCZZ11</v>
          </cell>
          <cell r="V503">
            <v>498</v>
          </cell>
          <cell r="W503" t="str">
            <v>OC: REG FEES NATIONAL</v>
          </cell>
          <cell r="X503">
            <v>0</v>
          </cell>
          <cell r="Y503">
            <v>0</v>
          </cell>
          <cell r="Z503">
            <v>0</v>
          </cell>
          <cell r="AA503"/>
          <cell r="AB503">
            <v>0</v>
          </cell>
          <cell r="AC503">
            <v>0</v>
          </cell>
        </row>
        <row r="504">
          <cell r="F504" t="str">
            <v>OC: SKILLS DEVELOPMENT FUND LEVY</v>
          </cell>
          <cell r="G504" t="str">
            <v>P230452</v>
          </cell>
          <cell r="H504" t="str">
            <v>P230541</v>
          </cell>
          <cell r="I504"/>
          <cell r="J504"/>
          <cell r="K504" t="str">
            <v>14</v>
          </cell>
          <cell r="L504" t="str">
            <v>06</v>
          </cell>
          <cell r="M504" t="str">
            <v>2</v>
          </cell>
          <cell r="N504" t="str">
            <v>30</v>
          </cell>
          <cell r="O504" t="str">
            <v>541</v>
          </cell>
          <cell r="P504" t="str">
            <v>0</v>
          </cell>
          <cell r="Q504">
            <v>18</v>
          </cell>
          <cell r="R504" t="str">
            <v>MRC</v>
          </cell>
          <cell r="S504" t="str">
            <v>ZZ</v>
          </cell>
          <cell r="T504">
            <v>11</v>
          </cell>
          <cell r="U504" t="str">
            <v>1406230541018MRCZZ11</v>
          </cell>
          <cell r="V504">
            <v>499</v>
          </cell>
          <cell r="W504" t="str">
            <v>OC: SKILLS DEVELOPMENT FUND LEVY</v>
          </cell>
          <cell r="X504">
            <v>0</v>
          </cell>
          <cell r="Y504">
            <v>0</v>
          </cell>
          <cell r="Z504">
            <v>0</v>
          </cell>
          <cell r="AA504"/>
          <cell r="AB504">
            <v>0</v>
          </cell>
          <cell r="AC504">
            <v>0</v>
          </cell>
        </row>
        <row r="505">
          <cell r="F505" t="str">
            <v>OC: T&amp;S DOM - ACCOMMODATION</v>
          </cell>
          <cell r="G505" t="str">
            <v>P230452</v>
          </cell>
          <cell r="H505" t="str">
            <v>P230576</v>
          </cell>
          <cell r="I505"/>
          <cell r="J505"/>
          <cell r="K505" t="str">
            <v>14</v>
          </cell>
          <cell r="L505" t="str">
            <v>06</v>
          </cell>
          <cell r="M505" t="str">
            <v>2</v>
          </cell>
          <cell r="N505" t="str">
            <v>30</v>
          </cell>
          <cell r="O505" t="str">
            <v>576</v>
          </cell>
          <cell r="P505" t="str">
            <v>0</v>
          </cell>
          <cell r="Q505">
            <v>18</v>
          </cell>
          <cell r="R505" t="str">
            <v>MRC</v>
          </cell>
          <cell r="S505" t="str">
            <v>ZZ</v>
          </cell>
          <cell r="T505">
            <v>11</v>
          </cell>
          <cell r="U505" t="str">
            <v>1406230576018MRCZZ11</v>
          </cell>
          <cell r="V505">
            <v>500</v>
          </cell>
          <cell r="W505" t="str">
            <v>OC: T&amp;S DOM - ACCOMMODATION</v>
          </cell>
          <cell r="X505">
            <v>0</v>
          </cell>
          <cell r="Y505">
            <v>0</v>
          </cell>
          <cell r="Z505">
            <v>0</v>
          </cell>
          <cell r="AA505"/>
          <cell r="AB505">
            <v>0</v>
          </cell>
          <cell r="AC505">
            <v>0</v>
          </cell>
        </row>
        <row r="506">
          <cell r="F506" t="str">
            <v>OC: T&amp;S DOM - DAILY ALLOWANCE</v>
          </cell>
          <cell r="G506" t="str">
            <v>P230452</v>
          </cell>
          <cell r="H506" t="str">
            <v>P230577</v>
          </cell>
          <cell r="I506"/>
          <cell r="J506"/>
          <cell r="K506" t="str">
            <v>14</v>
          </cell>
          <cell r="L506" t="str">
            <v>06</v>
          </cell>
          <cell r="M506" t="str">
            <v>2</v>
          </cell>
          <cell r="N506" t="str">
            <v>30</v>
          </cell>
          <cell r="O506" t="str">
            <v>577</v>
          </cell>
          <cell r="P506" t="str">
            <v>0</v>
          </cell>
          <cell r="Q506">
            <v>18</v>
          </cell>
          <cell r="R506" t="str">
            <v>MRC</v>
          </cell>
          <cell r="S506" t="str">
            <v>ZZ</v>
          </cell>
          <cell r="T506">
            <v>11</v>
          </cell>
          <cell r="U506" t="str">
            <v>1406230577018MRCZZ11</v>
          </cell>
          <cell r="V506">
            <v>501</v>
          </cell>
          <cell r="W506" t="str">
            <v>OC: T&amp;S DOM - DAILY ALLOWANCE</v>
          </cell>
          <cell r="X506">
            <v>0</v>
          </cell>
          <cell r="Y506">
            <v>0</v>
          </cell>
          <cell r="Z506">
            <v>0</v>
          </cell>
          <cell r="AA506"/>
          <cell r="AB506">
            <v>0</v>
          </cell>
          <cell r="AC506">
            <v>0</v>
          </cell>
        </row>
        <row r="507">
          <cell r="F507" t="str">
            <v>OC: T&amp;S DOM TRP - WITHOUT OPR CAR RENTAL</v>
          </cell>
          <cell r="G507" t="str">
            <v>P230452</v>
          </cell>
          <cell r="H507" t="str">
            <v>P230580</v>
          </cell>
          <cell r="I507"/>
          <cell r="J507"/>
          <cell r="K507" t="str">
            <v>14</v>
          </cell>
          <cell r="L507" t="str">
            <v>06</v>
          </cell>
          <cell r="M507" t="str">
            <v>2</v>
          </cell>
          <cell r="N507" t="str">
            <v>30</v>
          </cell>
          <cell r="O507" t="str">
            <v>580</v>
          </cell>
          <cell r="P507" t="str">
            <v>0</v>
          </cell>
          <cell r="Q507">
            <v>18</v>
          </cell>
          <cell r="R507" t="str">
            <v>MRC</v>
          </cell>
          <cell r="S507" t="str">
            <v>ZZ</v>
          </cell>
          <cell r="T507">
            <v>11</v>
          </cell>
          <cell r="U507" t="str">
            <v>1406230580018MRCZZ11</v>
          </cell>
          <cell r="V507">
            <v>502</v>
          </cell>
          <cell r="W507" t="str">
            <v>OC: T&amp;S DOM TRP - WITHOUT OPR CAR RENTAL</v>
          </cell>
          <cell r="X507">
            <v>0</v>
          </cell>
          <cell r="Y507">
            <v>0</v>
          </cell>
          <cell r="Z507">
            <v>0</v>
          </cell>
          <cell r="AA507"/>
          <cell r="AB507">
            <v>0</v>
          </cell>
          <cell r="AC507">
            <v>0</v>
          </cell>
        </row>
        <row r="508">
          <cell r="F508" t="str">
            <v>OC: T&amp;S DOM PUB TRP - AIR TRANSPORT</v>
          </cell>
          <cell r="G508" t="str">
            <v>P230452</v>
          </cell>
          <cell r="H508" t="str">
            <v>P230583</v>
          </cell>
          <cell r="I508"/>
          <cell r="J508"/>
          <cell r="K508" t="str">
            <v>14</v>
          </cell>
          <cell r="L508" t="str">
            <v>06</v>
          </cell>
          <cell r="M508" t="str">
            <v>2</v>
          </cell>
          <cell r="N508" t="str">
            <v>30</v>
          </cell>
          <cell r="O508" t="str">
            <v>583</v>
          </cell>
          <cell r="P508" t="str">
            <v>0</v>
          </cell>
          <cell r="Q508">
            <v>18</v>
          </cell>
          <cell r="R508" t="str">
            <v>MRC</v>
          </cell>
          <cell r="S508" t="str">
            <v>ZZ</v>
          </cell>
          <cell r="T508">
            <v>11</v>
          </cell>
          <cell r="U508" t="str">
            <v>1406230583018MRCZZ11</v>
          </cell>
          <cell r="V508">
            <v>503</v>
          </cell>
          <cell r="W508" t="str">
            <v>OC: T&amp;S DOM PUB TRP - AIR TRANSPORT</v>
          </cell>
          <cell r="X508">
            <v>0</v>
          </cell>
          <cell r="Y508">
            <v>0</v>
          </cell>
          <cell r="Z508">
            <v>0</v>
          </cell>
          <cell r="AA508"/>
          <cell r="AB508">
            <v>0</v>
          </cell>
          <cell r="AC508">
            <v>0</v>
          </cell>
        </row>
        <row r="509">
          <cell r="F509" t="str">
            <v>OC: UNIFORM &amp; PROTECTIVE CLOTHING</v>
          </cell>
          <cell r="G509" t="str">
            <v>P230452</v>
          </cell>
          <cell r="H509" t="str">
            <v>P230610</v>
          </cell>
          <cell r="I509"/>
          <cell r="J509"/>
          <cell r="K509" t="str">
            <v>14</v>
          </cell>
          <cell r="L509" t="str">
            <v>06</v>
          </cell>
          <cell r="M509" t="str">
            <v>2</v>
          </cell>
          <cell r="N509" t="str">
            <v>30</v>
          </cell>
          <cell r="O509" t="str">
            <v>610</v>
          </cell>
          <cell r="P509" t="str">
            <v>0</v>
          </cell>
          <cell r="Q509">
            <v>18</v>
          </cell>
          <cell r="R509" t="str">
            <v>MRC</v>
          </cell>
          <cell r="S509" t="str">
            <v>ZZ</v>
          </cell>
          <cell r="T509">
            <v>11</v>
          </cell>
          <cell r="U509" t="str">
            <v>1406230610018MRCZZ11</v>
          </cell>
          <cell r="V509">
            <v>504</v>
          </cell>
          <cell r="W509" t="str">
            <v>OC: UNIFORM &amp; PROTECTIVE CLOTHING</v>
          </cell>
          <cell r="X509">
            <v>0</v>
          </cell>
          <cell r="Y509">
            <v>0</v>
          </cell>
          <cell r="Z509">
            <v>0</v>
          </cell>
          <cell r="AA509"/>
          <cell r="AB509">
            <v>0</v>
          </cell>
          <cell r="AC509">
            <v>0</v>
          </cell>
        </row>
        <row r="510">
          <cell r="F510" t="str">
            <v>INVENTORY - MATERIALS &amp; SUPPLIES(PRINT&amp;</v>
          </cell>
          <cell r="G510" t="str">
            <v>P232360</v>
          </cell>
          <cell r="H510" t="str">
            <v>P232360</v>
          </cell>
          <cell r="I510"/>
          <cell r="J510"/>
          <cell r="K510" t="str">
            <v>14</v>
          </cell>
          <cell r="L510" t="str">
            <v>06</v>
          </cell>
          <cell r="M510" t="str">
            <v>2</v>
          </cell>
          <cell r="N510" t="str">
            <v>32</v>
          </cell>
          <cell r="O510" t="str">
            <v>360</v>
          </cell>
          <cell r="P510" t="str">
            <v>D</v>
          </cell>
          <cell r="Q510">
            <v>18</v>
          </cell>
          <cell r="R510" t="str">
            <v>MRC</v>
          </cell>
          <cell r="S510" t="str">
            <v>ZZ</v>
          </cell>
          <cell r="T510">
            <v>11</v>
          </cell>
          <cell r="U510" t="str">
            <v>1406232360D18MRCZZ11</v>
          </cell>
          <cell r="V510">
            <v>505</v>
          </cell>
          <cell r="W510" t="str">
            <v>INVENTORY - MATERIALS &amp; SUPPLIES(PRINT&amp;</v>
          </cell>
          <cell r="X510">
            <v>138875</v>
          </cell>
          <cell r="Y510">
            <v>100588.69</v>
          </cell>
          <cell r="Z510">
            <v>120706.42800000001</v>
          </cell>
          <cell r="AA510"/>
          <cell r="AB510">
            <v>138875</v>
          </cell>
          <cell r="AC510">
            <v>125000</v>
          </cell>
        </row>
        <row r="511">
          <cell r="F511" t="str">
            <v>INVENTORY - MATERIALS &amp; SUPPLIES(R&amp;M)</v>
          </cell>
          <cell r="G511" t="str">
            <v>P232360</v>
          </cell>
          <cell r="H511" t="str">
            <v>P232360</v>
          </cell>
          <cell r="I511"/>
          <cell r="J511"/>
          <cell r="K511" t="str">
            <v>14</v>
          </cell>
          <cell r="L511" t="str">
            <v>06</v>
          </cell>
          <cell r="M511" t="str">
            <v>2</v>
          </cell>
          <cell r="N511" t="str">
            <v>32</v>
          </cell>
          <cell r="O511" t="str">
            <v>360</v>
          </cell>
          <cell r="P511" t="str">
            <v>I</v>
          </cell>
          <cell r="Q511">
            <v>18</v>
          </cell>
          <cell r="R511" t="str">
            <v>MRC</v>
          </cell>
          <cell r="S511" t="str">
            <v>ZZ</v>
          </cell>
          <cell r="T511">
            <v>11</v>
          </cell>
          <cell r="U511" t="str">
            <v>1406232360I18MRCZZ11</v>
          </cell>
          <cell r="V511">
            <v>506</v>
          </cell>
          <cell r="W511" t="str">
            <v>INVENTORY - MATERIALS &amp; SUPPLIES(R&amp;M)</v>
          </cell>
          <cell r="X511">
            <v>26475</v>
          </cell>
          <cell r="Y511">
            <v>25309.34</v>
          </cell>
          <cell r="Z511">
            <v>30371.208000000002</v>
          </cell>
          <cell r="AA511"/>
          <cell r="AB511">
            <v>26475</v>
          </cell>
          <cell r="AC511">
            <v>1048000</v>
          </cell>
        </row>
        <row r="512">
          <cell r="F512" t="str">
            <v>INVENTORY - MATERIALS &amp; SUPPLIES(FESTIVA</v>
          </cell>
          <cell r="G512" t="str">
            <v>P232360</v>
          </cell>
          <cell r="H512" t="str">
            <v>P232360</v>
          </cell>
          <cell r="I512"/>
          <cell r="J512"/>
          <cell r="K512" t="str">
            <v>14</v>
          </cell>
          <cell r="L512" t="str">
            <v>06</v>
          </cell>
          <cell r="M512" t="str">
            <v>2</v>
          </cell>
          <cell r="N512" t="str">
            <v>32</v>
          </cell>
          <cell r="O512" t="str">
            <v>360</v>
          </cell>
          <cell r="P512" t="str">
            <v>L</v>
          </cell>
          <cell r="Q512">
            <v>18</v>
          </cell>
          <cell r="R512" t="str">
            <v>MRC</v>
          </cell>
          <cell r="S512" t="str">
            <v>ZZ</v>
          </cell>
          <cell r="T512">
            <v>11</v>
          </cell>
          <cell r="U512" t="str">
            <v>1406232360L18MRCZZ11</v>
          </cell>
          <cell r="V512">
            <v>507</v>
          </cell>
          <cell r="W512" t="str">
            <v>INVENTORY - MATERIALS &amp; SUPPLIES(FESTIVA</v>
          </cell>
          <cell r="X512">
            <v>0</v>
          </cell>
          <cell r="Y512">
            <v>0</v>
          </cell>
          <cell r="Z512">
            <v>0</v>
          </cell>
          <cell r="AA512"/>
          <cell r="AB512">
            <v>0</v>
          </cell>
          <cell r="AC512">
            <v>0</v>
          </cell>
        </row>
        <row r="513">
          <cell r="F513" t="str">
            <v>INVENTORY - MATERIALS &amp; SUPPLIES(STOCK &amp;</v>
          </cell>
          <cell r="G513" t="str">
            <v>P232360</v>
          </cell>
          <cell r="H513" t="str">
            <v>P232360</v>
          </cell>
          <cell r="I513"/>
          <cell r="J513"/>
          <cell r="K513" t="str">
            <v>14</v>
          </cell>
          <cell r="L513" t="str">
            <v>06</v>
          </cell>
          <cell r="M513" t="str">
            <v>2</v>
          </cell>
          <cell r="N513" t="str">
            <v>32</v>
          </cell>
          <cell r="O513" t="str">
            <v>360</v>
          </cell>
          <cell r="P513" t="str">
            <v>R</v>
          </cell>
          <cell r="Q513">
            <v>18</v>
          </cell>
          <cell r="R513" t="str">
            <v>MRC</v>
          </cell>
          <cell r="S513" t="str">
            <v>ZZ</v>
          </cell>
          <cell r="T513">
            <v>11</v>
          </cell>
          <cell r="U513" t="str">
            <v>1406232360R18MRCZZ11</v>
          </cell>
          <cell r="V513">
            <v>508</v>
          </cell>
          <cell r="W513" t="str">
            <v>INVENTORY - MATERIALS &amp; SUPPLIES(STOCK &amp;</v>
          </cell>
          <cell r="X513">
            <v>426625</v>
          </cell>
          <cell r="Y513">
            <v>449610.94</v>
          </cell>
          <cell r="Z513">
            <v>539533.12800000003</v>
          </cell>
          <cell r="AA513"/>
          <cell r="AB513">
            <v>426625</v>
          </cell>
          <cell r="AC513">
            <v>52400</v>
          </cell>
        </row>
        <row r="514">
          <cell r="F514" t="str">
            <v>DEPRECIATION COMPUTER EQUIPMENT</v>
          </cell>
          <cell r="G514" t="str">
            <v>P272150</v>
          </cell>
          <cell r="H514" t="str">
            <v>P272060</v>
          </cell>
          <cell r="I514"/>
          <cell r="J514"/>
          <cell r="K514" t="str">
            <v>14</v>
          </cell>
          <cell r="L514" t="str">
            <v>06</v>
          </cell>
          <cell r="M514" t="str">
            <v>2</v>
          </cell>
          <cell r="N514" t="str">
            <v>72</v>
          </cell>
          <cell r="O514" t="str">
            <v>060</v>
          </cell>
          <cell r="P514" t="str">
            <v>0</v>
          </cell>
          <cell r="Q514">
            <v>18</v>
          </cell>
          <cell r="R514" t="str">
            <v>MRC</v>
          </cell>
          <cell r="S514" t="str">
            <v>ZZ</v>
          </cell>
          <cell r="T514">
            <v>11</v>
          </cell>
          <cell r="U514" t="str">
            <v>1406272060018MRCZZ11</v>
          </cell>
          <cell r="V514">
            <v>509</v>
          </cell>
          <cell r="W514" t="str">
            <v>DEPRECIATION COMPUTER EQUIPMENT</v>
          </cell>
          <cell r="X514">
            <v>0</v>
          </cell>
          <cell r="Y514">
            <v>0</v>
          </cell>
          <cell r="Z514">
            <v>0</v>
          </cell>
          <cell r="AA514"/>
          <cell r="AB514">
            <v>0</v>
          </cell>
          <cell r="AC514">
            <v>0</v>
          </cell>
        </row>
        <row r="515">
          <cell r="F515" t="str">
            <v>DEPRECIATION FURNITURE &amp; OFFICE EQUIPM</v>
          </cell>
          <cell r="G515" t="str">
            <v>P272150</v>
          </cell>
          <cell r="H515" t="str">
            <v>P272150</v>
          </cell>
          <cell r="I515"/>
          <cell r="J515"/>
          <cell r="K515" t="str">
            <v>14</v>
          </cell>
          <cell r="L515" t="str">
            <v>06</v>
          </cell>
          <cell r="M515" t="str">
            <v>2</v>
          </cell>
          <cell r="N515" t="str">
            <v>72</v>
          </cell>
          <cell r="O515" t="str">
            <v>150</v>
          </cell>
          <cell r="P515" t="str">
            <v>0</v>
          </cell>
          <cell r="Q515">
            <v>18</v>
          </cell>
          <cell r="R515" t="str">
            <v>MRC</v>
          </cell>
          <cell r="S515" t="str">
            <v>ZZ</v>
          </cell>
          <cell r="T515">
            <v>11</v>
          </cell>
          <cell r="U515" t="str">
            <v>1406272150018MRCZZ11</v>
          </cell>
          <cell r="V515">
            <v>510</v>
          </cell>
          <cell r="W515" t="str">
            <v>DEPRECIATION FURNITURE &amp; OFFICE EQUIPM</v>
          </cell>
          <cell r="X515">
            <v>0</v>
          </cell>
          <cell r="Y515">
            <v>0</v>
          </cell>
          <cell r="Z515">
            <v>0</v>
          </cell>
          <cell r="AA515"/>
          <cell r="AB515">
            <v>0</v>
          </cell>
          <cell r="AC515">
            <v>0</v>
          </cell>
        </row>
        <row r="516">
          <cell r="F516" t="str">
            <v>DEPRECIATION  TRANSPORT ASSETS</v>
          </cell>
          <cell r="G516" t="str">
            <v>P272150</v>
          </cell>
          <cell r="H516" t="str">
            <v>P272570</v>
          </cell>
          <cell r="I516"/>
          <cell r="J516"/>
          <cell r="K516" t="str">
            <v>14</v>
          </cell>
          <cell r="L516" t="str">
            <v>06</v>
          </cell>
          <cell r="M516" t="str">
            <v>2</v>
          </cell>
          <cell r="N516" t="str">
            <v>72</v>
          </cell>
          <cell r="O516" t="str">
            <v>570</v>
          </cell>
          <cell r="P516" t="str">
            <v>0</v>
          </cell>
          <cell r="Q516">
            <v>18</v>
          </cell>
          <cell r="R516" t="str">
            <v>MRC</v>
          </cell>
          <cell r="S516" t="str">
            <v>ZZ</v>
          </cell>
          <cell r="T516">
            <v>11</v>
          </cell>
          <cell r="U516" t="str">
            <v>1406272570018MRCZZ11</v>
          </cell>
          <cell r="V516">
            <v>511</v>
          </cell>
          <cell r="W516" t="str">
            <v>DEPRECIATION  TRANSPORT ASSETS</v>
          </cell>
          <cell r="X516">
            <v>0</v>
          </cell>
          <cell r="Y516">
            <v>0</v>
          </cell>
          <cell r="Z516">
            <v>0</v>
          </cell>
          <cell r="AA516"/>
          <cell r="AB516">
            <v>0</v>
          </cell>
          <cell r="AC516">
            <v>0</v>
          </cell>
        </row>
        <row r="517">
          <cell r="F517" t="str">
            <v>PPE COMPUTER EQUIPMENT - GAINS</v>
          </cell>
          <cell r="G517" t="str">
            <v>P320085</v>
          </cell>
          <cell r="H517" t="str">
            <v>P320055</v>
          </cell>
          <cell r="I517"/>
          <cell r="J517"/>
          <cell r="K517" t="str">
            <v>14</v>
          </cell>
          <cell r="L517" t="str">
            <v>06</v>
          </cell>
          <cell r="M517" t="str">
            <v>3</v>
          </cell>
          <cell r="N517" t="str">
            <v>20</v>
          </cell>
          <cell r="O517" t="str">
            <v>055</v>
          </cell>
          <cell r="P517" t="str">
            <v>0</v>
          </cell>
          <cell r="Q517">
            <v>18</v>
          </cell>
          <cell r="R517" t="str">
            <v>MRC</v>
          </cell>
          <cell r="S517" t="str">
            <v>ZZ</v>
          </cell>
          <cell r="T517">
            <v>11</v>
          </cell>
          <cell r="U517" t="str">
            <v>1406320055018MRCZZ11</v>
          </cell>
          <cell r="V517">
            <v>512</v>
          </cell>
          <cell r="W517" t="str">
            <v>PPE COMPUTER EQUIPMENT - GAINS</v>
          </cell>
          <cell r="X517">
            <v>0</v>
          </cell>
          <cell r="Y517">
            <v>0</v>
          </cell>
          <cell r="Z517">
            <v>0</v>
          </cell>
          <cell r="AA517"/>
          <cell r="AB517">
            <v>0</v>
          </cell>
          <cell r="AC517">
            <v>-900000</v>
          </cell>
        </row>
        <row r="518">
          <cell r="F518" t="str">
            <v>PPE COMPUTER EQUIPMENT - LOSSES</v>
          </cell>
          <cell r="G518" t="str">
            <v>P370020</v>
          </cell>
          <cell r="H518" t="str">
            <v>P320060</v>
          </cell>
          <cell r="I518"/>
          <cell r="J518"/>
          <cell r="K518" t="str">
            <v>14</v>
          </cell>
          <cell r="L518" t="str">
            <v>06</v>
          </cell>
          <cell r="M518" t="str">
            <v>3</v>
          </cell>
          <cell r="N518" t="str">
            <v>20</v>
          </cell>
          <cell r="O518" t="str">
            <v>060</v>
          </cell>
          <cell r="P518" t="str">
            <v>0</v>
          </cell>
          <cell r="Q518">
            <v>18</v>
          </cell>
          <cell r="R518" t="str">
            <v>MRC</v>
          </cell>
          <cell r="S518" t="str">
            <v>ZZ</v>
          </cell>
          <cell r="T518">
            <v>11</v>
          </cell>
          <cell r="U518" t="str">
            <v>1406320060018MRCZZ11</v>
          </cell>
          <cell r="V518">
            <v>513</v>
          </cell>
          <cell r="W518" t="str">
            <v>PPE COMPUTER EQUIPMENT - LOSSES</v>
          </cell>
          <cell r="X518">
            <v>0</v>
          </cell>
          <cell r="Y518">
            <v>0</v>
          </cell>
          <cell r="Z518">
            <v>0</v>
          </cell>
          <cell r="AA518"/>
          <cell r="AB518">
            <v>0</v>
          </cell>
          <cell r="AC518">
            <v>0</v>
          </cell>
        </row>
        <row r="519">
          <cell r="F519" t="str">
            <v>IL PPE: COMPUTER EQUIPMENT</v>
          </cell>
          <cell r="G519" t="str">
            <v>P350030</v>
          </cell>
          <cell r="H519" t="str">
            <v>P350030</v>
          </cell>
          <cell r="I519"/>
          <cell r="J519"/>
          <cell r="K519" t="str">
            <v>14</v>
          </cell>
          <cell r="L519" t="str">
            <v>06</v>
          </cell>
          <cell r="M519" t="str">
            <v>3</v>
          </cell>
          <cell r="N519" t="str">
            <v>50</v>
          </cell>
          <cell r="O519" t="str">
            <v>030</v>
          </cell>
          <cell r="P519" t="str">
            <v>0</v>
          </cell>
          <cell r="Q519">
            <v>18</v>
          </cell>
          <cell r="R519" t="str">
            <v>MRC</v>
          </cell>
          <cell r="S519" t="str">
            <v>ZZ</v>
          </cell>
          <cell r="T519">
            <v>11</v>
          </cell>
          <cell r="U519" t="str">
            <v>1406350030018MRCZZ11</v>
          </cell>
          <cell r="V519">
            <v>514</v>
          </cell>
          <cell r="W519" t="str">
            <v>IL PPE: COMPUTER EQUIPMENT</v>
          </cell>
          <cell r="X519">
            <v>0</v>
          </cell>
          <cell r="Y519">
            <v>0</v>
          </cell>
          <cell r="Z519">
            <v>0</v>
          </cell>
          <cell r="AA519"/>
          <cell r="AB519">
            <v>0</v>
          </cell>
          <cell r="AC519">
            <v>0</v>
          </cell>
        </row>
        <row r="520">
          <cell r="F520" t="str">
            <v xml:space="preserve">IL: ELECTRICITY                                   </v>
          </cell>
          <cell r="G520" t="str">
            <v>P370020</v>
          </cell>
          <cell r="H520" t="str">
            <v>P350110</v>
          </cell>
          <cell r="I520"/>
          <cell r="J520"/>
          <cell r="K520" t="str">
            <v>14</v>
          </cell>
          <cell r="L520" t="str">
            <v>06</v>
          </cell>
          <cell r="M520" t="str">
            <v>3</v>
          </cell>
          <cell r="N520" t="str">
            <v>50</v>
          </cell>
          <cell r="O520" t="str">
            <v>105</v>
          </cell>
          <cell r="P520" t="str">
            <v>0</v>
          </cell>
          <cell r="Q520">
            <v>18</v>
          </cell>
          <cell r="R520" t="str">
            <v>MRC</v>
          </cell>
          <cell r="S520" t="str">
            <v>ZZ</v>
          </cell>
          <cell r="T520">
            <v>11</v>
          </cell>
          <cell r="U520" t="str">
            <v>1406350105018MRCZZ11</v>
          </cell>
          <cell r="V520">
            <v>515</v>
          </cell>
          <cell r="W520" t="str">
            <v xml:space="preserve">IL: ELECTRICITY                                   </v>
          </cell>
          <cell r="X520">
            <v>0</v>
          </cell>
          <cell r="Y520">
            <v>0</v>
          </cell>
          <cell r="Z520">
            <v>0</v>
          </cell>
          <cell r="AA520"/>
          <cell r="AB520">
            <v>0</v>
          </cell>
          <cell r="AC520">
            <v>38916988.396620877</v>
          </cell>
        </row>
        <row r="521">
          <cell r="F521" t="str">
            <v>IL: NON SPECIFIC ACCOUNTS</v>
          </cell>
          <cell r="G521" t="str">
            <v>P370020</v>
          </cell>
          <cell r="H521" t="str">
            <v>P350110</v>
          </cell>
          <cell r="I521"/>
          <cell r="J521"/>
          <cell r="K521" t="str">
            <v>14</v>
          </cell>
          <cell r="L521" t="str">
            <v>06</v>
          </cell>
          <cell r="M521" t="str">
            <v>3</v>
          </cell>
          <cell r="N521" t="str">
            <v>50</v>
          </cell>
          <cell r="O521" t="str">
            <v>110</v>
          </cell>
          <cell r="P521" t="str">
            <v>0</v>
          </cell>
          <cell r="Q521">
            <v>18</v>
          </cell>
          <cell r="R521" t="str">
            <v>MRC</v>
          </cell>
          <cell r="S521" t="str">
            <v>ZZ</v>
          </cell>
          <cell r="T521">
            <v>11</v>
          </cell>
          <cell r="U521" t="str">
            <v>1406350110018MRCZZ11</v>
          </cell>
          <cell r="V521">
            <v>515</v>
          </cell>
          <cell r="W521" t="str">
            <v>IL: NON SPECIFIC ACCOUNTS</v>
          </cell>
          <cell r="X521">
            <v>10358299</v>
          </cell>
          <cell r="Y521">
            <v>8631919</v>
          </cell>
          <cell r="Z521">
            <v>10358302.800000001</v>
          </cell>
          <cell r="AA521"/>
          <cell r="AB521">
            <v>10358299</v>
          </cell>
          <cell r="AC521">
            <v>0</v>
          </cell>
        </row>
        <row r="522">
          <cell r="F522" t="str">
            <v>RIL PPE: COMPUTER EQUIPMENT</v>
          </cell>
          <cell r="G522" t="str">
            <v>P360030</v>
          </cell>
          <cell r="H522" t="str">
            <v>P360030</v>
          </cell>
          <cell r="I522"/>
          <cell r="J522"/>
          <cell r="K522" t="str">
            <v>14</v>
          </cell>
          <cell r="L522" t="str">
            <v>06</v>
          </cell>
          <cell r="M522" t="str">
            <v>3</v>
          </cell>
          <cell r="N522" t="str">
            <v>60</v>
          </cell>
          <cell r="O522" t="str">
            <v>030</v>
          </cell>
          <cell r="P522" t="str">
            <v>0</v>
          </cell>
          <cell r="Q522">
            <v>18</v>
          </cell>
          <cell r="R522" t="str">
            <v>MRC</v>
          </cell>
          <cell r="S522" t="str">
            <v>ZZ</v>
          </cell>
          <cell r="T522">
            <v>11</v>
          </cell>
          <cell r="U522" t="str">
            <v>1406360030018MRCZZ11</v>
          </cell>
          <cell r="V522">
            <v>516</v>
          </cell>
          <cell r="W522" t="str">
            <v>RIL PPE: COMPUTER EQUIPMENT</v>
          </cell>
          <cell r="X522">
            <v>0</v>
          </cell>
          <cell r="Y522">
            <v>0</v>
          </cell>
          <cell r="Z522">
            <v>0</v>
          </cell>
          <cell r="AA522"/>
          <cell r="AB522">
            <v>0</v>
          </cell>
          <cell r="AC522">
            <v>0</v>
          </cell>
        </row>
        <row r="523">
          <cell r="F523" t="str">
            <v>DIGITAL RADIO SYSTEM</v>
          </cell>
          <cell r="G523" t="str">
            <v>P645602QY4</v>
          </cell>
          <cell r="H523" t="str">
            <v>P645602QY4</v>
          </cell>
          <cell r="I523"/>
          <cell r="J523"/>
          <cell r="K523" t="str">
            <v>14</v>
          </cell>
          <cell r="L523" t="str">
            <v>06</v>
          </cell>
          <cell r="M523" t="str">
            <v>6</v>
          </cell>
          <cell r="N523" t="str">
            <v>45</v>
          </cell>
          <cell r="O523" t="str">
            <v>602</v>
          </cell>
          <cell r="P523" t="str">
            <v>0</v>
          </cell>
          <cell r="Q523" t="str">
            <v>CF</v>
          </cell>
          <cell r="R523" t="str">
            <v>QY4</v>
          </cell>
          <cell r="S523" t="str">
            <v>ZZ</v>
          </cell>
          <cell r="T523">
            <v>11</v>
          </cell>
          <cell r="U523" t="str">
            <v>14066456020CFQY4ZZ11</v>
          </cell>
          <cell r="V523">
            <v>517</v>
          </cell>
          <cell r="W523" t="str">
            <v>DIGITAL RADIO SYSTEM</v>
          </cell>
          <cell r="X523">
            <v>0</v>
          </cell>
          <cell r="Y523">
            <v>0</v>
          </cell>
          <cell r="Z523">
            <v>0</v>
          </cell>
          <cell r="AA523"/>
          <cell r="AB523">
            <v>0</v>
          </cell>
          <cell r="AC523">
            <v>3000000</v>
          </cell>
        </row>
        <row r="524">
          <cell r="F524" t="str">
            <v>COMPUTER EQUIPMENT (COVID-19)</v>
          </cell>
          <cell r="G524" t="str">
            <v>P647002QX2</v>
          </cell>
          <cell r="H524" t="str">
            <v>P647002QX2</v>
          </cell>
          <cell r="I524"/>
          <cell r="J524"/>
          <cell r="K524" t="str">
            <v>14</v>
          </cell>
          <cell r="L524" t="str">
            <v>06</v>
          </cell>
          <cell r="M524" t="str">
            <v>6</v>
          </cell>
          <cell r="N524" t="str">
            <v>47</v>
          </cell>
          <cell r="O524" t="str">
            <v>002</v>
          </cell>
          <cell r="P524" t="str">
            <v>0</v>
          </cell>
          <cell r="Q524" t="str">
            <v>CF</v>
          </cell>
          <cell r="R524" t="str">
            <v>QX2</v>
          </cell>
          <cell r="S524" t="str">
            <v>ZZ</v>
          </cell>
          <cell r="T524">
            <v>11</v>
          </cell>
          <cell r="U524" t="str">
            <v>14066470020CFQX2ZZ11</v>
          </cell>
          <cell r="V524">
            <v>518</v>
          </cell>
          <cell r="W524" t="str">
            <v>COMPUTER EQUIPMENT (COVID-19)</v>
          </cell>
          <cell r="X524">
            <v>1004297</v>
          </cell>
          <cell r="Y524">
            <v>15850</v>
          </cell>
          <cell r="Z524">
            <v>19020</v>
          </cell>
          <cell r="AA524"/>
          <cell r="AB524">
            <v>1004297</v>
          </cell>
          <cell r="AC524">
            <v>0</v>
          </cell>
        </row>
        <row r="525">
          <cell r="F525" t="str">
            <v>IMPLEM BUSINESS CONT DISASTER RECOV INF</v>
          </cell>
          <cell r="G525" t="str">
            <v>P647002QX6</v>
          </cell>
          <cell r="H525" t="str">
            <v>P647002QX6</v>
          </cell>
          <cell r="I525"/>
          <cell r="J525"/>
          <cell r="K525" t="str">
            <v>14</v>
          </cell>
          <cell r="L525" t="str">
            <v>06</v>
          </cell>
          <cell r="M525" t="str">
            <v>6</v>
          </cell>
          <cell r="N525" t="str">
            <v>47</v>
          </cell>
          <cell r="O525" t="str">
            <v>002</v>
          </cell>
          <cell r="P525" t="str">
            <v>0</v>
          </cell>
          <cell r="Q525" t="str">
            <v>CF</v>
          </cell>
          <cell r="R525" t="str">
            <v>QX6</v>
          </cell>
          <cell r="S525" t="str">
            <v>ZZ</v>
          </cell>
          <cell r="T525">
            <v>11</v>
          </cell>
          <cell r="U525" t="str">
            <v>14066470020CFQX6ZZ11</v>
          </cell>
          <cell r="V525">
            <v>519</v>
          </cell>
          <cell r="W525" t="str">
            <v>IMPLEM BUSINESS CONT DISASTER RECOV INF</v>
          </cell>
          <cell r="X525">
            <v>2800000</v>
          </cell>
          <cell r="Y525">
            <v>2401660.5499999998</v>
          </cell>
          <cell r="Z525">
            <v>2881992.66</v>
          </cell>
          <cell r="AA525"/>
          <cell r="AB525">
            <v>2800000</v>
          </cell>
          <cell r="AC525">
            <v>2730000</v>
          </cell>
        </row>
        <row r="526">
          <cell r="F526" t="str">
            <v>UPGRADE &amp; REFURB  COMPUTER NETWORK</v>
          </cell>
          <cell r="G526" t="str">
            <v>P647102QY3</v>
          </cell>
          <cell r="H526" t="str">
            <v>P647102QY3</v>
          </cell>
          <cell r="I526"/>
          <cell r="J526"/>
          <cell r="K526" t="str">
            <v>14</v>
          </cell>
          <cell r="L526" t="str">
            <v>06</v>
          </cell>
          <cell r="M526" t="str">
            <v>6</v>
          </cell>
          <cell r="N526" t="str">
            <v>47</v>
          </cell>
          <cell r="O526" t="str">
            <v>102</v>
          </cell>
          <cell r="P526" t="str">
            <v>0</v>
          </cell>
          <cell r="Q526" t="str">
            <v>CF</v>
          </cell>
          <cell r="R526" t="str">
            <v>QY3</v>
          </cell>
          <cell r="S526" t="str">
            <v>ZZ</v>
          </cell>
          <cell r="T526">
            <v>11</v>
          </cell>
          <cell r="U526" t="str">
            <v>14066471020CFQY3ZZ11</v>
          </cell>
          <cell r="V526">
            <v>520</v>
          </cell>
          <cell r="W526" t="str">
            <v>UPGRADE &amp; REFURB  COMPUTER NETWORK</v>
          </cell>
          <cell r="X526">
            <v>1537427</v>
          </cell>
          <cell r="Y526">
            <v>5261411.46</v>
          </cell>
          <cell r="Z526">
            <v>6313693.7519999994</v>
          </cell>
          <cell r="AA526">
            <v>5000000</v>
          </cell>
          <cell r="AB526">
            <v>6537427</v>
          </cell>
          <cell r="AC526">
            <v>5390000</v>
          </cell>
        </row>
        <row r="527">
          <cell r="F527" t="str">
            <v>BULK SMART METER INSTALLATION</v>
          </cell>
          <cell r="G527" t="str">
            <v>P652242P49</v>
          </cell>
          <cell r="H527" t="str">
            <v>P652242P49</v>
          </cell>
          <cell r="I527"/>
          <cell r="J527"/>
          <cell r="K527" t="str">
            <v>14</v>
          </cell>
          <cell r="L527" t="str">
            <v>06</v>
          </cell>
          <cell r="M527" t="str">
            <v>6</v>
          </cell>
          <cell r="N527" t="str">
            <v>52</v>
          </cell>
          <cell r="O527" t="str">
            <v>242</v>
          </cell>
          <cell r="P527" t="str">
            <v>0</v>
          </cell>
          <cell r="Q527" t="str">
            <v>CF</v>
          </cell>
          <cell r="R527" t="str">
            <v>P49</v>
          </cell>
          <cell r="S527" t="str">
            <v>ZZ</v>
          </cell>
          <cell r="T527">
            <v>11</v>
          </cell>
          <cell r="U527" t="str">
            <v>14066522420CFP49ZZ11</v>
          </cell>
          <cell r="V527">
            <v>521</v>
          </cell>
          <cell r="W527" t="str">
            <v>BULK SMART METER INSTALLATION</v>
          </cell>
          <cell r="X527">
            <v>239593</v>
          </cell>
          <cell r="Y527">
            <v>0</v>
          </cell>
          <cell r="Z527">
            <v>0</v>
          </cell>
          <cell r="AA527"/>
          <cell r="AB527">
            <v>239593</v>
          </cell>
          <cell r="AC527">
            <v>239593</v>
          </cell>
        </row>
        <row r="528">
          <cell r="F528" t="str">
            <v>METER REPLACEMENT PROJECT</v>
          </cell>
          <cell r="G528" t="str">
            <v>P652302P33</v>
          </cell>
          <cell r="H528" t="str">
            <v>P652302P33</v>
          </cell>
          <cell r="I528"/>
          <cell r="J528"/>
          <cell r="K528" t="str">
            <v>14</v>
          </cell>
          <cell r="L528" t="str">
            <v>06</v>
          </cell>
          <cell r="M528" t="str">
            <v>6</v>
          </cell>
          <cell r="N528" t="str">
            <v>52</v>
          </cell>
          <cell r="O528" t="str">
            <v>302</v>
          </cell>
          <cell r="P528" t="str">
            <v>0</v>
          </cell>
          <cell r="Q528" t="str">
            <v>CF</v>
          </cell>
          <cell r="R528" t="str">
            <v>P33</v>
          </cell>
          <cell r="S528" t="str">
            <v>ZZ</v>
          </cell>
          <cell r="T528">
            <v>11</v>
          </cell>
          <cell r="U528" t="str">
            <v>14066523020CFP33ZZ11</v>
          </cell>
          <cell r="V528">
            <v>522</v>
          </cell>
          <cell r="W528" t="str">
            <v>METER REPLACEMENT PROJECT</v>
          </cell>
          <cell r="X528">
            <v>10562188</v>
          </cell>
          <cell r="Y528">
            <v>12447563.07</v>
          </cell>
          <cell r="Z528">
            <v>14937075.684</v>
          </cell>
          <cell r="AA528">
            <v>5000000</v>
          </cell>
          <cell r="AB528">
            <v>15562188</v>
          </cell>
          <cell r="AC528">
            <v>15000000</v>
          </cell>
        </row>
        <row r="529">
          <cell r="F529" t="str">
            <v>ELEC: NOTICE REVENUES</v>
          </cell>
          <cell r="G529" t="str">
            <v>P132109</v>
          </cell>
          <cell r="H529" t="str">
            <v>P132109</v>
          </cell>
          <cell r="I529"/>
          <cell r="J529"/>
          <cell r="K529" t="str">
            <v>14</v>
          </cell>
          <cell r="L529" t="str">
            <v>07</v>
          </cell>
          <cell r="M529" t="str">
            <v>1</v>
          </cell>
          <cell r="N529" t="str">
            <v>32</v>
          </cell>
          <cell r="O529" t="str">
            <v>109</v>
          </cell>
          <cell r="P529" t="str">
            <v>0</v>
          </cell>
          <cell r="Q529">
            <v>18</v>
          </cell>
          <cell r="R529" t="str">
            <v>ZZZ</v>
          </cell>
          <cell r="S529" t="str">
            <v>ZZ</v>
          </cell>
          <cell r="T529">
            <v>11</v>
          </cell>
          <cell r="U529" t="str">
            <v>1407132109018ZZZZZ11</v>
          </cell>
          <cell r="V529">
            <v>523</v>
          </cell>
          <cell r="W529" t="str">
            <v>ELEC: NOTICE REVENUES</v>
          </cell>
          <cell r="X529">
            <v>0</v>
          </cell>
          <cell r="Y529">
            <v>0</v>
          </cell>
          <cell r="Z529">
            <v>0</v>
          </cell>
          <cell r="AA529"/>
          <cell r="AB529">
            <v>0</v>
          </cell>
          <cell r="AC529">
            <v>0</v>
          </cell>
        </row>
        <row r="530">
          <cell r="F530" t="str">
            <v>MMM BUSINESS FLAT - WINTER CONV EL0005</v>
          </cell>
          <cell r="G530" t="str">
            <v>P132112</v>
          </cell>
          <cell r="H530" t="str">
            <v>P132112</v>
          </cell>
          <cell r="I530"/>
          <cell r="J530"/>
          <cell r="K530" t="str">
            <v>14</v>
          </cell>
          <cell r="L530" t="str">
            <v>07</v>
          </cell>
          <cell r="M530" t="str">
            <v>1</v>
          </cell>
          <cell r="N530" t="str">
            <v>32</v>
          </cell>
          <cell r="O530" t="str">
            <v>112</v>
          </cell>
          <cell r="P530" t="str">
            <v>1</v>
          </cell>
          <cell r="Q530">
            <v>18</v>
          </cell>
          <cell r="R530" t="str">
            <v>ZZZ</v>
          </cell>
          <cell r="S530" t="str">
            <v>ZZ</v>
          </cell>
          <cell r="T530">
            <v>11</v>
          </cell>
          <cell r="U530" t="str">
            <v>1407132112118ZZZZZ11</v>
          </cell>
          <cell r="V530">
            <v>524</v>
          </cell>
          <cell r="W530" t="str">
            <v>MMM BUSINESS FLAT - WINTER CONV EL0005</v>
          </cell>
          <cell r="X530">
            <v>-8586052</v>
          </cell>
          <cell r="Y530">
            <v>-16632986.41</v>
          </cell>
          <cell r="Z530">
            <v>-19959583.692000002</v>
          </cell>
          <cell r="AA530"/>
          <cell r="AB530">
            <v>-8586052</v>
          </cell>
          <cell r="AC530">
            <v>-12326563.489</v>
          </cell>
        </row>
        <row r="531">
          <cell r="F531" t="str">
            <v>MMM BUSINESS FLAT - SUMMER CONV ELSM05</v>
          </cell>
          <cell r="G531" t="str">
            <v>P132112</v>
          </cell>
          <cell r="H531" t="str">
            <v>P132112</v>
          </cell>
          <cell r="I531"/>
          <cell r="J531"/>
          <cell r="K531" t="str">
            <v>14</v>
          </cell>
          <cell r="L531" t="str">
            <v>07</v>
          </cell>
          <cell r="M531" t="str">
            <v>1</v>
          </cell>
          <cell r="N531" t="str">
            <v>32</v>
          </cell>
          <cell r="O531" t="str">
            <v>112</v>
          </cell>
          <cell r="P531" t="str">
            <v>2</v>
          </cell>
          <cell r="Q531">
            <v>18</v>
          </cell>
          <cell r="R531" t="str">
            <v>ZZZ</v>
          </cell>
          <cell r="S531" t="str">
            <v>ZZ</v>
          </cell>
          <cell r="T531">
            <v>11</v>
          </cell>
          <cell r="U531" t="str">
            <v>1407132112218ZZZZZ11</v>
          </cell>
          <cell r="V531">
            <v>525</v>
          </cell>
          <cell r="W531" t="str">
            <v>MMM BUSINESS FLAT - SUMMER CONV ELSM05</v>
          </cell>
          <cell r="X531">
            <v>-19145563</v>
          </cell>
          <cell r="Y531">
            <v>-23653553.16</v>
          </cell>
          <cell r="Z531">
            <v>-28384263.792000003</v>
          </cell>
          <cell r="AA531"/>
          <cell r="AB531">
            <v>-19145563</v>
          </cell>
          <cell r="AC531">
            <v>-14047914.055500003</v>
          </cell>
        </row>
        <row r="532">
          <cell r="F532" t="str">
            <v>MMM CFLEX - 1 PHASE WINTER PEAK E1CHDP</v>
          </cell>
          <cell r="G532" t="str">
            <v>P132112</v>
          </cell>
          <cell r="H532" t="str">
            <v>P132112</v>
          </cell>
          <cell r="I532"/>
          <cell r="J532"/>
          <cell r="K532" t="str">
            <v>14</v>
          </cell>
          <cell r="L532" t="str">
            <v>07</v>
          </cell>
          <cell r="M532" t="str">
            <v>1</v>
          </cell>
          <cell r="N532" t="str">
            <v>32</v>
          </cell>
          <cell r="O532" t="str">
            <v>112</v>
          </cell>
          <cell r="P532" t="str">
            <v>3</v>
          </cell>
          <cell r="Q532">
            <v>18</v>
          </cell>
          <cell r="R532" t="str">
            <v>ZZZ</v>
          </cell>
          <cell r="S532" t="str">
            <v>ZZ</v>
          </cell>
          <cell r="T532">
            <v>11</v>
          </cell>
          <cell r="U532" t="str">
            <v>1407132112318ZZZZZ11</v>
          </cell>
          <cell r="V532">
            <v>526</v>
          </cell>
          <cell r="W532" t="str">
            <v>MMM CFLEX - 1 PHASE WINTER PEAK E1CHDP</v>
          </cell>
          <cell r="X532">
            <v>-19285</v>
          </cell>
          <cell r="Y532">
            <v>-40450.199999999997</v>
          </cell>
          <cell r="Z532">
            <v>-48540.239999999991</v>
          </cell>
          <cell r="AA532"/>
          <cell r="AB532">
            <v>-19285</v>
          </cell>
          <cell r="AC532">
            <v>-20704.558874999999</v>
          </cell>
        </row>
        <row r="533">
          <cell r="F533" t="str">
            <v>MMM CFLEX - 1 PHASE WINTER STD E1CHDS</v>
          </cell>
          <cell r="G533" t="str">
            <v>P132112</v>
          </cell>
          <cell r="H533" t="str">
            <v>P132112</v>
          </cell>
          <cell r="I533"/>
          <cell r="J533"/>
          <cell r="K533" t="str">
            <v>14</v>
          </cell>
          <cell r="L533" t="str">
            <v>07</v>
          </cell>
          <cell r="M533" t="str">
            <v>1</v>
          </cell>
          <cell r="N533" t="str">
            <v>32</v>
          </cell>
          <cell r="O533" t="str">
            <v>112</v>
          </cell>
          <cell r="P533" t="str">
            <v>4</v>
          </cell>
          <cell r="Q533">
            <v>18</v>
          </cell>
          <cell r="R533" t="str">
            <v>ZZZ</v>
          </cell>
          <cell r="S533" t="str">
            <v>ZZ</v>
          </cell>
          <cell r="T533">
            <v>11</v>
          </cell>
          <cell r="U533" t="str">
            <v>1407132112418ZZZZZ11</v>
          </cell>
          <cell r="V533">
            <v>527</v>
          </cell>
          <cell r="W533" t="str">
            <v>MMM CFLEX - 1 PHASE WINTER STD E1CHDS</v>
          </cell>
          <cell r="X533">
            <v>-28452</v>
          </cell>
          <cell r="Y533">
            <v>-59552.46</v>
          </cell>
          <cell r="Z533">
            <v>-71462.952000000005</v>
          </cell>
          <cell r="AA533"/>
          <cell r="AB533">
            <v>-28452</v>
          </cell>
          <cell r="AC533">
            <v>-31109.035049999999</v>
          </cell>
        </row>
        <row r="534">
          <cell r="F534" t="str">
            <v>MMM CFLEX - 1 PHASE WINTER OFF PEAK E1CH</v>
          </cell>
          <cell r="G534" t="str">
            <v>P132112</v>
          </cell>
          <cell r="H534" t="str">
            <v>P132112</v>
          </cell>
          <cell r="I534"/>
          <cell r="J534"/>
          <cell r="K534" t="str">
            <v>14</v>
          </cell>
          <cell r="L534" t="str">
            <v>07</v>
          </cell>
          <cell r="M534" t="str">
            <v>1</v>
          </cell>
          <cell r="N534" t="str">
            <v>32</v>
          </cell>
          <cell r="O534" t="str">
            <v>112</v>
          </cell>
          <cell r="P534" t="str">
            <v>5</v>
          </cell>
          <cell r="Q534">
            <v>18</v>
          </cell>
          <cell r="R534" t="str">
            <v>ZZZ</v>
          </cell>
          <cell r="S534" t="str">
            <v>ZZ</v>
          </cell>
          <cell r="T534">
            <v>11</v>
          </cell>
          <cell r="U534" t="str">
            <v>1407132112518ZZZZZ11</v>
          </cell>
          <cell r="V534">
            <v>528</v>
          </cell>
          <cell r="W534" t="str">
            <v>MMM CFLEX - 1 PHASE WINTER OFF PEAK E1CH</v>
          </cell>
          <cell r="X534">
            <v>-28044</v>
          </cell>
          <cell r="Y534">
            <v>-43181.68</v>
          </cell>
          <cell r="Z534">
            <v>-51818.015999999996</v>
          </cell>
          <cell r="AA534"/>
          <cell r="AB534">
            <v>-28044</v>
          </cell>
          <cell r="AC534">
            <v>-28642.526505000002</v>
          </cell>
        </row>
        <row r="535">
          <cell r="F535" t="str">
            <v>MMM CFLEX - 1 PHASE SUMMER PEAK E1CLDP</v>
          </cell>
          <cell r="G535" t="str">
            <v>P132112</v>
          </cell>
          <cell r="H535" t="str">
            <v>P132112</v>
          </cell>
          <cell r="I535"/>
          <cell r="J535"/>
          <cell r="K535" t="str">
            <v>14</v>
          </cell>
          <cell r="L535" t="str">
            <v>07</v>
          </cell>
          <cell r="M535" t="str">
            <v>1</v>
          </cell>
          <cell r="N535" t="str">
            <v>32</v>
          </cell>
          <cell r="O535" t="str">
            <v>112</v>
          </cell>
          <cell r="P535" t="str">
            <v>6</v>
          </cell>
          <cell r="Q535">
            <v>18</v>
          </cell>
          <cell r="R535" t="str">
            <v>ZZZ</v>
          </cell>
          <cell r="S535" t="str">
            <v>ZZ</v>
          </cell>
          <cell r="T535">
            <v>11</v>
          </cell>
          <cell r="U535" t="str">
            <v>1407132112618ZZZZZ11</v>
          </cell>
          <cell r="V535">
            <v>529</v>
          </cell>
          <cell r="W535" t="str">
            <v>MMM CFLEX - 1 PHASE SUMMER PEAK E1CLDP</v>
          </cell>
          <cell r="X535">
            <v>-54453</v>
          </cell>
          <cell r="Y535">
            <v>-139369.49</v>
          </cell>
          <cell r="Z535">
            <v>-167243.38799999998</v>
          </cell>
          <cell r="AA535"/>
          <cell r="AB535">
            <v>-54453</v>
          </cell>
          <cell r="AC535">
            <v>-47246.554919999995</v>
          </cell>
        </row>
        <row r="536">
          <cell r="F536" t="str">
            <v>MMM CFLEX - 1 PHASE SUMMER STD E1CLDS</v>
          </cell>
          <cell r="G536" t="str">
            <v>P132112</v>
          </cell>
          <cell r="H536" t="str">
            <v>P132112</v>
          </cell>
          <cell r="I536"/>
          <cell r="J536"/>
          <cell r="K536" t="str">
            <v>14</v>
          </cell>
          <cell r="L536" t="str">
            <v>07</v>
          </cell>
          <cell r="M536" t="str">
            <v>1</v>
          </cell>
          <cell r="N536" t="str">
            <v>32</v>
          </cell>
          <cell r="O536" t="str">
            <v>112</v>
          </cell>
          <cell r="P536" t="str">
            <v>7</v>
          </cell>
          <cell r="Q536">
            <v>18</v>
          </cell>
          <cell r="R536" t="str">
            <v>ZZZ</v>
          </cell>
          <cell r="S536" t="str">
            <v>ZZ</v>
          </cell>
          <cell r="T536">
            <v>11</v>
          </cell>
          <cell r="U536" t="str">
            <v>1407132112718ZZZZZ11</v>
          </cell>
          <cell r="V536">
            <v>530</v>
          </cell>
          <cell r="W536" t="str">
            <v>MMM CFLEX - 1 PHASE SUMMER STD E1CLDS</v>
          </cell>
          <cell r="X536">
            <v>-77290</v>
          </cell>
          <cell r="Y536">
            <v>-201781.61</v>
          </cell>
          <cell r="Z536">
            <v>-242137.932</v>
          </cell>
          <cell r="AA536"/>
          <cell r="AB536">
            <v>-77290</v>
          </cell>
          <cell r="AC536">
            <v>-65844.418499999985</v>
          </cell>
        </row>
        <row r="537">
          <cell r="F537" t="str">
            <v>MMM CFLEX - 1 PHASE SUMMER OFF PEAK E1CL</v>
          </cell>
          <cell r="G537" t="str">
            <v>P132112</v>
          </cell>
          <cell r="H537" t="str">
            <v>P132112</v>
          </cell>
          <cell r="I537"/>
          <cell r="J537"/>
          <cell r="K537" t="str">
            <v>14</v>
          </cell>
          <cell r="L537" t="str">
            <v>07</v>
          </cell>
          <cell r="M537" t="str">
            <v>1</v>
          </cell>
          <cell r="N537" t="str">
            <v>32</v>
          </cell>
          <cell r="O537" t="str">
            <v>112</v>
          </cell>
          <cell r="P537" t="str">
            <v>8</v>
          </cell>
          <cell r="Q537">
            <v>18</v>
          </cell>
          <cell r="R537" t="str">
            <v>ZZZ</v>
          </cell>
          <cell r="S537" t="str">
            <v>ZZ</v>
          </cell>
          <cell r="T537">
            <v>11</v>
          </cell>
          <cell r="U537" t="str">
            <v>1407132112818ZZZZZ11</v>
          </cell>
          <cell r="V537">
            <v>531</v>
          </cell>
          <cell r="W537" t="str">
            <v>MMM CFLEX - 1 PHASE SUMMER OFF PEAK E1CL</v>
          </cell>
          <cell r="X537">
            <v>-69482</v>
          </cell>
          <cell r="Y537">
            <v>-217035.11</v>
          </cell>
          <cell r="Z537">
            <v>-260442.13199999998</v>
          </cell>
          <cell r="AA537"/>
          <cell r="AB537">
            <v>-69482</v>
          </cell>
          <cell r="AC537">
            <v>-63407.453505000005</v>
          </cell>
        </row>
        <row r="538">
          <cell r="F538" t="str">
            <v>MMM CFLEX - 1 PHASE BASIC CHARGE ELCEBC</v>
          </cell>
          <cell r="G538" t="str">
            <v>P132112</v>
          </cell>
          <cell r="H538" t="str">
            <v>P132112</v>
          </cell>
          <cell r="I538"/>
          <cell r="J538"/>
          <cell r="K538" t="str">
            <v>14</v>
          </cell>
          <cell r="L538" t="str">
            <v>07</v>
          </cell>
          <cell r="M538" t="str">
            <v>1</v>
          </cell>
          <cell r="N538" t="str">
            <v>32</v>
          </cell>
          <cell r="O538" t="str">
            <v>112</v>
          </cell>
          <cell r="P538" t="str">
            <v>9</v>
          </cell>
          <cell r="Q538">
            <v>18</v>
          </cell>
          <cell r="R538" t="str">
            <v>ZZZ</v>
          </cell>
          <cell r="S538" t="str">
            <v>ZZ</v>
          </cell>
          <cell r="T538">
            <v>11</v>
          </cell>
          <cell r="U538" t="str">
            <v>1407132112918ZZZZZ11</v>
          </cell>
          <cell r="V538">
            <v>532</v>
          </cell>
          <cell r="W538" t="str">
            <v>MMM CFLEX - 1 PHASE BASIC CHARGE ELCEBC</v>
          </cell>
          <cell r="X538">
            <v>-35613</v>
          </cell>
          <cell r="Y538">
            <v>-93375.34</v>
          </cell>
          <cell r="Z538">
            <v>-112050.408</v>
          </cell>
          <cell r="AA538"/>
          <cell r="AB538">
            <v>-35613</v>
          </cell>
          <cell r="AC538">
            <v>-33818.400000000001</v>
          </cell>
        </row>
        <row r="539">
          <cell r="F539" t="str">
            <v>ELEC SALES: COMMERCIAL CONVEN 3-PHASE</v>
          </cell>
          <cell r="G539" t="str">
            <v>P132113</v>
          </cell>
          <cell r="H539" t="str">
            <v>P132113</v>
          </cell>
          <cell r="I539"/>
          <cell r="J539"/>
          <cell r="K539" t="str">
            <v>14</v>
          </cell>
          <cell r="L539" t="str">
            <v>07</v>
          </cell>
          <cell r="M539" t="str">
            <v>1</v>
          </cell>
          <cell r="N539" t="str">
            <v>32</v>
          </cell>
          <cell r="O539" t="str">
            <v>113</v>
          </cell>
          <cell r="P539" t="str">
            <v>0</v>
          </cell>
          <cell r="Q539">
            <v>18</v>
          </cell>
          <cell r="R539" t="str">
            <v>ZZZ</v>
          </cell>
          <cell r="S539" t="str">
            <v>ZZ</v>
          </cell>
          <cell r="T539">
            <v>11</v>
          </cell>
          <cell r="U539" t="str">
            <v>1407132113018ZZZZZ11</v>
          </cell>
          <cell r="V539">
            <v>533</v>
          </cell>
          <cell r="W539" t="str">
            <v>ELEC SALES: COMMERCIAL CONVEN 3-PHASE</v>
          </cell>
          <cell r="X539">
            <v>0</v>
          </cell>
          <cell r="Y539">
            <v>0</v>
          </cell>
          <cell r="Z539">
            <v>0</v>
          </cell>
          <cell r="AA539"/>
          <cell r="AB539">
            <v>0</v>
          </cell>
          <cell r="AC539">
            <v>0</v>
          </cell>
        </row>
        <row r="540">
          <cell r="F540" t="str">
            <v>MMM CFLEX - 3 PHASE WINTER PEAK ELCHDP</v>
          </cell>
          <cell r="G540" t="str">
            <v>P132113</v>
          </cell>
          <cell r="H540" t="str">
            <v>P132113</v>
          </cell>
          <cell r="I540"/>
          <cell r="J540"/>
          <cell r="K540" t="str">
            <v>14</v>
          </cell>
          <cell r="L540" t="str">
            <v>07</v>
          </cell>
          <cell r="M540" t="str">
            <v>1</v>
          </cell>
          <cell r="N540" t="str">
            <v>32</v>
          </cell>
          <cell r="O540" t="str">
            <v>113</v>
          </cell>
          <cell r="P540" t="str">
            <v>1</v>
          </cell>
          <cell r="Q540">
            <v>18</v>
          </cell>
          <cell r="R540" t="str">
            <v>ZZZ</v>
          </cell>
          <cell r="S540" t="str">
            <v>ZZ</v>
          </cell>
          <cell r="T540">
            <v>11</v>
          </cell>
          <cell r="U540" t="str">
            <v>1407132113118ZZZZZ11</v>
          </cell>
          <cell r="V540">
            <v>534</v>
          </cell>
          <cell r="W540" t="str">
            <v>MMM CFLEX - 3 PHASE WINTER PEAK ELCHDP</v>
          </cell>
          <cell r="X540">
            <v>-5438911</v>
          </cell>
          <cell r="Y540">
            <v>-6069909.0999999996</v>
          </cell>
          <cell r="Z540">
            <v>-7283890.919999999</v>
          </cell>
          <cell r="AA540"/>
          <cell r="AB540">
            <v>-5438911</v>
          </cell>
          <cell r="AC540">
            <v>-5793181.6078500003</v>
          </cell>
        </row>
        <row r="541">
          <cell r="F541" t="str">
            <v>MMM CFLEX - 3 PHASE WINTER STD ELCHDS</v>
          </cell>
          <cell r="G541" t="str">
            <v>P132113</v>
          </cell>
          <cell r="H541" t="str">
            <v>P132113</v>
          </cell>
          <cell r="I541"/>
          <cell r="J541"/>
          <cell r="K541" t="str">
            <v>14</v>
          </cell>
          <cell r="L541" t="str">
            <v>07</v>
          </cell>
          <cell r="M541" t="str">
            <v>1</v>
          </cell>
          <cell r="N541" t="str">
            <v>32</v>
          </cell>
          <cell r="O541" t="str">
            <v>113</v>
          </cell>
          <cell r="P541" t="str">
            <v>2</v>
          </cell>
          <cell r="Q541">
            <v>18</v>
          </cell>
          <cell r="R541" t="str">
            <v>ZZZ</v>
          </cell>
          <cell r="S541" t="str">
            <v>ZZ</v>
          </cell>
          <cell r="T541">
            <v>11</v>
          </cell>
          <cell r="U541" t="str">
            <v>1407132113218ZZZZZ11</v>
          </cell>
          <cell r="V541">
            <v>535</v>
          </cell>
          <cell r="W541" t="str">
            <v>MMM CFLEX - 3 PHASE WINTER STD ELCHDS</v>
          </cell>
          <cell r="X541">
            <v>-8146131</v>
          </cell>
          <cell r="Y541">
            <v>-9164377.4499999993</v>
          </cell>
          <cell r="Z541">
            <v>-10997252.939999998</v>
          </cell>
          <cell r="AA541"/>
          <cell r="AB541">
            <v>-8146131</v>
          </cell>
          <cell r="AC541">
            <v>-8920305.2525999993</v>
          </cell>
        </row>
        <row r="542">
          <cell r="F542" t="str">
            <v>MMM CFLEX -3PHASE WINTER OFF-PEAK ELCHDO</v>
          </cell>
          <cell r="G542" t="str">
            <v>P132113</v>
          </cell>
          <cell r="H542" t="str">
            <v>P132113</v>
          </cell>
          <cell r="I542"/>
          <cell r="J542"/>
          <cell r="K542" t="str">
            <v>14</v>
          </cell>
          <cell r="L542" t="str">
            <v>07</v>
          </cell>
          <cell r="M542" t="str">
            <v>1</v>
          </cell>
          <cell r="N542" t="str">
            <v>32</v>
          </cell>
          <cell r="O542" t="str">
            <v>113</v>
          </cell>
          <cell r="P542" t="str">
            <v>3</v>
          </cell>
          <cell r="Q542">
            <v>18</v>
          </cell>
          <cell r="R542" t="str">
            <v>ZZZ</v>
          </cell>
          <cell r="S542" t="str">
            <v>ZZ</v>
          </cell>
          <cell r="T542">
            <v>11</v>
          </cell>
          <cell r="U542" t="str">
            <v>1407132113318ZZZZZ11</v>
          </cell>
          <cell r="V542">
            <v>536</v>
          </cell>
          <cell r="W542" t="str">
            <v>MMM CFLEX -3PHASE WINTER OFF-PEAK ELCHDO</v>
          </cell>
          <cell r="X542">
            <v>-5623711</v>
          </cell>
          <cell r="Y542">
            <v>-5618419.0899999999</v>
          </cell>
          <cell r="Z542">
            <v>-6742102.9079999998</v>
          </cell>
          <cell r="AA542"/>
          <cell r="AB542">
            <v>-5623711</v>
          </cell>
          <cell r="AC542">
            <v>-5784944.9067919999</v>
          </cell>
        </row>
        <row r="543">
          <cell r="F543" t="str">
            <v>MMM CFLEX - 3 PHASE SUMMER PEAK ELCLDP</v>
          </cell>
          <cell r="G543" t="str">
            <v>P132113</v>
          </cell>
          <cell r="H543" t="str">
            <v>P132113</v>
          </cell>
          <cell r="I543"/>
          <cell r="J543"/>
          <cell r="K543" t="str">
            <v>14</v>
          </cell>
          <cell r="L543" t="str">
            <v>07</v>
          </cell>
          <cell r="M543" t="str">
            <v>1</v>
          </cell>
          <cell r="N543" t="str">
            <v>32</v>
          </cell>
          <cell r="O543" t="str">
            <v>113</v>
          </cell>
          <cell r="P543" t="str">
            <v>4</v>
          </cell>
          <cell r="Q543">
            <v>18</v>
          </cell>
          <cell r="R543" t="str">
            <v>ZZZ</v>
          </cell>
          <cell r="S543" t="str">
            <v>ZZ</v>
          </cell>
          <cell r="T543">
            <v>11</v>
          </cell>
          <cell r="U543" t="str">
            <v>1407132113418ZZZZZ11</v>
          </cell>
          <cell r="V543">
            <v>537</v>
          </cell>
          <cell r="W543" t="str">
            <v>MMM CFLEX - 3 PHASE SUMMER PEAK ELCLDP</v>
          </cell>
          <cell r="X543">
            <v>-12082795</v>
          </cell>
          <cell r="Y543">
            <v>-9640941.3900000006</v>
          </cell>
          <cell r="Z543">
            <v>-11569129.668000001</v>
          </cell>
          <cell r="AA543"/>
          <cell r="AB543">
            <v>-12082795</v>
          </cell>
          <cell r="AC543">
            <v>-10898264.187831998</v>
          </cell>
        </row>
        <row r="544">
          <cell r="F544" t="str">
            <v>MMM CFLEX - 3 PHASE SUMMER STD ELCLDS</v>
          </cell>
          <cell r="G544" t="str">
            <v>P132113</v>
          </cell>
          <cell r="H544" t="str">
            <v>P132113</v>
          </cell>
          <cell r="I544"/>
          <cell r="J544"/>
          <cell r="K544" t="str">
            <v>14</v>
          </cell>
          <cell r="L544" t="str">
            <v>07</v>
          </cell>
          <cell r="M544" t="str">
            <v>1</v>
          </cell>
          <cell r="N544" t="str">
            <v>32</v>
          </cell>
          <cell r="O544" t="str">
            <v>113</v>
          </cell>
          <cell r="P544" t="str">
            <v>5</v>
          </cell>
          <cell r="Q544">
            <v>18</v>
          </cell>
          <cell r="R544" t="str">
            <v>ZZZ</v>
          </cell>
          <cell r="S544" t="str">
            <v>ZZ</v>
          </cell>
          <cell r="T544">
            <v>11</v>
          </cell>
          <cell r="U544" t="str">
            <v>1407132113518ZZZZZ11</v>
          </cell>
          <cell r="V544">
            <v>538</v>
          </cell>
          <cell r="W544" t="str">
            <v>MMM CFLEX - 3 PHASE SUMMER STD ELCLDS</v>
          </cell>
          <cell r="X544">
            <v>-17628562</v>
          </cell>
          <cell r="Y544">
            <v>-13685641.710000001</v>
          </cell>
          <cell r="Z544">
            <v>-16422770.052000001</v>
          </cell>
          <cell r="AA544"/>
          <cell r="AB544">
            <v>-17628562</v>
          </cell>
          <cell r="AC544">
            <v>-15678240.652724998</v>
          </cell>
        </row>
        <row r="545">
          <cell r="F545" t="str">
            <v>MMM CFLEX -3PHASE SUMMER OFF-PEAK ELCLDO</v>
          </cell>
          <cell r="G545" t="str">
            <v>P132113</v>
          </cell>
          <cell r="H545" t="str">
            <v>P132113</v>
          </cell>
          <cell r="I545"/>
          <cell r="J545"/>
          <cell r="K545" t="str">
            <v>14</v>
          </cell>
          <cell r="L545" t="str">
            <v>07</v>
          </cell>
          <cell r="M545" t="str">
            <v>1</v>
          </cell>
          <cell r="N545" t="str">
            <v>32</v>
          </cell>
          <cell r="O545" t="str">
            <v>113</v>
          </cell>
          <cell r="P545" t="str">
            <v>6</v>
          </cell>
          <cell r="Q545">
            <v>18</v>
          </cell>
          <cell r="R545" t="str">
            <v>ZZZ</v>
          </cell>
          <cell r="S545" t="str">
            <v>ZZ</v>
          </cell>
          <cell r="T545">
            <v>11</v>
          </cell>
          <cell r="U545" t="str">
            <v>1407132113618ZZZZZ11</v>
          </cell>
          <cell r="V545">
            <v>539</v>
          </cell>
          <cell r="W545" t="str">
            <v>MMM CFLEX -3PHASE SUMMER OFF-PEAK ELCLDO</v>
          </cell>
          <cell r="X545">
            <v>-14036223</v>
          </cell>
          <cell r="Y545">
            <v>-11359036.550000001</v>
          </cell>
          <cell r="Z545">
            <v>-13630843.859999999</v>
          </cell>
          <cell r="AA545"/>
          <cell r="AB545">
            <v>-14036223</v>
          </cell>
          <cell r="AC545">
            <v>-12930280.939905999</v>
          </cell>
        </row>
        <row r="546">
          <cell r="F546" t="str">
            <v>MMM CFLEX - 3 PHASE BASIC CHARGE ELCOBC</v>
          </cell>
          <cell r="G546" t="str">
            <v>P132113</v>
          </cell>
          <cell r="H546" t="str">
            <v>P132113</v>
          </cell>
          <cell r="I546"/>
          <cell r="J546"/>
          <cell r="K546" t="str">
            <v>14</v>
          </cell>
          <cell r="L546" t="str">
            <v>07</v>
          </cell>
          <cell r="M546" t="str">
            <v>1</v>
          </cell>
          <cell r="N546" t="str">
            <v>32</v>
          </cell>
          <cell r="O546" t="str">
            <v>113</v>
          </cell>
          <cell r="P546" t="str">
            <v>7</v>
          </cell>
          <cell r="Q546">
            <v>18</v>
          </cell>
          <cell r="R546" t="str">
            <v>ZZZ</v>
          </cell>
          <cell r="S546" t="str">
            <v>ZZ</v>
          </cell>
          <cell r="T546">
            <v>11</v>
          </cell>
          <cell r="U546" t="str">
            <v>1407132113718ZZZZZ11</v>
          </cell>
          <cell r="V546">
            <v>540</v>
          </cell>
          <cell r="W546" t="str">
            <v>MMM CFLEX - 3 PHASE BASIC CHARGE ELCOBC</v>
          </cell>
          <cell r="X546">
            <v>-4457875</v>
          </cell>
          <cell r="Y546">
            <v>-3611781.17</v>
          </cell>
          <cell r="Z546">
            <v>-4334137.4039999992</v>
          </cell>
          <cell r="AA546"/>
          <cell r="AB546">
            <v>-4457875</v>
          </cell>
          <cell r="AC546">
            <v>-4233161.6999999993</v>
          </cell>
        </row>
        <row r="547">
          <cell r="F547" t="str">
            <v>MMM BUSINESS FLAT - WINTER PREPAID</v>
          </cell>
          <cell r="G547" t="str">
            <v>P132114W</v>
          </cell>
          <cell r="H547" t="str">
            <v>P132114W</v>
          </cell>
          <cell r="I547"/>
          <cell r="J547"/>
          <cell r="K547" t="str">
            <v>14</v>
          </cell>
          <cell r="L547" t="str">
            <v>07</v>
          </cell>
          <cell r="M547" t="str">
            <v>1</v>
          </cell>
          <cell r="N547" t="str">
            <v>32</v>
          </cell>
          <cell r="O547" t="str">
            <v>114</v>
          </cell>
          <cell r="P547" t="str">
            <v>1</v>
          </cell>
          <cell r="Q547">
            <v>18</v>
          </cell>
          <cell r="R547" t="str">
            <v>ZZZ</v>
          </cell>
          <cell r="S547" t="str">
            <v>ZZ</v>
          </cell>
          <cell r="T547">
            <v>11</v>
          </cell>
          <cell r="U547" t="str">
            <v>1407132114118ZZZZZ11</v>
          </cell>
          <cell r="V547">
            <v>541</v>
          </cell>
          <cell r="W547" t="str">
            <v>MMM BUSINESS FLAT - WINTER PREPAID</v>
          </cell>
          <cell r="X547">
            <v>-21726832</v>
          </cell>
          <cell r="Y547">
            <v>-15326498.34</v>
          </cell>
          <cell r="Z547">
            <v>-18391798.008000001</v>
          </cell>
          <cell r="AA547"/>
          <cell r="AB547">
            <v>-21726832</v>
          </cell>
          <cell r="AC547">
            <v>-22075701.788152002</v>
          </cell>
        </row>
        <row r="548">
          <cell r="F548" t="str">
            <v>MMM BUSINESS FLAT - SUMMER PREPAID</v>
          </cell>
          <cell r="G548" t="str">
            <v>P132114S</v>
          </cell>
          <cell r="H548" t="str">
            <v>P132114S</v>
          </cell>
          <cell r="I548"/>
          <cell r="J548"/>
          <cell r="K548" t="str">
            <v>14</v>
          </cell>
          <cell r="L548" t="str">
            <v>07</v>
          </cell>
          <cell r="M548" t="str">
            <v>1</v>
          </cell>
          <cell r="N548" t="str">
            <v>32</v>
          </cell>
          <cell r="O548" t="str">
            <v>114</v>
          </cell>
          <cell r="P548" t="str">
            <v>2</v>
          </cell>
          <cell r="Q548">
            <v>18</v>
          </cell>
          <cell r="R548" t="str">
            <v>ZZZ</v>
          </cell>
          <cell r="S548" t="str">
            <v>ZZ</v>
          </cell>
          <cell r="T548">
            <v>11</v>
          </cell>
          <cell r="U548" t="str">
            <v>1407132114218ZZZZZ11</v>
          </cell>
          <cell r="V548">
            <v>542</v>
          </cell>
          <cell r="W548" t="str">
            <v>MMM BUSINESS FLAT - SUMMER PREPAID</v>
          </cell>
          <cell r="X548">
            <v>-61321652</v>
          </cell>
          <cell r="Y548">
            <v>-59308097.340000004</v>
          </cell>
          <cell r="Z548">
            <v>-71169716.807999998</v>
          </cell>
          <cell r="AA548"/>
          <cell r="AB548">
            <v>-61321652</v>
          </cell>
          <cell r="AC548">
            <v>-61029169.413692445</v>
          </cell>
        </row>
        <row r="549">
          <cell r="F549" t="str">
            <v>ELEC SALES: DOMESTI LOW HOME LIGHT 2 60A</v>
          </cell>
          <cell r="G549" t="str">
            <v>P132118</v>
          </cell>
          <cell r="H549" t="str">
            <v>P132118</v>
          </cell>
          <cell r="I549"/>
          <cell r="J549"/>
          <cell r="K549" t="str">
            <v>14</v>
          </cell>
          <cell r="L549" t="str">
            <v>07</v>
          </cell>
          <cell r="M549" t="str">
            <v>1</v>
          </cell>
          <cell r="N549" t="str">
            <v>32</v>
          </cell>
          <cell r="O549" t="str">
            <v>118</v>
          </cell>
          <cell r="P549" t="str">
            <v>0</v>
          </cell>
          <cell r="Q549">
            <v>18</v>
          </cell>
          <cell r="R549" t="str">
            <v>ZZZ</v>
          </cell>
          <cell r="S549" t="str">
            <v>ZZ</v>
          </cell>
          <cell r="T549">
            <v>11</v>
          </cell>
          <cell r="U549" t="str">
            <v>1407132118018ZZZZZ11</v>
          </cell>
          <cell r="V549">
            <v>543</v>
          </cell>
          <cell r="W549" t="str">
            <v>ELEC SALES: DOMESTI LOW HOME LIGHT 2 60A</v>
          </cell>
          <cell r="X549">
            <v>0</v>
          </cell>
          <cell r="Y549">
            <v>0</v>
          </cell>
          <cell r="Z549">
            <v>0</v>
          </cell>
          <cell r="AA549"/>
          <cell r="AB549">
            <v>0</v>
          </cell>
          <cell r="AC549">
            <v>0</v>
          </cell>
        </row>
        <row r="550">
          <cell r="F550" t="str">
            <v>MMM IBT DOMESTIC SUMMER CONV ELSM01</v>
          </cell>
          <cell r="G550" t="str">
            <v>P132118</v>
          </cell>
          <cell r="H550" t="str">
            <v>P132118</v>
          </cell>
          <cell r="I550"/>
          <cell r="J550"/>
          <cell r="K550" t="str">
            <v>14</v>
          </cell>
          <cell r="L550" t="str">
            <v>07</v>
          </cell>
          <cell r="M550" t="str">
            <v>1</v>
          </cell>
          <cell r="N550" t="str">
            <v>32</v>
          </cell>
          <cell r="O550" t="str">
            <v>118</v>
          </cell>
          <cell r="P550" t="str">
            <v>1</v>
          </cell>
          <cell r="Q550">
            <v>18</v>
          </cell>
          <cell r="R550" t="str">
            <v>ZZZ</v>
          </cell>
          <cell r="S550" t="str">
            <v>ZZ</v>
          </cell>
          <cell r="T550">
            <v>11</v>
          </cell>
          <cell r="U550" t="str">
            <v>1407132118118ZZZZZ11</v>
          </cell>
          <cell r="V550">
            <v>544</v>
          </cell>
          <cell r="W550" t="str">
            <v>MMM IBT DOMESTIC SUMMER CONV ELSM01</v>
          </cell>
          <cell r="X550">
            <v>-42233382</v>
          </cell>
          <cell r="Y550">
            <v>-14948904.99</v>
          </cell>
          <cell r="Z550">
            <v>-17938685.988000002</v>
          </cell>
          <cell r="AA550"/>
          <cell r="AB550">
            <v>-42233382</v>
          </cell>
          <cell r="AC550">
            <v>-44787013.016083747</v>
          </cell>
        </row>
        <row r="551">
          <cell r="F551" t="str">
            <v>MMM INDIGENT IBT SUMMER FBE CONV &amp; PP</v>
          </cell>
          <cell r="G551" t="str">
            <v>P07132119</v>
          </cell>
          <cell r="H551" t="str">
            <v>P07132119</v>
          </cell>
          <cell r="I551"/>
          <cell r="J551"/>
          <cell r="K551" t="str">
            <v>14</v>
          </cell>
          <cell r="L551" t="str">
            <v>07</v>
          </cell>
          <cell r="M551" t="str">
            <v>1</v>
          </cell>
          <cell r="N551" t="str">
            <v>32</v>
          </cell>
          <cell r="O551" t="str">
            <v>119</v>
          </cell>
          <cell r="P551" t="str">
            <v>0</v>
          </cell>
          <cell r="Q551">
            <v>6</v>
          </cell>
          <cell r="R551" t="str">
            <v>FB1</v>
          </cell>
          <cell r="S551" t="str">
            <v>ZZ</v>
          </cell>
          <cell r="T551">
            <v>11</v>
          </cell>
          <cell r="U551" t="str">
            <v>1407132119006FB1ZZ11</v>
          </cell>
          <cell r="V551">
            <v>545</v>
          </cell>
          <cell r="W551" t="str">
            <v>MMM INDIGENT IBT SUMMER FBE CONV &amp; PP</v>
          </cell>
          <cell r="X551">
            <v>0</v>
          </cell>
          <cell r="Y551">
            <v>20059906.48</v>
          </cell>
          <cell r="Z551">
            <v>24071887.776000001</v>
          </cell>
          <cell r="AA551"/>
          <cell r="AB551">
            <v>0</v>
          </cell>
          <cell r="AC551">
            <v>18571140.403360002</v>
          </cell>
        </row>
        <row r="552">
          <cell r="F552" t="str">
            <v>MMM IBT DOMESTIC SUMMER PREPAID</v>
          </cell>
          <cell r="G552" t="str">
            <v>P132119S</v>
          </cell>
          <cell r="H552" t="str">
            <v>P132119S</v>
          </cell>
          <cell r="I552"/>
          <cell r="J552"/>
          <cell r="K552" t="str">
            <v>14</v>
          </cell>
          <cell r="L552" t="str">
            <v>07</v>
          </cell>
          <cell r="M552" t="str">
            <v>1</v>
          </cell>
          <cell r="N552" t="str">
            <v>32</v>
          </cell>
          <cell r="O552" t="str">
            <v>119</v>
          </cell>
          <cell r="P552" t="str">
            <v>0</v>
          </cell>
          <cell r="Q552">
            <v>18</v>
          </cell>
          <cell r="R552" t="str">
            <v>ZZZ</v>
          </cell>
          <cell r="S552" t="str">
            <v>ZZ</v>
          </cell>
          <cell r="T552">
            <v>11</v>
          </cell>
          <cell r="U552" t="str">
            <v>1407132119018ZZZZZ11</v>
          </cell>
          <cell r="V552">
            <v>546</v>
          </cell>
          <cell r="W552" t="str">
            <v>MMM IBT DOMESTIC SUMMER PREPAID</v>
          </cell>
          <cell r="X552">
            <v>-765318961</v>
          </cell>
          <cell r="Y552">
            <v>-655803072.88999999</v>
          </cell>
          <cell r="Z552">
            <v>-786963687.46799994</v>
          </cell>
          <cell r="AA552"/>
          <cell r="AB552">
            <v>-765318961</v>
          </cell>
          <cell r="AC552">
            <v>-1079251540.8615522</v>
          </cell>
        </row>
        <row r="553">
          <cell r="F553" t="str">
            <v>ELEC SALES: DOMESTIC LOW:  PREPAID</v>
          </cell>
          <cell r="G553" t="str">
            <v>P132119W</v>
          </cell>
          <cell r="H553" t="str">
            <v>P132119W</v>
          </cell>
          <cell r="I553"/>
          <cell r="J553"/>
          <cell r="K553" t="str">
            <v>14</v>
          </cell>
          <cell r="L553" t="str">
            <v>07</v>
          </cell>
          <cell r="M553" t="str">
            <v>1</v>
          </cell>
          <cell r="N553" t="str">
            <v>32</v>
          </cell>
          <cell r="O553" t="str">
            <v>119</v>
          </cell>
          <cell r="P553" t="str">
            <v>1</v>
          </cell>
          <cell r="Q553">
            <v>18</v>
          </cell>
          <cell r="R553" t="str">
            <v>ZZZ</v>
          </cell>
          <cell r="S553" t="str">
            <v>ZZ</v>
          </cell>
          <cell r="T553">
            <v>11</v>
          </cell>
          <cell r="U553" t="str">
            <v>1407132119118ZZZZZ11</v>
          </cell>
          <cell r="V553">
            <v>547</v>
          </cell>
          <cell r="W553" t="str">
            <v>ELEC SALES: DOMESTIC LOW:  PREPAID</v>
          </cell>
          <cell r="X553">
            <v>-319341119</v>
          </cell>
          <cell r="Y553">
            <v>-212511898.05000001</v>
          </cell>
          <cell r="Z553">
            <v>-255014277.66</v>
          </cell>
          <cell r="AA553"/>
          <cell r="AB553">
            <v>-319341119</v>
          </cell>
          <cell r="AC553">
            <v>-509935828.29640937</v>
          </cell>
        </row>
        <row r="554">
          <cell r="F554" t="str">
            <v>MMM INDIGENT IBT WINTER FBE CONV &amp; PP</v>
          </cell>
          <cell r="G554" t="str">
            <v>P07132119</v>
          </cell>
          <cell r="H554" t="str">
            <v>P07132119</v>
          </cell>
          <cell r="I554"/>
          <cell r="J554"/>
          <cell r="K554" t="str">
            <v>14</v>
          </cell>
          <cell r="L554" t="str">
            <v>07</v>
          </cell>
          <cell r="M554" t="str">
            <v>1</v>
          </cell>
          <cell r="N554" t="str">
            <v>32</v>
          </cell>
          <cell r="O554" t="str">
            <v>119</v>
          </cell>
          <cell r="P554" t="str">
            <v>8</v>
          </cell>
          <cell r="Q554">
            <v>6</v>
          </cell>
          <cell r="R554" t="str">
            <v>FB1</v>
          </cell>
          <cell r="S554" t="str">
            <v>ZZ</v>
          </cell>
          <cell r="T554">
            <v>11</v>
          </cell>
          <cell r="U554" t="str">
            <v>1407132119806FB1ZZ11</v>
          </cell>
          <cell r="V554">
            <v>548</v>
          </cell>
          <cell r="W554" t="str">
            <v>MMM INDIGENT IBT WINTER FBE CONV &amp; PP</v>
          </cell>
          <cell r="X554">
            <v>0</v>
          </cell>
          <cell r="Y554">
            <v>0</v>
          </cell>
          <cell r="Z554">
            <v>0</v>
          </cell>
          <cell r="AA554"/>
          <cell r="AB554">
            <v>0</v>
          </cell>
          <cell r="AC554">
            <v>7909837.1736399997</v>
          </cell>
        </row>
        <row r="555">
          <cell r="F555" t="str">
            <v>INDIGENT OTHER SUMMER CONV &amp; PP INELSM1</v>
          </cell>
          <cell r="G555" t="str">
            <v>P132118</v>
          </cell>
          <cell r="H555" t="str">
            <v>P132120</v>
          </cell>
          <cell r="I555"/>
          <cell r="J555"/>
          <cell r="K555" t="str">
            <v>14</v>
          </cell>
          <cell r="L555" t="str">
            <v>07</v>
          </cell>
          <cell r="M555" t="str">
            <v>1</v>
          </cell>
          <cell r="N555" t="str">
            <v>32</v>
          </cell>
          <cell r="O555" t="str">
            <v>120</v>
          </cell>
          <cell r="P555" t="str">
            <v>0</v>
          </cell>
          <cell r="Q555">
            <v>18</v>
          </cell>
          <cell r="R555" t="str">
            <v>ZZZ</v>
          </cell>
          <cell r="S555" t="str">
            <v>ZZ</v>
          </cell>
          <cell r="T555">
            <v>11</v>
          </cell>
          <cell r="U555" t="str">
            <v>1407132120018ZZZZZ11</v>
          </cell>
          <cell r="V555">
            <v>549</v>
          </cell>
          <cell r="W555" t="str">
            <v>INDIGENT OTHER SUMMER CONV &amp; PP INELSM1</v>
          </cell>
          <cell r="X555">
            <v>-62511813</v>
          </cell>
          <cell r="Y555">
            <v>0</v>
          </cell>
          <cell r="Z555">
            <v>0</v>
          </cell>
          <cell r="AA555"/>
          <cell r="AB555">
            <v>-62511813</v>
          </cell>
          <cell r="AC555">
            <v>-64343820.90783298</v>
          </cell>
        </row>
        <row r="556">
          <cell r="F556" t="str">
            <v>MMM DEPARTMENTAL FLAT RATE SUMMER</v>
          </cell>
          <cell r="G556" t="str">
            <v>P132121</v>
          </cell>
          <cell r="H556" t="str">
            <v>P132121</v>
          </cell>
          <cell r="I556"/>
          <cell r="J556"/>
          <cell r="K556" t="str">
            <v>14</v>
          </cell>
          <cell r="L556" t="str">
            <v>07</v>
          </cell>
          <cell r="M556" t="str">
            <v>1</v>
          </cell>
          <cell r="N556" t="str">
            <v>32</v>
          </cell>
          <cell r="O556" t="str">
            <v>121</v>
          </cell>
          <cell r="P556" t="str">
            <v>1</v>
          </cell>
          <cell r="Q556">
            <v>18</v>
          </cell>
          <cell r="R556" t="str">
            <v>ZZZ</v>
          </cell>
          <cell r="S556" t="str">
            <v>ZZ</v>
          </cell>
          <cell r="T556">
            <v>11</v>
          </cell>
          <cell r="U556" t="str">
            <v>1407132121118ZZZZZ11</v>
          </cell>
          <cell r="V556">
            <v>550</v>
          </cell>
          <cell r="W556" t="str">
            <v>MMM DEPARTMENTAL FLAT RATE SUMMER</v>
          </cell>
          <cell r="X556">
            <v>-158691</v>
          </cell>
          <cell r="Y556">
            <v>-103672.31</v>
          </cell>
          <cell r="Z556">
            <v>-124406.772</v>
          </cell>
          <cell r="AA556"/>
          <cell r="AB556">
            <v>-158691</v>
          </cell>
          <cell r="AC556">
            <v>-387989.23923284805</v>
          </cell>
        </row>
        <row r="557">
          <cell r="F557" t="str">
            <v>MMM DEPARTMENTAL FLAT RATE SUMMER</v>
          </cell>
          <cell r="G557" t="str">
            <v>P132121</v>
          </cell>
          <cell r="H557" t="str">
            <v>P132121</v>
          </cell>
          <cell r="I557"/>
          <cell r="J557"/>
          <cell r="K557" t="str">
            <v>14</v>
          </cell>
          <cell r="L557" t="str">
            <v>07</v>
          </cell>
          <cell r="M557" t="str">
            <v>1</v>
          </cell>
          <cell r="N557" t="str">
            <v>32</v>
          </cell>
          <cell r="O557" t="str">
            <v>121</v>
          </cell>
          <cell r="P557" t="str">
            <v>2</v>
          </cell>
          <cell r="Q557">
            <v>18</v>
          </cell>
          <cell r="R557" t="str">
            <v>ZZZ</v>
          </cell>
          <cell r="S557" t="str">
            <v>ZZ</v>
          </cell>
          <cell r="T557">
            <v>11</v>
          </cell>
          <cell r="U557" t="str">
            <v>1407132121218ZZZZZ11</v>
          </cell>
          <cell r="V557">
            <v>551</v>
          </cell>
          <cell r="W557" t="str">
            <v>MMM DEPARTMENTAL FLAT RATE WINTER</v>
          </cell>
          <cell r="X557">
            <v>-370212</v>
          </cell>
          <cell r="Y557">
            <v>-197122.67</v>
          </cell>
          <cell r="Z557">
            <v>-236547.204</v>
          </cell>
          <cell r="AA557"/>
          <cell r="AB557">
            <v>-370212</v>
          </cell>
          <cell r="AC557">
            <v>-166310.705369392</v>
          </cell>
        </row>
        <row r="558">
          <cell r="F558" t="str">
            <v>MMM INDIGENT HIGH DEMAND IBT(WINTER)(INE</v>
          </cell>
          <cell r="G558" t="str">
            <v>P132121</v>
          </cell>
          <cell r="H558" t="str">
            <v>P132121</v>
          </cell>
          <cell r="I558"/>
          <cell r="J558"/>
          <cell r="K558" t="str">
            <v>14</v>
          </cell>
          <cell r="L558" t="str">
            <v>07</v>
          </cell>
          <cell r="M558" t="str">
            <v>1</v>
          </cell>
          <cell r="N558" t="str">
            <v>32</v>
          </cell>
          <cell r="O558" t="str">
            <v>121</v>
          </cell>
          <cell r="P558" t="str">
            <v>3</v>
          </cell>
          <cell r="Q558">
            <v>18</v>
          </cell>
          <cell r="R558" t="str">
            <v>ZZZ</v>
          </cell>
          <cell r="S558" t="str">
            <v>ZZ</v>
          </cell>
          <cell r="T558">
            <v>11</v>
          </cell>
          <cell r="U558" t="str">
            <v>1407132121318ZZZZZ11</v>
          </cell>
          <cell r="V558">
            <v>552</v>
          </cell>
          <cell r="W558" t="str">
            <v>MMM INDIGENT HIGH DEMAND IBT(WINTER)(INE</v>
          </cell>
          <cell r="X558">
            <v>0</v>
          </cell>
          <cell r="Y558">
            <v>0</v>
          </cell>
          <cell r="Z558">
            <v>0</v>
          </cell>
          <cell r="AA558"/>
          <cell r="AB558">
            <v>0</v>
          </cell>
          <cell r="AC558">
            <v>0</v>
          </cell>
        </row>
        <row r="559">
          <cell r="F559" t="str">
            <v>MMM IBT DOMESTIC WINTER CONV EL0001</v>
          </cell>
          <cell r="G559" t="str">
            <v>P132118</v>
          </cell>
          <cell r="H559" t="str">
            <v>P132123</v>
          </cell>
          <cell r="I559"/>
          <cell r="J559"/>
          <cell r="K559" t="str">
            <v>14</v>
          </cell>
          <cell r="L559" t="str">
            <v>07</v>
          </cell>
          <cell r="M559" t="str">
            <v>1</v>
          </cell>
          <cell r="N559" t="str">
            <v>32</v>
          </cell>
          <cell r="O559" t="str">
            <v>123</v>
          </cell>
          <cell r="P559" t="str">
            <v>1</v>
          </cell>
          <cell r="Q559">
            <v>18</v>
          </cell>
          <cell r="R559" t="str">
            <v>ZZZ</v>
          </cell>
          <cell r="S559" t="str">
            <v>ZZ</v>
          </cell>
          <cell r="T559">
            <v>11</v>
          </cell>
          <cell r="U559" t="str">
            <v>1407132123118ZZZZZ11</v>
          </cell>
          <cell r="V559">
            <v>553</v>
          </cell>
          <cell r="W559" t="str">
            <v>MMM IBT DOMESTIC WINTER CONV EL0001</v>
          </cell>
          <cell r="X559">
            <v>-25646546</v>
          </cell>
          <cell r="Y559">
            <v>-14306224.74</v>
          </cell>
          <cell r="Z559">
            <v>-17167469.688000001</v>
          </cell>
          <cell r="AA559"/>
          <cell r="AB559">
            <v>-25646546</v>
          </cell>
          <cell r="AC559">
            <v>-16553973.44019272</v>
          </cell>
        </row>
        <row r="560">
          <cell r="F560" t="str">
            <v>MMM HFLEX - 3 PHASE WINTER PEAK ELRHDP</v>
          </cell>
          <cell r="G560" t="str">
            <v>P132124H</v>
          </cell>
          <cell r="H560" t="str">
            <v>P132124H</v>
          </cell>
          <cell r="I560"/>
          <cell r="J560"/>
          <cell r="K560" t="str">
            <v>14</v>
          </cell>
          <cell r="L560" t="str">
            <v>07</v>
          </cell>
          <cell r="M560" t="str">
            <v>1</v>
          </cell>
          <cell r="N560" t="str">
            <v>32</v>
          </cell>
          <cell r="O560" t="str">
            <v>124</v>
          </cell>
          <cell r="P560" t="str">
            <v>1</v>
          </cell>
          <cell r="Q560">
            <v>18</v>
          </cell>
          <cell r="R560" t="str">
            <v>ZZZ</v>
          </cell>
          <cell r="S560" t="str">
            <v>ZZ</v>
          </cell>
          <cell r="T560">
            <v>11</v>
          </cell>
          <cell r="U560" t="str">
            <v>1407132124118ZZZZZ11</v>
          </cell>
          <cell r="V560">
            <v>554</v>
          </cell>
          <cell r="W560" t="str">
            <v>MMM HFLEX - 3 PHASE WINTER PEAK ELRHDP</v>
          </cell>
          <cell r="X560">
            <v>-3148745</v>
          </cell>
          <cell r="Y560">
            <v>-3526291.96</v>
          </cell>
          <cell r="Z560">
            <v>-4231550.352</v>
          </cell>
          <cell r="AA560"/>
          <cell r="AB560">
            <v>-3148745</v>
          </cell>
          <cell r="AC560">
            <v>-3828853.4184130556</v>
          </cell>
        </row>
        <row r="561">
          <cell r="F561" t="str">
            <v>MMM HFLEX - 3 PHASE WINTER STD PEAK ELR</v>
          </cell>
          <cell r="G561" t="str">
            <v>P132124H</v>
          </cell>
          <cell r="H561" t="str">
            <v>P132124H</v>
          </cell>
          <cell r="I561"/>
          <cell r="J561"/>
          <cell r="K561" t="str">
            <v>14</v>
          </cell>
          <cell r="L561" t="str">
            <v>07</v>
          </cell>
          <cell r="M561" t="str">
            <v>1</v>
          </cell>
          <cell r="N561" t="str">
            <v>32</v>
          </cell>
          <cell r="O561" t="str">
            <v>124</v>
          </cell>
          <cell r="P561" t="str">
            <v>2</v>
          </cell>
          <cell r="Q561">
            <v>18</v>
          </cell>
          <cell r="R561" t="str">
            <v>ZZZ</v>
          </cell>
          <cell r="S561" t="str">
            <v>ZZ</v>
          </cell>
          <cell r="T561">
            <v>11</v>
          </cell>
          <cell r="U561" t="str">
            <v>1407132124218ZZZZZ11</v>
          </cell>
          <cell r="V561">
            <v>555</v>
          </cell>
          <cell r="W561" t="str">
            <v>MMM HFLEX - 3 PHASE WINTER STD PEAK ELR</v>
          </cell>
          <cell r="X561">
            <v>-3740189</v>
          </cell>
          <cell r="Y561">
            <v>-4033913.33</v>
          </cell>
          <cell r="Z561">
            <v>-4840695.9959999993</v>
          </cell>
          <cell r="AA561"/>
          <cell r="AB561">
            <v>-3740189</v>
          </cell>
          <cell r="AC561">
            <v>-4482354.1842892794</v>
          </cell>
        </row>
        <row r="562">
          <cell r="F562" t="str">
            <v>MMM HFLEX - 3 PHASE WINTER OFF PEAK ELR</v>
          </cell>
          <cell r="G562" t="str">
            <v>P132124H</v>
          </cell>
          <cell r="H562" t="str">
            <v>P132124H</v>
          </cell>
          <cell r="I562"/>
          <cell r="J562"/>
          <cell r="K562" t="str">
            <v>14</v>
          </cell>
          <cell r="L562" t="str">
            <v>07</v>
          </cell>
          <cell r="M562" t="str">
            <v>1</v>
          </cell>
          <cell r="N562" t="str">
            <v>32</v>
          </cell>
          <cell r="O562" t="str">
            <v>124</v>
          </cell>
          <cell r="P562" t="str">
            <v>3</v>
          </cell>
          <cell r="Q562">
            <v>18</v>
          </cell>
          <cell r="R562" t="str">
            <v>ZZZ</v>
          </cell>
          <cell r="S562" t="str">
            <v>ZZ</v>
          </cell>
          <cell r="T562">
            <v>11</v>
          </cell>
          <cell r="U562" t="str">
            <v>1407132124318ZZZZZ11</v>
          </cell>
          <cell r="V562">
            <v>556</v>
          </cell>
          <cell r="W562" t="str">
            <v>MMM HFLEX - 3 PHASE WINTER OFF PEAK ELR</v>
          </cell>
          <cell r="X562">
            <v>-3290475</v>
          </cell>
          <cell r="Y562">
            <v>-3684134.44</v>
          </cell>
          <cell r="Z562">
            <v>-4420961.3279999997</v>
          </cell>
          <cell r="AA562"/>
          <cell r="AB562">
            <v>-3290475</v>
          </cell>
          <cell r="AC562">
            <v>-4031441.9029146242</v>
          </cell>
        </row>
        <row r="563">
          <cell r="F563" t="str">
            <v>MMM HFLEX - 3 PHASE SUMMER PEAK ELRLDP</v>
          </cell>
          <cell r="G563" t="str">
            <v>P132124H</v>
          </cell>
          <cell r="H563" t="str">
            <v>P132124H</v>
          </cell>
          <cell r="I563"/>
          <cell r="J563"/>
          <cell r="K563" t="str">
            <v>14</v>
          </cell>
          <cell r="L563" t="str">
            <v>07</v>
          </cell>
          <cell r="M563" t="str">
            <v>1</v>
          </cell>
          <cell r="N563" t="str">
            <v>32</v>
          </cell>
          <cell r="O563" t="str">
            <v>124</v>
          </cell>
          <cell r="P563" t="str">
            <v>4</v>
          </cell>
          <cell r="Q563">
            <v>18</v>
          </cell>
          <cell r="R563" t="str">
            <v>ZZZ</v>
          </cell>
          <cell r="S563" t="str">
            <v>ZZ</v>
          </cell>
          <cell r="T563">
            <v>11</v>
          </cell>
          <cell r="U563" t="str">
            <v>1407132124418ZZZZZ11</v>
          </cell>
          <cell r="V563">
            <v>557</v>
          </cell>
          <cell r="W563" t="str">
            <v>MMM HFLEX - 3 PHASE SUMMER PEAK ELRLDP</v>
          </cell>
          <cell r="X563">
            <v>-4473867</v>
          </cell>
          <cell r="Y563">
            <v>-2824176.59</v>
          </cell>
          <cell r="Z563">
            <v>-3389011.9079999998</v>
          </cell>
          <cell r="AA563"/>
          <cell r="AB563">
            <v>-4473867</v>
          </cell>
          <cell r="AC563">
            <v>-4196599.9290261921</v>
          </cell>
        </row>
        <row r="564">
          <cell r="F564" t="str">
            <v>MMM HFLEX - 3 PHASE SUMMER STD ELRLDS</v>
          </cell>
          <cell r="G564" t="str">
            <v>P132124H</v>
          </cell>
          <cell r="H564" t="str">
            <v>P132124H</v>
          </cell>
          <cell r="I564"/>
          <cell r="J564"/>
          <cell r="K564" t="str">
            <v>14</v>
          </cell>
          <cell r="L564" t="str">
            <v>07</v>
          </cell>
          <cell r="M564" t="str">
            <v>1</v>
          </cell>
          <cell r="N564" t="str">
            <v>32</v>
          </cell>
          <cell r="O564" t="str">
            <v>124</v>
          </cell>
          <cell r="P564" t="str">
            <v>5</v>
          </cell>
          <cell r="Q564">
            <v>18</v>
          </cell>
          <cell r="R564" t="str">
            <v>ZZZ</v>
          </cell>
          <cell r="S564" t="str">
            <v>ZZ</v>
          </cell>
          <cell r="T564">
            <v>11</v>
          </cell>
          <cell r="U564" t="str">
            <v>1407132124518ZZZZZ11</v>
          </cell>
          <cell r="V564">
            <v>558</v>
          </cell>
          <cell r="W564" t="str">
            <v>MMM HFLEX - 3 PHASE SUMMER STD ELRLDS</v>
          </cell>
          <cell r="X564">
            <v>-6827927</v>
          </cell>
          <cell r="Y564">
            <v>-4678163.76</v>
          </cell>
          <cell r="Z564">
            <v>-5613796.5120000001</v>
          </cell>
          <cell r="AA564"/>
          <cell r="AB564">
            <v>-6827927</v>
          </cell>
          <cell r="AC564">
            <v>-6666952.0719186561</v>
          </cell>
        </row>
        <row r="565">
          <cell r="F565" t="str">
            <v>MMM HFLEX - 3 PHASE SUMMER OFF PEAK ELR</v>
          </cell>
          <cell r="G565" t="str">
            <v>P132124H</v>
          </cell>
          <cell r="H565" t="str">
            <v>P132124H</v>
          </cell>
          <cell r="I565"/>
          <cell r="J565"/>
          <cell r="K565" t="str">
            <v>14</v>
          </cell>
          <cell r="L565" t="str">
            <v>07</v>
          </cell>
          <cell r="M565" t="str">
            <v>1</v>
          </cell>
          <cell r="N565" t="str">
            <v>32</v>
          </cell>
          <cell r="O565" t="str">
            <v>124</v>
          </cell>
          <cell r="P565" t="str">
            <v>6</v>
          </cell>
          <cell r="Q565">
            <v>18</v>
          </cell>
          <cell r="R565" t="str">
            <v>ZZZ</v>
          </cell>
          <cell r="S565" t="str">
            <v>ZZ</v>
          </cell>
          <cell r="T565">
            <v>11</v>
          </cell>
          <cell r="U565" t="str">
            <v>1407132124618ZZZZZ11</v>
          </cell>
          <cell r="V565">
            <v>559</v>
          </cell>
          <cell r="W565" t="str">
            <v>MMM HFLEX - 3 PHASE SUMMER OFF PEAK ELR</v>
          </cell>
          <cell r="X565">
            <v>-6476171</v>
          </cell>
          <cell r="Y565">
            <v>-4171084.97</v>
          </cell>
          <cell r="Z565">
            <v>-5005301.9640000006</v>
          </cell>
          <cell r="AA565"/>
          <cell r="AB565">
            <v>-6476171</v>
          </cell>
          <cell r="AC565">
            <v>-6216635.9280645754</v>
          </cell>
        </row>
        <row r="566">
          <cell r="F566" t="str">
            <v>MMM HFLEX - 3 PHASE BASIC CHARGE ELROBC</v>
          </cell>
          <cell r="G566" t="str">
            <v>P132124H</v>
          </cell>
          <cell r="H566" t="str">
            <v>P132124H</v>
          </cell>
          <cell r="I566"/>
          <cell r="J566"/>
          <cell r="K566" t="str">
            <v>14</v>
          </cell>
          <cell r="L566" t="str">
            <v>07</v>
          </cell>
          <cell r="M566" t="str">
            <v>1</v>
          </cell>
          <cell r="N566" t="str">
            <v>32</v>
          </cell>
          <cell r="O566" t="str">
            <v>124</v>
          </cell>
          <cell r="P566" t="str">
            <v>7</v>
          </cell>
          <cell r="Q566">
            <v>18</v>
          </cell>
          <cell r="R566" t="str">
            <v>ZZZ</v>
          </cell>
          <cell r="S566" t="str">
            <v>ZZ</v>
          </cell>
          <cell r="T566">
            <v>11</v>
          </cell>
          <cell r="U566" t="str">
            <v>1407132124718ZZZZZ11</v>
          </cell>
          <cell r="V566">
            <v>560</v>
          </cell>
          <cell r="W566" t="str">
            <v>MMM HFLEX - 3 PHASE BASIC CHARGE ELROBC</v>
          </cell>
          <cell r="X566">
            <v>-1206339</v>
          </cell>
          <cell r="Y566">
            <v>-942927.54</v>
          </cell>
          <cell r="Z566">
            <v>-1131513.048</v>
          </cell>
          <cell r="AA566"/>
          <cell r="AB566">
            <v>-1206339</v>
          </cell>
          <cell r="AC566">
            <v>-1264240.7869823999</v>
          </cell>
        </row>
        <row r="567">
          <cell r="F567" t="str">
            <v>MMM HFLEX - 1 PHASE WINTER PEAK E1RHDP</v>
          </cell>
          <cell r="G567" t="str">
            <v>P132124H</v>
          </cell>
          <cell r="H567" t="str">
            <v>P132124H</v>
          </cell>
          <cell r="I567"/>
          <cell r="J567"/>
          <cell r="K567" t="str">
            <v>14</v>
          </cell>
          <cell r="L567" t="str">
            <v>07</v>
          </cell>
          <cell r="M567" t="str">
            <v>1</v>
          </cell>
          <cell r="N567" t="str">
            <v>32</v>
          </cell>
          <cell r="O567" t="str">
            <v>124</v>
          </cell>
          <cell r="P567" t="str">
            <v>8</v>
          </cell>
          <cell r="Q567">
            <v>18</v>
          </cell>
          <cell r="R567" t="str">
            <v>ZZZ</v>
          </cell>
          <cell r="S567" t="str">
            <v>ZZ</v>
          </cell>
          <cell r="T567">
            <v>11</v>
          </cell>
          <cell r="U567" t="str">
            <v>1407132124818ZZZZZ11</v>
          </cell>
          <cell r="V567">
            <v>561</v>
          </cell>
          <cell r="W567" t="str">
            <v>MMM HFLEX - 1 PHASE WINTER PEAK E1RHDP</v>
          </cell>
          <cell r="X567">
            <v>-16003</v>
          </cell>
          <cell r="Y567">
            <v>-16133.85</v>
          </cell>
          <cell r="Z567">
            <v>-19360.62</v>
          </cell>
          <cell r="AA567"/>
          <cell r="AB567">
            <v>-16003</v>
          </cell>
          <cell r="AC567">
            <v>-40411.185982463998</v>
          </cell>
        </row>
        <row r="568">
          <cell r="F568" t="str">
            <v>MMM HFLEX - 1 PHASE WINTER STD E1RHDS</v>
          </cell>
          <cell r="G568" t="str">
            <v>P132124H</v>
          </cell>
          <cell r="H568" t="str">
            <v>P132124H</v>
          </cell>
          <cell r="I568"/>
          <cell r="J568"/>
          <cell r="K568" t="str">
            <v>14</v>
          </cell>
          <cell r="L568" t="str">
            <v>07</v>
          </cell>
          <cell r="M568" t="str">
            <v>1</v>
          </cell>
          <cell r="N568" t="str">
            <v>32</v>
          </cell>
          <cell r="O568" t="str">
            <v>124</v>
          </cell>
          <cell r="P568" t="str">
            <v>9</v>
          </cell>
          <cell r="Q568">
            <v>18</v>
          </cell>
          <cell r="R568" t="str">
            <v>ZZZ</v>
          </cell>
          <cell r="S568" t="str">
            <v>ZZ</v>
          </cell>
          <cell r="T568">
            <v>11</v>
          </cell>
          <cell r="U568" t="str">
            <v>1407132124918ZZZZZ11</v>
          </cell>
          <cell r="V568">
            <v>562</v>
          </cell>
          <cell r="W568" t="str">
            <v>MMM HFLEX - 1 PHASE WINTER STD E1RHDS</v>
          </cell>
          <cell r="X568">
            <v>-15959</v>
          </cell>
          <cell r="Y568">
            <v>-15655.16</v>
          </cell>
          <cell r="Z568">
            <v>-18786.192000000003</v>
          </cell>
          <cell r="AA568"/>
          <cell r="AB568">
            <v>-15959</v>
          </cell>
          <cell r="AC568">
            <v>-39937.738014719995</v>
          </cell>
        </row>
        <row r="569">
          <cell r="F569" t="str">
            <v>MMM HFLEX - 1 PHASE WINTER STD E1RHDS</v>
          </cell>
          <cell r="G569" t="str">
            <v>P132124H</v>
          </cell>
          <cell r="H569" t="str">
            <v>P132124H</v>
          </cell>
          <cell r="I569"/>
          <cell r="J569"/>
          <cell r="K569" t="str">
            <v>14</v>
          </cell>
          <cell r="L569" t="str">
            <v>07</v>
          </cell>
          <cell r="M569" t="str">
            <v>1</v>
          </cell>
          <cell r="N569" t="str">
            <v>32</v>
          </cell>
          <cell r="O569" t="str">
            <v>124</v>
          </cell>
          <cell r="P569" t="str">
            <v>A</v>
          </cell>
          <cell r="Q569">
            <v>18</v>
          </cell>
          <cell r="R569" t="str">
            <v>ZZZ</v>
          </cell>
          <cell r="S569" t="str">
            <v>ZZ</v>
          </cell>
          <cell r="T569">
            <v>11</v>
          </cell>
          <cell r="U569" t="str">
            <v>1407132124A18ZZZZZ11</v>
          </cell>
          <cell r="V569">
            <v>563</v>
          </cell>
          <cell r="W569" t="str">
            <v>MMM HFLEX - 1 PHASE WINTER OFF PEAK E1RHDO</v>
          </cell>
          <cell r="X569">
            <v>-21030</v>
          </cell>
          <cell r="Y569">
            <v>-23155.39</v>
          </cell>
          <cell r="Z569">
            <v>-27786.467999999997</v>
          </cell>
          <cell r="AA569"/>
          <cell r="AB569">
            <v>-21030</v>
          </cell>
          <cell r="AC569">
            <v>-49614.780356064002</v>
          </cell>
        </row>
        <row r="570">
          <cell r="F570" t="str">
            <v xml:space="preserve"> MMM HFLEX - 1 PHASE SUMMER PEAK E1RLDP</v>
          </cell>
          <cell r="G570" t="str">
            <v>P132124H</v>
          </cell>
          <cell r="H570" t="str">
            <v>P132124H</v>
          </cell>
          <cell r="I570"/>
          <cell r="J570"/>
          <cell r="K570" t="str">
            <v>14</v>
          </cell>
          <cell r="L570" t="str">
            <v>07</v>
          </cell>
          <cell r="M570" t="str">
            <v>1</v>
          </cell>
          <cell r="N570" t="str">
            <v>32</v>
          </cell>
          <cell r="O570" t="str">
            <v>124</v>
          </cell>
          <cell r="P570" t="str">
            <v>B</v>
          </cell>
          <cell r="Q570">
            <v>18</v>
          </cell>
          <cell r="R570" t="str">
            <v>ZZZ</v>
          </cell>
          <cell r="S570" t="str">
            <v>ZZ</v>
          </cell>
          <cell r="T570">
            <v>11</v>
          </cell>
          <cell r="U570" t="str">
            <v>1407132124B18ZZZZZ11</v>
          </cell>
          <cell r="V570">
            <v>564</v>
          </cell>
          <cell r="W570" t="str">
            <v xml:space="preserve"> MMM HFLEX - 1 PHASE SUMMER PEAK E1RLDP</v>
          </cell>
          <cell r="X570">
            <v>-26273</v>
          </cell>
          <cell r="Y570">
            <v>-42727.33</v>
          </cell>
          <cell r="Z570">
            <v>-51272.796000000002</v>
          </cell>
          <cell r="AA570"/>
          <cell r="AB570">
            <v>-26273</v>
          </cell>
          <cell r="AC570">
            <v>-30607.702386623998</v>
          </cell>
        </row>
        <row r="571">
          <cell r="F571" t="str">
            <v>MMM HFLEX - 1 PHASE SUMMER STD E1RLDS</v>
          </cell>
          <cell r="G571" t="str">
            <v>P132124H</v>
          </cell>
          <cell r="H571" t="str">
            <v>P132124H</v>
          </cell>
          <cell r="I571"/>
          <cell r="J571"/>
          <cell r="K571" t="str">
            <v>14</v>
          </cell>
          <cell r="L571" t="str">
            <v>07</v>
          </cell>
          <cell r="M571" t="str">
            <v>1</v>
          </cell>
          <cell r="N571" t="str">
            <v>32</v>
          </cell>
          <cell r="O571" t="str">
            <v>124</v>
          </cell>
          <cell r="P571" t="str">
            <v>C</v>
          </cell>
          <cell r="Q571">
            <v>18</v>
          </cell>
          <cell r="R571" t="str">
            <v>ZZZ</v>
          </cell>
          <cell r="S571" t="str">
            <v>ZZ</v>
          </cell>
          <cell r="T571">
            <v>11</v>
          </cell>
          <cell r="U571" t="str">
            <v>1407132124C18ZZZZZ11</v>
          </cell>
          <cell r="V571">
            <v>565</v>
          </cell>
          <cell r="W571" t="str">
            <v>MMM HFLEX - 1 PHASE SUMMER STD E1RLDS</v>
          </cell>
          <cell r="X571">
            <v>-34689</v>
          </cell>
          <cell r="Y571">
            <v>-67574.73</v>
          </cell>
          <cell r="Z571">
            <v>-81089.676000000007</v>
          </cell>
          <cell r="AA571"/>
          <cell r="AB571">
            <v>-34689</v>
          </cell>
          <cell r="AC571">
            <v>-52777.836022687996</v>
          </cell>
        </row>
        <row r="572">
          <cell r="F572" t="str">
            <v>MMM HFLEX - 1 PHASE SUMMER OFF-PEAK E1R</v>
          </cell>
          <cell r="G572" t="str">
            <v>P132124H</v>
          </cell>
          <cell r="H572" t="str">
            <v>P132124H</v>
          </cell>
          <cell r="I572"/>
          <cell r="J572"/>
          <cell r="K572" t="str">
            <v>14</v>
          </cell>
          <cell r="L572" t="str">
            <v>07</v>
          </cell>
          <cell r="M572" t="str">
            <v>1</v>
          </cell>
          <cell r="N572" t="str">
            <v>32</v>
          </cell>
          <cell r="O572" t="str">
            <v>124</v>
          </cell>
          <cell r="P572" t="str">
            <v>D</v>
          </cell>
          <cell r="Q572">
            <v>18</v>
          </cell>
          <cell r="R572" t="str">
            <v>ZZZ</v>
          </cell>
          <cell r="S572" t="str">
            <v>ZZ</v>
          </cell>
          <cell r="T572">
            <v>11</v>
          </cell>
          <cell r="U572" t="str">
            <v>1407132124D18ZZZZZ11</v>
          </cell>
          <cell r="V572">
            <v>566</v>
          </cell>
          <cell r="W572" t="str">
            <v>MMM HFLEX - 1 PHASE SUMMER OFF-PEAK E1R</v>
          </cell>
          <cell r="X572">
            <v>-43993</v>
          </cell>
          <cell r="Y572">
            <v>-82267.88</v>
          </cell>
          <cell r="Z572">
            <v>-98721.456000000006</v>
          </cell>
          <cell r="AA572"/>
          <cell r="AB572">
            <v>-43993</v>
          </cell>
          <cell r="AC572">
            <v>-62995.604880000006</v>
          </cell>
        </row>
        <row r="573">
          <cell r="F573" t="str">
            <v>MMM HFLEX - 1 PHASE BASIC CHARGE ELREBC</v>
          </cell>
          <cell r="G573" t="str">
            <v>P132124H</v>
          </cell>
          <cell r="H573" t="str">
            <v>P132124H</v>
          </cell>
          <cell r="I573"/>
          <cell r="J573"/>
          <cell r="K573" t="str">
            <v>14</v>
          </cell>
          <cell r="L573" t="str">
            <v>07</v>
          </cell>
          <cell r="M573" t="str">
            <v>1</v>
          </cell>
          <cell r="N573" t="str">
            <v>32</v>
          </cell>
          <cell r="O573" t="str">
            <v>124</v>
          </cell>
          <cell r="P573" t="str">
            <v>E</v>
          </cell>
          <cell r="Q573">
            <v>18</v>
          </cell>
          <cell r="R573" t="str">
            <v>ZZZ</v>
          </cell>
          <cell r="S573" t="str">
            <v>ZZ</v>
          </cell>
          <cell r="T573">
            <v>11</v>
          </cell>
          <cell r="U573" t="str">
            <v>1407132124E18ZZZZZ11</v>
          </cell>
          <cell r="V573">
            <v>567</v>
          </cell>
          <cell r="W573" t="str">
            <v>MMM HFLEX - 1 PHASE BASIC CHARGE ELREBC</v>
          </cell>
          <cell r="X573">
            <v>-13662</v>
          </cell>
          <cell r="Y573">
            <v>-39276.18</v>
          </cell>
          <cell r="Z573">
            <v>-47131.415999999997</v>
          </cell>
          <cell r="AA573"/>
          <cell r="AB573">
            <v>-13662</v>
          </cell>
          <cell r="AC573">
            <v>-34202.656694400008</v>
          </cell>
        </row>
        <row r="574">
          <cell r="F574" t="str">
            <v>MMM BULK RES 2 - WINTER PEAK ELHPO4</v>
          </cell>
          <cell r="G574" t="str">
            <v>P132124</v>
          </cell>
          <cell r="H574" t="str">
            <v>P132124</v>
          </cell>
          <cell r="I574"/>
          <cell r="J574"/>
          <cell r="K574" t="str">
            <v>14</v>
          </cell>
          <cell r="L574" t="str">
            <v>07</v>
          </cell>
          <cell r="M574" t="str">
            <v>1</v>
          </cell>
          <cell r="N574" t="str">
            <v>32</v>
          </cell>
          <cell r="O574" t="str">
            <v>124</v>
          </cell>
          <cell r="P574" t="str">
            <v>F</v>
          </cell>
          <cell r="Q574">
            <v>18</v>
          </cell>
          <cell r="R574" t="str">
            <v>ZZZ</v>
          </cell>
          <cell r="S574" t="str">
            <v>ZZ</v>
          </cell>
          <cell r="T574">
            <v>11</v>
          </cell>
          <cell r="U574" t="str">
            <v>1407132124F18ZZZZZ11</v>
          </cell>
          <cell r="V574">
            <v>568</v>
          </cell>
          <cell r="W574" t="str">
            <v>MMM BULK RES 2 - WINTER PEAK ELHPO4</v>
          </cell>
          <cell r="X574">
            <v>-5908223</v>
          </cell>
          <cell r="Y574">
            <v>-6278351.6399999997</v>
          </cell>
          <cell r="Z574">
            <v>-7534021.9680000003</v>
          </cell>
          <cell r="AA574"/>
          <cell r="AB574">
            <v>-5908223</v>
          </cell>
          <cell r="AC574">
            <v>-6690626.1212399993</v>
          </cell>
        </row>
        <row r="575">
          <cell r="F575" t="str">
            <v>MMM BULK RES 2 - WINTER STD ELHSO4</v>
          </cell>
          <cell r="G575" t="str">
            <v>P132124</v>
          </cell>
          <cell r="H575" t="str">
            <v>P132124</v>
          </cell>
          <cell r="I575"/>
          <cell r="J575"/>
          <cell r="K575" t="str">
            <v>14</v>
          </cell>
          <cell r="L575" t="str">
            <v>07</v>
          </cell>
          <cell r="M575" t="str">
            <v>1</v>
          </cell>
          <cell r="N575" t="str">
            <v>32</v>
          </cell>
          <cell r="O575" t="str">
            <v>124</v>
          </cell>
          <cell r="P575" t="str">
            <v>G</v>
          </cell>
          <cell r="Q575">
            <v>18</v>
          </cell>
          <cell r="R575" t="str">
            <v>ZZZ</v>
          </cell>
          <cell r="S575" t="str">
            <v>ZZ</v>
          </cell>
          <cell r="T575">
            <v>11</v>
          </cell>
          <cell r="U575" t="str">
            <v>1407132124G18ZZZZZ11</v>
          </cell>
          <cell r="V575">
            <v>569</v>
          </cell>
          <cell r="W575" t="str">
            <v>MMM BULK RES 2 - WINTER STD ELHSO4</v>
          </cell>
          <cell r="X575">
            <v>-8876748</v>
          </cell>
          <cell r="Y575">
            <v>-9219530.9100000001</v>
          </cell>
          <cell r="Z575">
            <v>-11063437.092</v>
          </cell>
          <cell r="AA575"/>
          <cell r="AB575">
            <v>-8876748</v>
          </cell>
          <cell r="AC575">
            <v>-7106004.4884399995</v>
          </cell>
        </row>
        <row r="576">
          <cell r="F576" t="str">
            <v>MMM BULK RES 2 - WINTER STD ELHSO4</v>
          </cell>
          <cell r="G576" t="str">
            <v>P132124</v>
          </cell>
          <cell r="H576" t="str">
            <v>P132124</v>
          </cell>
          <cell r="I576"/>
          <cell r="J576"/>
          <cell r="K576" t="str">
            <v>14</v>
          </cell>
          <cell r="L576" t="str">
            <v>07</v>
          </cell>
          <cell r="M576" t="str">
            <v>1</v>
          </cell>
          <cell r="N576" t="str">
            <v>32</v>
          </cell>
          <cell r="O576" t="str">
            <v>124</v>
          </cell>
          <cell r="P576" t="str">
            <v>H</v>
          </cell>
          <cell r="Q576">
            <v>18</v>
          </cell>
          <cell r="R576" t="str">
            <v>ZZZ</v>
          </cell>
          <cell r="S576" t="str">
            <v>ZZ</v>
          </cell>
          <cell r="T576">
            <v>11</v>
          </cell>
          <cell r="U576" t="str">
            <v>1407132124H18ZZZZZ11</v>
          </cell>
          <cell r="V576">
            <v>570</v>
          </cell>
          <cell r="W576" t="str">
            <v>MMM BULK RES 2 -WINTER OFF PEAK ELHO04</v>
          </cell>
          <cell r="X576">
            <v>-7991100</v>
          </cell>
          <cell r="Y576">
            <v>-8101817.8300000001</v>
          </cell>
          <cell r="Z576">
            <v>-9722181.3960000016</v>
          </cell>
          <cell r="AA576"/>
          <cell r="AB576">
            <v>-7991100</v>
          </cell>
          <cell r="AC576">
            <v>-8622356.248412</v>
          </cell>
        </row>
        <row r="577">
          <cell r="F577" t="str">
            <v>MMM BULK RES 2 - SUMMER PEAK ELP004</v>
          </cell>
          <cell r="G577" t="str">
            <v>P132124</v>
          </cell>
          <cell r="H577" t="str">
            <v>P132124</v>
          </cell>
          <cell r="I577"/>
          <cell r="J577"/>
          <cell r="K577" t="str">
            <v>14</v>
          </cell>
          <cell r="L577" t="str">
            <v>07</v>
          </cell>
          <cell r="M577" t="str">
            <v>1</v>
          </cell>
          <cell r="N577" t="str">
            <v>32</v>
          </cell>
          <cell r="O577" t="str">
            <v>124</v>
          </cell>
          <cell r="P577" t="str">
            <v>I</v>
          </cell>
          <cell r="Q577">
            <v>18</v>
          </cell>
          <cell r="R577" t="str">
            <v>ZZZ</v>
          </cell>
          <cell r="S577" t="str">
            <v>ZZ</v>
          </cell>
          <cell r="T577">
            <v>11</v>
          </cell>
          <cell r="U577" t="str">
            <v>1407132124I18ZZZZZ11</v>
          </cell>
          <cell r="V577">
            <v>571</v>
          </cell>
          <cell r="W577" t="str">
            <v>MMM BULK RES 2 - SUMMER PEAK ELP004</v>
          </cell>
          <cell r="X577">
            <v>-9974970</v>
          </cell>
          <cell r="Y577">
            <v>-6937055.5700000003</v>
          </cell>
          <cell r="Z577">
            <v>-8324466.6840000004</v>
          </cell>
          <cell r="AA577"/>
          <cell r="AB577">
            <v>-9974970</v>
          </cell>
          <cell r="AC577">
            <v>-9806042.6985679679</v>
          </cell>
        </row>
        <row r="578">
          <cell r="F578" t="str">
            <v>MMM BULK RES 2 - SUMMER STD ELP004</v>
          </cell>
          <cell r="G578" t="str">
            <v>P132124</v>
          </cell>
          <cell r="H578" t="str">
            <v>P132124</v>
          </cell>
          <cell r="I578"/>
          <cell r="J578"/>
          <cell r="K578" t="str">
            <v>14</v>
          </cell>
          <cell r="L578" t="str">
            <v>07</v>
          </cell>
          <cell r="M578" t="str">
            <v>1</v>
          </cell>
          <cell r="N578" t="str">
            <v>32</v>
          </cell>
          <cell r="O578" t="str">
            <v>124</v>
          </cell>
          <cell r="P578" t="str">
            <v>J</v>
          </cell>
          <cell r="Q578">
            <v>18</v>
          </cell>
          <cell r="R578" t="str">
            <v>ZZZ</v>
          </cell>
          <cell r="S578" t="str">
            <v>ZZ</v>
          </cell>
          <cell r="T578">
            <v>11</v>
          </cell>
          <cell r="U578" t="str">
            <v>1407132124J18ZZZZZ11</v>
          </cell>
          <cell r="V578">
            <v>572</v>
          </cell>
          <cell r="W578" t="str">
            <v>MMM BULK RES 2 - SUMMER STD ELP004</v>
          </cell>
          <cell r="X578">
            <v>-16779315</v>
          </cell>
          <cell r="Y578">
            <v>-12106730.779999999</v>
          </cell>
          <cell r="Z578">
            <v>-14528076.936000001</v>
          </cell>
          <cell r="AA578"/>
          <cell r="AB578">
            <v>-16779315</v>
          </cell>
          <cell r="AC578">
            <v>-16957932.031411201</v>
          </cell>
        </row>
        <row r="579">
          <cell r="F579" t="str">
            <v>MMM BULK RES 2 - SUMMER OFF PEAK ELO004</v>
          </cell>
          <cell r="G579" t="str">
            <v>P132124</v>
          </cell>
          <cell r="H579" t="str">
            <v>P132124</v>
          </cell>
          <cell r="I579"/>
          <cell r="J579"/>
          <cell r="K579" t="str">
            <v>14</v>
          </cell>
          <cell r="L579" t="str">
            <v>07</v>
          </cell>
          <cell r="M579" t="str">
            <v>1</v>
          </cell>
          <cell r="N579" t="str">
            <v>32</v>
          </cell>
          <cell r="O579" t="str">
            <v>124</v>
          </cell>
          <cell r="P579" t="str">
            <v>K</v>
          </cell>
          <cell r="Q579">
            <v>18</v>
          </cell>
          <cell r="R579" t="str">
            <v>ZZZ</v>
          </cell>
          <cell r="S579" t="str">
            <v>ZZ</v>
          </cell>
          <cell r="T579">
            <v>11</v>
          </cell>
          <cell r="U579" t="str">
            <v>1407132124K18ZZZZZ11</v>
          </cell>
          <cell r="V579">
            <v>573</v>
          </cell>
          <cell r="W579" t="str">
            <v>MMM BULK RES 2 - SUMMER OFF PEAK ELO004</v>
          </cell>
          <cell r="X579">
            <v>-14068125</v>
          </cell>
          <cell r="Y579">
            <v>-9885922.0299999993</v>
          </cell>
          <cell r="Z579">
            <v>-11863106.436000001</v>
          </cell>
          <cell r="AA579"/>
          <cell r="AB579">
            <v>-14068125</v>
          </cell>
          <cell r="AC579">
            <v>-14042204.104895776</v>
          </cell>
        </row>
        <row r="580">
          <cell r="F580" t="str">
            <v>MMM BULK RES 2 - BASIC CHARGE ACC004</v>
          </cell>
          <cell r="G580" t="str">
            <v>P132124</v>
          </cell>
          <cell r="H580" t="str">
            <v>P132124</v>
          </cell>
          <cell r="I580"/>
          <cell r="J580"/>
          <cell r="K580" t="str">
            <v>14</v>
          </cell>
          <cell r="L580" t="str">
            <v>07</v>
          </cell>
          <cell r="M580" t="str">
            <v>1</v>
          </cell>
          <cell r="N580" t="str">
            <v>32</v>
          </cell>
          <cell r="O580" t="str">
            <v>124</v>
          </cell>
          <cell r="P580" t="str">
            <v>L</v>
          </cell>
          <cell r="Q580">
            <v>18</v>
          </cell>
          <cell r="R580" t="str">
            <v>ZZZ</v>
          </cell>
          <cell r="S580" t="str">
            <v>ZZ</v>
          </cell>
          <cell r="T580">
            <v>11</v>
          </cell>
          <cell r="U580" t="str">
            <v>1407132124L18ZZZZZ11</v>
          </cell>
          <cell r="V580">
            <v>574</v>
          </cell>
          <cell r="W580" t="str">
            <v>MMM BULK RES 2 - BASIC CHARGE ACC004</v>
          </cell>
          <cell r="X580">
            <v>-1401962</v>
          </cell>
          <cell r="Y580">
            <v>-652874.19999999995</v>
          </cell>
          <cell r="Z580">
            <v>-783449.04</v>
          </cell>
          <cell r="AA580"/>
          <cell r="AB580">
            <v>-1401962</v>
          </cell>
          <cell r="AC580">
            <v>-1452598.7639712</v>
          </cell>
        </row>
        <row r="581">
          <cell r="F581" t="str">
            <v>MMM BULK RES 2 - DEMAND CHARGE ELK004</v>
          </cell>
          <cell r="G581" t="str">
            <v>P132124</v>
          </cell>
          <cell r="H581" t="str">
            <v>P132124</v>
          </cell>
          <cell r="I581"/>
          <cell r="J581"/>
          <cell r="K581" t="str">
            <v>14</v>
          </cell>
          <cell r="L581" t="str">
            <v>07</v>
          </cell>
          <cell r="M581" t="str">
            <v>1</v>
          </cell>
          <cell r="N581" t="str">
            <v>32</v>
          </cell>
          <cell r="O581" t="str">
            <v>124</v>
          </cell>
          <cell r="P581" t="str">
            <v>M</v>
          </cell>
          <cell r="Q581">
            <v>18</v>
          </cell>
          <cell r="R581" t="str">
            <v>ZZZ</v>
          </cell>
          <cell r="S581" t="str">
            <v>ZZ</v>
          </cell>
          <cell r="T581">
            <v>11</v>
          </cell>
          <cell r="U581" t="str">
            <v>1407132124M18ZZZZZ11</v>
          </cell>
          <cell r="V581">
            <v>575</v>
          </cell>
          <cell r="W581" t="str">
            <v>MMM BULK RES 2 - DEMAND CHARGE ELK004</v>
          </cell>
          <cell r="X581">
            <v>-2367423</v>
          </cell>
          <cell r="Y581">
            <v>-2353702.42</v>
          </cell>
          <cell r="Z581">
            <v>-2824442.9040000001</v>
          </cell>
          <cell r="AA581"/>
          <cell r="AB581">
            <v>-2367423</v>
          </cell>
          <cell r="AC581">
            <v>-2417249.9379754802</v>
          </cell>
        </row>
        <row r="582">
          <cell r="F582" t="str">
            <v>MMM BULK RES 3 - WINTER PEAK ELHP05</v>
          </cell>
          <cell r="G582" t="str">
            <v>P132124</v>
          </cell>
          <cell r="H582" t="str">
            <v>P132124</v>
          </cell>
          <cell r="I582"/>
          <cell r="J582"/>
          <cell r="K582" t="str">
            <v>14</v>
          </cell>
          <cell r="L582" t="str">
            <v>07</v>
          </cell>
          <cell r="M582" t="str">
            <v>1</v>
          </cell>
          <cell r="N582" t="str">
            <v>32</v>
          </cell>
          <cell r="O582" t="str">
            <v>124</v>
          </cell>
          <cell r="P582" t="str">
            <v>N</v>
          </cell>
          <cell r="Q582">
            <v>18</v>
          </cell>
          <cell r="R582" t="str">
            <v>ZZZ</v>
          </cell>
          <cell r="S582" t="str">
            <v>ZZ</v>
          </cell>
          <cell r="T582">
            <v>11</v>
          </cell>
          <cell r="U582" t="str">
            <v>1407132124N18ZZZZZ11</v>
          </cell>
          <cell r="V582">
            <v>576</v>
          </cell>
          <cell r="W582" t="str">
            <v>MMM BULK RES 3 - WINTER PEAK ELHP05</v>
          </cell>
          <cell r="X582">
            <v>-7546997</v>
          </cell>
          <cell r="Y582">
            <v>-8287220.5199999996</v>
          </cell>
          <cell r="Z582">
            <v>-9944664.623999998</v>
          </cell>
          <cell r="AA582"/>
          <cell r="AB582">
            <v>-7546997</v>
          </cell>
          <cell r="AC582">
            <v>-7997551.5486719999</v>
          </cell>
        </row>
        <row r="583">
          <cell r="F583" t="str">
            <v>MMM BULK RES 3 - WINTER STD ELHS05</v>
          </cell>
          <cell r="G583" t="str">
            <v>P132124</v>
          </cell>
          <cell r="H583" t="str">
            <v>P132124</v>
          </cell>
          <cell r="I583"/>
          <cell r="J583"/>
          <cell r="K583" t="str">
            <v>14</v>
          </cell>
          <cell r="L583" t="str">
            <v>07</v>
          </cell>
          <cell r="M583" t="str">
            <v>1</v>
          </cell>
          <cell r="N583" t="str">
            <v>32</v>
          </cell>
          <cell r="O583" t="str">
            <v>124</v>
          </cell>
          <cell r="P583" t="str">
            <v>O</v>
          </cell>
          <cell r="Q583">
            <v>18</v>
          </cell>
          <cell r="R583" t="str">
            <v>ZZZ</v>
          </cell>
          <cell r="S583" t="str">
            <v>ZZ</v>
          </cell>
          <cell r="T583">
            <v>11</v>
          </cell>
          <cell r="U583" t="str">
            <v>1407132124O18ZZZZZ11</v>
          </cell>
          <cell r="V583">
            <v>577</v>
          </cell>
          <cell r="W583" t="str">
            <v>MMM BULK RES 3 - WINTER STD ELHS05</v>
          </cell>
          <cell r="X583">
            <v>-12941255</v>
          </cell>
          <cell r="Y583">
            <v>-14507594.310000001</v>
          </cell>
          <cell r="Z583">
            <v>-17409113.172000002</v>
          </cell>
          <cell r="AA583"/>
          <cell r="AB583">
            <v>-12941255</v>
          </cell>
          <cell r="AC583">
            <v>-14003070.839295998</v>
          </cell>
        </row>
        <row r="584">
          <cell r="F584" t="str">
            <v>MMM BULK RES 3 - WINTER OFF PEAK ELH005</v>
          </cell>
          <cell r="G584" t="str">
            <v>P132124</v>
          </cell>
          <cell r="H584" t="str">
            <v>P132124</v>
          </cell>
          <cell r="I584"/>
          <cell r="J584"/>
          <cell r="K584" t="str">
            <v>14</v>
          </cell>
          <cell r="L584" t="str">
            <v>07</v>
          </cell>
          <cell r="M584" t="str">
            <v>1</v>
          </cell>
          <cell r="N584" t="str">
            <v>32</v>
          </cell>
          <cell r="O584" t="str">
            <v>124</v>
          </cell>
          <cell r="P584" t="str">
            <v>P</v>
          </cell>
          <cell r="Q584">
            <v>18</v>
          </cell>
          <cell r="R584" t="str">
            <v>ZZZ</v>
          </cell>
          <cell r="S584" t="str">
            <v>ZZ</v>
          </cell>
          <cell r="T584">
            <v>11</v>
          </cell>
          <cell r="U584" t="str">
            <v>1407132124P18ZZZZZ11</v>
          </cell>
          <cell r="V584">
            <v>578</v>
          </cell>
          <cell r="W584" t="str">
            <v>MMM BULK RES 3 - WINTER OFF PEAK ELH005</v>
          </cell>
          <cell r="X584">
            <v>-10135764</v>
          </cell>
          <cell r="Y584">
            <v>-10631940.84</v>
          </cell>
          <cell r="Z584">
            <v>-12758329.008000001</v>
          </cell>
          <cell r="AA584"/>
          <cell r="AB584">
            <v>-10135764</v>
          </cell>
          <cell r="AC584">
            <v>-10245302.571616001</v>
          </cell>
        </row>
        <row r="585">
          <cell r="F585" t="str">
            <v>MMM BULK RES 3 - SUMMER PEAK ELP005</v>
          </cell>
          <cell r="G585" t="str">
            <v>P132124</v>
          </cell>
          <cell r="H585" t="str">
            <v>P132124</v>
          </cell>
          <cell r="I585"/>
          <cell r="J585"/>
          <cell r="K585" t="str">
            <v>14</v>
          </cell>
          <cell r="L585" t="str">
            <v>07</v>
          </cell>
          <cell r="M585" t="str">
            <v>1</v>
          </cell>
          <cell r="N585" t="str">
            <v>32</v>
          </cell>
          <cell r="O585" t="str">
            <v>124</v>
          </cell>
          <cell r="P585" t="str">
            <v>Q</v>
          </cell>
          <cell r="Q585">
            <v>18</v>
          </cell>
          <cell r="R585" t="str">
            <v>ZZZ</v>
          </cell>
          <cell r="S585" t="str">
            <v>ZZ</v>
          </cell>
          <cell r="T585">
            <v>11</v>
          </cell>
          <cell r="U585" t="str">
            <v>1407132124Q18ZZZZZ11</v>
          </cell>
          <cell r="V585">
            <v>579</v>
          </cell>
          <cell r="W585" t="str">
            <v>MMM BULK RES 3 - SUMMER PEAK ELP005</v>
          </cell>
          <cell r="X585">
            <v>-11981066</v>
          </cell>
          <cell r="Y585">
            <v>-8710836.4900000002</v>
          </cell>
          <cell r="Z585">
            <v>-10453003.787999999</v>
          </cell>
          <cell r="AA585"/>
          <cell r="AB585">
            <v>-11981066</v>
          </cell>
          <cell r="AC585">
            <v>-11221629.020252001</v>
          </cell>
        </row>
        <row r="586">
          <cell r="F586" t="str">
            <v>MMM BULK RES 3 - SUMMER STD ELS005</v>
          </cell>
          <cell r="G586" t="str">
            <v>P132124</v>
          </cell>
          <cell r="H586" t="str">
            <v>P132124</v>
          </cell>
          <cell r="I586"/>
          <cell r="J586"/>
          <cell r="K586" t="str">
            <v>14</v>
          </cell>
          <cell r="L586" t="str">
            <v>07</v>
          </cell>
          <cell r="M586" t="str">
            <v>1</v>
          </cell>
          <cell r="N586" t="str">
            <v>32</v>
          </cell>
          <cell r="O586" t="str">
            <v>124</v>
          </cell>
          <cell r="P586" t="str">
            <v>R</v>
          </cell>
          <cell r="Q586">
            <v>18</v>
          </cell>
          <cell r="R586" t="str">
            <v>ZZZ</v>
          </cell>
          <cell r="S586" t="str">
            <v>ZZ</v>
          </cell>
          <cell r="T586">
            <v>11</v>
          </cell>
          <cell r="U586" t="str">
            <v>1407132124R18ZZZZZ11</v>
          </cell>
          <cell r="V586">
            <v>580</v>
          </cell>
          <cell r="W586" t="str">
            <v>MMM BULK RES 3 - SUMMER STD ELS005</v>
          </cell>
          <cell r="X586">
            <v>-20529881</v>
          </cell>
          <cell r="Y586">
            <v>-15555077.24</v>
          </cell>
          <cell r="Z586">
            <v>-18666092.688000001</v>
          </cell>
          <cell r="AA586"/>
          <cell r="AB586">
            <v>-20529881</v>
          </cell>
          <cell r="AC586">
            <v>-19842743.758543998</v>
          </cell>
        </row>
        <row r="587">
          <cell r="F587" t="str">
            <v>MMM BULK RES 3 - SUMMER OFF PEAK ELO005</v>
          </cell>
          <cell r="G587" t="str">
            <v>P132124</v>
          </cell>
          <cell r="H587" t="str">
            <v>P132124</v>
          </cell>
          <cell r="I587"/>
          <cell r="J587"/>
          <cell r="K587" t="str">
            <v>14</v>
          </cell>
          <cell r="L587" t="str">
            <v>07</v>
          </cell>
          <cell r="M587" t="str">
            <v>1</v>
          </cell>
          <cell r="N587" t="str">
            <v>32</v>
          </cell>
          <cell r="O587" t="str">
            <v>124</v>
          </cell>
          <cell r="P587" t="str">
            <v>S</v>
          </cell>
          <cell r="Q587">
            <v>18</v>
          </cell>
          <cell r="R587" t="str">
            <v>ZZZ</v>
          </cell>
          <cell r="S587" t="str">
            <v>ZZ</v>
          </cell>
          <cell r="T587">
            <v>11</v>
          </cell>
          <cell r="U587" t="str">
            <v>1407132124S18ZZZZZ11</v>
          </cell>
          <cell r="V587">
            <v>581</v>
          </cell>
          <cell r="W587" t="str">
            <v>MMM BULK RES 3 - SUMMER OFF PEAK ELO005</v>
          </cell>
          <cell r="X587">
            <v>-17381389</v>
          </cell>
          <cell r="Y587">
            <v>-12493719.84</v>
          </cell>
          <cell r="Z587">
            <v>-14992463.807999998</v>
          </cell>
          <cell r="AA587"/>
          <cell r="AB587">
            <v>-17381389</v>
          </cell>
          <cell r="AC587">
            <v>-16089772.912500001</v>
          </cell>
        </row>
        <row r="588">
          <cell r="F588" t="str">
            <v>MMM BULK RES 3 - BASIC CHARGE ACC005</v>
          </cell>
          <cell r="G588" t="str">
            <v>P132124</v>
          </cell>
          <cell r="H588" t="str">
            <v>P132124</v>
          </cell>
          <cell r="I588"/>
          <cell r="J588"/>
          <cell r="K588" t="str">
            <v>14</v>
          </cell>
          <cell r="L588" t="str">
            <v>07</v>
          </cell>
          <cell r="M588" t="str">
            <v>1</v>
          </cell>
          <cell r="N588" t="str">
            <v>32</v>
          </cell>
          <cell r="O588" t="str">
            <v>124</v>
          </cell>
          <cell r="P588" t="str">
            <v>T</v>
          </cell>
          <cell r="Q588">
            <v>18</v>
          </cell>
          <cell r="R588" t="str">
            <v>ZZZ</v>
          </cell>
          <cell r="S588" t="str">
            <v>ZZ</v>
          </cell>
          <cell r="T588">
            <v>11</v>
          </cell>
          <cell r="U588" t="str">
            <v>1407132124T18ZZZZZ11</v>
          </cell>
          <cell r="V588">
            <v>582</v>
          </cell>
          <cell r="W588" t="str">
            <v>MMM BULK RES 3 - BASIC CHARGE ACC005</v>
          </cell>
          <cell r="X588">
            <v>-9132138</v>
          </cell>
          <cell r="Y588">
            <v>-3686008.96</v>
          </cell>
          <cell r="Z588">
            <v>-4423210.7520000003</v>
          </cell>
          <cell r="AA588"/>
          <cell r="AB588">
            <v>-9132138</v>
          </cell>
          <cell r="AC588">
            <v>-8409862.7088000011</v>
          </cell>
        </row>
        <row r="589">
          <cell r="F589" t="str">
            <v>MMM BULK RES 3 - DEMAND CHARGE ELK005</v>
          </cell>
          <cell r="G589" t="str">
            <v>P132124</v>
          </cell>
          <cell r="H589" t="str">
            <v>P132124</v>
          </cell>
          <cell r="I589"/>
          <cell r="J589"/>
          <cell r="K589" t="str">
            <v>14</v>
          </cell>
          <cell r="L589" t="str">
            <v>07</v>
          </cell>
          <cell r="M589" t="str">
            <v>1</v>
          </cell>
          <cell r="N589" t="str">
            <v>32</v>
          </cell>
          <cell r="O589" t="str">
            <v>124</v>
          </cell>
          <cell r="P589" t="str">
            <v>U</v>
          </cell>
          <cell r="Q589">
            <v>18</v>
          </cell>
          <cell r="R589" t="str">
            <v>ZZZ</v>
          </cell>
          <cell r="S589" t="str">
            <v>ZZ</v>
          </cell>
          <cell r="T589">
            <v>11</v>
          </cell>
          <cell r="U589" t="str">
            <v>1407132124U18ZZZZZ11</v>
          </cell>
          <cell r="V589">
            <v>583</v>
          </cell>
          <cell r="W589" t="str">
            <v>MMM BULK RES 3 - DEMAND CHARGE ELK005</v>
          </cell>
          <cell r="X589">
            <v>-2664208</v>
          </cell>
          <cell r="Y589">
            <v>-5628547.8200000003</v>
          </cell>
          <cell r="Z589">
            <v>-6754257.3839999996</v>
          </cell>
          <cell r="AA589"/>
          <cell r="AB589">
            <v>-2664208</v>
          </cell>
          <cell r="AC589">
            <v>-2497164.0826999997</v>
          </cell>
        </row>
        <row r="590">
          <cell r="F590" t="str">
            <v>MANGAUNG ELECFLEX 3  BASIC CHARGE</v>
          </cell>
          <cell r="G590" t="str">
            <v>P132125</v>
          </cell>
          <cell r="H590" t="str">
            <v>P132125</v>
          </cell>
          <cell r="I590"/>
          <cell r="J590"/>
          <cell r="K590" t="str">
            <v>14</v>
          </cell>
          <cell r="L590" t="str">
            <v>07</v>
          </cell>
          <cell r="M590" t="str">
            <v>1</v>
          </cell>
          <cell r="N590" t="str">
            <v>32</v>
          </cell>
          <cell r="O590" t="str">
            <v>125</v>
          </cell>
          <cell r="P590" t="str">
            <v>0</v>
          </cell>
          <cell r="Q590">
            <v>18</v>
          </cell>
          <cell r="R590" t="str">
            <v>ZZZ</v>
          </cell>
          <cell r="S590" t="str">
            <v>ZZ</v>
          </cell>
          <cell r="T590">
            <v>11</v>
          </cell>
          <cell r="U590" t="str">
            <v>1407132125018ZZZZZ11</v>
          </cell>
          <cell r="V590">
            <v>584</v>
          </cell>
          <cell r="W590" t="str">
            <v>MANGAUNG ELECFLEX 3  BASIC CHARGE</v>
          </cell>
          <cell r="X590">
            <v>0</v>
          </cell>
          <cell r="Y590">
            <v>0</v>
          </cell>
          <cell r="Z590">
            <v>0</v>
          </cell>
          <cell r="AA590"/>
          <cell r="AB590">
            <v>0</v>
          </cell>
          <cell r="AC590">
            <v>0</v>
          </cell>
        </row>
        <row r="591">
          <cell r="F591" t="str">
            <v>INDIGENT OTHER WINTER CONV &amp; PP INEL01</v>
          </cell>
          <cell r="G591" t="str">
            <v>P132125</v>
          </cell>
          <cell r="H591" t="str">
            <v>P07132125</v>
          </cell>
          <cell r="I591"/>
          <cell r="J591"/>
          <cell r="K591" t="str">
            <v>14</v>
          </cell>
          <cell r="L591" t="str">
            <v>07</v>
          </cell>
          <cell r="M591" t="str">
            <v>1</v>
          </cell>
          <cell r="N591" t="str">
            <v>32</v>
          </cell>
          <cell r="O591" t="str">
            <v>125</v>
          </cell>
          <cell r="P591" t="str">
            <v>2</v>
          </cell>
          <cell r="Q591">
            <v>18</v>
          </cell>
          <cell r="R591" t="str">
            <v>ZZZ</v>
          </cell>
          <cell r="S591" t="str">
            <v>ZZ</v>
          </cell>
          <cell r="T591">
            <v>11</v>
          </cell>
          <cell r="U591" t="str">
            <v>1407132125218ZZZZZ11</v>
          </cell>
          <cell r="V591">
            <v>585</v>
          </cell>
          <cell r="W591" t="str">
            <v>INDIGENT OTHER WINTER CONV &amp; PP INEL01</v>
          </cell>
          <cell r="X591">
            <v>-22361572</v>
          </cell>
          <cell r="Y591">
            <v>0</v>
          </cell>
          <cell r="Z591">
            <v>0</v>
          </cell>
          <cell r="AA591"/>
          <cell r="AB591">
            <v>-22361572</v>
          </cell>
          <cell r="AC591">
            <v>-25232606.954789408</v>
          </cell>
        </row>
        <row r="592">
          <cell r="F592" t="str">
            <v>INDIGENT FBE WINTER CONV &amp; INEL01</v>
          </cell>
          <cell r="G592" t="str">
            <v>P132125</v>
          </cell>
          <cell r="H592" t="str">
            <v>P132125</v>
          </cell>
          <cell r="I592"/>
          <cell r="J592"/>
          <cell r="K592" t="str">
            <v>14</v>
          </cell>
          <cell r="L592" t="str">
            <v>07</v>
          </cell>
          <cell r="M592" t="str">
            <v>1</v>
          </cell>
          <cell r="N592" t="str">
            <v>32</v>
          </cell>
          <cell r="O592" t="str">
            <v>125</v>
          </cell>
          <cell r="P592" t="str">
            <v>3</v>
          </cell>
          <cell r="Q592">
            <v>18</v>
          </cell>
          <cell r="R592" t="str">
            <v>ZZZ</v>
          </cell>
          <cell r="S592" t="str">
            <v>ZZ</v>
          </cell>
          <cell r="T592">
            <v>11</v>
          </cell>
          <cell r="U592" t="str">
            <v>1407132125318ZZZZZ11</v>
          </cell>
          <cell r="V592">
            <v>586</v>
          </cell>
          <cell r="W592" t="str">
            <v>INDIGENT FBE WINTER CONV &amp; INEL01</v>
          </cell>
          <cell r="X592">
            <v>-7016097</v>
          </cell>
          <cell r="Y592">
            <v>-5000554.96</v>
          </cell>
          <cell r="Z592">
            <v>-6000665.9519999996</v>
          </cell>
          <cell r="AA592"/>
          <cell r="AB592">
            <v>-7016097</v>
          </cell>
          <cell r="AC592">
            <v>-7909837.1736399997</v>
          </cell>
        </row>
        <row r="593">
          <cell r="F593" t="str">
            <v>INDIGENT FBE SUMMER CONV &amp; INELSM1</v>
          </cell>
          <cell r="G593" t="str">
            <v>P132125</v>
          </cell>
          <cell r="H593" t="str">
            <v>P132125</v>
          </cell>
          <cell r="I593"/>
          <cell r="J593"/>
          <cell r="K593" t="str">
            <v>14</v>
          </cell>
          <cell r="L593" t="str">
            <v>07</v>
          </cell>
          <cell r="M593" t="str">
            <v>1</v>
          </cell>
          <cell r="N593" t="str">
            <v>32</v>
          </cell>
          <cell r="O593" t="str">
            <v>125</v>
          </cell>
          <cell r="P593" t="str">
            <v>4</v>
          </cell>
          <cell r="Q593">
            <v>18</v>
          </cell>
          <cell r="R593" t="str">
            <v>ZZZ</v>
          </cell>
          <cell r="S593" t="str">
            <v>ZZ</v>
          </cell>
          <cell r="T593">
            <v>11</v>
          </cell>
          <cell r="U593" t="str">
            <v>1407132125418ZZZZZ11</v>
          </cell>
          <cell r="V593">
            <v>587</v>
          </cell>
          <cell r="W593" t="str">
            <v>INDIGENT FBE SUMMER CONV &amp; INELSM1</v>
          </cell>
          <cell r="X593">
            <v>-18256350</v>
          </cell>
          <cell r="Y593">
            <v>-16649475.65</v>
          </cell>
          <cell r="Z593">
            <v>-19979370.780000001</v>
          </cell>
          <cell r="AA593"/>
          <cell r="AB593">
            <v>-18256350</v>
          </cell>
          <cell r="AC593">
            <v>-18571140.403360002</v>
          </cell>
        </row>
        <row r="594">
          <cell r="F594" t="str">
            <v>MMM ELFLEX 3 - ACCESS CHARGE</v>
          </cell>
          <cell r="G594" t="str">
            <v>P132126</v>
          </cell>
          <cell r="H594" t="str">
            <v>P132126</v>
          </cell>
          <cell r="I594"/>
          <cell r="J594"/>
          <cell r="K594" t="str">
            <v>14</v>
          </cell>
          <cell r="L594" t="str">
            <v>07</v>
          </cell>
          <cell r="M594" t="str">
            <v>1</v>
          </cell>
          <cell r="N594" t="str">
            <v>32</v>
          </cell>
          <cell r="O594" t="str">
            <v>126</v>
          </cell>
          <cell r="P594" t="str">
            <v>1</v>
          </cell>
          <cell r="Q594">
            <v>18</v>
          </cell>
          <cell r="R594" t="str">
            <v>ZZZ</v>
          </cell>
          <cell r="S594" t="str">
            <v>ZZ</v>
          </cell>
          <cell r="T594">
            <v>11</v>
          </cell>
          <cell r="U594" t="str">
            <v>1407132126118ZZZZZ11</v>
          </cell>
          <cell r="V594">
            <v>588</v>
          </cell>
          <cell r="W594" t="str">
            <v>MMM ELFLEX 3 - ACCESS CHARGE</v>
          </cell>
          <cell r="X594">
            <v>-46391456</v>
          </cell>
          <cell r="Y594">
            <v>-33218668.16</v>
          </cell>
          <cell r="Z594">
            <v>-39862401.792000003</v>
          </cell>
          <cell r="AA594"/>
          <cell r="AB594">
            <v>-46391456</v>
          </cell>
          <cell r="AC594">
            <v>-41910550.752904698</v>
          </cell>
        </row>
        <row r="595">
          <cell r="F595" t="str">
            <v>MMM ELFLEX 3 - DEMAND CHARGE ELK003</v>
          </cell>
          <cell r="G595" t="str">
            <v>P132126</v>
          </cell>
          <cell r="H595" t="str">
            <v>P132126</v>
          </cell>
          <cell r="I595"/>
          <cell r="J595"/>
          <cell r="K595" t="str">
            <v>14</v>
          </cell>
          <cell r="L595" t="str">
            <v>07</v>
          </cell>
          <cell r="M595" t="str">
            <v>1</v>
          </cell>
          <cell r="N595" t="str">
            <v>32</v>
          </cell>
          <cell r="O595" t="str">
            <v>126</v>
          </cell>
          <cell r="P595" t="str">
            <v>2</v>
          </cell>
          <cell r="Q595">
            <v>18</v>
          </cell>
          <cell r="R595" t="str">
            <v>ZZZ</v>
          </cell>
          <cell r="S595" t="str">
            <v>ZZ</v>
          </cell>
          <cell r="T595">
            <v>11</v>
          </cell>
          <cell r="U595" t="str">
            <v>1407132126218ZZZZZ11</v>
          </cell>
          <cell r="V595">
            <v>589</v>
          </cell>
          <cell r="W595" t="str">
            <v>MMM ELFLEX 3 - DEMAND CHARGE ELK003</v>
          </cell>
          <cell r="X595">
            <v>-99408761</v>
          </cell>
          <cell r="Y595">
            <v>-75538262</v>
          </cell>
          <cell r="Z595">
            <v>-90645914.400000006</v>
          </cell>
          <cell r="AA595"/>
          <cell r="AB595">
            <v>-99408761</v>
          </cell>
          <cell r="AC595">
            <v>-85722168.164113566</v>
          </cell>
        </row>
        <row r="596">
          <cell r="F596" t="str">
            <v>MMM ELFLEX 3 - ENERGY WINTER PEAK ELHPO3</v>
          </cell>
          <cell r="G596" t="str">
            <v>P132126</v>
          </cell>
          <cell r="H596" t="str">
            <v>P132126</v>
          </cell>
          <cell r="I596"/>
          <cell r="J596"/>
          <cell r="K596" t="str">
            <v>14</v>
          </cell>
          <cell r="L596" t="str">
            <v>07</v>
          </cell>
          <cell r="M596" t="str">
            <v>1</v>
          </cell>
          <cell r="N596" t="str">
            <v>32</v>
          </cell>
          <cell r="O596" t="str">
            <v>126</v>
          </cell>
          <cell r="P596" t="str">
            <v>3</v>
          </cell>
          <cell r="Q596">
            <v>18</v>
          </cell>
          <cell r="R596" t="str">
            <v>ZZZ</v>
          </cell>
          <cell r="S596" t="str">
            <v>ZZ</v>
          </cell>
          <cell r="T596">
            <v>11</v>
          </cell>
          <cell r="U596" t="str">
            <v>1407132126318ZZZZZ11</v>
          </cell>
          <cell r="V596">
            <v>590</v>
          </cell>
          <cell r="W596" t="str">
            <v>MMM ELFLEX 3 - ENERGY WINTER PEAK ELHPO3</v>
          </cell>
          <cell r="X596">
            <v>-21931257</v>
          </cell>
          <cell r="Y596">
            <v>-23618743.579999998</v>
          </cell>
          <cell r="Z596">
            <v>-28342492.296</v>
          </cell>
          <cell r="AA596"/>
          <cell r="AB596">
            <v>-21931257</v>
          </cell>
          <cell r="AC596">
            <v>-22169812.127760865</v>
          </cell>
        </row>
        <row r="597">
          <cell r="F597" t="str">
            <v>MMM ELFLEX 3 - ENERGY WINTER STD ELHS03</v>
          </cell>
          <cell r="G597" t="str">
            <v>P132126</v>
          </cell>
          <cell r="H597" t="str">
            <v>P132126</v>
          </cell>
          <cell r="I597"/>
          <cell r="J597"/>
          <cell r="K597" t="str">
            <v>14</v>
          </cell>
          <cell r="L597" t="str">
            <v>07</v>
          </cell>
          <cell r="M597" t="str">
            <v>1</v>
          </cell>
          <cell r="N597" t="str">
            <v>32</v>
          </cell>
          <cell r="O597" t="str">
            <v>126</v>
          </cell>
          <cell r="P597" t="str">
            <v>4</v>
          </cell>
          <cell r="Q597">
            <v>18</v>
          </cell>
          <cell r="R597" t="str">
            <v>ZZZ</v>
          </cell>
          <cell r="S597" t="str">
            <v>ZZ</v>
          </cell>
          <cell r="T597">
            <v>11</v>
          </cell>
          <cell r="U597" t="str">
            <v>1407132126418ZZZZZ11</v>
          </cell>
          <cell r="V597">
            <v>591</v>
          </cell>
          <cell r="W597" t="str">
            <v>MMM ELFLEX 3 - ENERGY WINTER STD ELHS03</v>
          </cell>
          <cell r="X597">
            <v>-27712005</v>
          </cell>
          <cell r="Y597">
            <v>-28903802.690000001</v>
          </cell>
          <cell r="Z597">
            <v>-34684563.228</v>
          </cell>
          <cell r="AA597"/>
          <cell r="AB597">
            <v>-27712005</v>
          </cell>
          <cell r="AC597">
            <v>-27130784.212570317</v>
          </cell>
        </row>
        <row r="598">
          <cell r="F598" t="str">
            <v>MMM ELFLEX 3-ENERGY WINTE OFFPEAK ELHO03</v>
          </cell>
          <cell r="G598" t="str">
            <v>P132126</v>
          </cell>
          <cell r="H598" t="str">
            <v>P132126</v>
          </cell>
          <cell r="I598"/>
          <cell r="J598"/>
          <cell r="K598" t="str">
            <v>14</v>
          </cell>
          <cell r="L598" t="str">
            <v>07</v>
          </cell>
          <cell r="M598" t="str">
            <v>1</v>
          </cell>
          <cell r="N598" t="str">
            <v>32</v>
          </cell>
          <cell r="O598" t="str">
            <v>126</v>
          </cell>
          <cell r="P598" t="str">
            <v>5</v>
          </cell>
          <cell r="Q598">
            <v>18</v>
          </cell>
          <cell r="R598" t="str">
            <v>ZZZ</v>
          </cell>
          <cell r="S598" t="str">
            <v>ZZ</v>
          </cell>
          <cell r="T598">
            <v>11</v>
          </cell>
          <cell r="U598" t="str">
            <v>1407132126518ZZZZZ11</v>
          </cell>
          <cell r="V598">
            <v>592</v>
          </cell>
          <cell r="W598" t="str">
            <v>MMM ELFLEX 3-ENERGY WINTE OFFPEAK ELHO03</v>
          </cell>
          <cell r="X598">
            <v>-21626225</v>
          </cell>
          <cell r="Y598">
            <v>-22571638.420000002</v>
          </cell>
          <cell r="Z598">
            <v>-27085966.104000002</v>
          </cell>
          <cell r="AA598"/>
          <cell r="AB598">
            <v>-21626225</v>
          </cell>
          <cell r="AC598">
            <v>-21170952.713214435</v>
          </cell>
        </row>
        <row r="599">
          <cell r="F599" t="str">
            <v>MMM ELFLEX 3 - ENERGY SUMMER PEAK ELP003</v>
          </cell>
          <cell r="G599" t="str">
            <v>P132126</v>
          </cell>
          <cell r="H599" t="str">
            <v>P132126</v>
          </cell>
          <cell r="I599"/>
          <cell r="J599"/>
          <cell r="K599" t="str">
            <v>14</v>
          </cell>
          <cell r="L599" t="str">
            <v>07</v>
          </cell>
          <cell r="M599" t="str">
            <v>1</v>
          </cell>
          <cell r="N599" t="str">
            <v>32</v>
          </cell>
          <cell r="O599" t="str">
            <v>126</v>
          </cell>
          <cell r="P599" t="str">
            <v>6</v>
          </cell>
          <cell r="Q599">
            <v>18</v>
          </cell>
          <cell r="R599" t="str">
            <v>ZZZ</v>
          </cell>
          <cell r="S599" t="str">
            <v>ZZ</v>
          </cell>
          <cell r="T599">
            <v>11</v>
          </cell>
          <cell r="U599" t="str">
            <v>1407132126618ZZZZZ11</v>
          </cell>
          <cell r="V599">
            <v>593</v>
          </cell>
          <cell r="W599" t="str">
            <v>MMM ELFLEX 3 - ENERGY SUMMER PEAK ELP003</v>
          </cell>
          <cell r="X599">
            <v>-43094110</v>
          </cell>
          <cell r="Y599">
            <v>-24971306.629999999</v>
          </cell>
          <cell r="Z599">
            <v>-29965567.955999997</v>
          </cell>
          <cell r="AA599"/>
          <cell r="AB599">
            <v>-43094110</v>
          </cell>
          <cell r="AC599">
            <v>-32243455.117102321</v>
          </cell>
        </row>
        <row r="600">
          <cell r="F600" t="str">
            <v>MMM ELFLEX 3 - ENERGY SUMMER STD ELS003</v>
          </cell>
          <cell r="G600" t="str">
            <v>P132126</v>
          </cell>
          <cell r="H600" t="str">
            <v>P132126</v>
          </cell>
          <cell r="I600"/>
          <cell r="J600"/>
          <cell r="K600" t="str">
            <v>14</v>
          </cell>
          <cell r="L600" t="str">
            <v>07</v>
          </cell>
          <cell r="M600" t="str">
            <v>1</v>
          </cell>
          <cell r="N600" t="str">
            <v>32</v>
          </cell>
          <cell r="O600" t="str">
            <v>126</v>
          </cell>
          <cell r="P600" t="str">
            <v>7</v>
          </cell>
          <cell r="Q600">
            <v>18</v>
          </cell>
          <cell r="R600" t="str">
            <v>ZZZ</v>
          </cell>
          <cell r="S600" t="str">
            <v>ZZ</v>
          </cell>
          <cell r="T600">
            <v>11</v>
          </cell>
          <cell r="U600" t="str">
            <v>1407132126718ZZZZZ11</v>
          </cell>
          <cell r="V600">
            <v>594</v>
          </cell>
          <cell r="W600" t="str">
            <v>MMM ELFLEX 3 - ENERGY SUMMER STD ELS003</v>
          </cell>
          <cell r="X600">
            <v>-67779852</v>
          </cell>
          <cell r="Y600">
            <v>-41354030.700000003</v>
          </cell>
          <cell r="Z600">
            <v>-49624836.840000004</v>
          </cell>
          <cell r="AA600"/>
          <cell r="AB600">
            <v>-67779852</v>
          </cell>
          <cell r="AC600">
            <v>-54401447.274475686</v>
          </cell>
        </row>
        <row r="601">
          <cell r="F601" t="str">
            <v>MMM ELFLEX 3-ENERGY SUMME OFFPEAK ELO003</v>
          </cell>
          <cell r="G601" t="str">
            <v>P132126</v>
          </cell>
          <cell r="H601" t="str">
            <v>P132126</v>
          </cell>
          <cell r="I601"/>
          <cell r="J601"/>
          <cell r="K601" t="str">
            <v>14</v>
          </cell>
          <cell r="L601" t="str">
            <v>07</v>
          </cell>
          <cell r="M601" t="str">
            <v>1</v>
          </cell>
          <cell r="N601" t="str">
            <v>32</v>
          </cell>
          <cell r="O601" t="str">
            <v>126</v>
          </cell>
          <cell r="P601" t="str">
            <v>8</v>
          </cell>
          <cell r="Q601">
            <v>18</v>
          </cell>
          <cell r="R601" t="str">
            <v>ZZZ</v>
          </cell>
          <cell r="S601" t="str">
            <v>ZZ</v>
          </cell>
          <cell r="T601">
            <v>11</v>
          </cell>
          <cell r="U601" t="str">
            <v>1407132126818ZZZZZ11</v>
          </cell>
          <cell r="V601">
            <v>595</v>
          </cell>
          <cell r="W601" t="str">
            <v>MMM ELFLEX 3-ENERGY SUMME OFFPEAK ELO003</v>
          </cell>
          <cell r="X601">
            <v>-50177707</v>
          </cell>
          <cell r="Y601">
            <v>-33313505.760000002</v>
          </cell>
          <cell r="Z601">
            <v>-39976206.912</v>
          </cell>
          <cell r="AA601"/>
          <cell r="AB601">
            <v>-50177707</v>
          </cell>
          <cell r="AC601">
            <v>-42858610.91764804</v>
          </cell>
        </row>
        <row r="602">
          <cell r="F602" t="str">
            <v>MMM ELFLEX 1 - ACCESS CHARGE</v>
          </cell>
          <cell r="G602" t="str">
            <v>P132126</v>
          </cell>
          <cell r="H602" t="str">
            <v>P132127</v>
          </cell>
          <cell r="I602"/>
          <cell r="J602"/>
          <cell r="K602" t="str">
            <v>14</v>
          </cell>
          <cell r="L602" t="str">
            <v>07</v>
          </cell>
          <cell r="M602" t="str">
            <v>1</v>
          </cell>
          <cell r="N602" t="str">
            <v>32</v>
          </cell>
          <cell r="O602" t="str">
            <v>127</v>
          </cell>
          <cell r="P602" t="str">
            <v>1</v>
          </cell>
          <cell r="Q602">
            <v>18</v>
          </cell>
          <cell r="R602" t="str">
            <v>ZZZ</v>
          </cell>
          <cell r="S602" t="str">
            <v>ZZ</v>
          </cell>
          <cell r="T602">
            <v>11</v>
          </cell>
          <cell r="U602" t="str">
            <v>1407132127118ZZZZZ11</v>
          </cell>
          <cell r="V602">
            <v>596</v>
          </cell>
          <cell r="W602" t="str">
            <v>MMM ELFLEX 1 - ACCESS CHARGE</v>
          </cell>
          <cell r="X602">
            <v>-15315634</v>
          </cell>
          <cell r="Y602">
            <v>-11930360.189999999</v>
          </cell>
          <cell r="Z602">
            <v>-14316432.227999998</v>
          </cell>
          <cell r="AA602"/>
          <cell r="AB602">
            <v>-15315634</v>
          </cell>
          <cell r="AC602">
            <v>-12346066.521615</v>
          </cell>
        </row>
        <row r="603">
          <cell r="F603" t="str">
            <v>MMM ELFLEX 1 - DEMAND CHARGE ELK001</v>
          </cell>
          <cell r="G603" t="str">
            <v>P132126</v>
          </cell>
          <cell r="H603" t="str">
            <v>P132127</v>
          </cell>
          <cell r="I603"/>
          <cell r="J603"/>
          <cell r="K603" t="str">
            <v>14</v>
          </cell>
          <cell r="L603" t="str">
            <v>07</v>
          </cell>
          <cell r="M603" t="str">
            <v>1</v>
          </cell>
          <cell r="N603" t="str">
            <v>32</v>
          </cell>
          <cell r="O603" t="str">
            <v>127</v>
          </cell>
          <cell r="P603" t="str">
            <v>2</v>
          </cell>
          <cell r="Q603">
            <v>18</v>
          </cell>
          <cell r="R603" t="str">
            <v>ZZZ</v>
          </cell>
          <cell r="S603" t="str">
            <v>ZZ</v>
          </cell>
          <cell r="T603">
            <v>11</v>
          </cell>
          <cell r="U603" t="str">
            <v>1407132127218ZZZZZ11</v>
          </cell>
          <cell r="V603">
            <v>597</v>
          </cell>
          <cell r="W603" t="str">
            <v>MMM ELFLEX 1 - DEMAND CHARGE ELK001</v>
          </cell>
          <cell r="X603">
            <v>-69021073</v>
          </cell>
          <cell r="Y603">
            <v>-23374072.93</v>
          </cell>
          <cell r="Z603">
            <v>-28048887.516000003</v>
          </cell>
          <cell r="AA603"/>
          <cell r="AB603">
            <v>-69021073</v>
          </cell>
          <cell r="AC603">
            <v>-24766709.849766001</v>
          </cell>
        </row>
        <row r="604">
          <cell r="F604" t="str">
            <v>MMM ELFLEX 1-ENERGY WINTE OFF PEAK ELO01</v>
          </cell>
          <cell r="G604" t="str">
            <v>P132126</v>
          </cell>
          <cell r="H604" t="str">
            <v>P132127</v>
          </cell>
          <cell r="I604"/>
          <cell r="J604"/>
          <cell r="K604" t="str">
            <v>14</v>
          </cell>
          <cell r="L604" t="str">
            <v>07</v>
          </cell>
          <cell r="M604" t="str">
            <v>1</v>
          </cell>
          <cell r="N604" t="str">
            <v>32</v>
          </cell>
          <cell r="O604" t="str">
            <v>127</v>
          </cell>
          <cell r="P604" t="str">
            <v>3</v>
          </cell>
          <cell r="Q604">
            <v>18</v>
          </cell>
          <cell r="R604" t="str">
            <v>ZZZ</v>
          </cell>
          <cell r="S604" t="str">
            <v>ZZ</v>
          </cell>
          <cell r="T604">
            <v>11</v>
          </cell>
          <cell r="U604" t="str">
            <v>1407132127318ZZZZZ11</v>
          </cell>
          <cell r="V604">
            <v>598</v>
          </cell>
          <cell r="W604" t="str">
            <v>MMM ELFLEX 1-ENERGY WINTE OFF PEAK ELO01</v>
          </cell>
          <cell r="X604">
            <v>-14879092</v>
          </cell>
          <cell r="Y604">
            <v>-14157131.789999999</v>
          </cell>
          <cell r="Z604">
            <v>-16988558.148000002</v>
          </cell>
          <cell r="AA604"/>
          <cell r="AB604">
            <v>-14879092</v>
          </cell>
          <cell r="AC604">
            <v>-69932436.745343745</v>
          </cell>
        </row>
        <row r="605">
          <cell r="F605" t="str">
            <v>MMM ELFLEX 1 - ENERGY WINTER STD ELHS01</v>
          </cell>
          <cell r="G605" t="str">
            <v>P132126</v>
          </cell>
          <cell r="H605" t="str">
            <v>P132127</v>
          </cell>
          <cell r="I605"/>
          <cell r="J605"/>
          <cell r="K605" t="str">
            <v>14</v>
          </cell>
          <cell r="L605" t="str">
            <v>07</v>
          </cell>
          <cell r="M605" t="str">
            <v>1</v>
          </cell>
          <cell r="N605" t="str">
            <v>32</v>
          </cell>
          <cell r="O605" t="str">
            <v>127</v>
          </cell>
          <cell r="P605" t="str">
            <v>4</v>
          </cell>
          <cell r="Q605">
            <v>18</v>
          </cell>
          <cell r="R605" t="str">
            <v>ZZZ</v>
          </cell>
          <cell r="S605" t="str">
            <v>ZZ</v>
          </cell>
          <cell r="T605">
            <v>11</v>
          </cell>
          <cell r="U605" t="str">
            <v>1407132127418ZZZZZ11</v>
          </cell>
          <cell r="V605">
            <v>599</v>
          </cell>
          <cell r="W605" t="str">
            <v>MMM ELFLEX 1 - ENERGY WINTER STD ELHS01</v>
          </cell>
          <cell r="X605">
            <v>-14076535</v>
          </cell>
          <cell r="Y605">
            <v>-17502368.879999999</v>
          </cell>
          <cell r="Z605">
            <v>-21002842.655999996</v>
          </cell>
          <cell r="AA605"/>
          <cell r="AB605">
            <v>-14076535</v>
          </cell>
          <cell r="AC605">
            <v>-12834498.539376002</v>
          </cell>
        </row>
        <row r="606">
          <cell r="F606" t="str">
            <v>MMM ELFLEX 1 - ENERGY WINTER PEAK ELHP01</v>
          </cell>
          <cell r="G606" t="str">
            <v>P132126</v>
          </cell>
          <cell r="H606" t="str">
            <v>P132127</v>
          </cell>
          <cell r="I606"/>
          <cell r="J606"/>
          <cell r="K606" t="str">
            <v>14</v>
          </cell>
          <cell r="L606" t="str">
            <v>07</v>
          </cell>
          <cell r="M606" t="str">
            <v>1</v>
          </cell>
          <cell r="N606" t="str">
            <v>32</v>
          </cell>
          <cell r="O606" t="str">
            <v>127</v>
          </cell>
          <cell r="P606" t="str">
            <v>5</v>
          </cell>
          <cell r="Q606">
            <v>18</v>
          </cell>
          <cell r="R606" t="str">
            <v>ZZZ</v>
          </cell>
          <cell r="S606" t="str">
            <v>ZZ</v>
          </cell>
          <cell r="T606">
            <v>11</v>
          </cell>
          <cell r="U606" t="str">
            <v>1407132127518ZZZZZ11</v>
          </cell>
          <cell r="V606">
            <v>600</v>
          </cell>
          <cell r="W606" t="str">
            <v>MMM ELFLEX 1 - ENERGY WINTER PEAK ELHP01</v>
          </cell>
          <cell r="X606">
            <v>-11178528</v>
          </cell>
          <cell r="Y606">
            <v>-17002887.449999999</v>
          </cell>
          <cell r="Z606">
            <v>-20403464.939999998</v>
          </cell>
          <cell r="AA606"/>
          <cell r="AB606">
            <v>-11178528</v>
          </cell>
          <cell r="AC606">
            <v>-10467446.697459001</v>
          </cell>
        </row>
        <row r="607">
          <cell r="F607" t="str">
            <v>MMM ELFLEX 1 - ENERGY SUMMER PEAK ELP001</v>
          </cell>
          <cell r="G607" t="str">
            <v>P132126</v>
          </cell>
          <cell r="H607" t="str">
            <v>P132127</v>
          </cell>
          <cell r="I607"/>
          <cell r="J607"/>
          <cell r="K607" t="str">
            <v>14</v>
          </cell>
          <cell r="L607" t="str">
            <v>07</v>
          </cell>
          <cell r="M607" t="str">
            <v>1</v>
          </cell>
          <cell r="N607" t="str">
            <v>32</v>
          </cell>
          <cell r="O607" t="str">
            <v>127</v>
          </cell>
          <cell r="P607" t="str">
            <v>6</v>
          </cell>
          <cell r="Q607">
            <v>18</v>
          </cell>
          <cell r="R607" t="str">
            <v>ZZZ</v>
          </cell>
          <cell r="S607" t="str">
            <v>ZZ</v>
          </cell>
          <cell r="T607">
            <v>11</v>
          </cell>
          <cell r="U607" t="str">
            <v>1407132127618ZZZZZ11</v>
          </cell>
          <cell r="V607">
            <v>601</v>
          </cell>
          <cell r="W607" t="str">
            <v>MMM ELFLEX 1 - ENERGY SUMMER PEAK ELP001</v>
          </cell>
          <cell r="X607">
            <v>-17480819</v>
          </cell>
          <cell r="Y607">
            <v>-10043302.810000001</v>
          </cell>
          <cell r="Z607">
            <v>-12051963.372000001</v>
          </cell>
          <cell r="AA607"/>
          <cell r="AB607">
            <v>-17480819</v>
          </cell>
          <cell r="AC607">
            <v>-12262101.112920001</v>
          </cell>
        </row>
        <row r="608">
          <cell r="F608" t="str">
            <v>MMM ELFLEX 1 - ENERGY SUMMER STD ELS001</v>
          </cell>
          <cell r="G608" t="str">
            <v>P132126</v>
          </cell>
          <cell r="H608" t="str">
            <v>P132127</v>
          </cell>
          <cell r="I608"/>
          <cell r="J608"/>
          <cell r="K608" t="str">
            <v>14</v>
          </cell>
          <cell r="L608" t="str">
            <v>07</v>
          </cell>
          <cell r="M608" t="str">
            <v>1</v>
          </cell>
          <cell r="N608" t="str">
            <v>32</v>
          </cell>
          <cell r="O608" t="str">
            <v>127</v>
          </cell>
          <cell r="P608" t="str">
            <v>7</v>
          </cell>
          <cell r="Q608">
            <v>18</v>
          </cell>
          <cell r="R608" t="str">
            <v>ZZZ</v>
          </cell>
          <cell r="S608" t="str">
            <v>ZZ</v>
          </cell>
          <cell r="T608">
            <v>11</v>
          </cell>
          <cell r="U608" t="str">
            <v>1407132127718ZZZZZ11</v>
          </cell>
          <cell r="V608">
            <v>602</v>
          </cell>
          <cell r="W608" t="str">
            <v>MMM ELFLEX 1 - ENERGY SUMMER STD ELS001</v>
          </cell>
          <cell r="X608">
            <v>-25882164</v>
          </cell>
          <cell r="Y608">
            <v>-15243494.75</v>
          </cell>
          <cell r="Z608">
            <v>-18292193.700000003</v>
          </cell>
          <cell r="AA608"/>
          <cell r="AB608">
            <v>-25882164</v>
          </cell>
          <cell r="AC608">
            <v>-19024889.629176002</v>
          </cell>
        </row>
        <row r="609">
          <cell r="F609" t="str">
            <v>MMM ELFLEX1-ENERGY SUMER OFF PEAK ELO001</v>
          </cell>
          <cell r="G609" t="str">
            <v>P132126</v>
          </cell>
          <cell r="H609" t="str">
            <v>P132127</v>
          </cell>
          <cell r="I609"/>
          <cell r="J609"/>
          <cell r="K609" t="str">
            <v>14</v>
          </cell>
          <cell r="L609" t="str">
            <v>07</v>
          </cell>
          <cell r="M609" t="str">
            <v>1</v>
          </cell>
          <cell r="N609" t="str">
            <v>32</v>
          </cell>
          <cell r="O609" t="str">
            <v>127</v>
          </cell>
          <cell r="P609" t="str">
            <v>8</v>
          </cell>
          <cell r="Q609">
            <v>18</v>
          </cell>
          <cell r="R609" t="str">
            <v>ZZZ</v>
          </cell>
          <cell r="S609" t="str">
            <v>ZZ</v>
          </cell>
          <cell r="T609">
            <v>11</v>
          </cell>
          <cell r="U609" t="str">
            <v>1407132127818ZZZZZ11</v>
          </cell>
          <cell r="V609">
            <v>603</v>
          </cell>
          <cell r="W609" t="str">
            <v>MMM ELFLEX1-ENERGY SUMER OFF PEAK ELO001</v>
          </cell>
          <cell r="X609">
            <v>-23457420</v>
          </cell>
          <cell r="Y609">
            <v>-14863582.33</v>
          </cell>
          <cell r="Z609">
            <v>-17836298.796</v>
          </cell>
          <cell r="AA609"/>
          <cell r="AB609">
            <v>-23457420</v>
          </cell>
          <cell r="AC609">
            <v>-18756537.766935002</v>
          </cell>
        </row>
        <row r="610">
          <cell r="F610" t="str">
            <v>MMM ELFLEX 2 - ACCESS CHARGE</v>
          </cell>
          <cell r="G610" t="str">
            <v>P132126</v>
          </cell>
          <cell r="H610" t="str">
            <v>P132127</v>
          </cell>
          <cell r="I610"/>
          <cell r="J610"/>
          <cell r="K610" t="str">
            <v>14</v>
          </cell>
          <cell r="L610" t="str">
            <v>07</v>
          </cell>
          <cell r="M610" t="str">
            <v>1</v>
          </cell>
          <cell r="N610" t="str">
            <v>32</v>
          </cell>
          <cell r="O610" t="str">
            <v>127</v>
          </cell>
          <cell r="P610" t="str">
            <v>9</v>
          </cell>
          <cell r="Q610">
            <v>18</v>
          </cell>
          <cell r="R610" t="str">
            <v>ZZZ</v>
          </cell>
          <cell r="S610" t="str">
            <v>ZZ</v>
          </cell>
          <cell r="T610">
            <v>11</v>
          </cell>
          <cell r="U610" t="str">
            <v>1407132127918ZZZZZ11</v>
          </cell>
          <cell r="V610">
            <v>604</v>
          </cell>
          <cell r="W610" t="str">
            <v>MMM ELFLEX 2 - ACCESS CHARGE</v>
          </cell>
          <cell r="X610">
            <v>-77422847</v>
          </cell>
          <cell r="Y610">
            <v>-61045933.939999998</v>
          </cell>
          <cell r="Z610">
            <v>-73255120.727999985</v>
          </cell>
          <cell r="AA610"/>
          <cell r="AB610">
            <v>-77422847</v>
          </cell>
          <cell r="AC610">
            <v>-77947021.310087994</v>
          </cell>
        </row>
        <row r="611">
          <cell r="F611" t="str">
            <v>MMM ELFLEX 2 - DEMAND CHARGE ELK002</v>
          </cell>
          <cell r="G611" t="str">
            <v>P132126</v>
          </cell>
          <cell r="H611" t="str">
            <v>P132127</v>
          </cell>
          <cell r="I611"/>
          <cell r="J611"/>
          <cell r="K611" t="str">
            <v>14</v>
          </cell>
          <cell r="L611" t="str">
            <v>07</v>
          </cell>
          <cell r="M611" t="str">
            <v>1</v>
          </cell>
          <cell r="N611" t="str">
            <v>32</v>
          </cell>
          <cell r="O611" t="str">
            <v>127</v>
          </cell>
          <cell r="P611" t="str">
            <v>A</v>
          </cell>
          <cell r="Q611">
            <v>18</v>
          </cell>
          <cell r="R611" t="str">
            <v>ZZZ</v>
          </cell>
          <cell r="S611" t="str">
            <v>ZZ</v>
          </cell>
          <cell r="T611">
            <v>11</v>
          </cell>
          <cell r="U611" t="str">
            <v>1407132127A18ZZZZZ11</v>
          </cell>
          <cell r="V611">
            <v>605</v>
          </cell>
          <cell r="W611" t="str">
            <v>MMM ELFLEX 2 - DEMAND CHARGE ELK002</v>
          </cell>
          <cell r="X611">
            <v>-168235563</v>
          </cell>
          <cell r="Y611">
            <v>-141689595.84999999</v>
          </cell>
          <cell r="Z611">
            <v>-170027515.01999998</v>
          </cell>
          <cell r="AA611"/>
          <cell r="AB611">
            <v>-168235563</v>
          </cell>
          <cell r="AC611">
            <v>-178156428.86379781</v>
          </cell>
        </row>
        <row r="612">
          <cell r="F612" t="str">
            <v>MMM ELFLEX 2 - ENERGY WINTER PEAK ELHP02</v>
          </cell>
          <cell r="G612" t="str">
            <v>P132126</v>
          </cell>
          <cell r="H612" t="str">
            <v>P132127</v>
          </cell>
          <cell r="I612"/>
          <cell r="J612"/>
          <cell r="K612" t="str">
            <v>14</v>
          </cell>
          <cell r="L612" t="str">
            <v>07</v>
          </cell>
          <cell r="M612" t="str">
            <v>1</v>
          </cell>
          <cell r="N612" t="str">
            <v>32</v>
          </cell>
          <cell r="O612" t="str">
            <v>127</v>
          </cell>
          <cell r="P612" t="str">
            <v>B</v>
          </cell>
          <cell r="Q612">
            <v>18</v>
          </cell>
          <cell r="R612" t="str">
            <v>ZZZ</v>
          </cell>
          <cell r="S612" t="str">
            <v>ZZ</v>
          </cell>
          <cell r="T612">
            <v>11</v>
          </cell>
          <cell r="U612" t="str">
            <v>1407132127B18ZZZZZ11</v>
          </cell>
          <cell r="V612">
            <v>606</v>
          </cell>
          <cell r="W612" t="str">
            <v>MMM ELFLEX 2 - ENERGY WINTER PEAK ELHP02</v>
          </cell>
          <cell r="X612">
            <v>-51806589</v>
          </cell>
          <cell r="Y612">
            <v>-56976241.859999999</v>
          </cell>
          <cell r="Z612">
            <v>-68371490.231999993</v>
          </cell>
          <cell r="AA612"/>
          <cell r="AB612">
            <v>-51806589</v>
          </cell>
          <cell r="AC612">
            <v>-60667657.379549026</v>
          </cell>
        </row>
        <row r="613">
          <cell r="F613" t="str">
            <v>MMM ELFLEX 2 - ENERGY WINTER STD ELHS02</v>
          </cell>
          <cell r="G613" t="str">
            <v>P132126</v>
          </cell>
          <cell r="H613" t="str">
            <v>P132127</v>
          </cell>
          <cell r="I613"/>
          <cell r="J613"/>
          <cell r="K613" t="str">
            <v>14</v>
          </cell>
          <cell r="L613" t="str">
            <v>07</v>
          </cell>
          <cell r="M613" t="str">
            <v>1</v>
          </cell>
          <cell r="N613" t="str">
            <v>32</v>
          </cell>
          <cell r="O613" t="str">
            <v>127</v>
          </cell>
          <cell r="P613" t="str">
            <v>C</v>
          </cell>
          <cell r="Q613">
            <v>18</v>
          </cell>
          <cell r="R613" t="str">
            <v>ZZZ</v>
          </cell>
          <cell r="S613" t="str">
            <v>ZZ</v>
          </cell>
          <cell r="T613">
            <v>11</v>
          </cell>
          <cell r="U613" t="str">
            <v>1407132127C18ZZZZZ11</v>
          </cell>
          <cell r="V613">
            <v>607</v>
          </cell>
          <cell r="W613" t="str">
            <v>MMM ELFLEX 2 - ENERGY WINTER STD ELHS02</v>
          </cell>
          <cell r="X613">
            <v>-69693859</v>
          </cell>
          <cell r="Y613">
            <v>-71752860.349999994</v>
          </cell>
          <cell r="Z613">
            <v>-86103432.419999987</v>
          </cell>
          <cell r="AA613"/>
          <cell r="AB613">
            <v>-69693859</v>
          </cell>
          <cell r="AC613">
            <v>-76406638.964977145</v>
          </cell>
        </row>
        <row r="614">
          <cell r="F614" t="str">
            <v>MMM ELFLEX 2-ENERGY WINTE OFFPEAK ELHO01</v>
          </cell>
          <cell r="G614" t="str">
            <v>P132126</v>
          </cell>
          <cell r="H614" t="str">
            <v>P132127</v>
          </cell>
          <cell r="I614"/>
          <cell r="J614"/>
          <cell r="K614" t="str">
            <v>14</v>
          </cell>
          <cell r="L614" t="str">
            <v>07</v>
          </cell>
          <cell r="M614" t="str">
            <v>1</v>
          </cell>
          <cell r="N614" t="str">
            <v>32</v>
          </cell>
          <cell r="O614" t="str">
            <v>127</v>
          </cell>
          <cell r="P614" t="str">
            <v>D</v>
          </cell>
          <cell r="Q614">
            <v>18</v>
          </cell>
          <cell r="R614" t="str">
            <v>ZZZ</v>
          </cell>
          <cell r="S614" t="str">
            <v>ZZ</v>
          </cell>
          <cell r="T614">
            <v>11</v>
          </cell>
          <cell r="U614" t="str">
            <v>1407132127D18ZZZZZ11</v>
          </cell>
          <cell r="V614">
            <v>608</v>
          </cell>
          <cell r="W614" t="str">
            <v>MMM ELFLEX 2-ENERGY WINTE OFFPEAK ELHO01</v>
          </cell>
          <cell r="X614">
            <v>-65109670</v>
          </cell>
          <cell r="Y614">
            <v>-65684372.890000001</v>
          </cell>
          <cell r="Z614">
            <v>-78821247.467999995</v>
          </cell>
          <cell r="AA614"/>
          <cell r="AB614">
            <v>-65109670</v>
          </cell>
          <cell r="AC614">
            <v>-12679209.327720001</v>
          </cell>
        </row>
        <row r="615">
          <cell r="F615" t="str">
            <v>MMM ELFLEX 2 - ENERGY SUMMER PEAK ELP002</v>
          </cell>
          <cell r="G615" t="str">
            <v>P132126</v>
          </cell>
          <cell r="H615" t="str">
            <v>P132127</v>
          </cell>
          <cell r="I615"/>
          <cell r="J615"/>
          <cell r="K615" t="str">
            <v>14</v>
          </cell>
          <cell r="L615" t="str">
            <v>07</v>
          </cell>
          <cell r="M615" t="str">
            <v>1</v>
          </cell>
          <cell r="N615" t="str">
            <v>32</v>
          </cell>
          <cell r="O615" t="str">
            <v>127</v>
          </cell>
          <cell r="P615" t="str">
            <v>E</v>
          </cell>
          <cell r="Q615">
            <v>18</v>
          </cell>
          <cell r="R615" t="str">
            <v>ZZZ</v>
          </cell>
          <cell r="S615" t="str">
            <v>ZZ</v>
          </cell>
          <cell r="T615">
            <v>11</v>
          </cell>
          <cell r="U615" t="str">
            <v>1407132127E18ZZZZZ11</v>
          </cell>
          <cell r="V615">
            <v>609</v>
          </cell>
          <cell r="W615" t="str">
            <v>MMM ELFLEX 2 - ENERGY SUMMER PEAK ELP002</v>
          </cell>
          <cell r="X615">
            <v>-100211779</v>
          </cell>
          <cell r="Y615">
            <v>-61947187.310000002</v>
          </cell>
          <cell r="Z615">
            <v>-74336624.772000015</v>
          </cell>
          <cell r="AA615"/>
          <cell r="AB615">
            <v>-100211779</v>
          </cell>
          <cell r="AC615">
            <v>-83161375.808430657</v>
          </cell>
        </row>
        <row r="616">
          <cell r="F616" t="str">
            <v>MMM ELFLEX 2 - ENERGY SUMMER STD ELS002</v>
          </cell>
          <cell r="G616" t="str">
            <v>P132126</v>
          </cell>
          <cell r="H616" t="str">
            <v>P132127</v>
          </cell>
          <cell r="I616"/>
          <cell r="J616"/>
          <cell r="K616" t="str">
            <v>14</v>
          </cell>
          <cell r="L616" t="str">
            <v>07</v>
          </cell>
          <cell r="M616" t="str">
            <v>1</v>
          </cell>
          <cell r="N616" t="str">
            <v>32</v>
          </cell>
          <cell r="O616" t="str">
            <v>127</v>
          </cell>
          <cell r="P616" t="str">
            <v>F</v>
          </cell>
          <cell r="Q616">
            <v>18</v>
          </cell>
          <cell r="R616" t="str">
            <v>ZZZ</v>
          </cell>
          <cell r="S616" t="str">
            <v>ZZ</v>
          </cell>
          <cell r="T616">
            <v>11</v>
          </cell>
          <cell r="U616" t="str">
            <v>1407132127F18ZZZZZ11</v>
          </cell>
          <cell r="V616">
            <v>610</v>
          </cell>
          <cell r="W616" t="str">
            <v>MMM ELFLEX 2 - ENERGY SUMMER STD ELS002</v>
          </cell>
          <cell r="X616">
            <v>-162077890</v>
          </cell>
          <cell r="Y616">
            <v>-104179142.65000001</v>
          </cell>
          <cell r="Z616">
            <v>-125014971.18000001</v>
          </cell>
          <cell r="AA616"/>
          <cell r="AB616">
            <v>-162077890</v>
          </cell>
          <cell r="AC616">
            <v>-139953967.00619015</v>
          </cell>
        </row>
        <row r="617">
          <cell r="F617" t="str">
            <v>MMM ELFLEX 2 - ENERGY SUMMER OFF PEAK EL</v>
          </cell>
          <cell r="G617" t="str">
            <v>P132126</v>
          </cell>
          <cell r="H617" t="str">
            <v>P132127</v>
          </cell>
          <cell r="I617"/>
          <cell r="J617"/>
          <cell r="K617" t="str">
            <v>14</v>
          </cell>
          <cell r="L617" t="str">
            <v>07</v>
          </cell>
          <cell r="M617" t="str">
            <v>1</v>
          </cell>
          <cell r="N617" t="str">
            <v>32</v>
          </cell>
          <cell r="O617" t="str">
            <v>127</v>
          </cell>
          <cell r="P617" t="str">
            <v>G</v>
          </cell>
          <cell r="Q617">
            <v>18</v>
          </cell>
          <cell r="R617" t="str">
            <v>ZZZ</v>
          </cell>
          <cell r="S617" t="str">
            <v>ZZ</v>
          </cell>
          <cell r="T617">
            <v>11</v>
          </cell>
          <cell r="U617" t="str">
            <v>1407132127G18ZZZZZ11</v>
          </cell>
          <cell r="V617">
            <v>611</v>
          </cell>
          <cell r="W617" t="str">
            <v>MMM ELFLEX 2 - ENERGY SUMMER OFF PEAK EL</v>
          </cell>
          <cell r="X617">
            <v>-145740161</v>
          </cell>
          <cell r="Y617">
            <v>-92650512.079999998</v>
          </cell>
          <cell r="Z617">
            <v>-111180614.49600001</v>
          </cell>
          <cell r="AA617"/>
          <cell r="AB617">
            <v>-145740161</v>
          </cell>
          <cell r="AC617">
            <v>-126247828.36576834</v>
          </cell>
        </row>
        <row r="618">
          <cell r="F618" t="str">
            <v>MMM ELFLEX 1 BASIC CHARGE</v>
          </cell>
          <cell r="G618" t="str">
            <v>P132126</v>
          </cell>
          <cell r="H618" t="str">
            <v>P07132127</v>
          </cell>
          <cell r="I618"/>
          <cell r="J618"/>
          <cell r="K618" t="str">
            <v>14</v>
          </cell>
          <cell r="L618" t="str">
            <v>07</v>
          </cell>
          <cell r="M618" t="str">
            <v>1</v>
          </cell>
          <cell r="N618" t="str">
            <v>32</v>
          </cell>
          <cell r="O618" t="str">
            <v>127</v>
          </cell>
          <cell r="P618" t="str">
            <v>H</v>
          </cell>
          <cell r="Q618">
            <v>18</v>
          </cell>
          <cell r="R618" t="str">
            <v>ZZZ</v>
          </cell>
          <cell r="S618" t="str">
            <v>ZZ</v>
          </cell>
          <cell r="T618">
            <v>11</v>
          </cell>
          <cell r="U618" t="str">
            <v>1407132127H18ZZZZZ11</v>
          </cell>
          <cell r="V618">
            <v>612</v>
          </cell>
          <cell r="W618" t="str">
            <v>MMM ELFLEX 1 BASIC CHARGE</v>
          </cell>
          <cell r="X618">
            <v>-203361</v>
          </cell>
          <cell r="Y618">
            <v>-81058.53</v>
          </cell>
          <cell r="Z618">
            <v>-97270.236000000004</v>
          </cell>
          <cell r="AA618"/>
          <cell r="AB618">
            <v>-203361</v>
          </cell>
          <cell r="AC618">
            <v>-138957.47999999998</v>
          </cell>
        </row>
        <row r="619">
          <cell r="F619" t="str">
            <v>MMM ELFLEX 2 BASIC CHARGE</v>
          </cell>
          <cell r="G619" t="str">
            <v>P132126</v>
          </cell>
          <cell r="H619" t="str">
            <v>P07132127</v>
          </cell>
          <cell r="I619"/>
          <cell r="J619"/>
          <cell r="K619" t="str">
            <v>14</v>
          </cell>
          <cell r="L619" t="str">
            <v>07</v>
          </cell>
          <cell r="M619" t="str">
            <v>1</v>
          </cell>
          <cell r="N619" t="str">
            <v>32</v>
          </cell>
          <cell r="O619" t="str">
            <v>127</v>
          </cell>
          <cell r="P619" t="str">
            <v>K</v>
          </cell>
          <cell r="Q619">
            <v>18</v>
          </cell>
          <cell r="R619" t="str">
            <v>ZZZ</v>
          </cell>
          <cell r="S619" t="str">
            <v>ZZ</v>
          </cell>
          <cell r="T619">
            <v>11</v>
          </cell>
          <cell r="U619" t="str">
            <v>1407132127K18ZZZZZ11</v>
          </cell>
          <cell r="V619">
            <v>613</v>
          </cell>
          <cell r="W619" t="str">
            <v>MMM ELFLEX 2 BASIC CHARGE</v>
          </cell>
          <cell r="X619">
            <v>-5813877</v>
          </cell>
          <cell r="Y619">
            <v>-3327724.34</v>
          </cell>
          <cell r="Z619">
            <v>-3993269.2080000001</v>
          </cell>
          <cell r="AA619"/>
          <cell r="AB619">
            <v>-5813877</v>
          </cell>
          <cell r="AC619">
            <v>-5532357.7396224001</v>
          </cell>
        </row>
        <row r="620">
          <cell r="F620" t="str">
            <v>MMM ELFLEX 3 BASIC CHARGE</v>
          </cell>
          <cell r="G620" t="str">
            <v>P132126</v>
          </cell>
          <cell r="H620" t="str">
            <v>P07132127</v>
          </cell>
          <cell r="I620"/>
          <cell r="J620"/>
          <cell r="K620" t="str">
            <v>14</v>
          </cell>
          <cell r="L620" t="str">
            <v>07</v>
          </cell>
          <cell r="M620" t="str">
            <v>1</v>
          </cell>
          <cell r="N620" t="str">
            <v>32</v>
          </cell>
          <cell r="O620" t="str">
            <v>127</v>
          </cell>
          <cell r="P620" t="str">
            <v>M</v>
          </cell>
          <cell r="Q620">
            <v>18</v>
          </cell>
          <cell r="R620" t="str">
            <v>ZZZ</v>
          </cell>
          <cell r="S620" t="str">
            <v>ZZ</v>
          </cell>
          <cell r="T620">
            <v>11</v>
          </cell>
          <cell r="U620" t="str">
            <v>1407132127M18ZZZZZ11</v>
          </cell>
          <cell r="V620">
            <v>614</v>
          </cell>
          <cell r="W620" t="str">
            <v>MMM ELFLEX 3 BASIC CHARGE</v>
          </cell>
          <cell r="X620">
            <v>-15947961</v>
          </cell>
          <cell r="Y620">
            <v>-5315577.5199999996</v>
          </cell>
          <cell r="Z620">
            <v>-6378693.0240000002</v>
          </cell>
          <cell r="AA620"/>
          <cell r="AB620">
            <v>-15947961</v>
          </cell>
          <cell r="AC620">
            <v>-13087726.605388798</v>
          </cell>
        </row>
        <row r="621">
          <cell r="F621" t="str">
            <v>CEN DEPART TOU ENERGY WINTER PEAK CNHPO1</v>
          </cell>
          <cell r="G621" t="str">
            <v>P132128</v>
          </cell>
          <cell r="H621" t="str">
            <v>P132128</v>
          </cell>
          <cell r="I621"/>
          <cell r="J621"/>
          <cell r="K621" t="str">
            <v>14</v>
          </cell>
          <cell r="L621" t="str">
            <v>07</v>
          </cell>
          <cell r="M621" t="str">
            <v>1</v>
          </cell>
          <cell r="N621" t="str">
            <v>32</v>
          </cell>
          <cell r="O621" t="str">
            <v>128</v>
          </cell>
          <cell r="P621" t="str">
            <v>1</v>
          </cell>
          <cell r="Q621">
            <v>18</v>
          </cell>
          <cell r="R621" t="str">
            <v>ZZZ</v>
          </cell>
          <cell r="S621" t="str">
            <v>ZZ</v>
          </cell>
          <cell r="T621">
            <v>11</v>
          </cell>
          <cell r="U621" t="str">
            <v>1407132128118ZZZZZ11</v>
          </cell>
          <cell r="V621">
            <v>615</v>
          </cell>
          <cell r="W621" t="str">
            <v>CEN DEPART TOU ENERGY WINTER PEAK CNHPO1</v>
          </cell>
          <cell r="X621">
            <v>-112734</v>
          </cell>
          <cell r="Y621">
            <v>-318424.7</v>
          </cell>
          <cell r="Z621">
            <v>-382109.64</v>
          </cell>
          <cell r="AA621"/>
          <cell r="AB621">
            <v>-112734</v>
          </cell>
          <cell r="AC621">
            <v>-152384.03065748801</v>
          </cell>
        </row>
        <row r="622">
          <cell r="F622" t="str">
            <v>CEN DEPART TOU ENERGY WINTER STD CNHS01</v>
          </cell>
          <cell r="G622" t="str">
            <v>P132128</v>
          </cell>
          <cell r="H622" t="str">
            <v>P132128</v>
          </cell>
          <cell r="I622"/>
          <cell r="J622"/>
          <cell r="K622" t="str">
            <v>14</v>
          </cell>
          <cell r="L622" t="str">
            <v>07</v>
          </cell>
          <cell r="M622" t="str">
            <v>1</v>
          </cell>
          <cell r="N622" t="str">
            <v>32</v>
          </cell>
          <cell r="O622" t="str">
            <v>128</v>
          </cell>
          <cell r="P622" t="str">
            <v>2</v>
          </cell>
          <cell r="Q622">
            <v>18</v>
          </cell>
          <cell r="R622" t="str">
            <v>ZZZ</v>
          </cell>
          <cell r="S622" t="str">
            <v>ZZ</v>
          </cell>
          <cell r="T622">
            <v>11</v>
          </cell>
          <cell r="U622" t="str">
            <v>1407132128218ZZZZZ11</v>
          </cell>
          <cell r="V622">
            <v>616</v>
          </cell>
          <cell r="W622" t="str">
            <v>CEN DEPART TOU ENERGY WINTER STD CNHS01</v>
          </cell>
          <cell r="X622">
            <v>-155650</v>
          </cell>
          <cell r="Y622">
            <v>-156610.56</v>
          </cell>
          <cell r="Z622">
            <v>-187932.67200000002</v>
          </cell>
          <cell r="AA622"/>
          <cell r="AB622">
            <v>-155650</v>
          </cell>
          <cell r="AC622">
            <v>-197744.40315432003</v>
          </cell>
        </row>
        <row r="623">
          <cell r="F623" t="str">
            <v>CEN DEPAR TOU ENERGY WINTE OFFPEA CNHO01</v>
          </cell>
          <cell r="G623" t="str">
            <v>P132128</v>
          </cell>
          <cell r="H623" t="str">
            <v>P132128</v>
          </cell>
          <cell r="I623"/>
          <cell r="J623"/>
          <cell r="K623" t="str">
            <v>14</v>
          </cell>
          <cell r="L623" t="str">
            <v>07</v>
          </cell>
          <cell r="M623" t="str">
            <v>1</v>
          </cell>
          <cell r="N623" t="str">
            <v>32</v>
          </cell>
          <cell r="O623" t="str">
            <v>128</v>
          </cell>
          <cell r="P623" t="str">
            <v>3</v>
          </cell>
          <cell r="Q623">
            <v>18</v>
          </cell>
          <cell r="R623" t="str">
            <v>ZZZ</v>
          </cell>
          <cell r="S623" t="str">
            <v>ZZ</v>
          </cell>
          <cell r="T623">
            <v>11</v>
          </cell>
          <cell r="U623" t="str">
            <v>1407132128318ZZZZZ11</v>
          </cell>
          <cell r="V623">
            <v>617</v>
          </cell>
          <cell r="W623" t="str">
            <v>CEN DEPAR TOU ENERGY WINTE OFFPEA CNHO01</v>
          </cell>
          <cell r="X623">
            <v>-145667</v>
          </cell>
          <cell r="Y623">
            <v>-208722.43</v>
          </cell>
          <cell r="Z623">
            <v>-250466.91599999997</v>
          </cell>
          <cell r="AA623"/>
          <cell r="AB623">
            <v>-145667</v>
          </cell>
          <cell r="AC623">
            <v>-181224.00842787203</v>
          </cell>
        </row>
        <row r="624">
          <cell r="F624" t="str">
            <v>CEN DEPART TOU ENERGY SUMMER PEAK CENP01</v>
          </cell>
          <cell r="G624" t="str">
            <v>P132128</v>
          </cell>
          <cell r="H624" t="str">
            <v>P132128</v>
          </cell>
          <cell r="I624"/>
          <cell r="J624"/>
          <cell r="K624" t="str">
            <v>14</v>
          </cell>
          <cell r="L624" t="str">
            <v>07</v>
          </cell>
          <cell r="M624" t="str">
            <v>1</v>
          </cell>
          <cell r="N624" t="str">
            <v>32</v>
          </cell>
          <cell r="O624" t="str">
            <v>128</v>
          </cell>
          <cell r="P624" t="str">
            <v>4</v>
          </cell>
          <cell r="Q624">
            <v>18</v>
          </cell>
          <cell r="R624" t="str">
            <v>ZZZ</v>
          </cell>
          <cell r="S624" t="str">
            <v>ZZ</v>
          </cell>
          <cell r="T624">
            <v>11</v>
          </cell>
          <cell r="U624" t="str">
            <v>1407132128418ZZZZZ11</v>
          </cell>
          <cell r="V624">
            <v>618</v>
          </cell>
          <cell r="W624" t="str">
            <v>CEN DEPART TOU ENERGY SUMMER PEAK CENP01</v>
          </cell>
          <cell r="X624">
            <v>-226804</v>
          </cell>
          <cell r="Y624">
            <v>-151008.23000000001</v>
          </cell>
          <cell r="Z624">
            <v>-181209.87599999999</v>
          </cell>
          <cell r="AA624"/>
          <cell r="AB624">
            <v>-226804</v>
          </cell>
          <cell r="AC624">
            <v>-222350.75900839196</v>
          </cell>
        </row>
        <row r="625">
          <cell r="F625" t="str">
            <v>CEN DEPART TOU ENERGY SUMMER STD CENS01</v>
          </cell>
          <cell r="G625" t="str">
            <v>P132128</v>
          </cell>
          <cell r="H625" t="str">
            <v>P132128</v>
          </cell>
          <cell r="I625"/>
          <cell r="J625"/>
          <cell r="K625" t="str">
            <v>14</v>
          </cell>
          <cell r="L625" t="str">
            <v>07</v>
          </cell>
          <cell r="M625" t="str">
            <v>1</v>
          </cell>
          <cell r="N625" t="str">
            <v>32</v>
          </cell>
          <cell r="O625" t="str">
            <v>128</v>
          </cell>
          <cell r="P625" t="str">
            <v>5</v>
          </cell>
          <cell r="Q625">
            <v>18</v>
          </cell>
          <cell r="R625" t="str">
            <v>ZZZ</v>
          </cell>
          <cell r="S625" t="str">
            <v>ZZ</v>
          </cell>
          <cell r="T625">
            <v>11</v>
          </cell>
          <cell r="U625" t="str">
            <v>1407132128518ZZZZZ11</v>
          </cell>
          <cell r="V625">
            <v>619</v>
          </cell>
          <cell r="W625" t="str">
            <v>CEN DEPART TOU ENERGY SUMMER STD CENS01</v>
          </cell>
          <cell r="X625">
            <v>-344619</v>
          </cell>
          <cell r="Y625">
            <v>-226930.72</v>
          </cell>
          <cell r="Z625">
            <v>-272316.864</v>
          </cell>
          <cell r="AA625"/>
          <cell r="AB625">
            <v>-344619</v>
          </cell>
          <cell r="AC625">
            <v>-343516.16345856001</v>
          </cell>
        </row>
        <row r="626">
          <cell r="F626" t="str">
            <v>CEN DEPAR TOU ENERGY SUMM OFFPEAK CEN001</v>
          </cell>
          <cell r="G626" t="str">
            <v>P132128</v>
          </cell>
          <cell r="H626" t="str">
            <v>P132128</v>
          </cell>
          <cell r="I626"/>
          <cell r="J626"/>
          <cell r="K626" t="str">
            <v>14</v>
          </cell>
          <cell r="L626" t="str">
            <v>07</v>
          </cell>
          <cell r="M626" t="str">
            <v>1</v>
          </cell>
          <cell r="N626" t="str">
            <v>32</v>
          </cell>
          <cell r="O626" t="str">
            <v>128</v>
          </cell>
          <cell r="P626" t="str">
            <v>6</v>
          </cell>
          <cell r="Q626">
            <v>18</v>
          </cell>
          <cell r="R626" t="str">
            <v>ZZZ</v>
          </cell>
          <cell r="S626" t="str">
            <v>ZZ</v>
          </cell>
          <cell r="T626">
            <v>11</v>
          </cell>
          <cell r="U626" t="str">
            <v>1407132128618ZZZZZ11</v>
          </cell>
          <cell r="V626">
            <v>620</v>
          </cell>
          <cell r="W626" t="str">
            <v>CEN DEPAR TOU ENERGY SUMM OFFPEAK CEN001</v>
          </cell>
          <cell r="X626">
            <v>-275036</v>
          </cell>
          <cell r="Y626">
            <v>-189849.75</v>
          </cell>
          <cell r="Z626">
            <v>-227819.69999999998</v>
          </cell>
          <cell r="AA626"/>
          <cell r="AB626">
            <v>-275036</v>
          </cell>
          <cell r="AC626">
            <v>-268956.30346395995</v>
          </cell>
        </row>
        <row r="627">
          <cell r="F627" t="str">
            <v>MMM SPORTS STAD WINTER PEAK MHP001</v>
          </cell>
          <cell r="G627" t="str">
            <v>P132131</v>
          </cell>
          <cell r="H627" t="str">
            <v>P132131</v>
          </cell>
          <cell r="I627"/>
          <cell r="J627"/>
          <cell r="K627" t="str">
            <v>14</v>
          </cell>
          <cell r="L627" t="str">
            <v>07</v>
          </cell>
          <cell r="M627" t="str">
            <v>1</v>
          </cell>
          <cell r="N627" t="str">
            <v>32</v>
          </cell>
          <cell r="O627" t="str">
            <v>131</v>
          </cell>
          <cell r="P627" t="str">
            <v>1</v>
          </cell>
          <cell r="Q627">
            <v>18</v>
          </cell>
          <cell r="R627" t="str">
            <v>ZZZ</v>
          </cell>
          <cell r="S627" t="str">
            <v>ZZ</v>
          </cell>
          <cell r="T627">
            <v>11</v>
          </cell>
          <cell r="U627" t="str">
            <v>1407132131118ZZZZZ11</v>
          </cell>
          <cell r="V627">
            <v>621</v>
          </cell>
          <cell r="W627" t="str">
            <v>MMM SPORTS STAD WINTER PEAK MHP001</v>
          </cell>
          <cell r="X627">
            <v>-439059</v>
          </cell>
          <cell r="Y627">
            <v>-447372.93</v>
          </cell>
          <cell r="Z627">
            <v>-536847.51599999995</v>
          </cell>
          <cell r="AA627"/>
          <cell r="AB627">
            <v>-439059</v>
          </cell>
          <cell r="AC627">
            <v>-556365.46995276795</v>
          </cell>
        </row>
        <row r="628">
          <cell r="F628" t="str">
            <v>MMM SPORTS STAD WINTER STD MHS001</v>
          </cell>
          <cell r="G628" t="str">
            <v>P132131</v>
          </cell>
          <cell r="H628" t="str">
            <v>P132131</v>
          </cell>
          <cell r="I628"/>
          <cell r="J628"/>
          <cell r="K628" t="str">
            <v>14</v>
          </cell>
          <cell r="L628" t="str">
            <v>07</v>
          </cell>
          <cell r="M628" t="str">
            <v>1</v>
          </cell>
          <cell r="N628" t="str">
            <v>32</v>
          </cell>
          <cell r="O628" t="str">
            <v>131</v>
          </cell>
          <cell r="P628" t="str">
            <v>2</v>
          </cell>
          <cell r="Q628">
            <v>18</v>
          </cell>
          <cell r="R628" t="str">
            <v>ZZZ</v>
          </cell>
          <cell r="S628" t="str">
            <v>ZZ</v>
          </cell>
          <cell r="T628">
            <v>11</v>
          </cell>
          <cell r="U628" t="str">
            <v>1407132131218ZZZZZ11</v>
          </cell>
          <cell r="V628">
            <v>622</v>
          </cell>
          <cell r="W628" t="str">
            <v>MMM SPORTS STAD WINTER STD MHS001</v>
          </cell>
          <cell r="X628">
            <v>-615257</v>
          </cell>
          <cell r="Y628">
            <v>-572874.92000000004</v>
          </cell>
          <cell r="Z628">
            <v>-687449.9040000001</v>
          </cell>
          <cell r="AA628"/>
          <cell r="AB628">
            <v>-615257</v>
          </cell>
          <cell r="AC628">
            <v>-747009.52179055987</v>
          </cell>
        </row>
        <row r="629">
          <cell r="F629" t="str">
            <v>MMM SPORTS STAD WINTER OFF PEAK MHO001</v>
          </cell>
          <cell r="G629" t="str">
            <v>P132131</v>
          </cell>
          <cell r="H629" t="str">
            <v>P132131</v>
          </cell>
          <cell r="I629"/>
          <cell r="J629"/>
          <cell r="K629" t="str">
            <v>14</v>
          </cell>
          <cell r="L629" t="str">
            <v>07</v>
          </cell>
          <cell r="M629" t="str">
            <v>1</v>
          </cell>
          <cell r="N629" t="str">
            <v>32</v>
          </cell>
          <cell r="O629" t="str">
            <v>131</v>
          </cell>
          <cell r="P629" t="str">
            <v>3</v>
          </cell>
          <cell r="Q629">
            <v>18</v>
          </cell>
          <cell r="R629" t="str">
            <v>ZZZ</v>
          </cell>
          <cell r="S629" t="str">
            <v>ZZ</v>
          </cell>
          <cell r="T629">
            <v>11</v>
          </cell>
          <cell r="U629" t="str">
            <v>1407132131318ZZZZZ11</v>
          </cell>
          <cell r="V629">
            <v>623</v>
          </cell>
          <cell r="W629" t="str">
            <v>MMM SPORTS STAD WINTER OFF PEAK MHO001</v>
          </cell>
          <cell r="X629">
            <v>-721390</v>
          </cell>
          <cell r="Y629">
            <v>-611563.43000000005</v>
          </cell>
          <cell r="Z629">
            <v>-733876.11600000015</v>
          </cell>
          <cell r="AA629"/>
          <cell r="AB629">
            <v>-721390</v>
          </cell>
          <cell r="AC629">
            <v>-880763.88839728793</v>
          </cell>
        </row>
        <row r="630">
          <cell r="F630" t="str">
            <v>MMM SPORTS STAD SUMMER PEAK MSP01</v>
          </cell>
          <cell r="G630" t="str">
            <v>P132131</v>
          </cell>
          <cell r="H630" t="str">
            <v>P132131</v>
          </cell>
          <cell r="I630"/>
          <cell r="J630"/>
          <cell r="K630" t="str">
            <v>14</v>
          </cell>
          <cell r="L630" t="str">
            <v>07</v>
          </cell>
          <cell r="M630" t="str">
            <v>1</v>
          </cell>
          <cell r="N630" t="str">
            <v>32</v>
          </cell>
          <cell r="O630" t="str">
            <v>131</v>
          </cell>
          <cell r="P630" t="str">
            <v>4</v>
          </cell>
          <cell r="Q630">
            <v>18</v>
          </cell>
          <cell r="R630" t="str">
            <v>ZZZ</v>
          </cell>
          <cell r="S630" t="str">
            <v>ZZ</v>
          </cell>
          <cell r="T630">
            <v>11</v>
          </cell>
          <cell r="U630" t="str">
            <v>1407132131418ZZZZZ11</v>
          </cell>
          <cell r="V630">
            <v>624</v>
          </cell>
          <cell r="W630" t="str">
            <v>MMM SPORTS STAD SUMMER PEAK MSP01</v>
          </cell>
          <cell r="X630">
            <v>-1068202</v>
          </cell>
          <cell r="Y630">
            <v>-597727.35</v>
          </cell>
          <cell r="Z630">
            <v>-717272.82000000007</v>
          </cell>
          <cell r="AA630"/>
          <cell r="AB630">
            <v>-1068202</v>
          </cell>
          <cell r="AC630">
            <v>-1045017.2322324</v>
          </cell>
        </row>
        <row r="631">
          <cell r="F631" t="str">
            <v>MMM SPORTS STAD SUMMER STD MSS01</v>
          </cell>
          <cell r="G631" t="str">
            <v>P132131</v>
          </cell>
          <cell r="H631" t="str">
            <v>P132131</v>
          </cell>
          <cell r="I631"/>
          <cell r="J631"/>
          <cell r="K631" t="str">
            <v>14</v>
          </cell>
          <cell r="L631" t="str">
            <v>07</v>
          </cell>
          <cell r="M631" t="str">
            <v>1</v>
          </cell>
          <cell r="N631" t="str">
            <v>32</v>
          </cell>
          <cell r="O631" t="str">
            <v>131</v>
          </cell>
          <cell r="P631" t="str">
            <v>5</v>
          </cell>
          <cell r="Q631">
            <v>18</v>
          </cell>
          <cell r="R631" t="str">
            <v>ZZZ</v>
          </cell>
          <cell r="S631" t="str">
            <v>ZZ</v>
          </cell>
          <cell r="T631">
            <v>11</v>
          </cell>
          <cell r="U631" t="str">
            <v>1407132131518ZZZZZ11</v>
          </cell>
          <cell r="V631">
            <v>625</v>
          </cell>
          <cell r="W631" t="str">
            <v>MMM SPORTS STAD SUMMER STD MSS01</v>
          </cell>
          <cell r="X631">
            <v>-1684303</v>
          </cell>
          <cell r="Y631">
            <v>-946492.21</v>
          </cell>
          <cell r="Z631">
            <v>-1135790.6519999998</v>
          </cell>
          <cell r="AA631"/>
          <cell r="AB631">
            <v>-1684303</v>
          </cell>
          <cell r="AC631">
            <v>-1684967.6307374402</v>
          </cell>
        </row>
        <row r="632">
          <cell r="F632" t="str">
            <v>MMM SPORTS STAD SUMMER OFF PEAK MSO01</v>
          </cell>
          <cell r="G632" t="str">
            <v>P132131</v>
          </cell>
          <cell r="H632" t="str">
            <v>P132131</v>
          </cell>
          <cell r="I632"/>
          <cell r="J632"/>
          <cell r="K632" t="str">
            <v>14</v>
          </cell>
          <cell r="L632" t="str">
            <v>07</v>
          </cell>
          <cell r="M632" t="str">
            <v>1</v>
          </cell>
          <cell r="N632" t="str">
            <v>32</v>
          </cell>
          <cell r="O632" t="str">
            <v>131</v>
          </cell>
          <cell r="P632" t="str">
            <v>6</v>
          </cell>
          <cell r="Q632">
            <v>18</v>
          </cell>
          <cell r="R632" t="str">
            <v>ZZZ</v>
          </cell>
          <cell r="S632" t="str">
            <v>ZZ</v>
          </cell>
          <cell r="T632">
            <v>11</v>
          </cell>
          <cell r="U632" t="str">
            <v>1407132131618ZZZZZ11</v>
          </cell>
          <cell r="V632">
            <v>626</v>
          </cell>
          <cell r="W632" t="str">
            <v>MMM SPORTS STAD SUMMER OFF PEAK MSO01</v>
          </cell>
          <cell r="X632">
            <v>-1789268</v>
          </cell>
          <cell r="Y632">
            <v>-1008690.66</v>
          </cell>
          <cell r="Z632">
            <v>-1210428.7920000001</v>
          </cell>
          <cell r="AA632"/>
          <cell r="AB632">
            <v>-1789268</v>
          </cell>
          <cell r="AC632">
            <v>-1773969.2781649998</v>
          </cell>
        </row>
        <row r="633">
          <cell r="F633" t="str">
            <v>MANGAUNG STREETLIGHTS ELSLC1</v>
          </cell>
          <cell r="G633" t="str">
            <v>P132132</v>
          </cell>
          <cell r="H633" t="str">
            <v>P132132</v>
          </cell>
          <cell r="I633"/>
          <cell r="J633"/>
          <cell r="K633" t="str">
            <v>14</v>
          </cell>
          <cell r="L633" t="str">
            <v>07</v>
          </cell>
          <cell r="M633" t="str">
            <v>1</v>
          </cell>
          <cell r="N633" t="str">
            <v>32</v>
          </cell>
          <cell r="O633" t="str">
            <v>132</v>
          </cell>
          <cell r="P633" t="str">
            <v>0</v>
          </cell>
          <cell r="Q633">
            <v>18</v>
          </cell>
          <cell r="R633" t="str">
            <v>ZZZ</v>
          </cell>
          <cell r="S633" t="str">
            <v>ZZ</v>
          </cell>
          <cell r="T633">
            <v>11</v>
          </cell>
          <cell r="U633" t="str">
            <v>1407132132018ZZZZZ11</v>
          </cell>
          <cell r="V633">
            <v>627</v>
          </cell>
          <cell r="W633" t="str">
            <v>MANGAUNG STREETLIGHTS ELSLC1</v>
          </cell>
          <cell r="X633">
            <v>-87622679</v>
          </cell>
          <cell r="Y633">
            <v>-1530500.47</v>
          </cell>
          <cell r="Z633">
            <v>-1836600.5639999998</v>
          </cell>
          <cell r="AA633"/>
          <cell r="AB633">
            <v>-87622679</v>
          </cell>
          <cell r="AC633">
            <v>-91830169.811765403</v>
          </cell>
        </row>
        <row r="634">
          <cell r="F634" t="str">
            <v>MS: SAL &amp; ALL: BASIC SALARY &amp; WAGES</v>
          </cell>
          <cell r="G634" t="str">
            <v>P211001</v>
          </cell>
          <cell r="H634" t="str">
            <v>P211001</v>
          </cell>
          <cell r="I634" t="str">
            <v>501407</v>
          </cell>
          <cell r="J634">
            <v>50</v>
          </cell>
          <cell r="K634" t="str">
            <v>14</v>
          </cell>
          <cell r="L634" t="str">
            <v>07</v>
          </cell>
          <cell r="M634" t="str">
            <v>2</v>
          </cell>
          <cell r="N634" t="str">
            <v>11</v>
          </cell>
          <cell r="O634" t="str">
            <v>001</v>
          </cell>
          <cell r="P634" t="str">
            <v>0</v>
          </cell>
          <cell r="Q634">
            <v>18</v>
          </cell>
          <cell r="R634" t="str">
            <v>MRC</v>
          </cell>
          <cell r="S634" t="str">
            <v>ZZ</v>
          </cell>
          <cell r="T634">
            <v>11</v>
          </cell>
          <cell r="U634" t="str">
            <v>1407211001018MRCZZ11</v>
          </cell>
          <cell r="V634">
            <v>628</v>
          </cell>
          <cell r="W634" t="str">
            <v>MS: SAL &amp; ALL: BASIC SALARY &amp; WAGES</v>
          </cell>
          <cell r="X634">
            <v>7831808</v>
          </cell>
          <cell r="Y634">
            <v>7807708.8700000001</v>
          </cell>
          <cell r="Z634">
            <v>9369250.6439999994</v>
          </cell>
          <cell r="AA634"/>
          <cell r="AB634">
            <v>7831808</v>
          </cell>
          <cell r="AC634">
            <v>6792108.96</v>
          </cell>
        </row>
        <row r="635">
          <cell r="F635" t="str">
            <v>MS: ALL - CELLULAR &amp; TELEPHONE</v>
          </cell>
          <cell r="G635" t="str">
            <v>P211022</v>
          </cell>
          <cell r="H635" t="str">
            <v>P211022</v>
          </cell>
          <cell r="I635" t="str">
            <v>501407</v>
          </cell>
          <cell r="J635">
            <v>50</v>
          </cell>
          <cell r="K635" t="str">
            <v>14</v>
          </cell>
          <cell r="L635" t="str">
            <v>07</v>
          </cell>
          <cell r="M635" t="str">
            <v>2</v>
          </cell>
          <cell r="N635" t="str">
            <v>11</v>
          </cell>
          <cell r="O635" t="str">
            <v>022</v>
          </cell>
          <cell r="P635" t="str">
            <v>0</v>
          </cell>
          <cell r="Q635">
            <v>18</v>
          </cell>
          <cell r="R635" t="str">
            <v>MRC</v>
          </cell>
          <cell r="S635" t="str">
            <v>ZZ</v>
          </cell>
          <cell r="T635">
            <v>11</v>
          </cell>
          <cell r="U635" t="str">
            <v>1407211022018MRCZZ11</v>
          </cell>
          <cell r="V635">
            <v>629</v>
          </cell>
          <cell r="W635" t="str">
            <v>MS: ALL - CELLULAR &amp; TELEPHONE</v>
          </cell>
          <cell r="X635">
            <v>21588</v>
          </cell>
          <cell r="Y635">
            <v>19400</v>
          </cell>
          <cell r="Z635">
            <v>23280</v>
          </cell>
          <cell r="AA635"/>
          <cell r="AB635">
            <v>21588</v>
          </cell>
          <cell r="AC635">
            <v>22008</v>
          </cell>
        </row>
        <row r="636">
          <cell r="F636" t="str">
            <v>MS: HB &amp; INC: HOUSING BENEFITS</v>
          </cell>
          <cell r="G636" t="str">
            <v>P211026</v>
          </cell>
          <cell r="H636" t="str">
            <v>P211026</v>
          </cell>
          <cell r="I636" t="str">
            <v>501407</v>
          </cell>
          <cell r="J636">
            <v>50</v>
          </cell>
          <cell r="K636" t="str">
            <v>14</v>
          </cell>
          <cell r="L636" t="str">
            <v>07</v>
          </cell>
          <cell r="M636" t="str">
            <v>2</v>
          </cell>
          <cell r="N636" t="str">
            <v>11</v>
          </cell>
          <cell r="O636" t="str">
            <v>026</v>
          </cell>
          <cell r="P636" t="str">
            <v>0</v>
          </cell>
          <cell r="Q636">
            <v>18</v>
          </cell>
          <cell r="R636" t="str">
            <v>MRC</v>
          </cell>
          <cell r="S636" t="str">
            <v>ZZ</v>
          </cell>
          <cell r="T636">
            <v>11</v>
          </cell>
          <cell r="U636" t="str">
            <v>1407211026018MRCZZ11</v>
          </cell>
          <cell r="V636">
            <v>630</v>
          </cell>
          <cell r="W636" t="str">
            <v>MS: HB &amp; INC: HOUSING BENEFITS</v>
          </cell>
          <cell r="X636">
            <v>72711</v>
          </cell>
          <cell r="Y636">
            <v>84876.88</v>
          </cell>
          <cell r="Z636">
            <v>101852.25599999999</v>
          </cell>
          <cell r="AA636"/>
          <cell r="AB636">
            <v>72711</v>
          </cell>
          <cell r="AC636">
            <v>181945.16639999996</v>
          </cell>
        </row>
        <row r="637">
          <cell r="F637" t="str">
            <v>MS: ALL - LEAVE PAY</v>
          </cell>
          <cell r="G637" t="str">
            <v>P211032</v>
          </cell>
          <cell r="H637" t="str">
            <v>P211032</v>
          </cell>
          <cell r="I637" t="str">
            <v>501407</v>
          </cell>
          <cell r="J637">
            <v>50</v>
          </cell>
          <cell r="K637" t="str">
            <v>14</v>
          </cell>
          <cell r="L637" t="str">
            <v>07</v>
          </cell>
          <cell r="M637" t="str">
            <v>2</v>
          </cell>
          <cell r="N637" t="str">
            <v>11</v>
          </cell>
          <cell r="O637" t="str">
            <v>032</v>
          </cell>
          <cell r="P637" t="str">
            <v>0</v>
          </cell>
          <cell r="Q637">
            <v>18</v>
          </cell>
          <cell r="R637" t="str">
            <v>MRC</v>
          </cell>
          <cell r="S637" t="str">
            <v>ZZ</v>
          </cell>
          <cell r="T637">
            <v>11</v>
          </cell>
          <cell r="U637" t="str">
            <v>1407211032018MRCZZ11</v>
          </cell>
          <cell r="V637">
            <v>631</v>
          </cell>
          <cell r="W637" t="str">
            <v>MS: ALL - LEAVE PAY</v>
          </cell>
          <cell r="X637">
            <v>0</v>
          </cell>
          <cell r="Y637">
            <v>0</v>
          </cell>
          <cell r="Z637">
            <v>0</v>
          </cell>
          <cell r="AA637"/>
          <cell r="AB637">
            <v>0</v>
          </cell>
          <cell r="AC637">
            <v>0</v>
          </cell>
        </row>
        <row r="638">
          <cell r="F638" t="str">
            <v>MS: ALL - TRAVEL OR MOTOR VEHICLE</v>
          </cell>
          <cell r="G638" t="str">
            <v>P211034</v>
          </cell>
          <cell r="H638" t="str">
            <v>P211034</v>
          </cell>
          <cell r="I638" t="str">
            <v>501407</v>
          </cell>
          <cell r="J638">
            <v>50</v>
          </cell>
          <cell r="K638" t="str">
            <v>14</v>
          </cell>
          <cell r="L638" t="str">
            <v>07</v>
          </cell>
          <cell r="M638" t="str">
            <v>2</v>
          </cell>
          <cell r="N638" t="str">
            <v>11</v>
          </cell>
          <cell r="O638" t="str">
            <v>034</v>
          </cell>
          <cell r="P638" t="str">
            <v>0</v>
          </cell>
          <cell r="Q638">
            <v>18</v>
          </cell>
          <cell r="R638" t="str">
            <v>MRC</v>
          </cell>
          <cell r="S638" t="str">
            <v>ZZ</v>
          </cell>
          <cell r="T638">
            <v>11</v>
          </cell>
          <cell r="U638" t="str">
            <v>1407211034018MRCZZ11</v>
          </cell>
          <cell r="V638">
            <v>632</v>
          </cell>
          <cell r="W638" t="str">
            <v>MS: ALL - TRAVEL OR MOTOR VEHICLE</v>
          </cell>
          <cell r="X638">
            <v>1520</v>
          </cell>
          <cell r="Y638">
            <v>0</v>
          </cell>
          <cell r="Z638">
            <v>0</v>
          </cell>
          <cell r="AA638"/>
          <cell r="AB638">
            <v>1520</v>
          </cell>
          <cell r="AC638">
            <v>0</v>
          </cell>
        </row>
        <row r="639">
          <cell r="F639" t="str">
            <v>MS: ALL - TRAVEL OR MOTOR VEHICLE (SUBS</v>
          </cell>
          <cell r="G639" t="str">
            <v>P211034</v>
          </cell>
          <cell r="H639" t="str">
            <v>P211034</v>
          </cell>
          <cell r="I639" t="str">
            <v>501407</v>
          </cell>
          <cell r="J639">
            <v>50</v>
          </cell>
          <cell r="K639" t="str">
            <v>14</v>
          </cell>
          <cell r="L639" t="str">
            <v>07</v>
          </cell>
          <cell r="M639" t="str">
            <v>2</v>
          </cell>
          <cell r="N639" t="str">
            <v>11</v>
          </cell>
          <cell r="O639" t="str">
            <v>034</v>
          </cell>
          <cell r="P639" t="str">
            <v>1</v>
          </cell>
          <cell r="Q639">
            <v>18</v>
          </cell>
          <cell r="R639" t="str">
            <v>MRC</v>
          </cell>
          <cell r="S639" t="str">
            <v>ZZ</v>
          </cell>
          <cell r="T639">
            <v>11</v>
          </cell>
          <cell r="U639" t="str">
            <v>1407211034118MRCZZ11</v>
          </cell>
          <cell r="V639">
            <v>633</v>
          </cell>
          <cell r="W639" t="str">
            <v>MS: ALL - TRAVEL OR MOTOR VEHICLE (SUBS</v>
          </cell>
          <cell r="X639">
            <v>1630102</v>
          </cell>
          <cell r="Y639">
            <v>1688032.15</v>
          </cell>
          <cell r="Z639">
            <v>2025638.58</v>
          </cell>
          <cell r="AA639"/>
          <cell r="AB639">
            <v>1630102</v>
          </cell>
          <cell r="AC639">
            <v>105545.12800000001</v>
          </cell>
        </row>
        <row r="640">
          <cell r="F640" t="str">
            <v>MS: OVERTIME - STRUCTURED</v>
          </cell>
          <cell r="G640" t="str">
            <v>P211038</v>
          </cell>
          <cell r="H640" t="str">
            <v>P211038</v>
          </cell>
          <cell r="I640" t="str">
            <v>501407</v>
          </cell>
          <cell r="J640">
            <v>50</v>
          </cell>
          <cell r="K640" t="str">
            <v>14</v>
          </cell>
          <cell r="L640" t="str">
            <v>07</v>
          </cell>
          <cell r="M640" t="str">
            <v>2</v>
          </cell>
          <cell r="N640" t="str">
            <v>11</v>
          </cell>
          <cell r="O640" t="str">
            <v>038</v>
          </cell>
          <cell r="P640" t="str">
            <v>0</v>
          </cell>
          <cell r="Q640">
            <v>18</v>
          </cell>
          <cell r="R640" t="str">
            <v>MRC</v>
          </cell>
          <cell r="S640" t="str">
            <v>ZZ</v>
          </cell>
          <cell r="T640">
            <v>11</v>
          </cell>
          <cell r="U640" t="str">
            <v>1407211038018MRCZZ11</v>
          </cell>
          <cell r="V640">
            <v>634</v>
          </cell>
          <cell r="W640" t="str">
            <v>MS: OVERTIME - STRUCTURED</v>
          </cell>
          <cell r="X640">
            <v>659196</v>
          </cell>
          <cell r="Y640">
            <v>524338.18000000005</v>
          </cell>
          <cell r="Z640">
            <v>629205.81600000011</v>
          </cell>
          <cell r="AA640"/>
          <cell r="AB640">
            <v>659196</v>
          </cell>
          <cell r="AC640">
            <v>593276.4</v>
          </cell>
        </row>
        <row r="641">
          <cell r="F641" t="str">
            <v>MS: PAYMENTS - SHIFT ADD REMUNERATION</v>
          </cell>
          <cell r="G641" t="str">
            <v>P211040</v>
          </cell>
          <cell r="H641" t="str">
            <v>P211040</v>
          </cell>
          <cell r="I641" t="str">
            <v>501407</v>
          </cell>
          <cell r="J641">
            <v>50</v>
          </cell>
          <cell r="K641" t="str">
            <v>14</v>
          </cell>
          <cell r="L641" t="str">
            <v>07</v>
          </cell>
          <cell r="M641" t="str">
            <v>2</v>
          </cell>
          <cell r="N641" t="str">
            <v>11</v>
          </cell>
          <cell r="O641" t="str">
            <v>040</v>
          </cell>
          <cell r="P641" t="str">
            <v>0</v>
          </cell>
          <cell r="Q641">
            <v>18</v>
          </cell>
          <cell r="R641" t="str">
            <v>MRC</v>
          </cell>
          <cell r="S641" t="str">
            <v>ZZ</v>
          </cell>
          <cell r="T641">
            <v>11</v>
          </cell>
          <cell r="U641" t="str">
            <v>1407211040018MRCZZ11</v>
          </cell>
          <cell r="V641">
            <v>635</v>
          </cell>
          <cell r="W641" t="str">
            <v>MS: PAYMENTS - SHIFT ADD REMUNERATION</v>
          </cell>
          <cell r="X641">
            <v>0</v>
          </cell>
          <cell r="Y641">
            <v>0</v>
          </cell>
          <cell r="Z641">
            <v>0</v>
          </cell>
          <cell r="AA641"/>
          <cell r="AB641">
            <v>0</v>
          </cell>
          <cell r="AC641">
            <v>0</v>
          </cell>
        </row>
        <row r="642">
          <cell r="F642" t="str">
            <v>MS: OVERTIME - NIGHT SHIFT</v>
          </cell>
          <cell r="G642" t="str">
            <v>P211042</v>
          </cell>
          <cell r="H642" t="str">
            <v>P211042</v>
          </cell>
          <cell r="I642" t="str">
            <v>501407</v>
          </cell>
          <cell r="J642">
            <v>50</v>
          </cell>
          <cell r="K642" t="str">
            <v>14</v>
          </cell>
          <cell r="L642" t="str">
            <v>07</v>
          </cell>
          <cell r="M642" t="str">
            <v>2</v>
          </cell>
          <cell r="N642" t="str">
            <v>11</v>
          </cell>
          <cell r="O642" t="str">
            <v>042</v>
          </cell>
          <cell r="P642" t="str">
            <v>0</v>
          </cell>
          <cell r="Q642">
            <v>18</v>
          </cell>
          <cell r="R642" t="str">
            <v>MRC</v>
          </cell>
          <cell r="S642" t="str">
            <v>ZZ</v>
          </cell>
          <cell r="T642">
            <v>11</v>
          </cell>
          <cell r="U642" t="str">
            <v>1407211042018MRCZZ11</v>
          </cell>
          <cell r="V642">
            <v>636</v>
          </cell>
          <cell r="W642" t="str">
            <v>MS: OVERTIME - NIGHT SHIFT</v>
          </cell>
          <cell r="X642">
            <v>34760</v>
          </cell>
          <cell r="Y642">
            <v>21474.2</v>
          </cell>
          <cell r="Z642">
            <v>25769.040000000001</v>
          </cell>
          <cell r="AA642"/>
          <cell r="AB642">
            <v>34760</v>
          </cell>
          <cell r="AC642">
            <v>31284</v>
          </cell>
        </row>
        <row r="643">
          <cell r="F643" t="str">
            <v>MS: SRB - ACTING ALLOWANCE</v>
          </cell>
          <cell r="G643" t="str">
            <v>P211044</v>
          </cell>
          <cell r="H643" t="str">
            <v>P211044</v>
          </cell>
          <cell r="I643" t="str">
            <v>501407</v>
          </cell>
          <cell r="J643">
            <v>50</v>
          </cell>
          <cell r="K643" t="str">
            <v>14</v>
          </cell>
          <cell r="L643" t="str">
            <v>07</v>
          </cell>
          <cell r="M643" t="str">
            <v>2</v>
          </cell>
          <cell r="N643" t="str">
            <v>11</v>
          </cell>
          <cell r="O643" t="str">
            <v>044</v>
          </cell>
          <cell r="P643" t="str">
            <v>0</v>
          </cell>
          <cell r="Q643">
            <v>18</v>
          </cell>
          <cell r="R643" t="str">
            <v>MRC</v>
          </cell>
          <cell r="S643" t="str">
            <v>ZZ</v>
          </cell>
          <cell r="T643">
            <v>11</v>
          </cell>
          <cell r="U643" t="str">
            <v>1407211044018MRCZZ11</v>
          </cell>
          <cell r="V643">
            <v>637</v>
          </cell>
          <cell r="W643" t="str">
            <v>MS: SRB - ACTING ALLOWANCE</v>
          </cell>
          <cell r="X643">
            <v>0</v>
          </cell>
          <cell r="Y643">
            <v>27006</v>
          </cell>
          <cell r="Z643">
            <v>32407.199999999997</v>
          </cell>
          <cell r="AA643"/>
          <cell r="AB643">
            <v>0</v>
          </cell>
          <cell r="AC643">
            <v>0</v>
          </cell>
        </row>
        <row r="644">
          <cell r="F644" t="str">
            <v>MS: SRB - ANNUAL BONUS</v>
          </cell>
          <cell r="G644" t="str">
            <v>P211046</v>
          </cell>
          <cell r="H644" t="str">
            <v>P211046</v>
          </cell>
          <cell r="I644" t="str">
            <v>501407</v>
          </cell>
          <cell r="J644">
            <v>50</v>
          </cell>
          <cell r="K644" t="str">
            <v>14</v>
          </cell>
          <cell r="L644" t="str">
            <v>07</v>
          </cell>
          <cell r="M644" t="str">
            <v>2</v>
          </cell>
          <cell r="N644" t="str">
            <v>11</v>
          </cell>
          <cell r="O644" t="str">
            <v>046</v>
          </cell>
          <cell r="P644" t="str">
            <v>0</v>
          </cell>
          <cell r="Q644">
            <v>18</v>
          </cell>
          <cell r="R644" t="str">
            <v>MRC</v>
          </cell>
          <cell r="S644" t="str">
            <v>ZZ</v>
          </cell>
          <cell r="T644">
            <v>11</v>
          </cell>
          <cell r="U644" t="str">
            <v>1407211046018MRCZZ11</v>
          </cell>
          <cell r="V644">
            <v>638</v>
          </cell>
          <cell r="W644" t="str">
            <v>MS: SRB - ANNUAL BONUS</v>
          </cell>
          <cell r="X644">
            <v>636779</v>
          </cell>
          <cell r="Y644">
            <v>694138.6</v>
          </cell>
          <cell r="Z644">
            <v>832966.32000000007</v>
          </cell>
          <cell r="AA644"/>
          <cell r="AB644">
            <v>636779</v>
          </cell>
          <cell r="AC644">
            <v>566009.08000000007</v>
          </cell>
        </row>
        <row r="645">
          <cell r="F645" t="str">
            <v>MS: SRB - LONG SERVICE AWARD</v>
          </cell>
          <cell r="G645" t="str">
            <v>P211050</v>
          </cell>
          <cell r="H645" t="str">
            <v>P211050</v>
          </cell>
          <cell r="I645" t="str">
            <v>501407</v>
          </cell>
          <cell r="J645">
            <v>50</v>
          </cell>
          <cell r="K645" t="str">
            <v>14</v>
          </cell>
          <cell r="L645" t="str">
            <v>07</v>
          </cell>
          <cell r="M645" t="str">
            <v>2</v>
          </cell>
          <cell r="N645" t="str">
            <v>11</v>
          </cell>
          <cell r="O645" t="str">
            <v>050</v>
          </cell>
          <cell r="P645" t="str">
            <v>0</v>
          </cell>
          <cell r="Q645">
            <v>18</v>
          </cell>
          <cell r="R645" t="str">
            <v>MRC</v>
          </cell>
          <cell r="S645" t="str">
            <v>ZZ</v>
          </cell>
          <cell r="T645">
            <v>11</v>
          </cell>
          <cell r="U645" t="str">
            <v>1407211050018MRCZZ11</v>
          </cell>
          <cell r="V645">
            <v>639</v>
          </cell>
          <cell r="W645" t="str">
            <v>MS: SRB - LONG SERVICE AWARD</v>
          </cell>
          <cell r="X645">
            <v>0</v>
          </cell>
          <cell r="Y645">
            <v>0</v>
          </cell>
          <cell r="Z645">
            <v>0</v>
          </cell>
          <cell r="AA645"/>
          <cell r="AB645">
            <v>0</v>
          </cell>
          <cell r="AC645">
            <v>0</v>
          </cell>
        </row>
        <row r="646">
          <cell r="F646" t="str">
            <v>MS: SRB - STANDBY ALLOWANCE</v>
          </cell>
          <cell r="G646" t="str">
            <v>P211056</v>
          </cell>
          <cell r="H646" t="str">
            <v>P211056</v>
          </cell>
          <cell r="I646" t="str">
            <v>501407</v>
          </cell>
          <cell r="J646">
            <v>50</v>
          </cell>
          <cell r="K646" t="str">
            <v>14</v>
          </cell>
          <cell r="L646" t="str">
            <v>07</v>
          </cell>
          <cell r="M646" t="str">
            <v>2</v>
          </cell>
          <cell r="N646" t="str">
            <v>11</v>
          </cell>
          <cell r="O646" t="str">
            <v>056</v>
          </cell>
          <cell r="P646" t="str">
            <v>0</v>
          </cell>
          <cell r="Q646">
            <v>18</v>
          </cell>
          <cell r="R646" t="str">
            <v>MRC</v>
          </cell>
          <cell r="S646" t="str">
            <v>ZZ</v>
          </cell>
          <cell r="T646">
            <v>11</v>
          </cell>
          <cell r="U646" t="str">
            <v>1407211056018MRCZZ11</v>
          </cell>
          <cell r="V646">
            <v>640</v>
          </cell>
          <cell r="W646" t="str">
            <v>MS: SRB - STANDBY ALLOWANCE</v>
          </cell>
          <cell r="X646">
            <v>328365</v>
          </cell>
          <cell r="Y646">
            <v>300690.33</v>
          </cell>
          <cell r="Z646">
            <v>360828.39600000007</v>
          </cell>
          <cell r="AA646"/>
          <cell r="AB646">
            <v>328365</v>
          </cell>
          <cell r="AC646">
            <v>295528.5</v>
          </cell>
        </row>
        <row r="647">
          <cell r="F647" t="str">
            <v>MS: SOC CONTR - BARGAINING COUNCIL</v>
          </cell>
          <cell r="G647" t="str">
            <v>P213001</v>
          </cell>
          <cell r="H647" t="str">
            <v>P213001</v>
          </cell>
          <cell r="I647" t="str">
            <v>501407</v>
          </cell>
          <cell r="J647">
            <v>50</v>
          </cell>
          <cell r="K647" t="str">
            <v>14</v>
          </cell>
          <cell r="L647" t="str">
            <v>07</v>
          </cell>
          <cell r="M647" t="str">
            <v>2</v>
          </cell>
          <cell r="N647" t="str">
            <v>13</v>
          </cell>
          <cell r="O647" t="str">
            <v>001</v>
          </cell>
          <cell r="P647" t="str">
            <v>0</v>
          </cell>
          <cell r="Q647">
            <v>18</v>
          </cell>
          <cell r="R647" t="str">
            <v>MRC</v>
          </cell>
          <cell r="S647" t="str">
            <v>ZZ</v>
          </cell>
          <cell r="T647">
            <v>11</v>
          </cell>
          <cell r="U647" t="str">
            <v>1407213001018MRCZZ11</v>
          </cell>
          <cell r="V647">
            <v>641</v>
          </cell>
          <cell r="W647" t="str">
            <v>MS: SOC CONTR - BARGAINING COUNCIL</v>
          </cell>
          <cell r="X647">
            <v>2334</v>
          </cell>
          <cell r="Y647">
            <v>2224.8000000000002</v>
          </cell>
          <cell r="Z647">
            <v>2669.76</v>
          </cell>
          <cell r="AA647"/>
          <cell r="AB647">
            <v>2334</v>
          </cell>
          <cell r="AC647">
            <v>1942.9919999999995</v>
          </cell>
        </row>
        <row r="648">
          <cell r="F648" t="str">
            <v>MS: SOC CONTR - GROUP LIFE INSURANCE</v>
          </cell>
          <cell r="G648" t="str">
            <v>P213010</v>
          </cell>
          <cell r="H648" t="str">
            <v>P213010</v>
          </cell>
          <cell r="I648" t="str">
            <v>501407</v>
          </cell>
          <cell r="J648">
            <v>50</v>
          </cell>
          <cell r="K648" t="str">
            <v>14</v>
          </cell>
          <cell r="L648" t="str">
            <v>07</v>
          </cell>
          <cell r="M648" t="str">
            <v>2</v>
          </cell>
          <cell r="N648" t="str">
            <v>13</v>
          </cell>
          <cell r="O648" t="str">
            <v>010</v>
          </cell>
          <cell r="P648" t="str">
            <v>0</v>
          </cell>
          <cell r="Q648">
            <v>18</v>
          </cell>
          <cell r="R648" t="str">
            <v>MRC</v>
          </cell>
          <cell r="S648" t="str">
            <v>ZZ</v>
          </cell>
          <cell r="T648">
            <v>11</v>
          </cell>
          <cell r="U648" t="str">
            <v>1407213010018MRCZZ11</v>
          </cell>
          <cell r="V648">
            <v>642</v>
          </cell>
          <cell r="W648" t="str">
            <v>MS: SOC CONTR - GROUP LIFE INSURANCE</v>
          </cell>
          <cell r="X648">
            <v>50641</v>
          </cell>
          <cell r="Y648">
            <v>47626.37</v>
          </cell>
          <cell r="Z648">
            <v>57151.644000000008</v>
          </cell>
          <cell r="AA648"/>
          <cell r="AB648">
            <v>50641</v>
          </cell>
          <cell r="AC648">
            <v>115465.85232000003</v>
          </cell>
        </row>
        <row r="649">
          <cell r="F649" t="str">
            <v>MS: SOC CONTR - MEDICAL</v>
          </cell>
          <cell r="G649" t="str">
            <v>P213020</v>
          </cell>
          <cell r="H649" t="str">
            <v>P213020</v>
          </cell>
          <cell r="I649" t="str">
            <v>501407</v>
          </cell>
          <cell r="J649">
            <v>50</v>
          </cell>
          <cell r="K649" t="str">
            <v>14</v>
          </cell>
          <cell r="L649" t="str">
            <v>07</v>
          </cell>
          <cell r="M649" t="str">
            <v>2</v>
          </cell>
          <cell r="N649" t="str">
            <v>13</v>
          </cell>
          <cell r="O649" t="str">
            <v>020</v>
          </cell>
          <cell r="P649" t="str">
            <v>0</v>
          </cell>
          <cell r="Q649">
            <v>18</v>
          </cell>
          <cell r="R649" t="str">
            <v>MRC</v>
          </cell>
          <cell r="S649" t="str">
            <v>ZZ</v>
          </cell>
          <cell r="T649">
            <v>11</v>
          </cell>
          <cell r="U649" t="str">
            <v>1407213020018MRCZZ11</v>
          </cell>
          <cell r="V649">
            <v>643</v>
          </cell>
          <cell r="W649" t="str">
            <v>MS: SOC CONTR - MEDICAL</v>
          </cell>
          <cell r="X649">
            <v>614201</v>
          </cell>
          <cell r="Y649">
            <v>589805.52</v>
          </cell>
          <cell r="Z649">
            <v>707766.62400000007</v>
          </cell>
          <cell r="AA649"/>
          <cell r="AB649">
            <v>614201</v>
          </cell>
          <cell r="AC649">
            <v>900401.35679999983</v>
          </cell>
        </row>
        <row r="650">
          <cell r="F650" t="str">
            <v>MS: SOC CONTR - PENSION</v>
          </cell>
          <cell r="G650" t="str">
            <v>P213030</v>
          </cell>
          <cell r="H650" t="str">
            <v>P213030</v>
          </cell>
          <cell r="I650" t="str">
            <v>501407</v>
          </cell>
          <cell r="J650">
            <v>50</v>
          </cell>
          <cell r="K650" t="str">
            <v>14</v>
          </cell>
          <cell r="L650" t="str">
            <v>07</v>
          </cell>
          <cell r="M650" t="str">
            <v>2</v>
          </cell>
          <cell r="N650" t="str">
            <v>13</v>
          </cell>
          <cell r="O650" t="str">
            <v>030</v>
          </cell>
          <cell r="P650" t="str">
            <v>0</v>
          </cell>
          <cell r="Q650">
            <v>18</v>
          </cell>
          <cell r="R650" t="str">
            <v>MRC</v>
          </cell>
          <cell r="S650" t="str">
            <v>ZZ</v>
          </cell>
          <cell r="T650">
            <v>11</v>
          </cell>
          <cell r="U650" t="str">
            <v>1407213030018MRCZZ11</v>
          </cell>
          <cell r="V650">
            <v>644</v>
          </cell>
          <cell r="W650" t="str">
            <v>MS: SOC CONTR - PENSION</v>
          </cell>
          <cell r="X650">
            <v>1445389</v>
          </cell>
          <cell r="Y650">
            <v>1426745.41</v>
          </cell>
          <cell r="Z650">
            <v>1712094.4920000001</v>
          </cell>
          <cell r="AA650"/>
          <cell r="AB650">
            <v>1445389</v>
          </cell>
          <cell r="AC650">
            <v>1227334.0890719998</v>
          </cell>
        </row>
        <row r="651">
          <cell r="F651" t="str">
            <v>MS: SOC CONTR - UNEMPLOYMENT INSUR FUND</v>
          </cell>
          <cell r="G651" t="str">
            <v>P213040</v>
          </cell>
          <cell r="H651" t="str">
            <v>P213040</v>
          </cell>
          <cell r="I651" t="str">
            <v>501407</v>
          </cell>
          <cell r="J651">
            <v>50</v>
          </cell>
          <cell r="K651" t="str">
            <v>14</v>
          </cell>
          <cell r="L651" t="str">
            <v>07</v>
          </cell>
          <cell r="M651" t="str">
            <v>2</v>
          </cell>
          <cell r="N651" t="str">
            <v>13</v>
          </cell>
          <cell r="O651" t="str">
            <v>040</v>
          </cell>
          <cell r="P651" t="str">
            <v>0</v>
          </cell>
          <cell r="Q651">
            <v>18</v>
          </cell>
          <cell r="R651" t="str">
            <v>MRC</v>
          </cell>
          <cell r="S651" t="str">
            <v>ZZ</v>
          </cell>
          <cell r="T651">
            <v>11</v>
          </cell>
          <cell r="U651" t="str">
            <v>1407213040018MRCZZ11</v>
          </cell>
          <cell r="V651">
            <v>645</v>
          </cell>
          <cell r="W651" t="str">
            <v>MS: SOC CONTR - UNEMPLOYMENT INSUR FUND</v>
          </cell>
          <cell r="X651">
            <v>35061</v>
          </cell>
          <cell r="Y651">
            <v>38257.919999999998</v>
          </cell>
          <cell r="Z651">
            <v>45909.504000000001</v>
          </cell>
          <cell r="AA651"/>
          <cell r="AB651">
            <v>35061</v>
          </cell>
          <cell r="AC651">
            <v>33411.916799999992</v>
          </cell>
        </row>
        <row r="652">
          <cell r="F652" t="str">
            <v>OS: CATERING SERVICES(REFRESHMENTS)</v>
          </cell>
          <cell r="G652" t="str">
            <v>P226060</v>
          </cell>
          <cell r="H652" t="str">
            <v>P226060</v>
          </cell>
          <cell r="I652"/>
          <cell r="J652"/>
          <cell r="K652" t="str">
            <v>14</v>
          </cell>
          <cell r="L652" t="str">
            <v>07</v>
          </cell>
          <cell r="M652" t="str">
            <v>2</v>
          </cell>
          <cell r="N652" t="str">
            <v>26</v>
          </cell>
          <cell r="O652" t="str">
            <v>060</v>
          </cell>
          <cell r="P652" t="str">
            <v>H</v>
          </cell>
          <cell r="Q652">
            <v>18</v>
          </cell>
          <cell r="R652" t="str">
            <v>MRC</v>
          </cell>
          <cell r="S652" t="str">
            <v>ZZ</v>
          </cell>
          <cell r="T652">
            <v>11</v>
          </cell>
          <cell r="U652" t="str">
            <v>1407226060H18MRCZZ11</v>
          </cell>
          <cell r="V652">
            <v>646</v>
          </cell>
          <cell r="W652" t="str">
            <v>OS: CATERING SERVICES(REFRESHMENTS)</v>
          </cell>
          <cell r="X652">
            <v>0</v>
          </cell>
          <cell r="Y652">
            <v>0</v>
          </cell>
          <cell r="Z652">
            <v>0</v>
          </cell>
          <cell r="AA652"/>
          <cell r="AB652">
            <v>0</v>
          </cell>
          <cell r="AC652">
            <v>0</v>
          </cell>
        </row>
        <row r="653">
          <cell r="F653" t="str">
            <v>OS: METER MANAGEMENT</v>
          </cell>
          <cell r="G653" t="str">
            <v>P226060</v>
          </cell>
          <cell r="H653" t="str">
            <v>P226361</v>
          </cell>
          <cell r="I653"/>
          <cell r="J653"/>
          <cell r="K653" t="str">
            <v>14</v>
          </cell>
          <cell r="L653" t="str">
            <v>07</v>
          </cell>
          <cell r="M653" t="str">
            <v>2</v>
          </cell>
          <cell r="N653" t="str">
            <v>26</v>
          </cell>
          <cell r="O653" t="str">
            <v>361</v>
          </cell>
          <cell r="P653" t="str">
            <v>0</v>
          </cell>
          <cell r="Q653">
            <v>18</v>
          </cell>
          <cell r="R653" t="str">
            <v>MRC</v>
          </cell>
          <cell r="S653" t="str">
            <v>ZZ</v>
          </cell>
          <cell r="T653">
            <v>11</v>
          </cell>
          <cell r="U653" t="str">
            <v>1407226361018MRCZZ11</v>
          </cell>
          <cell r="V653">
            <v>647</v>
          </cell>
          <cell r="W653" t="str">
            <v>OS: METER MANAGEMENT</v>
          </cell>
          <cell r="X653">
            <v>1956298</v>
          </cell>
          <cell r="Y653">
            <v>459338.68</v>
          </cell>
          <cell r="Z653">
            <v>551206.41599999997</v>
          </cell>
          <cell r="AA653">
            <v>-500000</v>
          </cell>
          <cell r="AB653">
            <v>1456298</v>
          </cell>
          <cell r="AC653">
            <v>1526200.304</v>
          </cell>
        </row>
        <row r="654">
          <cell r="F654" t="str">
            <v>C&amp;PS: B&amp;A PROJECT MANAGEMENT</v>
          </cell>
          <cell r="G654" t="str">
            <v>P227334</v>
          </cell>
          <cell r="H654" t="str">
            <v>P227041</v>
          </cell>
          <cell r="I654"/>
          <cell r="J654"/>
          <cell r="K654" t="str">
            <v>14</v>
          </cell>
          <cell r="L654" t="str">
            <v>07</v>
          </cell>
          <cell r="M654" t="str">
            <v>2</v>
          </cell>
          <cell r="N654" t="str">
            <v>27</v>
          </cell>
          <cell r="O654" t="str">
            <v>041</v>
          </cell>
          <cell r="P654" t="str">
            <v>1</v>
          </cell>
          <cell r="Q654">
            <v>18</v>
          </cell>
          <cell r="R654" t="str">
            <v>MRC</v>
          </cell>
          <cell r="S654" t="str">
            <v>ZZ</v>
          </cell>
          <cell r="T654">
            <v>11</v>
          </cell>
          <cell r="U654" t="str">
            <v>1407227041118MRCZZ11</v>
          </cell>
          <cell r="V654">
            <v>648</v>
          </cell>
          <cell r="W654" t="str">
            <v>C&amp;PS: B&amp;A PROJECT MANAGEMENT</v>
          </cell>
          <cell r="X654">
            <v>2740404</v>
          </cell>
          <cell r="Y654">
            <v>5184974.8</v>
          </cell>
          <cell r="Z654">
            <v>6221969.7599999998</v>
          </cell>
          <cell r="AA654"/>
          <cell r="AB654">
            <v>2740404</v>
          </cell>
          <cell r="AC654">
            <v>3900000</v>
          </cell>
        </row>
        <row r="655">
          <cell r="F655" t="str">
            <v>CONTR: PREPAID ELECTRICITY VENDORS</v>
          </cell>
          <cell r="G655" t="str">
            <v>P228361</v>
          </cell>
          <cell r="H655" t="str">
            <v>P228453</v>
          </cell>
          <cell r="I655"/>
          <cell r="J655"/>
          <cell r="K655" t="str">
            <v>14</v>
          </cell>
          <cell r="L655" t="str">
            <v>07</v>
          </cell>
          <cell r="M655" t="str">
            <v>2</v>
          </cell>
          <cell r="N655" t="str">
            <v>28</v>
          </cell>
          <cell r="O655" t="str">
            <v>453</v>
          </cell>
          <cell r="P655" t="str">
            <v>0</v>
          </cell>
          <cell r="Q655">
            <v>18</v>
          </cell>
          <cell r="R655" t="str">
            <v>MRC</v>
          </cell>
          <cell r="S655" t="str">
            <v>ZZ</v>
          </cell>
          <cell r="T655">
            <v>11</v>
          </cell>
          <cell r="U655" t="str">
            <v>1407228453018MRCZZ11</v>
          </cell>
          <cell r="V655">
            <v>649</v>
          </cell>
          <cell r="W655" t="str">
            <v>CONTR: PREPAID ELECTRICITY VENDORS</v>
          </cell>
          <cell r="X655">
            <v>64345813</v>
          </cell>
          <cell r="Y655">
            <v>44045916.57</v>
          </cell>
          <cell r="Z655">
            <v>52855099.883999996</v>
          </cell>
          <cell r="AA655"/>
          <cell r="AB655">
            <v>64345813</v>
          </cell>
          <cell r="AC655">
            <v>87382687.760000005</v>
          </cell>
        </row>
        <row r="656">
          <cell r="F656" t="str">
            <v>OC: COMMISSION - THIRD PARTY VENDORS</v>
          </cell>
          <cell r="G656" t="str">
            <v>P230452</v>
          </cell>
          <cell r="H656" t="str">
            <v>P230090</v>
          </cell>
          <cell r="I656"/>
          <cell r="J656"/>
          <cell r="K656" t="str">
            <v>14</v>
          </cell>
          <cell r="L656" t="str">
            <v>07</v>
          </cell>
          <cell r="M656" t="str">
            <v>2</v>
          </cell>
          <cell r="N656" t="str">
            <v>30</v>
          </cell>
          <cell r="O656" t="str">
            <v>090</v>
          </cell>
          <cell r="P656" t="str">
            <v>1</v>
          </cell>
          <cell r="Q656">
            <v>18</v>
          </cell>
          <cell r="R656" t="str">
            <v>MRC</v>
          </cell>
          <cell r="S656" t="str">
            <v>ZZ</v>
          </cell>
          <cell r="T656">
            <v>11</v>
          </cell>
          <cell r="U656" t="str">
            <v>1407230090118MRCZZ11</v>
          </cell>
          <cell r="V656">
            <v>650</v>
          </cell>
          <cell r="W656" t="str">
            <v>OC: COMMISSION - THIRD PARTY VENDORS</v>
          </cell>
          <cell r="X656">
            <v>3236341</v>
          </cell>
          <cell r="Y656">
            <v>3445740.32</v>
          </cell>
          <cell r="Z656">
            <v>4134888.3840000001</v>
          </cell>
          <cell r="AA656"/>
          <cell r="AB656">
            <v>3236341</v>
          </cell>
          <cell r="AC656">
            <v>3391685.3680000002</v>
          </cell>
        </row>
        <row r="657">
          <cell r="F657" t="str">
            <v>OC: EXT COM SERV PROV - S/WARE LICENCES</v>
          </cell>
          <cell r="G657" t="str">
            <v>P230452</v>
          </cell>
          <cell r="H657" t="str">
            <v>P230178</v>
          </cell>
          <cell r="I657"/>
          <cell r="J657"/>
          <cell r="K657" t="str">
            <v>14</v>
          </cell>
          <cell r="L657" t="str">
            <v>07</v>
          </cell>
          <cell r="M657" t="str">
            <v>2</v>
          </cell>
          <cell r="N657" t="str">
            <v>30</v>
          </cell>
          <cell r="O657" t="str">
            <v>178</v>
          </cell>
          <cell r="P657" t="str">
            <v>2</v>
          </cell>
          <cell r="Q657">
            <v>18</v>
          </cell>
          <cell r="R657" t="str">
            <v>MRC</v>
          </cell>
          <cell r="S657" t="str">
            <v>ZZ</v>
          </cell>
          <cell r="T657">
            <v>11</v>
          </cell>
          <cell r="U657" t="str">
            <v>1407230178218MRCZZ11</v>
          </cell>
          <cell r="V657">
            <v>651</v>
          </cell>
          <cell r="W657" t="str">
            <v>OC: EXT COM SERV PROV - S/WARE LICENCES</v>
          </cell>
          <cell r="X657">
            <v>0</v>
          </cell>
          <cell r="Y657">
            <v>0</v>
          </cell>
          <cell r="Z657">
            <v>0</v>
          </cell>
          <cell r="AA657"/>
          <cell r="AB657">
            <v>0</v>
          </cell>
          <cell r="AC657">
            <v>0</v>
          </cell>
        </row>
        <row r="658">
          <cell r="F658" t="str">
            <v>OC: REG FEES NATIONAL</v>
          </cell>
          <cell r="G658" t="str">
            <v>P230452</v>
          </cell>
          <cell r="H658" t="str">
            <v>P230511</v>
          </cell>
          <cell r="I658"/>
          <cell r="J658"/>
          <cell r="K658" t="str">
            <v>14</v>
          </cell>
          <cell r="L658" t="str">
            <v>07</v>
          </cell>
          <cell r="M658" t="str">
            <v>2</v>
          </cell>
          <cell r="N658" t="str">
            <v>30</v>
          </cell>
          <cell r="O658" t="str">
            <v>511</v>
          </cell>
          <cell r="P658" t="str">
            <v>0</v>
          </cell>
          <cell r="Q658">
            <v>18</v>
          </cell>
          <cell r="R658" t="str">
            <v>MRC</v>
          </cell>
          <cell r="S658" t="str">
            <v>ZZ</v>
          </cell>
          <cell r="T658">
            <v>11</v>
          </cell>
          <cell r="U658" t="str">
            <v>1407230511018MRCZZ11</v>
          </cell>
          <cell r="V658">
            <v>652</v>
          </cell>
          <cell r="W658" t="str">
            <v>OC: REG FEES NATIONAL</v>
          </cell>
          <cell r="X658">
            <v>0</v>
          </cell>
          <cell r="Y658">
            <v>0</v>
          </cell>
          <cell r="Z658">
            <v>0</v>
          </cell>
          <cell r="AA658"/>
          <cell r="AB658">
            <v>0</v>
          </cell>
          <cell r="AC658">
            <v>0</v>
          </cell>
        </row>
        <row r="659">
          <cell r="F659" t="str">
            <v>OC: SKILLS DEVELOPMENT FUND LEVY</v>
          </cell>
          <cell r="G659" t="str">
            <v>P230452</v>
          </cell>
          <cell r="H659" t="str">
            <v>P230541</v>
          </cell>
          <cell r="I659"/>
          <cell r="J659"/>
          <cell r="K659" t="str">
            <v>14</v>
          </cell>
          <cell r="L659" t="str">
            <v>07</v>
          </cell>
          <cell r="M659" t="str">
            <v>2</v>
          </cell>
          <cell r="N659" t="str">
            <v>30</v>
          </cell>
          <cell r="O659" t="str">
            <v>541</v>
          </cell>
          <cell r="P659" t="str">
            <v>0</v>
          </cell>
          <cell r="Q659">
            <v>18</v>
          </cell>
          <cell r="R659" t="str">
            <v>MRC</v>
          </cell>
          <cell r="S659" t="str">
            <v>ZZ</v>
          </cell>
          <cell r="T659">
            <v>11</v>
          </cell>
          <cell r="U659" t="str">
            <v>1407230541018MRCZZ11</v>
          </cell>
          <cell r="V659">
            <v>653</v>
          </cell>
          <cell r="W659" t="str">
            <v>OC: SKILLS DEVELOPMENT FUND LEVY</v>
          </cell>
          <cell r="X659">
            <v>13744</v>
          </cell>
          <cell r="Y659">
            <v>6981.96</v>
          </cell>
          <cell r="Z659">
            <v>8378.3520000000008</v>
          </cell>
          <cell r="AA659"/>
          <cell r="AB659">
            <v>13744</v>
          </cell>
          <cell r="AC659">
            <v>0</v>
          </cell>
        </row>
        <row r="660">
          <cell r="F660" t="str">
            <v>OC: T&amp;S DOM - ACCOMMODATION</v>
          </cell>
          <cell r="G660" t="str">
            <v>P230452</v>
          </cell>
          <cell r="H660" t="str">
            <v>P230576</v>
          </cell>
          <cell r="I660"/>
          <cell r="J660"/>
          <cell r="K660" t="str">
            <v>14</v>
          </cell>
          <cell r="L660" t="str">
            <v>07</v>
          </cell>
          <cell r="M660" t="str">
            <v>2</v>
          </cell>
          <cell r="N660" t="str">
            <v>30</v>
          </cell>
          <cell r="O660" t="str">
            <v>576</v>
          </cell>
          <cell r="P660" t="str">
            <v>0</v>
          </cell>
          <cell r="Q660">
            <v>18</v>
          </cell>
          <cell r="R660" t="str">
            <v>MRC</v>
          </cell>
          <cell r="S660" t="str">
            <v>ZZ</v>
          </cell>
          <cell r="T660">
            <v>11</v>
          </cell>
          <cell r="U660" t="str">
            <v>1407230576018MRCZZ11</v>
          </cell>
          <cell r="V660">
            <v>654</v>
          </cell>
          <cell r="W660" t="str">
            <v>OC: T&amp;S DOM - ACCOMMODATION</v>
          </cell>
          <cell r="X660">
            <v>0</v>
          </cell>
          <cell r="Y660">
            <v>0</v>
          </cell>
          <cell r="Z660">
            <v>0</v>
          </cell>
          <cell r="AA660"/>
          <cell r="AB660">
            <v>0</v>
          </cell>
          <cell r="AC660">
            <v>0</v>
          </cell>
        </row>
        <row r="661">
          <cell r="F661" t="str">
            <v>OC: T&amp;S DOM - DAILY ALLOWANCE</v>
          </cell>
          <cell r="G661" t="str">
            <v>P230452</v>
          </cell>
          <cell r="H661" t="str">
            <v>P230577</v>
          </cell>
          <cell r="I661"/>
          <cell r="J661"/>
          <cell r="K661" t="str">
            <v>14</v>
          </cell>
          <cell r="L661" t="str">
            <v>07</v>
          </cell>
          <cell r="M661" t="str">
            <v>2</v>
          </cell>
          <cell r="N661" t="str">
            <v>30</v>
          </cell>
          <cell r="O661" t="str">
            <v>577</v>
          </cell>
          <cell r="P661" t="str">
            <v>0</v>
          </cell>
          <cell r="Q661">
            <v>18</v>
          </cell>
          <cell r="R661" t="str">
            <v>MRC</v>
          </cell>
          <cell r="S661" t="str">
            <v>ZZ</v>
          </cell>
          <cell r="T661">
            <v>11</v>
          </cell>
          <cell r="U661" t="str">
            <v>1407230577018MRCZZ11</v>
          </cell>
          <cell r="V661">
            <v>655</v>
          </cell>
          <cell r="W661" t="str">
            <v>OC: T&amp;S DOM - DAILY ALLOWANCE</v>
          </cell>
          <cell r="X661">
            <v>0</v>
          </cell>
          <cell r="Y661">
            <v>0</v>
          </cell>
          <cell r="Z661">
            <v>0</v>
          </cell>
          <cell r="AA661"/>
          <cell r="AB661">
            <v>0</v>
          </cell>
          <cell r="AC661">
            <v>0</v>
          </cell>
        </row>
        <row r="662">
          <cell r="F662" t="str">
            <v>OC: T&amp;S DOM TRP - WITHOUT OPR CAR RENTAL</v>
          </cell>
          <cell r="G662" t="str">
            <v>P230452</v>
          </cell>
          <cell r="H662" t="str">
            <v>P230580</v>
          </cell>
          <cell r="I662"/>
          <cell r="J662"/>
          <cell r="K662" t="str">
            <v>14</v>
          </cell>
          <cell r="L662" t="str">
            <v>07</v>
          </cell>
          <cell r="M662" t="str">
            <v>2</v>
          </cell>
          <cell r="N662" t="str">
            <v>30</v>
          </cell>
          <cell r="O662" t="str">
            <v>580</v>
          </cell>
          <cell r="P662" t="str">
            <v>0</v>
          </cell>
          <cell r="Q662">
            <v>18</v>
          </cell>
          <cell r="R662" t="str">
            <v>MRC</v>
          </cell>
          <cell r="S662" t="str">
            <v>ZZ</v>
          </cell>
          <cell r="T662">
            <v>11</v>
          </cell>
          <cell r="U662" t="str">
            <v>1407230580018MRCZZ11</v>
          </cell>
          <cell r="V662">
            <v>656</v>
          </cell>
          <cell r="W662" t="str">
            <v>OC: T&amp;S DOM TRP - WITHOUT OPR CAR RENTAL</v>
          </cell>
          <cell r="X662">
            <v>0</v>
          </cell>
          <cell r="Y662">
            <v>0</v>
          </cell>
          <cell r="Z662">
            <v>0</v>
          </cell>
          <cell r="AA662"/>
          <cell r="AB662">
            <v>0</v>
          </cell>
          <cell r="AC662">
            <v>0</v>
          </cell>
        </row>
        <row r="663">
          <cell r="F663" t="str">
            <v>OC: T&amp;S DOM PUB TRP - AIR TRANSPORT</v>
          </cell>
          <cell r="G663" t="str">
            <v>P230452</v>
          </cell>
          <cell r="H663" t="str">
            <v>P230583</v>
          </cell>
          <cell r="I663"/>
          <cell r="J663"/>
          <cell r="K663" t="str">
            <v>14</v>
          </cell>
          <cell r="L663" t="str">
            <v>07</v>
          </cell>
          <cell r="M663" t="str">
            <v>2</v>
          </cell>
          <cell r="N663" t="str">
            <v>30</v>
          </cell>
          <cell r="O663" t="str">
            <v>583</v>
          </cell>
          <cell r="P663" t="str">
            <v>0</v>
          </cell>
          <cell r="Q663">
            <v>18</v>
          </cell>
          <cell r="R663" t="str">
            <v>MRC</v>
          </cell>
          <cell r="S663" t="str">
            <v>ZZ</v>
          </cell>
          <cell r="T663">
            <v>11</v>
          </cell>
          <cell r="U663" t="str">
            <v>1407230583018MRCZZ11</v>
          </cell>
          <cell r="V663">
            <v>657</v>
          </cell>
          <cell r="W663" t="str">
            <v>OC: T&amp;S DOM PUB TRP - AIR TRANSPORT</v>
          </cell>
          <cell r="X663">
            <v>0</v>
          </cell>
          <cell r="Y663">
            <v>0</v>
          </cell>
          <cell r="Z663">
            <v>0</v>
          </cell>
          <cell r="AA663"/>
          <cell r="AB663">
            <v>0</v>
          </cell>
          <cell r="AC663">
            <v>0</v>
          </cell>
        </row>
        <row r="664">
          <cell r="F664" t="str">
            <v>OC: UNIFORM &amp; PROTECTIVE CLOTHING</v>
          </cell>
          <cell r="G664" t="str">
            <v>P230452</v>
          </cell>
          <cell r="H664" t="str">
            <v>P230610</v>
          </cell>
          <cell r="I664"/>
          <cell r="J664"/>
          <cell r="K664" t="str">
            <v>14</v>
          </cell>
          <cell r="L664" t="str">
            <v>07</v>
          </cell>
          <cell r="M664" t="str">
            <v>2</v>
          </cell>
          <cell r="N664" t="str">
            <v>30</v>
          </cell>
          <cell r="O664" t="str">
            <v>610</v>
          </cell>
          <cell r="P664" t="str">
            <v>0</v>
          </cell>
          <cell r="Q664">
            <v>18</v>
          </cell>
          <cell r="R664" t="str">
            <v>MRC</v>
          </cell>
          <cell r="S664" t="str">
            <v>ZZ</v>
          </cell>
          <cell r="T664">
            <v>11</v>
          </cell>
          <cell r="U664" t="str">
            <v>1407230610018MRCZZ11</v>
          </cell>
          <cell r="V664">
            <v>658</v>
          </cell>
          <cell r="W664" t="str">
            <v>OC: UNIFORM &amp; PROTECTIVE CLOTHING</v>
          </cell>
          <cell r="X664">
            <v>167305</v>
          </cell>
          <cell r="Y664">
            <v>81470.87</v>
          </cell>
          <cell r="Z664">
            <v>97765.043999999994</v>
          </cell>
          <cell r="AA664"/>
          <cell r="AB664">
            <v>167305</v>
          </cell>
          <cell r="AC664">
            <v>175335.64</v>
          </cell>
        </row>
        <row r="665">
          <cell r="F665" t="str">
            <v>INVENTORY - MATERIALS &amp; SUPPLIES(PRINT&amp;</v>
          </cell>
          <cell r="G665" t="str">
            <v>P232360</v>
          </cell>
          <cell r="H665" t="str">
            <v>P232360</v>
          </cell>
          <cell r="I665"/>
          <cell r="J665"/>
          <cell r="K665" t="str">
            <v>14</v>
          </cell>
          <cell r="L665" t="str">
            <v>07</v>
          </cell>
          <cell r="M665" t="str">
            <v>2</v>
          </cell>
          <cell r="N665" t="str">
            <v>32</v>
          </cell>
          <cell r="O665" t="str">
            <v>360</v>
          </cell>
          <cell r="P665" t="str">
            <v>D</v>
          </cell>
          <cell r="Q665">
            <v>18</v>
          </cell>
          <cell r="R665" t="str">
            <v>MRC</v>
          </cell>
          <cell r="S665" t="str">
            <v>ZZ</v>
          </cell>
          <cell r="T665">
            <v>11</v>
          </cell>
          <cell r="U665" t="str">
            <v>1407232360D18MRCZZ11</v>
          </cell>
          <cell r="V665">
            <v>659</v>
          </cell>
          <cell r="W665" t="str">
            <v>INVENTORY - MATERIALS &amp; SUPPLIES(PRINT&amp;</v>
          </cell>
          <cell r="X665">
            <v>10614</v>
          </cell>
          <cell r="Y665">
            <v>3509.77</v>
          </cell>
          <cell r="Z665">
            <v>4211.7240000000002</v>
          </cell>
          <cell r="AA665"/>
          <cell r="AB665">
            <v>10614</v>
          </cell>
          <cell r="AC665">
            <v>10000</v>
          </cell>
        </row>
        <row r="666">
          <cell r="F666" t="str">
            <v>ESKOM</v>
          </cell>
          <cell r="G666" t="str">
            <v>P234001</v>
          </cell>
          <cell r="H666" t="str">
            <v>P234001</v>
          </cell>
          <cell r="I666"/>
          <cell r="J666"/>
          <cell r="K666" t="str">
            <v>14</v>
          </cell>
          <cell r="L666" t="str">
            <v>07</v>
          </cell>
          <cell r="M666" t="str">
            <v>2</v>
          </cell>
          <cell r="N666" t="str">
            <v>34</v>
          </cell>
          <cell r="O666" t="str">
            <v>001</v>
          </cell>
          <cell r="P666" t="str">
            <v>0</v>
          </cell>
          <cell r="Q666">
            <v>18</v>
          </cell>
          <cell r="R666" t="str">
            <v>MRC</v>
          </cell>
          <cell r="S666" t="str">
            <v>ZZ</v>
          </cell>
          <cell r="T666">
            <v>11</v>
          </cell>
          <cell r="U666" t="str">
            <v>1407234001018MRCZZ11</v>
          </cell>
          <cell r="V666">
            <v>660</v>
          </cell>
          <cell r="W666" t="str">
            <v>ESKOM</v>
          </cell>
          <cell r="X666">
            <v>2002152946</v>
          </cell>
          <cell r="Y666">
            <v>1682860055.4000001</v>
          </cell>
          <cell r="Z666">
            <v>2019432066.4800003</v>
          </cell>
          <cell r="AA666"/>
          <cell r="AB666">
            <v>2002152946</v>
          </cell>
          <cell r="AC666">
            <v>2145935054.9508402</v>
          </cell>
        </row>
        <row r="667">
          <cell r="F667" t="str">
            <v>DEPRECIATION FURNITURE &amp; OFFICE EQUIPM</v>
          </cell>
          <cell r="G667" t="str">
            <v>P272150</v>
          </cell>
          <cell r="H667" t="str">
            <v>P272150</v>
          </cell>
          <cell r="I667"/>
          <cell r="J667"/>
          <cell r="K667" t="str">
            <v>14</v>
          </cell>
          <cell r="L667" t="str">
            <v>07</v>
          </cell>
          <cell r="M667" t="str">
            <v>2</v>
          </cell>
          <cell r="N667" t="str">
            <v>72</v>
          </cell>
          <cell r="O667" t="str">
            <v>150</v>
          </cell>
          <cell r="P667" t="str">
            <v>0</v>
          </cell>
          <cell r="Q667">
            <v>18</v>
          </cell>
          <cell r="R667" t="str">
            <v>MRC</v>
          </cell>
          <cell r="S667" t="str">
            <v>ZZ</v>
          </cell>
          <cell r="T667">
            <v>11</v>
          </cell>
          <cell r="U667" t="str">
            <v>1407272150018MRCZZ11</v>
          </cell>
          <cell r="V667">
            <v>661</v>
          </cell>
          <cell r="W667" t="str">
            <v>DEPRECIATION FURNITURE &amp; OFFICE EQUIPM</v>
          </cell>
          <cell r="X667">
            <v>2560399</v>
          </cell>
          <cell r="Y667">
            <v>0</v>
          </cell>
          <cell r="Z667">
            <v>0</v>
          </cell>
          <cell r="AA667">
            <v>-500000</v>
          </cell>
          <cell r="AB667">
            <v>2060399</v>
          </cell>
          <cell r="AC667">
            <v>2560399</v>
          </cell>
        </row>
        <row r="668">
          <cell r="F668" t="str">
            <v>DEPRECIATION  MACHINERY &amp; EQUIPMENT</v>
          </cell>
          <cell r="G668" t="str">
            <v>P272150</v>
          </cell>
          <cell r="H668" t="str">
            <v>P272360</v>
          </cell>
          <cell r="I668"/>
          <cell r="J668"/>
          <cell r="K668" t="str">
            <v>14</v>
          </cell>
          <cell r="L668" t="str">
            <v>07</v>
          </cell>
          <cell r="M668" t="str">
            <v>2</v>
          </cell>
          <cell r="N668" t="str">
            <v>72</v>
          </cell>
          <cell r="O668" t="str">
            <v>360</v>
          </cell>
          <cell r="P668" t="str">
            <v>0</v>
          </cell>
          <cell r="Q668">
            <v>18</v>
          </cell>
          <cell r="R668" t="str">
            <v>MRC</v>
          </cell>
          <cell r="S668" t="str">
            <v>ZZ</v>
          </cell>
          <cell r="T668">
            <v>11</v>
          </cell>
          <cell r="U668" t="str">
            <v>1407272360018MRCZZ11</v>
          </cell>
          <cell r="V668">
            <v>662</v>
          </cell>
          <cell r="W668" t="str">
            <v>DEPRECIATION  MACHINERY &amp; EQUIPMENT</v>
          </cell>
          <cell r="X668">
            <v>55975</v>
          </cell>
          <cell r="Y668">
            <v>0</v>
          </cell>
          <cell r="Z668">
            <v>0</v>
          </cell>
          <cell r="AA668">
            <v>-5000</v>
          </cell>
          <cell r="AB668">
            <v>50975</v>
          </cell>
          <cell r="AC668">
            <v>55975</v>
          </cell>
        </row>
        <row r="669">
          <cell r="F669" t="str">
            <v>DEPRECIATION  TRANSPORT ASSETS</v>
          </cell>
          <cell r="G669" t="str">
            <v>P272150</v>
          </cell>
          <cell r="H669" t="str">
            <v>P272570</v>
          </cell>
          <cell r="I669"/>
          <cell r="J669"/>
          <cell r="K669" t="str">
            <v>14</v>
          </cell>
          <cell r="L669" t="str">
            <v>07</v>
          </cell>
          <cell r="M669" t="str">
            <v>2</v>
          </cell>
          <cell r="N669" t="str">
            <v>72</v>
          </cell>
          <cell r="O669" t="str">
            <v>570</v>
          </cell>
          <cell r="P669" t="str">
            <v>0</v>
          </cell>
          <cell r="Q669">
            <v>18</v>
          </cell>
          <cell r="R669" t="str">
            <v>MRC</v>
          </cell>
          <cell r="S669" t="str">
            <v>ZZ</v>
          </cell>
          <cell r="T669">
            <v>11</v>
          </cell>
          <cell r="U669" t="str">
            <v>1407272570018MRCZZ11</v>
          </cell>
          <cell r="V669">
            <v>663</v>
          </cell>
          <cell r="W669" t="str">
            <v>DEPRECIATION  TRANSPORT ASSETS</v>
          </cell>
          <cell r="X669">
            <v>0</v>
          </cell>
          <cell r="Y669">
            <v>0</v>
          </cell>
          <cell r="Z669">
            <v>0</v>
          </cell>
          <cell r="AA669"/>
          <cell r="AB669">
            <v>0</v>
          </cell>
          <cell r="AC669">
            <v>0</v>
          </cell>
        </row>
        <row r="670">
          <cell r="F670" t="str">
            <v>VENDING BACK OFFICE</v>
          </cell>
          <cell r="G670" t="str">
            <v>P272570</v>
          </cell>
          <cell r="H670" t="str">
            <v>P272570</v>
          </cell>
          <cell r="I670"/>
          <cell r="J670"/>
          <cell r="K670" t="str">
            <v>14</v>
          </cell>
          <cell r="L670" t="str">
            <v>07</v>
          </cell>
          <cell r="M670" t="str">
            <v>6</v>
          </cell>
          <cell r="N670" t="str">
            <v>46</v>
          </cell>
          <cell r="O670" t="str">
            <v>002</v>
          </cell>
          <cell r="P670" t="str">
            <v>0</v>
          </cell>
          <cell r="Q670" t="str">
            <v>CF</v>
          </cell>
          <cell r="R670" t="str">
            <v>CL1</v>
          </cell>
          <cell r="S670" t="str">
            <v>ZZ</v>
          </cell>
          <cell r="T670">
            <v>11</v>
          </cell>
          <cell r="U670" t="str">
            <v>14076460020CFCL1ZZ11</v>
          </cell>
          <cell r="W670" t="str">
            <v>VENDING BACK OFFICE</v>
          </cell>
          <cell r="X670"/>
          <cell r="Y670">
            <v>0</v>
          </cell>
          <cell r="Z670">
            <v>0</v>
          </cell>
          <cell r="AA670"/>
          <cell r="AB670"/>
          <cell r="AC670">
            <v>5000000</v>
          </cell>
        </row>
        <row r="671">
          <cell r="F671" t="str">
            <v>MS: SAL &amp; ALL: BASIC SALARY &amp; WAGES</v>
          </cell>
          <cell r="G671" t="str">
            <v>P211001</v>
          </cell>
          <cell r="H671" t="str">
            <v>P211001</v>
          </cell>
          <cell r="I671" t="str">
            <v>501408</v>
          </cell>
          <cell r="J671">
            <v>50</v>
          </cell>
          <cell r="K671" t="str">
            <v>14</v>
          </cell>
          <cell r="L671" t="str">
            <v>08</v>
          </cell>
          <cell r="M671" t="str">
            <v>2</v>
          </cell>
          <cell r="N671" t="str">
            <v>11</v>
          </cell>
          <cell r="O671" t="str">
            <v>001</v>
          </cell>
          <cell r="P671" t="str">
            <v>0</v>
          </cell>
          <cell r="Q671">
            <v>18</v>
          </cell>
          <cell r="R671" t="str">
            <v>MRC</v>
          </cell>
          <cell r="S671" t="str">
            <v>ZZ</v>
          </cell>
          <cell r="T671">
            <v>11</v>
          </cell>
          <cell r="U671" t="str">
            <v>1408211001018MRCZZ11</v>
          </cell>
          <cell r="V671">
            <v>664</v>
          </cell>
          <cell r="W671" t="str">
            <v>MS: SAL &amp; ALL: BASIC SALARY &amp; WAGES</v>
          </cell>
          <cell r="X671">
            <v>983682</v>
          </cell>
          <cell r="Y671">
            <v>622870</v>
          </cell>
          <cell r="Z671">
            <v>747444</v>
          </cell>
          <cell r="AA671"/>
          <cell r="AB671">
            <v>983682</v>
          </cell>
          <cell r="AC671">
            <v>879276.19200000004</v>
          </cell>
        </row>
        <row r="672">
          <cell r="F672" t="str">
            <v>MS: ALL - CELLULAR &amp; TELEPHONE</v>
          </cell>
          <cell r="G672" t="str">
            <v>P211022</v>
          </cell>
          <cell r="H672" t="str">
            <v>P211022</v>
          </cell>
          <cell r="I672" t="str">
            <v>501408</v>
          </cell>
          <cell r="J672">
            <v>50</v>
          </cell>
          <cell r="K672" t="str">
            <v>14</v>
          </cell>
          <cell r="L672" t="str">
            <v>08</v>
          </cell>
          <cell r="M672" t="str">
            <v>2</v>
          </cell>
          <cell r="N672" t="str">
            <v>11</v>
          </cell>
          <cell r="O672" t="str">
            <v>022</v>
          </cell>
          <cell r="P672" t="str">
            <v>0</v>
          </cell>
          <cell r="Q672">
            <v>18</v>
          </cell>
          <cell r="R672" t="str">
            <v>MRC</v>
          </cell>
          <cell r="S672" t="str">
            <v>ZZ</v>
          </cell>
          <cell r="T672">
            <v>11</v>
          </cell>
          <cell r="U672" t="str">
            <v>1408211022018MRCZZ11</v>
          </cell>
          <cell r="V672">
            <v>665</v>
          </cell>
          <cell r="W672" t="str">
            <v>MS: ALL - CELLULAR &amp; TELEPHONE</v>
          </cell>
          <cell r="X672">
            <v>0</v>
          </cell>
          <cell r="Y672">
            <v>0</v>
          </cell>
          <cell r="Z672">
            <v>0</v>
          </cell>
          <cell r="AA672"/>
          <cell r="AB672">
            <v>0</v>
          </cell>
          <cell r="AC672">
            <v>0</v>
          </cell>
        </row>
        <row r="673">
          <cell r="F673" t="str">
            <v>MS: HB &amp; INC: HOUSING BENEFITS</v>
          </cell>
          <cell r="G673" t="str">
            <v>P211026</v>
          </cell>
          <cell r="H673" t="str">
            <v>P211026</v>
          </cell>
          <cell r="I673" t="str">
            <v>501408</v>
          </cell>
          <cell r="J673">
            <v>50</v>
          </cell>
          <cell r="K673" t="str">
            <v>14</v>
          </cell>
          <cell r="L673" t="str">
            <v>08</v>
          </cell>
          <cell r="M673" t="str">
            <v>2</v>
          </cell>
          <cell r="N673" t="str">
            <v>11</v>
          </cell>
          <cell r="O673" t="str">
            <v>026</v>
          </cell>
          <cell r="P673" t="str">
            <v>0</v>
          </cell>
          <cell r="Q673">
            <v>18</v>
          </cell>
          <cell r="R673" t="str">
            <v>MRC</v>
          </cell>
          <cell r="S673" t="str">
            <v>ZZ</v>
          </cell>
          <cell r="T673">
            <v>11</v>
          </cell>
          <cell r="U673" t="str">
            <v>1408211026018MRCZZ11</v>
          </cell>
          <cell r="V673">
            <v>666</v>
          </cell>
          <cell r="W673" t="str">
            <v>MS: HB &amp; INC: HOUSING BENEFITS</v>
          </cell>
          <cell r="X673">
            <v>0</v>
          </cell>
          <cell r="Y673">
            <v>0</v>
          </cell>
          <cell r="Z673">
            <v>0</v>
          </cell>
          <cell r="AA673"/>
          <cell r="AB673">
            <v>0</v>
          </cell>
          <cell r="AC673">
            <v>24259.355519999997</v>
          </cell>
        </row>
        <row r="674">
          <cell r="F674" t="str">
            <v>MS: ALL - TRAVEL OR MOTOR VEHICLE (SUBS</v>
          </cell>
          <cell r="G674" t="str">
            <v>P211034</v>
          </cell>
          <cell r="H674" t="str">
            <v>P211034</v>
          </cell>
          <cell r="I674" t="str">
            <v>501408</v>
          </cell>
          <cell r="J674">
            <v>50</v>
          </cell>
          <cell r="K674" t="str">
            <v>14</v>
          </cell>
          <cell r="L674" t="str">
            <v>08</v>
          </cell>
          <cell r="M674" t="str">
            <v>2</v>
          </cell>
          <cell r="N674" t="str">
            <v>11</v>
          </cell>
          <cell r="O674" t="str">
            <v>034</v>
          </cell>
          <cell r="P674" t="str">
            <v>1</v>
          </cell>
          <cell r="Q674">
            <v>18</v>
          </cell>
          <cell r="R674" t="str">
            <v>MRC</v>
          </cell>
          <cell r="S674" t="str">
            <v>ZZ</v>
          </cell>
          <cell r="T674">
            <v>11</v>
          </cell>
          <cell r="U674" t="str">
            <v>1408211034118MRCZZ11</v>
          </cell>
          <cell r="V674">
            <v>667</v>
          </cell>
          <cell r="W674" t="str">
            <v>MS: ALL - TRAVEL OR MOTOR VEHICLE (SUBS</v>
          </cell>
          <cell r="X674">
            <v>162686</v>
          </cell>
          <cell r="Y674">
            <v>61293.599999999999</v>
          </cell>
          <cell r="Z674">
            <v>73552.319999999992</v>
          </cell>
          <cell r="AA674"/>
          <cell r="AB674">
            <v>162686</v>
          </cell>
          <cell r="AC674">
            <v>14994.784000000001</v>
          </cell>
        </row>
        <row r="675">
          <cell r="F675" t="str">
            <v>MS: OVERTIME - NIGHT SHIFT</v>
          </cell>
          <cell r="G675" t="str">
            <v>P211042</v>
          </cell>
          <cell r="H675" t="str">
            <v>P211042</v>
          </cell>
          <cell r="I675" t="str">
            <v>501408</v>
          </cell>
          <cell r="J675">
            <v>50</v>
          </cell>
          <cell r="K675" t="str">
            <v>14</v>
          </cell>
          <cell r="L675" t="str">
            <v>08</v>
          </cell>
          <cell r="M675" t="str">
            <v>2</v>
          </cell>
          <cell r="N675" t="str">
            <v>11</v>
          </cell>
          <cell r="O675" t="str">
            <v>042</v>
          </cell>
          <cell r="P675" t="str">
            <v>0</v>
          </cell>
          <cell r="Q675">
            <v>18</v>
          </cell>
          <cell r="R675" t="str">
            <v>MRC</v>
          </cell>
          <cell r="S675" t="str">
            <v>ZZ</v>
          </cell>
          <cell r="T675">
            <v>11</v>
          </cell>
          <cell r="U675" t="str">
            <v>1408211042018MRCZZ11</v>
          </cell>
          <cell r="V675">
            <v>668</v>
          </cell>
          <cell r="W675" t="str">
            <v>MS: OVERTIME - NIGHT SHIFT</v>
          </cell>
          <cell r="X675">
            <v>54</v>
          </cell>
          <cell r="Y675">
            <v>0</v>
          </cell>
          <cell r="Z675">
            <v>0</v>
          </cell>
          <cell r="AA675"/>
          <cell r="AB675">
            <v>54</v>
          </cell>
          <cell r="AC675">
            <v>48.6</v>
          </cell>
        </row>
        <row r="676">
          <cell r="F676" t="str">
            <v>MS: SRB - ANNUAL BONUS</v>
          </cell>
          <cell r="G676" t="str">
            <v>P211046</v>
          </cell>
          <cell r="H676" t="str">
            <v>P211046</v>
          </cell>
          <cell r="I676" t="str">
            <v>501408</v>
          </cell>
          <cell r="J676">
            <v>50</v>
          </cell>
          <cell r="K676" t="str">
            <v>14</v>
          </cell>
          <cell r="L676" t="str">
            <v>08</v>
          </cell>
          <cell r="M676" t="str">
            <v>2</v>
          </cell>
          <cell r="N676" t="str">
            <v>11</v>
          </cell>
          <cell r="O676" t="str">
            <v>046</v>
          </cell>
          <cell r="P676" t="str">
            <v>0</v>
          </cell>
          <cell r="Q676">
            <v>18</v>
          </cell>
          <cell r="R676" t="str">
            <v>MRC</v>
          </cell>
          <cell r="S676" t="str">
            <v>ZZ</v>
          </cell>
          <cell r="T676">
            <v>11</v>
          </cell>
          <cell r="U676" t="str">
            <v>1408211046018MRCZZ11</v>
          </cell>
          <cell r="V676">
            <v>669</v>
          </cell>
          <cell r="W676" t="str">
            <v>MS: SRB - ANNUAL BONUS</v>
          </cell>
          <cell r="X676">
            <v>25814</v>
          </cell>
          <cell r="Y676">
            <v>19493</v>
          </cell>
          <cell r="Z676">
            <v>23391.599999999999</v>
          </cell>
          <cell r="AA676"/>
          <cell r="AB676">
            <v>25814</v>
          </cell>
          <cell r="AC676">
            <v>73273.016000000003</v>
          </cell>
        </row>
        <row r="677">
          <cell r="F677" t="str">
            <v>MS: SOC CONTR - BARGAINING COUNCIL</v>
          </cell>
          <cell r="G677" t="str">
            <v>P213001</v>
          </cell>
          <cell r="H677" t="str">
            <v>P213001</v>
          </cell>
          <cell r="I677" t="str">
            <v>501408</v>
          </cell>
          <cell r="J677">
            <v>50</v>
          </cell>
          <cell r="K677" t="str">
            <v>14</v>
          </cell>
          <cell r="L677" t="str">
            <v>08</v>
          </cell>
          <cell r="M677" t="str">
            <v>2</v>
          </cell>
          <cell r="N677" t="str">
            <v>13</v>
          </cell>
          <cell r="O677" t="str">
            <v>001</v>
          </cell>
          <cell r="P677" t="str">
            <v>0</v>
          </cell>
          <cell r="Q677">
            <v>18</v>
          </cell>
          <cell r="R677" t="str">
            <v>MRC</v>
          </cell>
          <cell r="S677" t="str">
            <v>ZZ</v>
          </cell>
          <cell r="T677">
            <v>11</v>
          </cell>
          <cell r="U677" t="str">
            <v>1408213001018MRCZZ11</v>
          </cell>
          <cell r="V677">
            <v>670</v>
          </cell>
          <cell r="W677" t="str">
            <v>MS: SOC CONTR - BARGAINING COUNCIL</v>
          </cell>
          <cell r="X677">
            <v>231</v>
          </cell>
          <cell r="Y677">
            <v>154.5</v>
          </cell>
          <cell r="Z677">
            <v>185.39999999999998</v>
          </cell>
          <cell r="AA677"/>
          <cell r="AB677">
            <v>231</v>
          </cell>
          <cell r="AC677">
            <v>259.06560000000002</v>
          </cell>
        </row>
        <row r="678">
          <cell r="F678" t="str">
            <v>MS: SOC CONTR - GROUP LIFE INSURANCE</v>
          </cell>
          <cell r="G678" t="str">
            <v>P213010</v>
          </cell>
          <cell r="H678" t="str">
            <v>P213010</v>
          </cell>
          <cell r="I678" t="str">
            <v>501408</v>
          </cell>
          <cell r="J678">
            <v>50</v>
          </cell>
          <cell r="K678" t="str">
            <v>14</v>
          </cell>
          <cell r="L678" t="str">
            <v>08</v>
          </cell>
          <cell r="M678" t="str">
            <v>2</v>
          </cell>
          <cell r="N678" t="str">
            <v>13</v>
          </cell>
          <cell r="O678" t="str">
            <v>010</v>
          </cell>
          <cell r="P678" t="str">
            <v>0</v>
          </cell>
          <cell r="Q678">
            <v>18</v>
          </cell>
          <cell r="R678" t="str">
            <v>MRC</v>
          </cell>
          <cell r="S678" t="str">
            <v>ZZ</v>
          </cell>
          <cell r="T678">
            <v>11</v>
          </cell>
          <cell r="U678" t="str">
            <v>1408213010018MRCZZ11</v>
          </cell>
          <cell r="V678">
            <v>671</v>
          </cell>
          <cell r="W678" t="str">
            <v>MS: SOC CONTR - GROUP LIFE INSURANCE</v>
          </cell>
          <cell r="X678">
            <v>1813</v>
          </cell>
          <cell r="Y678">
            <v>681.36</v>
          </cell>
          <cell r="Z678">
            <v>817.63199999999995</v>
          </cell>
          <cell r="AA678"/>
          <cell r="AB678">
            <v>1813</v>
          </cell>
          <cell r="AC678">
            <v>14947.695264000002</v>
          </cell>
        </row>
        <row r="679">
          <cell r="F679" t="str">
            <v>MS: SOC CONTR - MEDICAL</v>
          </cell>
          <cell r="G679" t="str">
            <v>P213020</v>
          </cell>
          <cell r="H679" t="str">
            <v>P213020</v>
          </cell>
          <cell r="I679" t="str">
            <v>501408</v>
          </cell>
          <cell r="J679">
            <v>50</v>
          </cell>
          <cell r="K679" t="str">
            <v>14</v>
          </cell>
          <cell r="L679" t="str">
            <v>08</v>
          </cell>
          <cell r="M679" t="str">
            <v>2</v>
          </cell>
          <cell r="N679" t="str">
            <v>13</v>
          </cell>
          <cell r="O679" t="str">
            <v>020</v>
          </cell>
          <cell r="P679" t="str">
            <v>0</v>
          </cell>
          <cell r="Q679">
            <v>18</v>
          </cell>
          <cell r="R679" t="str">
            <v>MRC</v>
          </cell>
          <cell r="S679" t="str">
            <v>ZZ</v>
          </cell>
          <cell r="T679">
            <v>11</v>
          </cell>
          <cell r="U679" t="str">
            <v>1408213020018MRCZZ11</v>
          </cell>
          <cell r="V679">
            <v>672</v>
          </cell>
          <cell r="W679" t="str">
            <v>MS: SOC CONTR - MEDICAL</v>
          </cell>
          <cell r="X679">
            <v>63058</v>
          </cell>
          <cell r="Y679">
            <v>39684</v>
          </cell>
          <cell r="Z679">
            <v>47620.800000000003</v>
          </cell>
          <cell r="AA679"/>
          <cell r="AB679">
            <v>63058</v>
          </cell>
          <cell r="AC679">
            <v>120053.51424</v>
          </cell>
        </row>
        <row r="680">
          <cell r="F680" t="str">
            <v>MS: SOC CONTR - PENSION</v>
          </cell>
          <cell r="G680" t="str">
            <v>P213030</v>
          </cell>
          <cell r="H680" t="str">
            <v>P213030</v>
          </cell>
          <cell r="I680" t="str">
            <v>501408</v>
          </cell>
          <cell r="J680">
            <v>50</v>
          </cell>
          <cell r="K680" t="str">
            <v>14</v>
          </cell>
          <cell r="L680" t="str">
            <v>08</v>
          </cell>
          <cell r="M680" t="str">
            <v>2</v>
          </cell>
          <cell r="N680" t="str">
            <v>13</v>
          </cell>
          <cell r="O680" t="str">
            <v>030</v>
          </cell>
          <cell r="P680" t="str">
            <v>0</v>
          </cell>
          <cell r="Q680">
            <v>18</v>
          </cell>
          <cell r="R680" t="str">
            <v>MRC</v>
          </cell>
          <cell r="S680" t="str">
            <v>ZZ</v>
          </cell>
          <cell r="T680">
            <v>11</v>
          </cell>
          <cell r="U680" t="str">
            <v>1408213030018MRCZZ11</v>
          </cell>
          <cell r="V680">
            <v>673</v>
          </cell>
          <cell r="W680" t="str">
            <v>MS: SOC CONTR - PENSION</v>
          </cell>
          <cell r="X680">
            <v>135466</v>
          </cell>
          <cell r="Y680">
            <v>75051.539999999994</v>
          </cell>
          <cell r="Z680">
            <v>90061.847999999998</v>
          </cell>
          <cell r="AA680"/>
          <cell r="AB680">
            <v>135466</v>
          </cell>
          <cell r="AC680">
            <v>158885.20789440002</v>
          </cell>
        </row>
        <row r="681">
          <cell r="F681" t="str">
            <v>MS: SOC CONTR - UNEMPLOYMENT INSUR FUND</v>
          </cell>
          <cell r="G681" t="str">
            <v>P213040</v>
          </cell>
          <cell r="H681" t="str">
            <v>P213040</v>
          </cell>
          <cell r="I681" t="str">
            <v>501408</v>
          </cell>
          <cell r="J681">
            <v>50</v>
          </cell>
          <cell r="K681" t="str">
            <v>14</v>
          </cell>
          <cell r="L681" t="str">
            <v>08</v>
          </cell>
          <cell r="M681" t="str">
            <v>2</v>
          </cell>
          <cell r="N681" t="str">
            <v>13</v>
          </cell>
          <cell r="O681" t="str">
            <v>040</v>
          </cell>
          <cell r="P681" t="str">
            <v>0</v>
          </cell>
          <cell r="Q681">
            <v>18</v>
          </cell>
          <cell r="R681" t="str">
            <v>MRC</v>
          </cell>
          <cell r="S681" t="str">
            <v>ZZ</v>
          </cell>
          <cell r="T681">
            <v>11</v>
          </cell>
          <cell r="U681" t="str">
            <v>1408213040018MRCZZ11</v>
          </cell>
          <cell r="V681">
            <v>674</v>
          </cell>
          <cell r="W681" t="str">
            <v>MS: SOC CONTR - UNEMPLOYMENT INSUR FUND</v>
          </cell>
          <cell r="X681">
            <v>3465</v>
          </cell>
          <cell r="Y681">
            <v>2656.8</v>
          </cell>
          <cell r="Z681">
            <v>3188.16</v>
          </cell>
          <cell r="AA681"/>
          <cell r="AB681">
            <v>3465</v>
          </cell>
          <cell r="AC681">
            <v>4454.9222399999999</v>
          </cell>
        </row>
        <row r="682">
          <cell r="F682" t="str">
            <v>C&amp;PS: B&amp;A PROJECT MANAGEMENT</v>
          </cell>
          <cell r="G682" t="str">
            <v>P227334</v>
          </cell>
          <cell r="H682" t="str">
            <v>P227041</v>
          </cell>
          <cell r="I682"/>
          <cell r="J682"/>
          <cell r="K682" t="str">
            <v>14</v>
          </cell>
          <cell r="L682" t="str">
            <v>08</v>
          </cell>
          <cell r="M682" t="str">
            <v>2</v>
          </cell>
          <cell r="N682" t="str">
            <v>27</v>
          </cell>
          <cell r="O682" t="str">
            <v>041</v>
          </cell>
          <cell r="P682" t="str">
            <v>0</v>
          </cell>
          <cell r="Q682">
            <v>18</v>
          </cell>
          <cell r="R682" t="str">
            <v>MRC</v>
          </cell>
          <cell r="S682" t="str">
            <v>ZZ</v>
          </cell>
          <cell r="T682">
            <v>11</v>
          </cell>
          <cell r="U682" t="str">
            <v>1408227041018MRCZZ11</v>
          </cell>
          <cell r="V682">
            <v>675</v>
          </cell>
          <cell r="W682" t="str">
            <v>C&amp;PS: B&amp;A PROJECT MANAGEMENT</v>
          </cell>
          <cell r="X682">
            <v>0</v>
          </cell>
          <cell r="Y682">
            <v>0</v>
          </cell>
          <cell r="Z682">
            <v>0</v>
          </cell>
          <cell r="AA682">
            <v>5000000</v>
          </cell>
          <cell r="AB682">
            <v>5000000</v>
          </cell>
          <cell r="AC682">
            <v>13240000</v>
          </cell>
        </row>
        <row r="683">
          <cell r="F683" t="str">
            <v>OC: EXT COM SERV PROV - S/WARE LICENCES</v>
          </cell>
          <cell r="G683" t="str">
            <v>P230452</v>
          </cell>
          <cell r="H683" t="str">
            <v>P230178</v>
          </cell>
          <cell r="I683"/>
          <cell r="J683"/>
          <cell r="K683" t="str">
            <v>14</v>
          </cell>
          <cell r="L683" t="str">
            <v>08</v>
          </cell>
          <cell r="M683" t="str">
            <v>2</v>
          </cell>
          <cell r="N683" t="str">
            <v>30</v>
          </cell>
          <cell r="O683" t="str">
            <v>178</v>
          </cell>
          <cell r="P683" t="str">
            <v>1</v>
          </cell>
          <cell r="Q683">
            <v>18</v>
          </cell>
          <cell r="R683" t="str">
            <v>MRC</v>
          </cell>
          <cell r="S683" t="str">
            <v>ZZ</v>
          </cell>
          <cell r="T683">
            <v>11</v>
          </cell>
          <cell r="U683" t="str">
            <v>1408230178118MRCZZ11</v>
          </cell>
          <cell r="V683">
            <v>676</v>
          </cell>
          <cell r="W683" t="str">
            <v>OC: EXT COM SERV PROV - S/WARE LICENCES</v>
          </cell>
          <cell r="X683">
            <v>0</v>
          </cell>
          <cell r="Y683">
            <v>0</v>
          </cell>
          <cell r="Z683">
            <v>0</v>
          </cell>
          <cell r="AA683"/>
          <cell r="AB683">
            <v>0</v>
          </cell>
          <cell r="AC683">
            <v>0</v>
          </cell>
        </row>
        <row r="684">
          <cell r="F684" t="str">
            <v>OC: REG FEES NATIONAL</v>
          </cell>
          <cell r="G684" t="str">
            <v>P230452</v>
          </cell>
          <cell r="H684" t="str">
            <v>P230511</v>
          </cell>
          <cell r="I684"/>
          <cell r="J684"/>
          <cell r="K684" t="str">
            <v>14</v>
          </cell>
          <cell r="L684" t="str">
            <v>08</v>
          </cell>
          <cell r="M684" t="str">
            <v>2</v>
          </cell>
          <cell r="N684" t="str">
            <v>30</v>
          </cell>
          <cell r="O684" t="str">
            <v>511</v>
          </cell>
          <cell r="P684" t="str">
            <v>0</v>
          </cell>
          <cell r="Q684">
            <v>18</v>
          </cell>
          <cell r="R684" t="str">
            <v>MRC</v>
          </cell>
          <cell r="S684" t="str">
            <v>ZZ</v>
          </cell>
          <cell r="T684">
            <v>11</v>
          </cell>
          <cell r="U684" t="str">
            <v>1408230511018MRCZZ11</v>
          </cell>
          <cell r="V684">
            <v>677</v>
          </cell>
          <cell r="W684" t="str">
            <v>OC: REG FEES NATIONAL</v>
          </cell>
          <cell r="X684">
            <v>0</v>
          </cell>
          <cell r="Y684">
            <v>0</v>
          </cell>
          <cell r="Z684">
            <v>0</v>
          </cell>
          <cell r="AA684"/>
          <cell r="AB684">
            <v>0</v>
          </cell>
          <cell r="AC684">
            <v>0</v>
          </cell>
        </row>
        <row r="685">
          <cell r="F685" t="str">
            <v>OC: T&amp;S DOM - ACCOMMODATION</v>
          </cell>
          <cell r="G685" t="str">
            <v>P230452</v>
          </cell>
          <cell r="H685" t="str">
            <v>P230576</v>
          </cell>
          <cell r="I685"/>
          <cell r="J685"/>
          <cell r="K685" t="str">
            <v>14</v>
          </cell>
          <cell r="L685" t="str">
            <v>08</v>
          </cell>
          <cell r="M685" t="str">
            <v>2</v>
          </cell>
          <cell r="N685" t="str">
            <v>30</v>
          </cell>
          <cell r="O685" t="str">
            <v>576</v>
          </cell>
          <cell r="P685" t="str">
            <v>0</v>
          </cell>
          <cell r="Q685">
            <v>18</v>
          </cell>
          <cell r="R685" t="str">
            <v>MRC</v>
          </cell>
          <cell r="S685" t="str">
            <v>ZZ</v>
          </cell>
          <cell r="T685">
            <v>11</v>
          </cell>
          <cell r="U685" t="str">
            <v>1408230576018MRCZZ11</v>
          </cell>
          <cell r="V685">
            <v>678</v>
          </cell>
          <cell r="W685" t="str">
            <v>OC: T&amp;S DOM - ACCOMMODATION</v>
          </cell>
          <cell r="X685">
            <v>0</v>
          </cell>
          <cell r="Y685">
            <v>0</v>
          </cell>
          <cell r="Z685">
            <v>0</v>
          </cell>
          <cell r="AA685"/>
          <cell r="AB685">
            <v>0</v>
          </cell>
          <cell r="AC685">
            <v>0</v>
          </cell>
        </row>
        <row r="686">
          <cell r="F686" t="str">
            <v>OC: T&amp;S DOM - DAILY ALLOWANCE</v>
          </cell>
          <cell r="G686" t="str">
            <v>P230452</v>
          </cell>
          <cell r="H686" t="str">
            <v>P230577</v>
          </cell>
          <cell r="I686"/>
          <cell r="J686"/>
          <cell r="K686" t="str">
            <v>14</v>
          </cell>
          <cell r="L686" t="str">
            <v>08</v>
          </cell>
          <cell r="M686" t="str">
            <v>2</v>
          </cell>
          <cell r="N686" t="str">
            <v>30</v>
          </cell>
          <cell r="O686" t="str">
            <v>577</v>
          </cell>
          <cell r="P686" t="str">
            <v>0</v>
          </cell>
          <cell r="Q686">
            <v>18</v>
          </cell>
          <cell r="R686" t="str">
            <v>MRC</v>
          </cell>
          <cell r="S686" t="str">
            <v>ZZ</v>
          </cell>
          <cell r="T686">
            <v>11</v>
          </cell>
          <cell r="U686" t="str">
            <v>1408230577018MRCZZ11</v>
          </cell>
          <cell r="V686">
            <v>679</v>
          </cell>
          <cell r="W686" t="str">
            <v>OC: T&amp;S DOM - DAILY ALLOWANCE</v>
          </cell>
          <cell r="X686">
            <v>0</v>
          </cell>
          <cell r="Y686">
            <v>0</v>
          </cell>
          <cell r="Z686">
            <v>0</v>
          </cell>
          <cell r="AA686"/>
          <cell r="AB686">
            <v>0</v>
          </cell>
          <cell r="AC686">
            <v>0</v>
          </cell>
        </row>
        <row r="687">
          <cell r="F687" t="str">
            <v>OC: T&amp;S DOM TRP - WITHOUT OPR CAR RENTAL</v>
          </cell>
          <cell r="G687" t="str">
            <v>P230452</v>
          </cell>
          <cell r="H687" t="str">
            <v>P230580</v>
          </cell>
          <cell r="I687"/>
          <cell r="J687"/>
          <cell r="K687" t="str">
            <v>14</v>
          </cell>
          <cell r="L687" t="str">
            <v>08</v>
          </cell>
          <cell r="M687" t="str">
            <v>2</v>
          </cell>
          <cell r="N687" t="str">
            <v>30</v>
          </cell>
          <cell r="O687" t="str">
            <v>580</v>
          </cell>
          <cell r="P687" t="str">
            <v>0</v>
          </cell>
          <cell r="Q687">
            <v>18</v>
          </cell>
          <cell r="R687" t="str">
            <v>MRC</v>
          </cell>
          <cell r="S687" t="str">
            <v>ZZ</v>
          </cell>
          <cell r="T687">
            <v>11</v>
          </cell>
          <cell r="U687" t="str">
            <v>1408230580018MRCZZ11</v>
          </cell>
          <cell r="V687">
            <v>680</v>
          </cell>
          <cell r="W687" t="str">
            <v>OC: T&amp;S DOM TRP - WITHOUT OPR CAR RENTAL</v>
          </cell>
          <cell r="X687">
            <v>0</v>
          </cell>
          <cell r="Y687">
            <v>0</v>
          </cell>
          <cell r="Z687">
            <v>0</v>
          </cell>
          <cell r="AA687"/>
          <cell r="AB687">
            <v>0</v>
          </cell>
          <cell r="AC687">
            <v>0</v>
          </cell>
        </row>
        <row r="688">
          <cell r="F688" t="str">
            <v>OC: T&amp;S DOM PUB TRP - AIR TRANSPORT</v>
          </cell>
          <cell r="G688" t="str">
            <v>P230452</v>
          </cell>
          <cell r="H688" t="str">
            <v>P230583</v>
          </cell>
          <cell r="I688"/>
          <cell r="J688"/>
          <cell r="K688" t="str">
            <v>14</v>
          </cell>
          <cell r="L688" t="str">
            <v>08</v>
          </cell>
          <cell r="M688" t="str">
            <v>2</v>
          </cell>
          <cell r="N688" t="str">
            <v>30</v>
          </cell>
          <cell r="O688" t="str">
            <v>583</v>
          </cell>
          <cell r="P688" t="str">
            <v>0</v>
          </cell>
          <cell r="Q688">
            <v>18</v>
          </cell>
          <cell r="R688" t="str">
            <v>MRC</v>
          </cell>
          <cell r="S688" t="str">
            <v>ZZ</v>
          </cell>
          <cell r="T688">
            <v>11</v>
          </cell>
          <cell r="U688" t="str">
            <v>1408230583018MRCZZ11</v>
          </cell>
          <cell r="V688">
            <v>681</v>
          </cell>
          <cell r="W688" t="str">
            <v>OC: T&amp;S DOM PUB TRP - AIR TRANSPORT</v>
          </cell>
          <cell r="X688">
            <v>0</v>
          </cell>
          <cell r="Y688">
            <v>0</v>
          </cell>
          <cell r="Z688">
            <v>0</v>
          </cell>
          <cell r="AA688"/>
          <cell r="AB688">
            <v>0</v>
          </cell>
          <cell r="AC688">
            <v>0</v>
          </cell>
        </row>
        <row r="689">
          <cell r="F689" t="str">
            <v>INVENTORY - MATERIALS &amp; SUPPLIES(PRINT&amp;</v>
          </cell>
          <cell r="G689" t="str">
            <v>P232360</v>
          </cell>
          <cell r="H689" t="str">
            <v>P232360</v>
          </cell>
          <cell r="I689"/>
          <cell r="J689"/>
          <cell r="K689" t="str">
            <v>14</v>
          </cell>
          <cell r="L689" t="str">
            <v>08</v>
          </cell>
          <cell r="M689" t="str">
            <v>2</v>
          </cell>
          <cell r="N689" t="str">
            <v>32</v>
          </cell>
          <cell r="O689" t="str">
            <v>360</v>
          </cell>
          <cell r="P689" t="str">
            <v>D</v>
          </cell>
          <cell r="Q689">
            <v>18</v>
          </cell>
          <cell r="R689" t="str">
            <v>MRC</v>
          </cell>
          <cell r="S689" t="str">
            <v>ZZ</v>
          </cell>
          <cell r="T689">
            <v>11</v>
          </cell>
          <cell r="U689" t="str">
            <v>1408232360D18MRCZZ11</v>
          </cell>
          <cell r="V689">
            <v>682</v>
          </cell>
          <cell r="W689" t="str">
            <v>INVENTORY - MATERIALS &amp; SUPPLIES(PRINT&amp;</v>
          </cell>
          <cell r="X689">
            <v>0</v>
          </cell>
          <cell r="Y689">
            <v>0</v>
          </cell>
          <cell r="Z689">
            <v>0</v>
          </cell>
          <cell r="AA689"/>
          <cell r="AB689">
            <v>0</v>
          </cell>
          <cell r="AC689">
            <v>0</v>
          </cell>
        </row>
        <row r="690">
          <cell r="F690" t="str">
            <v>AMORTISATION INTANG COMPUTER SOFTWARE</v>
          </cell>
          <cell r="G690" t="str">
            <v>P272150</v>
          </cell>
          <cell r="H690" t="str">
            <v>P272004</v>
          </cell>
          <cell r="I690"/>
          <cell r="J690"/>
          <cell r="K690" t="str">
            <v>14</v>
          </cell>
          <cell r="L690" t="str">
            <v>08</v>
          </cell>
          <cell r="M690" t="str">
            <v>2</v>
          </cell>
          <cell r="N690" t="str">
            <v>72</v>
          </cell>
          <cell r="O690" t="str">
            <v>004</v>
          </cell>
          <cell r="P690" t="str">
            <v>0</v>
          </cell>
          <cell r="Q690">
            <v>18</v>
          </cell>
          <cell r="R690" t="str">
            <v>MRC</v>
          </cell>
          <cell r="S690" t="str">
            <v>ZZ</v>
          </cell>
          <cell r="T690">
            <v>11</v>
          </cell>
          <cell r="U690" t="str">
            <v>1408272004018MRCZZ11</v>
          </cell>
          <cell r="V690">
            <v>683</v>
          </cell>
          <cell r="W690" t="str">
            <v>AMORTISATION INTANG COMPUTER SOFTWARE</v>
          </cell>
          <cell r="X690">
            <v>7438170</v>
          </cell>
          <cell r="Y690">
            <v>8202816.29</v>
          </cell>
          <cell r="Z690">
            <v>9843379.5480000004</v>
          </cell>
          <cell r="AA690"/>
          <cell r="AB690">
            <v>7438170</v>
          </cell>
          <cell r="AC690">
            <v>7795202.1600000001</v>
          </cell>
        </row>
        <row r="691">
          <cell r="F691" t="str">
            <v>SM D11: SAL &amp; ALL -  BASIC SALARY</v>
          </cell>
          <cell r="G691" t="str">
            <v>P1441203485</v>
          </cell>
          <cell r="H691" t="str">
            <v>P1441203485</v>
          </cell>
          <cell r="I691" t="str">
            <v>501441</v>
          </cell>
          <cell r="J691">
            <v>50</v>
          </cell>
          <cell r="K691" t="str">
            <v>14</v>
          </cell>
          <cell r="L691" t="str">
            <v>41</v>
          </cell>
          <cell r="M691" t="str">
            <v>2</v>
          </cell>
          <cell r="N691" t="str">
            <v>03</v>
          </cell>
          <cell r="O691" t="str">
            <v>485</v>
          </cell>
          <cell r="P691" t="str">
            <v>0</v>
          </cell>
          <cell r="Q691">
            <v>18</v>
          </cell>
          <cell r="R691" t="str">
            <v>MRC</v>
          </cell>
          <cell r="S691" t="str">
            <v>ZZ</v>
          </cell>
          <cell r="T691">
            <v>11</v>
          </cell>
          <cell r="U691" t="str">
            <v>1441203485018MRCZZ11</v>
          </cell>
          <cell r="V691">
            <v>684</v>
          </cell>
          <cell r="W691" t="str">
            <v>SM D11: SAL &amp; ALL -  BASIC SALARY</v>
          </cell>
          <cell r="X691">
            <v>1271309</v>
          </cell>
          <cell r="Y691">
            <v>125642.83</v>
          </cell>
          <cell r="Z691">
            <v>150771.39600000001</v>
          </cell>
          <cell r="AA691"/>
          <cell r="AB691">
            <v>1271309</v>
          </cell>
          <cell r="AC691">
            <v>1751036.1917184002</v>
          </cell>
        </row>
        <row r="692">
          <cell r="F692" t="str">
            <v>SM D13: ALLOW - CELLULAR &amp; TELEPHONE</v>
          </cell>
          <cell r="G692" t="str">
            <v>P1441203567</v>
          </cell>
          <cell r="H692" t="str">
            <v>P1441203567</v>
          </cell>
          <cell r="I692" t="str">
            <v>501441</v>
          </cell>
          <cell r="J692">
            <v>50</v>
          </cell>
          <cell r="K692" t="str">
            <v>14</v>
          </cell>
          <cell r="L692" t="str">
            <v>41</v>
          </cell>
          <cell r="M692" t="str">
            <v>2</v>
          </cell>
          <cell r="N692" t="str">
            <v>03</v>
          </cell>
          <cell r="O692" t="str">
            <v>567</v>
          </cell>
          <cell r="P692" t="str">
            <v>0</v>
          </cell>
          <cell r="Q692">
            <v>18</v>
          </cell>
          <cell r="R692" t="str">
            <v>MRC</v>
          </cell>
          <cell r="S692" t="str">
            <v>ZZ</v>
          </cell>
          <cell r="T692">
            <v>11</v>
          </cell>
          <cell r="U692" t="str">
            <v>1441203567018MRCZZ11</v>
          </cell>
          <cell r="V692">
            <v>685</v>
          </cell>
          <cell r="W692" t="str">
            <v>SM D13: ALLOW - CELLULAR &amp; TELEPHONE</v>
          </cell>
          <cell r="X692">
            <v>16736</v>
          </cell>
          <cell r="Y692">
            <v>1200</v>
          </cell>
          <cell r="Z692">
            <v>1440</v>
          </cell>
          <cell r="AA692"/>
          <cell r="AB692">
            <v>16736</v>
          </cell>
          <cell r="AC692">
            <v>15091.2</v>
          </cell>
        </row>
        <row r="693">
          <cell r="F693" t="str">
            <v>SM D13: SOC CONTR: UIF</v>
          </cell>
          <cell r="G693" t="str">
            <v>P1441205583</v>
          </cell>
          <cell r="H693" t="str">
            <v>P1441205583</v>
          </cell>
          <cell r="I693" t="str">
            <v>501441</v>
          </cell>
          <cell r="J693">
            <v>50</v>
          </cell>
          <cell r="K693" t="str">
            <v>14</v>
          </cell>
          <cell r="L693" t="str">
            <v>41</v>
          </cell>
          <cell r="M693" t="str">
            <v>2</v>
          </cell>
          <cell r="N693" t="str">
            <v>05</v>
          </cell>
          <cell r="O693" t="str">
            <v>583</v>
          </cell>
          <cell r="P693" t="str">
            <v>0</v>
          </cell>
          <cell r="Q693">
            <v>18</v>
          </cell>
          <cell r="R693" t="str">
            <v>MRC</v>
          </cell>
          <cell r="S693" t="str">
            <v>ZZ</v>
          </cell>
          <cell r="T693">
            <v>11</v>
          </cell>
          <cell r="U693" t="str">
            <v>1441205583018MRCZZ11</v>
          </cell>
          <cell r="V693">
            <v>686</v>
          </cell>
          <cell r="W693" t="str">
            <v>SM D13: SOC CONTR: UIF</v>
          </cell>
          <cell r="X693">
            <v>0</v>
          </cell>
          <cell r="Y693">
            <v>177.12</v>
          </cell>
          <cell r="Z693">
            <v>212.54399999999998</v>
          </cell>
          <cell r="AA693"/>
          <cell r="AB693">
            <v>0</v>
          </cell>
          <cell r="AC693">
            <v>0</v>
          </cell>
        </row>
        <row r="694">
          <cell r="F694" t="str">
            <v>MS: SAL &amp; ALL: BASIC SALARY &amp; WAGES</v>
          </cell>
          <cell r="G694" t="str">
            <v>P211001</v>
          </cell>
          <cell r="H694" t="str">
            <v>P211001</v>
          </cell>
          <cell r="I694" t="str">
            <v>501441</v>
          </cell>
          <cell r="J694">
            <v>50</v>
          </cell>
          <cell r="K694" t="str">
            <v>14</v>
          </cell>
          <cell r="L694" t="str">
            <v>41</v>
          </cell>
          <cell r="M694" t="str">
            <v>2</v>
          </cell>
          <cell r="N694" t="str">
            <v>11</v>
          </cell>
          <cell r="O694" t="str">
            <v>001</v>
          </cell>
          <cell r="P694" t="str">
            <v>0</v>
          </cell>
          <cell r="Q694">
            <v>18</v>
          </cell>
          <cell r="R694" t="str">
            <v>MRC</v>
          </cell>
          <cell r="S694" t="str">
            <v>ZZ</v>
          </cell>
          <cell r="T694">
            <v>11</v>
          </cell>
          <cell r="U694" t="str">
            <v>1441211001018MRCZZ11</v>
          </cell>
          <cell r="V694">
            <v>687</v>
          </cell>
          <cell r="W694" t="str">
            <v>MS: SAL &amp; ALL: BASIC SALARY &amp; WAGES</v>
          </cell>
          <cell r="X694">
            <v>455882</v>
          </cell>
          <cell r="Y694">
            <v>1571306.98</v>
          </cell>
          <cell r="Z694">
            <v>1885568.3760000002</v>
          </cell>
          <cell r="AA694"/>
          <cell r="AB694">
            <v>455882</v>
          </cell>
          <cell r="AC694">
            <v>581841.21600000001</v>
          </cell>
        </row>
        <row r="695">
          <cell r="F695" t="str">
            <v>MS: ALL - CELLULAR &amp; TELEPHONE</v>
          </cell>
          <cell r="G695" t="str">
            <v>P211022</v>
          </cell>
          <cell r="H695" t="str">
            <v>P211022</v>
          </cell>
          <cell r="I695" t="str">
            <v>501441</v>
          </cell>
          <cell r="J695">
            <v>50</v>
          </cell>
          <cell r="K695" t="str">
            <v>14</v>
          </cell>
          <cell r="L695" t="str">
            <v>41</v>
          </cell>
          <cell r="M695" t="str">
            <v>2</v>
          </cell>
          <cell r="N695" t="str">
            <v>11</v>
          </cell>
          <cell r="O695" t="str">
            <v>022</v>
          </cell>
          <cell r="P695" t="str">
            <v>0</v>
          </cell>
          <cell r="Q695">
            <v>18</v>
          </cell>
          <cell r="R695" t="str">
            <v>MRC</v>
          </cell>
          <cell r="S695" t="str">
            <v>ZZ</v>
          </cell>
          <cell r="T695">
            <v>11</v>
          </cell>
          <cell r="U695" t="str">
            <v>1441211022018MRCZZ11</v>
          </cell>
          <cell r="V695">
            <v>688</v>
          </cell>
          <cell r="W695" t="str">
            <v>MS: ALL - CELLULAR &amp; TELEPHONE</v>
          </cell>
          <cell r="X695">
            <v>0</v>
          </cell>
          <cell r="Y695">
            <v>12000</v>
          </cell>
          <cell r="Z695">
            <v>14400</v>
          </cell>
          <cell r="AA695"/>
          <cell r="AB695">
            <v>0</v>
          </cell>
          <cell r="AC695">
            <v>0</v>
          </cell>
        </row>
        <row r="696">
          <cell r="F696" t="str">
            <v>MS: HB &amp; INC: HOUSING BENEFITS</v>
          </cell>
          <cell r="G696" t="str">
            <v>P211026</v>
          </cell>
          <cell r="H696" t="str">
            <v>P211026</v>
          </cell>
          <cell r="I696" t="str">
            <v>501441</v>
          </cell>
          <cell r="J696">
            <v>50</v>
          </cell>
          <cell r="K696" t="str">
            <v>14</v>
          </cell>
          <cell r="L696" t="str">
            <v>41</v>
          </cell>
          <cell r="M696" t="str">
            <v>2</v>
          </cell>
          <cell r="N696" t="str">
            <v>11</v>
          </cell>
          <cell r="O696" t="str">
            <v>026</v>
          </cell>
          <cell r="P696" t="str">
            <v>0</v>
          </cell>
          <cell r="Q696">
            <v>18</v>
          </cell>
          <cell r="R696" t="str">
            <v>MRC</v>
          </cell>
          <cell r="S696" t="str">
            <v>ZZ</v>
          </cell>
          <cell r="T696">
            <v>11</v>
          </cell>
          <cell r="U696" t="str">
            <v>1441211026018MRCZZ11</v>
          </cell>
          <cell r="V696">
            <v>689</v>
          </cell>
          <cell r="W696" t="str">
            <v>MS: HB &amp; INC: HOUSING BENEFITS</v>
          </cell>
          <cell r="X696">
            <v>0</v>
          </cell>
          <cell r="Y696">
            <v>0</v>
          </cell>
          <cell r="Z696">
            <v>0</v>
          </cell>
          <cell r="AA696"/>
          <cell r="AB696">
            <v>0</v>
          </cell>
          <cell r="AC696">
            <v>24259.355519999997</v>
          </cell>
        </row>
        <row r="697">
          <cell r="F697" t="str">
            <v>MS: ALL - TRAVEL OR MOTOR VEHICLE</v>
          </cell>
          <cell r="G697" t="str">
            <v>P211034</v>
          </cell>
          <cell r="H697" t="str">
            <v>P211034</v>
          </cell>
          <cell r="I697" t="str">
            <v>501441</v>
          </cell>
          <cell r="J697">
            <v>50</v>
          </cell>
          <cell r="K697" t="str">
            <v>14</v>
          </cell>
          <cell r="L697" t="str">
            <v>41</v>
          </cell>
          <cell r="M697" t="str">
            <v>2</v>
          </cell>
          <cell r="N697" t="str">
            <v>11</v>
          </cell>
          <cell r="O697" t="str">
            <v>034</v>
          </cell>
          <cell r="P697" t="str">
            <v>0</v>
          </cell>
          <cell r="Q697">
            <v>18</v>
          </cell>
          <cell r="R697" t="str">
            <v>MRC</v>
          </cell>
          <cell r="S697" t="str">
            <v>ZZ</v>
          </cell>
          <cell r="T697">
            <v>11</v>
          </cell>
          <cell r="U697" t="str">
            <v>1441211034018MRCZZ11</v>
          </cell>
          <cell r="V697">
            <v>690</v>
          </cell>
          <cell r="W697" t="str">
            <v>MS: ALL - TRAVEL OR MOTOR VEHICLE</v>
          </cell>
          <cell r="X697">
            <v>0</v>
          </cell>
          <cell r="Y697">
            <v>0</v>
          </cell>
          <cell r="Z697">
            <v>0</v>
          </cell>
          <cell r="AA697"/>
          <cell r="AB697">
            <v>0</v>
          </cell>
          <cell r="AC697">
            <v>0</v>
          </cell>
        </row>
        <row r="698">
          <cell r="F698" t="str">
            <v>MS: OVERTIME - STRUCTURED</v>
          </cell>
          <cell r="G698" t="str">
            <v>P211038</v>
          </cell>
          <cell r="H698" t="str">
            <v>P211038</v>
          </cell>
          <cell r="I698" t="str">
            <v>501441</v>
          </cell>
          <cell r="J698">
            <v>50</v>
          </cell>
          <cell r="K698" t="str">
            <v>14</v>
          </cell>
          <cell r="L698" t="str">
            <v>41</v>
          </cell>
          <cell r="M698" t="str">
            <v>2</v>
          </cell>
          <cell r="N698" t="str">
            <v>11</v>
          </cell>
          <cell r="O698" t="str">
            <v>038</v>
          </cell>
          <cell r="P698" t="str">
            <v>0</v>
          </cell>
          <cell r="Q698">
            <v>18</v>
          </cell>
          <cell r="R698" t="str">
            <v>MRC</v>
          </cell>
          <cell r="S698" t="str">
            <v>ZZ</v>
          </cell>
          <cell r="T698">
            <v>11</v>
          </cell>
          <cell r="U698" t="str">
            <v>1441211038018MRCZZ11</v>
          </cell>
          <cell r="V698">
            <v>691</v>
          </cell>
          <cell r="W698" t="str">
            <v>MS: OVERTIME - STRUCTURED</v>
          </cell>
          <cell r="X698">
            <v>68322</v>
          </cell>
          <cell r="Y698">
            <v>78729.5</v>
          </cell>
          <cell r="Z698">
            <v>94475.4</v>
          </cell>
          <cell r="AA698"/>
          <cell r="AB698">
            <v>68322</v>
          </cell>
          <cell r="AC698">
            <v>61489.8</v>
          </cell>
        </row>
        <row r="699">
          <cell r="F699" t="str">
            <v>MS: OVERTIME - NIGHT SHIFT</v>
          </cell>
          <cell r="G699" t="str">
            <v>P211042</v>
          </cell>
          <cell r="H699" t="str">
            <v>P211042</v>
          </cell>
          <cell r="I699" t="str">
            <v>501441</v>
          </cell>
          <cell r="J699">
            <v>50</v>
          </cell>
          <cell r="K699" t="str">
            <v>14</v>
          </cell>
          <cell r="L699" t="str">
            <v>41</v>
          </cell>
          <cell r="M699" t="str">
            <v>2</v>
          </cell>
          <cell r="N699" t="str">
            <v>11</v>
          </cell>
          <cell r="O699" t="str">
            <v>042</v>
          </cell>
          <cell r="P699" t="str">
            <v>0</v>
          </cell>
          <cell r="Q699">
            <v>18</v>
          </cell>
          <cell r="R699" t="str">
            <v>MRC</v>
          </cell>
          <cell r="S699" t="str">
            <v>ZZ</v>
          </cell>
          <cell r="T699">
            <v>11</v>
          </cell>
          <cell r="U699" t="str">
            <v>1441211042018MRCZZ11</v>
          </cell>
          <cell r="V699">
            <v>692</v>
          </cell>
          <cell r="W699" t="str">
            <v>MS: OVERTIME - NIGHT SHIFT</v>
          </cell>
          <cell r="X699">
            <v>3413</v>
          </cell>
          <cell r="Y699">
            <v>2883.28</v>
          </cell>
          <cell r="Z699">
            <v>3459.9360000000006</v>
          </cell>
          <cell r="AA699"/>
          <cell r="AB699">
            <v>3413</v>
          </cell>
          <cell r="AC699">
            <v>3071.7000000000003</v>
          </cell>
        </row>
        <row r="700">
          <cell r="F700" t="str">
            <v>MS: SRB - ACTING ALLOWANCE</v>
          </cell>
          <cell r="G700" t="str">
            <v>P211044</v>
          </cell>
          <cell r="H700" t="str">
            <v>P211044</v>
          </cell>
          <cell r="I700" t="str">
            <v>501441</v>
          </cell>
          <cell r="J700">
            <v>50</v>
          </cell>
          <cell r="K700" t="str">
            <v>14</v>
          </cell>
          <cell r="L700" t="str">
            <v>41</v>
          </cell>
          <cell r="M700" t="str">
            <v>2</v>
          </cell>
          <cell r="N700" t="str">
            <v>11</v>
          </cell>
          <cell r="O700" t="str">
            <v>044</v>
          </cell>
          <cell r="P700" t="str">
            <v>0</v>
          </cell>
          <cell r="Q700">
            <v>18</v>
          </cell>
          <cell r="R700" t="str">
            <v>MRC</v>
          </cell>
          <cell r="S700" t="str">
            <v>ZZ</v>
          </cell>
          <cell r="T700">
            <v>11</v>
          </cell>
          <cell r="U700" t="str">
            <v>1441211044018MRCZZ11</v>
          </cell>
          <cell r="V700">
            <v>693</v>
          </cell>
          <cell r="W700" t="str">
            <v>MS: SRB - ACTING ALLOWANCE</v>
          </cell>
          <cell r="X700">
            <v>0</v>
          </cell>
          <cell r="Y700">
            <v>22860</v>
          </cell>
          <cell r="Z700">
            <v>27432</v>
          </cell>
          <cell r="AA700"/>
          <cell r="AB700">
            <v>0</v>
          </cell>
          <cell r="AC700">
            <v>0</v>
          </cell>
        </row>
        <row r="701">
          <cell r="F701" t="str">
            <v>MS: SRB - ANNUAL BONUS</v>
          </cell>
          <cell r="G701" t="str">
            <v>P211046</v>
          </cell>
          <cell r="H701" t="str">
            <v>P211046</v>
          </cell>
          <cell r="I701" t="str">
            <v>501441</v>
          </cell>
          <cell r="J701">
            <v>50</v>
          </cell>
          <cell r="K701" t="str">
            <v>14</v>
          </cell>
          <cell r="L701" t="str">
            <v>41</v>
          </cell>
          <cell r="M701" t="str">
            <v>2</v>
          </cell>
          <cell r="N701" t="str">
            <v>11</v>
          </cell>
          <cell r="O701" t="str">
            <v>046</v>
          </cell>
          <cell r="P701" t="str">
            <v>0</v>
          </cell>
          <cell r="Q701">
            <v>18</v>
          </cell>
          <cell r="R701" t="str">
            <v>MRC</v>
          </cell>
          <cell r="S701" t="str">
            <v>ZZ</v>
          </cell>
          <cell r="T701">
            <v>11</v>
          </cell>
          <cell r="U701" t="str">
            <v>1441211046018MRCZZ11</v>
          </cell>
          <cell r="V701">
            <v>694</v>
          </cell>
          <cell r="W701" t="str">
            <v>MS: SRB - ANNUAL BONUS</v>
          </cell>
          <cell r="X701">
            <v>46567</v>
          </cell>
          <cell r="Y701">
            <v>35636.79</v>
          </cell>
          <cell r="Z701">
            <v>42764.148000000001</v>
          </cell>
          <cell r="AA701"/>
          <cell r="AB701">
            <v>46567</v>
          </cell>
          <cell r="AC701">
            <v>48486.768000000004</v>
          </cell>
        </row>
        <row r="702">
          <cell r="F702" t="str">
            <v>MS: SRB - STANDBY ALLOWANCE</v>
          </cell>
          <cell r="G702" t="str">
            <v>P211056</v>
          </cell>
          <cell r="H702" t="str">
            <v>P211056</v>
          </cell>
          <cell r="I702" t="str">
            <v>501441</v>
          </cell>
          <cell r="J702">
            <v>50</v>
          </cell>
          <cell r="K702" t="str">
            <v>14</v>
          </cell>
          <cell r="L702" t="str">
            <v>41</v>
          </cell>
          <cell r="M702" t="str">
            <v>2</v>
          </cell>
          <cell r="N702" t="str">
            <v>11</v>
          </cell>
          <cell r="O702" t="str">
            <v>056</v>
          </cell>
          <cell r="P702" t="str">
            <v>0</v>
          </cell>
          <cell r="Q702">
            <v>18</v>
          </cell>
          <cell r="R702" t="str">
            <v>MRC</v>
          </cell>
          <cell r="S702" t="str">
            <v>ZZ</v>
          </cell>
          <cell r="T702">
            <v>11</v>
          </cell>
          <cell r="U702" t="str">
            <v>1441211056018MRCZZ11</v>
          </cell>
          <cell r="V702">
            <v>695</v>
          </cell>
          <cell r="W702" t="str">
            <v>MS: SRB - STANDBY ALLOWANCE</v>
          </cell>
          <cell r="X702">
            <v>13345</v>
          </cell>
          <cell r="Y702">
            <v>16789.91</v>
          </cell>
          <cell r="Z702">
            <v>20147.892</v>
          </cell>
          <cell r="AA702"/>
          <cell r="AB702">
            <v>13345</v>
          </cell>
          <cell r="AC702">
            <v>12010.5</v>
          </cell>
        </row>
        <row r="703">
          <cell r="F703" t="str">
            <v>MS: SRB - TOOLS ALLOWANCE</v>
          </cell>
          <cell r="G703" t="str">
            <v>P211058</v>
          </cell>
          <cell r="H703" t="str">
            <v>P211058</v>
          </cell>
          <cell r="I703" t="str">
            <v>501441</v>
          </cell>
          <cell r="J703">
            <v>50</v>
          </cell>
          <cell r="K703" t="str">
            <v>14</v>
          </cell>
          <cell r="L703" t="str">
            <v>41</v>
          </cell>
          <cell r="M703" t="str">
            <v>2</v>
          </cell>
          <cell r="N703" t="str">
            <v>11</v>
          </cell>
          <cell r="O703" t="str">
            <v>058</v>
          </cell>
          <cell r="P703" t="str">
            <v>0</v>
          </cell>
          <cell r="Q703">
            <v>18</v>
          </cell>
          <cell r="R703" t="str">
            <v>MRC</v>
          </cell>
          <cell r="S703" t="str">
            <v>ZZ</v>
          </cell>
          <cell r="T703">
            <v>11</v>
          </cell>
          <cell r="U703" t="str">
            <v>1441211058018MRCZZ11</v>
          </cell>
          <cell r="V703">
            <v>696</v>
          </cell>
          <cell r="W703" t="str">
            <v>MS: SRB - TOOLS ALLOWANCE</v>
          </cell>
          <cell r="X703">
            <v>0</v>
          </cell>
          <cell r="Y703">
            <v>0</v>
          </cell>
          <cell r="Z703">
            <v>0</v>
          </cell>
          <cell r="AA703"/>
          <cell r="AB703">
            <v>0</v>
          </cell>
          <cell r="AC703">
            <v>0</v>
          </cell>
        </row>
        <row r="704">
          <cell r="F704" t="str">
            <v>MS: SOC CONTR - BARGAINING COUNCIL</v>
          </cell>
          <cell r="G704" t="str">
            <v>P213001</v>
          </cell>
          <cell r="H704" t="str">
            <v>P213001</v>
          </cell>
          <cell r="I704" t="str">
            <v>501441</v>
          </cell>
          <cell r="J704">
            <v>50</v>
          </cell>
          <cell r="K704" t="str">
            <v>14</v>
          </cell>
          <cell r="L704" t="str">
            <v>41</v>
          </cell>
          <cell r="M704" t="str">
            <v>2</v>
          </cell>
          <cell r="N704" t="str">
            <v>13</v>
          </cell>
          <cell r="O704" t="str">
            <v>001</v>
          </cell>
          <cell r="P704" t="str">
            <v>0</v>
          </cell>
          <cell r="Q704">
            <v>18</v>
          </cell>
          <cell r="R704" t="str">
            <v>MRC</v>
          </cell>
          <cell r="S704" t="str">
            <v>ZZ</v>
          </cell>
          <cell r="T704">
            <v>11</v>
          </cell>
          <cell r="U704" t="str">
            <v>1441213001018MRCZZ11</v>
          </cell>
          <cell r="V704">
            <v>697</v>
          </cell>
          <cell r="W704" t="str">
            <v>MS: SOC CONTR - BARGAINING COUNCIL</v>
          </cell>
          <cell r="X704">
            <v>244</v>
          </cell>
          <cell r="Y704">
            <v>339.9</v>
          </cell>
          <cell r="Z704">
            <v>407.87999999999994</v>
          </cell>
          <cell r="AA704"/>
          <cell r="AB704">
            <v>244</v>
          </cell>
          <cell r="AC704">
            <v>259.06560000000002</v>
          </cell>
        </row>
        <row r="705">
          <cell r="F705" t="str">
            <v>MS: SOC CONTR - GROUP LIFE INSURANCE</v>
          </cell>
          <cell r="G705" t="str">
            <v>P213010</v>
          </cell>
          <cell r="H705" t="str">
            <v>P213010</v>
          </cell>
          <cell r="I705" t="str">
            <v>501441</v>
          </cell>
          <cell r="J705">
            <v>50</v>
          </cell>
          <cell r="K705" t="str">
            <v>14</v>
          </cell>
          <cell r="L705" t="str">
            <v>41</v>
          </cell>
          <cell r="M705" t="str">
            <v>2</v>
          </cell>
          <cell r="N705" t="str">
            <v>13</v>
          </cell>
          <cell r="O705" t="str">
            <v>010</v>
          </cell>
          <cell r="P705" t="str">
            <v>0</v>
          </cell>
          <cell r="Q705">
            <v>18</v>
          </cell>
          <cell r="R705" t="str">
            <v>MRC</v>
          </cell>
          <cell r="S705" t="str">
            <v>ZZ</v>
          </cell>
          <cell r="T705">
            <v>11</v>
          </cell>
          <cell r="U705" t="str">
            <v>1441213010018MRCZZ11</v>
          </cell>
          <cell r="V705">
            <v>698</v>
          </cell>
          <cell r="W705" t="str">
            <v>MS: SOC CONTR - GROUP LIFE INSURANCE</v>
          </cell>
          <cell r="X705">
            <v>0</v>
          </cell>
          <cell r="Y705">
            <v>0</v>
          </cell>
          <cell r="Z705">
            <v>0</v>
          </cell>
          <cell r="AA705"/>
          <cell r="AB705">
            <v>0</v>
          </cell>
          <cell r="AC705">
            <v>9891.3006719999994</v>
          </cell>
        </row>
        <row r="706">
          <cell r="F706" t="str">
            <v>MS: SOC CONTR - MEDICAL</v>
          </cell>
          <cell r="G706" t="str">
            <v>P213020</v>
          </cell>
          <cell r="H706" t="str">
            <v>P213020</v>
          </cell>
          <cell r="I706" t="str">
            <v>501441</v>
          </cell>
          <cell r="J706">
            <v>50</v>
          </cell>
          <cell r="K706" t="str">
            <v>14</v>
          </cell>
          <cell r="L706" t="str">
            <v>41</v>
          </cell>
          <cell r="M706" t="str">
            <v>2</v>
          </cell>
          <cell r="N706" t="str">
            <v>13</v>
          </cell>
          <cell r="O706" t="str">
            <v>020</v>
          </cell>
          <cell r="P706" t="str">
            <v>0</v>
          </cell>
          <cell r="Q706">
            <v>18</v>
          </cell>
          <cell r="R706" t="str">
            <v>MRC</v>
          </cell>
          <cell r="S706" t="str">
            <v>ZZ</v>
          </cell>
          <cell r="T706">
            <v>11</v>
          </cell>
          <cell r="U706" t="str">
            <v>1441213020018MRCZZ11</v>
          </cell>
          <cell r="V706">
            <v>699</v>
          </cell>
          <cell r="W706" t="str">
            <v>MS: SOC CONTR - MEDICAL</v>
          </cell>
          <cell r="X706">
            <v>36135</v>
          </cell>
          <cell r="Y706">
            <v>33591.599999999999</v>
          </cell>
          <cell r="Z706">
            <v>40309.919999999998</v>
          </cell>
          <cell r="AA706"/>
          <cell r="AB706">
            <v>36135</v>
          </cell>
          <cell r="AC706">
            <v>120053.51424</v>
          </cell>
        </row>
        <row r="707">
          <cell r="F707" t="str">
            <v>MS: SOC CONTR - PENSION</v>
          </cell>
          <cell r="G707" t="str">
            <v>P213030</v>
          </cell>
          <cell r="H707" t="str">
            <v>P213030</v>
          </cell>
          <cell r="I707" t="str">
            <v>501441</v>
          </cell>
          <cell r="J707">
            <v>50</v>
          </cell>
          <cell r="K707" t="str">
            <v>14</v>
          </cell>
          <cell r="L707" t="str">
            <v>41</v>
          </cell>
          <cell r="M707" t="str">
            <v>2</v>
          </cell>
          <cell r="N707" t="str">
            <v>13</v>
          </cell>
          <cell r="O707" t="str">
            <v>030</v>
          </cell>
          <cell r="P707" t="str">
            <v>0</v>
          </cell>
          <cell r="Q707">
            <v>18</v>
          </cell>
          <cell r="R707" t="str">
            <v>MRC</v>
          </cell>
          <cell r="S707" t="str">
            <v>ZZ</v>
          </cell>
          <cell r="T707">
            <v>11</v>
          </cell>
          <cell r="U707" t="str">
            <v>1441213030018MRCZZ11</v>
          </cell>
          <cell r="V707">
            <v>700</v>
          </cell>
          <cell r="W707" t="str">
            <v>MS: SOC CONTR - PENSION</v>
          </cell>
          <cell r="X707">
            <v>76411</v>
          </cell>
          <cell r="Y707">
            <v>71795.69</v>
          </cell>
          <cell r="Z707">
            <v>86154.828000000009</v>
          </cell>
          <cell r="AA707"/>
          <cell r="AB707">
            <v>76411</v>
          </cell>
          <cell r="AC707">
            <v>105138.70773120002</v>
          </cell>
        </row>
        <row r="708">
          <cell r="F708" t="str">
            <v>MS: SOC CONTR - UNEMPLOYMENT INSUR FUND</v>
          </cell>
          <cell r="G708" t="str">
            <v>P213040</v>
          </cell>
          <cell r="H708" t="str">
            <v>P213040</v>
          </cell>
          <cell r="I708" t="str">
            <v>501441</v>
          </cell>
          <cell r="J708">
            <v>50</v>
          </cell>
          <cell r="K708" t="str">
            <v>14</v>
          </cell>
          <cell r="L708" t="str">
            <v>41</v>
          </cell>
          <cell r="M708" t="str">
            <v>2</v>
          </cell>
          <cell r="N708" t="str">
            <v>13</v>
          </cell>
          <cell r="O708" t="str">
            <v>040</v>
          </cell>
          <cell r="P708" t="str">
            <v>0</v>
          </cell>
          <cell r="Q708">
            <v>18</v>
          </cell>
          <cell r="R708" t="str">
            <v>MRC</v>
          </cell>
          <cell r="S708" t="str">
            <v>ZZ</v>
          </cell>
          <cell r="T708">
            <v>11</v>
          </cell>
          <cell r="U708" t="str">
            <v>1441213040018MRCZZ11</v>
          </cell>
          <cell r="V708">
            <v>701</v>
          </cell>
          <cell r="W708" t="str">
            <v>MS: SOC CONTR - UNEMPLOYMENT INSUR FUND</v>
          </cell>
          <cell r="X708">
            <v>3669</v>
          </cell>
          <cell r="Y708">
            <v>5667.84</v>
          </cell>
          <cell r="Z708">
            <v>6801.4079999999994</v>
          </cell>
          <cell r="AA708"/>
          <cell r="AB708">
            <v>3669</v>
          </cell>
          <cell r="AC708">
            <v>4454.9222399999999</v>
          </cell>
        </row>
        <row r="709">
          <cell r="F709" t="str">
            <v>OS: CATERING SERVICES(REFRESHMENTS)</v>
          </cell>
          <cell r="G709" t="str">
            <v>P226060</v>
          </cell>
          <cell r="H709" t="str">
            <v>P226060</v>
          </cell>
          <cell r="I709"/>
          <cell r="J709"/>
          <cell r="K709" t="str">
            <v>14</v>
          </cell>
          <cell r="L709" t="str">
            <v>41</v>
          </cell>
          <cell r="M709" t="str">
            <v>2</v>
          </cell>
          <cell r="N709" t="str">
            <v>26</v>
          </cell>
          <cell r="O709" t="str">
            <v>060</v>
          </cell>
          <cell r="P709" t="str">
            <v>H</v>
          </cell>
          <cell r="Q709">
            <v>18</v>
          </cell>
          <cell r="R709" t="str">
            <v>MRC</v>
          </cell>
          <cell r="S709" t="str">
            <v>ZZ</v>
          </cell>
          <cell r="T709">
            <v>11</v>
          </cell>
          <cell r="U709" t="str">
            <v>1441226060H18MRCZZ11</v>
          </cell>
          <cell r="V709">
            <v>702</v>
          </cell>
          <cell r="W709" t="str">
            <v>OS: CATERING SERVICES(REFRESHMENTS)</v>
          </cell>
          <cell r="X709">
            <v>0</v>
          </cell>
          <cell r="Y709">
            <v>4366</v>
          </cell>
          <cell r="Z709">
            <v>5239.2000000000007</v>
          </cell>
          <cell r="AA709"/>
          <cell r="AB709">
            <v>0</v>
          </cell>
          <cell r="AC709">
            <v>0</v>
          </cell>
        </row>
        <row r="710">
          <cell r="F710" t="str">
            <v>OC: REG FEES NATIONAL</v>
          </cell>
          <cell r="G710" t="str">
            <v>P230452</v>
          </cell>
          <cell r="H710" t="str">
            <v>P230511</v>
          </cell>
          <cell r="I710"/>
          <cell r="J710"/>
          <cell r="K710" t="str">
            <v>14</v>
          </cell>
          <cell r="L710" t="str">
            <v>41</v>
          </cell>
          <cell r="M710" t="str">
            <v>2</v>
          </cell>
          <cell r="N710" t="str">
            <v>30</v>
          </cell>
          <cell r="O710" t="str">
            <v>511</v>
          </cell>
          <cell r="P710" t="str">
            <v>0</v>
          </cell>
          <cell r="Q710">
            <v>18</v>
          </cell>
          <cell r="R710" t="str">
            <v>MRC</v>
          </cell>
          <cell r="S710" t="str">
            <v>ZZ</v>
          </cell>
          <cell r="T710">
            <v>11</v>
          </cell>
          <cell r="U710" t="str">
            <v>1441230511018MRCZZ11</v>
          </cell>
          <cell r="V710">
            <v>703</v>
          </cell>
          <cell r="W710" t="str">
            <v>OC: REG FEES NATIONAL</v>
          </cell>
          <cell r="X710">
            <v>0</v>
          </cell>
          <cell r="Y710">
            <v>0</v>
          </cell>
          <cell r="Z710">
            <v>0</v>
          </cell>
          <cell r="AA710"/>
          <cell r="AB710">
            <v>0</v>
          </cell>
          <cell r="AC710">
            <v>0</v>
          </cell>
        </row>
        <row r="711">
          <cell r="F711" t="str">
            <v>OC: SKILLS DEVELOPMENT FUND LEVY</v>
          </cell>
          <cell r="G711" t="str">
            <v>P230452</v>
          </cell>
          <cell r="H711" t="str">
            <v>P230541</v>
          </cell>
          <cell r="I711"/>
          <cell r="J711"/>
          <cell r="K711" t="str">
            <v>14</v>
          </cell>
          <cell r="L711" t="str">
            <v>41</v>
          </cell>
          <cell r="M711" t="str">
            <v>2</v>
          </cell>
          <cell r="N711" t="str">
            <v>30</v>
          </cell>
          <cell r="O711" t="str">
            <v>541</v>
          </cell>
          <cell r="P711" t="str">
            <v>0</v>
          </cell>
          <cell r="Q711">
            <v>18</v>
          </cell>
          <cell r="R711" t="str">
            <v>MRC</v>
          </cell>
          <cell r="S711" t="str">
            <v>ZZ</v>
          </cell>
          <cell r="T711">
            <v>11</v>
          </cell>
          <cell r="U711" t="str">
            <v>1441230541018MRCZZ11</v>
          </cell>
          <cell r="V711">
            <v>704</v>
          </cell>
          <cell r="W711" t="str">
            <v>OC: SKILLS DEVELOPMENT FUND LEVY</v>
          </cell>
          <cell r="X711">
            <v>0</v>
          </cell>
          <cell r="Y711">
            <v>0</v>
          </cell>
          <cell r="Z711">
            <v>0</v>
          </cell>
          <cell r="AA711"/>
          <cell r="AB711">
            <v>0</v>
          </cell>
          <cell r="AC711">
            <v>0</v>
          </cell>
        </row>
        <row r="712">
          <cell r="F712" t="str">
            <v>OC: T&amp;S DOM - ACCOMMODATION</v>
          </cell>
          <cell r="G712" t="str">
            <v>P230452</v>
          </cell>
          <cell r="H712" t="str">
            <v>P230576</v>
          </cell>
          <cell r="I712"/>
          <cell r="J712"/>
          <cell r="K712" t="str">
            <v>14</v>
          </cell>
          <cell r="L712" t="str">
            <v>41</v>
          </cell>
          <cell r="M712" t="str">
            <v>2</v>
          </cell>
          <cell r="N712" t="str">
            <v>30</v>
          </cell>
          <cell r="O712" t="str">
            <v>576</v>
          </cell>
          <cell r="P712" t="str">
            <v>0</v>
          </cell>
          <cell r="Q712">
            <v>18</v>
          </cell>
          <cell r="R712" t="str">
            <v>MRC</v>
          </cell>
          <cell r="S712" t="str">
            <v>ZZ</v>
          </cell>
          <cell r="T712">
            <v>11</v>
          </cell>
          <cell r="U712" t="str">
            <v>1441230576018MRCZZ11</v>
          </cell>
          <cell r="V712">
            <v>705</v>
          </cell>
          <cell r="W712" t="str">
            <v>OC: T&amp;S DOM - ACCOMMODATION</v>
          </cell>
          <cell r="X712">
            <v>0</v>
          </cell>
          <cell r="Y712">
            <v>0</v>
          </cell>
          <cell r="Z712">
            <v>0</v>
          </cell>
          <cell r="AA712"/>
          <cell r="AB712">
            <v>0</v>
          </cell>
          <cell r="AC712">
            <v>0</v>
          </cell>
        </row>
        <row r="713">
          <cell r="F713" t="str">
            <v>OC: T&amp;S DOM - DAILY ALLOWANCE</v>
          </cell>
          <cell r="G713" t="str">
            <v>P230452</v>
          </cell>
          <cell r="H713" t="str">
            <v>P230577</v>
          </cell>
          <cell r="I713"/>
          <cell r="J713"/>
          <cell r="K713" t="str">
            <v>14</v>
          </cell>
          <cell r="L713" t="str">
            <v>41</v>
          </cell>
          <cell r="M713" t="str">
            <v>2</v>
          </cell>
          <cell r="N713" t="str">
            <v>30</v>
          </cell>
          <cell r="O713" t="str">
            <v>577</v>
          </cell>
          <cell r="P713" t="str">
            <v>0</v>
          </cell>
          <cell r="Q713">
            <v>18</v>
          </cell>
          <cell r="R713" t="str">
            <v>MRC</v>
          </cell>
          <cell r="S713" t="str">
            <v>ZZ</v>
          </cell>
          <cell r="T713">
            <v>11</v>
          </cell>
          <cell r="U713" t="str">
            <v>1441230577018MRCZZ11</v>
          </cell>
          <cell r="V713">
            <v>706</v>
          </cell>
          <cell r="W713" t="str">
            <v>OC: T&amp;S DOM - DAILY ALLOWANCE</v>
          </cell>
          <cell r="X713">
            <v>0</v>
          </cell>
          <cell r="Y713">
            <v>0</v>
          </cell>
          <cell r="Z713">
            <v>0</v>
          </cell>
          <cell r="AA713"/>
          <cell r="AB713">
            <v>0</v>
          </cell>
          <cell r="AC713">
            <v>0</v>
          </cell>
        </row>
        <row r="714">
          <cell r="F714" t="str">
            <v>OC: T&amp;S DOM TRP - WITHOUT OPR CAR RENTAL</v>
          </cell>
          <cell r="G714" t="str">
            <v>P230452</v>
          </cell>
          <cell r="H714" t="str">
            <v>P230580</v>
          </cell>
          <cell r="I714"/>
          <cell r="J714"/>
          <cell r="K714" t="str">
            <v>14</v>
          </cell>
          <cell r="L714" t="str">
            <v>41</v>
          </cell>
          <cell r="M714" t="str">
            <v>2</v>
          </cell>
          <cell r="N714" t="str">
            <v>30</v>
          </cell>
          <cell r="O714" t="str">
            <v>580</v>
          </cell>
          <cell r="P714" t="str">
            <v>0</v>
          </cell>
          <cell r="Q714">
            <v>18</v>
          </cell>
          <cell r="R714" t="str">
            <v>MRC</v>
          </cell>
          <cell r="S714" t="str">
            <v>ZZ</v>
          </cell>
          <cell r="T714">
            <v>11</v>
          </cell>
          <cell r="U714" t="str">
            <v>1441230580018MRCZZ11</v>
          </cell>
          <cell r="V714">
            <v>707</v>
          </cell>
          <cell r="W714" t="str">
            <v>OC: T&amp;S DOM TRP - WITHOUT OPR CAR RENTAL</v>
          </cell>
          <cell r="X714">
            <v>0</v>
          </cell>
          <cell r="Y714">
            <v>0</v>
          </cell>
          <cell r="Z714">
            <v>0</v>
          </cell>
          <cell r="AA714"/>
          <cell r="AB714">
            <v>0</v>
          </cell>
          <cell r="AC714">
            <v>0</v>
          </cell>
        </row>
        <row r="715">
          <cell r="F715" t="str">
            <v>OC: T&amp;S DOM PUB TRP - AIR TRANSPORT</v>
          </cell>
          <cell r="G715" t="str">
            <v>P230452</v>
          </cell>
          <cell r="H715" t="str">
            <v>P230583</v>
          </cell>
          <cell r="I715"/>
          <cell r="J715"/>
          <cell r="K715" t="str">
            <v>14</v>
          </cell>
          <cell r="L715" t="str">
            <v>41</v>
          </cell>
          <cell r="M715" t="str">
            <v>2</v>
          </cell>
          <cell r="N715" t="str">
            <v>30</v>
          </cell>
          <cell r="O715" t="str">
            <v>583</v>
          </cell>
          <cell r="P715" t="str">
            <v>0</v>
          </cell>
          <cell r="Q715">
            <v>18</v>
          </cell>
          <cell r="R715" t="str">
            <v>MRC</v>
          </cell>
          <cell r="S715" t="str">
            <v>ZZ</v>
          </cell>
          <cell r="T715">
            <v>11</v>
          </cell>
          <cell r="U715" t="str">
            <v>1441230583018MRCZZ11</v>
          </cell>
          <cell r="V715">
            <v>708</v>
          </cell>
          <cell r="W715" t="str">
            <v>OC: T&amp;S DOM PUB TRP - AIR TRANSPORT</v>
          </cell>
          <cell r="X715">
            <v>14057</v>
          </cell>
          <cell r="Y715">
            <v>0</v>
          </cell>
          <cell r="Z715">
            <v>0</v>
          </cell>
          <cell r="AA715">
            <v>-5000</v>
          </cell>
          <cell r="AB715">
            <v>9057</v>
          </cell>
          <cell r="AC715">
            <v>0</v>
          </cell>
        </row>
        <row r="716">
          <cell r="F716" t="str">
            <v>INVENTORY - MATERIALS &amp; SUPPLIES(PRINT&amp;</v>
          </cell>
          <cell r="G716" t="str">
            <v>P232360</v>
          </cell>
          <cell r="H716" t="str">
            <v>P232360</v>
          </cell>
          <cell r="I716"/>
          <cell r="J716"/>
          <cell r="K716" t="str">
            <v>14</v>
          </cell>
          <cell r="L716" t="str">
            <v>41</v>
          </cell>
          <cell r="M716" t="str">
            <v>2</v>
          </cell>
          <cell r="N716" t="str">
            <v>32</v>
          </cell>
          <cell r="O716" t="str">
            <v>360</v>
          </cell>
          <cell r="P716" t="str">
            <v>D</v>
          </cell>
          <cell r="Q716">
            <v>18</v>
          </cell>
          <cell r="R716" t="str">
            <v>MRC</v>
          </cell>
          <cell r="S716" t="str">
            <v>ZZ</v>
          </cell>
          <cell r="T716">
            <v>11</v>
          </cell>
          <cell r="U716" t="str">
            <v>1441232360D18MRCZZ11</v>
          </cell>
          <cell r="V716">
            <v>709</v>
          </cell>
          <cell r="W716" t="str">
            <v>INVENTORY - MATERIALS &amp; SUPPLIES(PRINT&amp;</v>
          </cell>
          <cell r="X716">
            <v>0</v>
          </cell>
          <cell r="Y716">
            <v>0</v>
          </cell>
          <cell r="Z716">
            <v>0</v>
          </cell>
          <cell r="AA716"/>
          <cell r="AB716">
            <v>0</v>
          </cell>
          <cell r="AC716">
            <v>0</v>
          </cell>
        </row>
        <row r="717">
          <cell r="F717" t="str">
            <v>DEPRECIATION ELEC LV NETWORKS</v>
          </cell>
          <cell r="G717" t="str">
            <v>P272150</v>
          </cell>
          <cell r="H717" t="str">
            <v>P272249</v>
          </cell>
          <cell r="I717"/>
          <cell r="J717"/>
          <cell r="K717" t="str">
            <v>14</v>
          </cell>
          <cell r="L717" t="str">
            <v>41</v>
          </cell>
          <cell r="M717" t="str">
            <v>2</v>
          </cell>
          <cell r="N717" t="str">
            <v>72</v>
          </cell>
          <cell r="O717" t="str">
            <v>249</v>
          </cell>
          <cell r="P717" t="str">
            <v>0</v>
          </cell>
          <cell r="Q717">
            <v>18</v>
          </cell>
          <cell r="R717" t="str">
            <v>MRC</v>
          </cell>
          <cell r="S717" t="str">
            <v>ZZ</v>
          </cell>
          <cell r="T717">
            <v>11</v>
          </cell>
          <cell r="U717" t="str">
            <v>1441272249018MRCZZ11</v>
          </cell>
          <cell r="V717">
            <v>710</v>
          </cell>
          <cell r="W717" t="str">
            <v>DEPRECIATION ELEC LV NETWORKS</v>
          </cell>
          <cell r="X717">
            <v>0</v>
          </cell>
          <cell r="Y717">
            <v>0</v>
          </cell>
          <cell r="Z717">
            <v>0</v>
          </cell>
          <cell r="AA717"/>
          <cell r="AB717">
            <v>0</v>
          </cell>
          <cell r="AC717">
            <v>0</v>
          </cell>
        </row>
        <row r="718">
          <cell r="F718" t="str">
            <v>MS: SAL &amp; ALL: BASIC SALARY &amp; WAGES</v>
          </cell>
          <cell r="G718" t="str">
            <v>P211001</v>
          </cell>
          <cell r="H718" t="str">
            <v>P211001</v>
          </cell>
          <cell r="I718" t="str">
            <v>501442</v>
          </cell>
          <cell r="J718">
            <v>50</v>
          </cell>
          <cell r="K718" t="str">
            <v>14</v>
          </cell>
          <cell r="L718" t="str">
            <v>42</v>
          </cell>
          <cell r="M718" t="str">
            <v>2</v>
          </cell>
          <cell r="N718" t="str">
            <v>11</v>
          </cell>
          <cell r="O718" t="str">
            <v>001</v>
          </cell>
          <cell r="P718" t="str">
            <v>0</v>
          </cell>
          <cell r="Q718">
            <v>18</v>
          </cell>
          <cell r="R718" t="str">
            <v>MRC</v>
          </cell>
          <cell r="S718" t="str">
            <v>ZZ</v>
          </cell>
          <cell r="T718">
            <v>11</v>
          </cell>
          <cell r="U718" t="str">
            <v>1442211001018MRCZZ11</v>
          </cell>
          <cell r="V718">
            <v>711</v>
          </cell>
          <cell r="W718" t="str">
            <v>MS: SAL &amp; ALL: BASIC SALARY &amp; WAGES</v>
          </cell>
          <cell r="X718">
            <v>9703568</v>
          </cell>
          <cell r="Y718">
            <v>9799981.9199999999</v>
          </cell>
          <cell r="Z718">
            <v>11759978.304000001</v>
          </cell>
          <cell r="AA718"/>
          <cell r="AB718">
            <v>9703568</v>
          </cell>
          <cell r="AC718">
            <v>13199347.256000001</v>
          </cell>
        </row>
        <row r="719">
          <cell r="F719" t="str">
            <v>MS: ALL - CELLULAR &amp; TELEPHONE</v>
          </cell>
          <cell r="G719" t="str">
            <v>P211022</v>
          </cell>
          <cell r="H719" t="str">
            <v>P211022</v>
          </cell>
          <cell r="I719" t="str">
            <v>501442</v>
          </cell>
          <cell r="J719">
            <v>50</v>
          </cell>
          <cell r="K719" t="str">
            <v>14</v>
          </cell>
          <cell r="L719" t="str">
            <v>42</v>
          </cell>
          <cell r="M719" t="str">
            <v>2</v>
          </cell>
          <cell r="N719" t="str">
            <v>11</v>
          </cell>
          <cell r="O719" t="str">
            <v>022</v>
          </cell>
          <cell r="P719" t="str">
            <v>0</v>
          </cell>
          <cell r="Q719">
            <v>18</v>
          </cell>
          <cell r="R719" t="str">
            <v>MRC</v>
          </cell>
          <cell r="S719" t="str">
            <v>ZZ</v>
          </cell>
          <cell r="T719">
            <v>11</v>
          </cell>
          <cell r="U719" t="str">
            <v>1442211022018MRCZZ11</v>
          </cell>
          <cell r="V719">
            <v>712</v>
          </cell>
          <cell r="W719" t="str">
            <v>MS: ALL - CELLULAR &amp; TELEPHONE</v>
          </cell>
          <cell r="X719">
            <v>34609</v>
          </cell>
          <cell r="Y719">
            <v>38250</v>
          </cell>
          <cell r="Z719">
            <v>45900</v>
          </cell>
          <cell r="AA719"/>
          <cell r="AB719">
            <v>34609</v>
          </cell>
          <cell r="AC719">
            <v>28296</v>
          </cell>
        </row>
        <row r="720">
          <cell r="F720" t="str">
            <v>MS: HB &amp; INC: HOUSING BENEFITS</v>
          </cell>
          <cell r="G720" t="str">
            <v>P211026</v>
          </cell>
          <cell r="H720" t="str">
            <v>P211026</v>
          </cell>
          <cell r="I720" t="str">
            <v>501442</v>
          </cell>
          <cell r="J720">
            <v>50</v>
          </cell>
          <cell r="K720" t="str">
            <v>14</v>
          </cell>
          <cell r="L720" t="str">
            <v>42</v>
          </cell>
          <cell r="M720" t="str">
            <v>2</v>
          </cell>
          <cell r="N720" t="str">
            <v>11</v>
          </cell>
          <cell r="O720" t="str">
            <v>026</v>
          </cell>
          <cell r="P720" t="str">
            <v>0</v>
          </cell>
          <cell r="Q720">
            <v>18</v>
          </cell>
          <cell r="R720" t="str">
            <v>MRC</v>
          </cell>
          <cell r="S720" t="str">
            <v>ZZ</v>
          </cell>
          <cell r="T720">
            <v>11</v>
          </cell>
          <cell r="U720" t="str">
            <v>1442211026018MRCZZ11</v>
          </cell>
          <cell r="V720">
            <v>713</v>
          </cell>
          <cell r="W720" t="str">
            <v>MS: HB &amp; INC: HOUSING BENEFITS</v>
          </cell>
          <cell r="X720">
            <v>95186</v>
          </cell>
          <cell r="Y720">
            <v>108025.12</v>
          </cell>
          <cell r="Z720">
            <v>129630.14399999999</v>
          </cell>
          <cell r="AA720"/>
          <cell r="AB720">
            <v>95186</v>
          </cell>
          <cell r="AC720">
            <v>278982.58847999998</v>
          </cell>
        </row>
        <row r="721">
          <cell r="F721" t="str">
            <v>MS: ALL - LEAVE PAY</v>
          </cell>
          <cell r="G721" t="str">
            <v>P211032</v>
          </cell>
          <cell r="H721" t="str">
            <v>P211032</v>
          </cell>
          <cell r="I721" t="str">
            <v>501442</v>
          </cell>
          <cell r="J721">
            <v>50</v>
          </cell>
          <cell r="K721" t="str">
            <v>14</v>
          </cell>
          <cell r="L721" t="str">
            <v>42</v>
          </cell>
          <cell r="M721" t="str">
            <v>2</v>
          </cell>
          <cell r="N721" t="str">
            <v>11</v>
          </cell>
          <cell r="O721" t="str">
            <v>032</v>
          </cell>
          <cell r="P721" t="str">
            <v>0</v>
          </cell>
          <cell r="Q721">
            <v>18</v>
          </cell>
          <cell r="R721" t="str">
            <v>MRC</v>
          </cell>
          <cell r="S721" t="str">
            <v>ZZ</v>
          </cell>
          <cell r="T721">
            <v>11</v>
          </cell>
          <cell r="U721" t="str">
            <v>1442211032018MRCZZ11</v>
          </cell>
          <cell r="V721">
            <v>714</v>
          </cell>
          <cell r="W721" t="str">
            <v>MS: ALL - LEAVE PAY</v>
          </cell>
          <cell r="X721">
            <v>0</v>
          </cell>
          <cell r="Y721">
            <v>0</v>
          </cell>
          <cell r="Z721">
            <v>0</v>
          </cell>
          <cell r="AA721"/>
          <cell r="AB721">
            <v>0</v>
          </cell>
          <cell r="AC721">
            <v>0</v>
          </cell>
        </row>
        <row r="722">
          <cell r="F722" t="str">
            <v>MS: ALL - TRAVEL OR MOTOR VEHICLE</v>
          </cell>
          <cell r="G722" t="str">
            <v>P211034</v>
          </cell>
          <cell r="H722" t="str">
            <v>P211034</v>
          </cell>
          <cell r="I722" t="str">
            <v>501442</v>
          </cell>
          <cell r="J722">
            <v>50</v>
          </cell>
          <cell r="K722" t="str">
            <v>14</v>
          </cell>
          <cell r="L722" t="str">
            <v>42</v>
          </cell>
          <cell r="M722" t="str">
            <v>2</v>
          </cell>
          <cell r="N722" t="str">
            <v>11</v>
          </cell>
          <cell r="O722" t="str">
            <v>034</v>
          </cell>
          <cell r="P722" t="str">
            <v>0</v>
          </cell>
          <cell r="Q722">
            <v>18</v>
          </cell>
          <cell r="R722" t="str">
            <v>MRC</v>
          </cell>
          <cell r="S722" t="str">
            <v>ZZ</v>
          </cell>
          <cell r="T722">
            <v>11</v>
          </cell>
          <cell r="U722" t="str">
            <v>1442211034018MRCZZ11</v>
          </cell>
          <cell r="V722">
            <v>715</v>
          </cell>
          <cell r="W722" t="str">
            <v>MS: ALL - TRAVEL OR MOTOR VEHICLE</v>
          </cell>
          <cell r="X722">
            <v>548</v>
          </cell>
          <cell r="Y722">
            <v>0</v>
          </cell>
          <cell r="Z722">
            <v>0</v>
          </cell>
          <cell r="AA722"/>
          <cell r="AB722">
            <v>548</v>
          </cell>
          <cell r="AC722">
            <v>0</v>
          </cell>
        </row>
        <row r="723">
          <cell r="F723" t="str">
            <v>MS: ALL - TRAVEL OR MOTOR VEHICLE (SUBS</v>
          </cell>
          <cell r="G723" t="str">
            <v>P211034</v>
          </cell>
          <cell r="H723" t="str">
            <v>P211034</v>
          </cell>
          <cell r="I723" t="str">
            <v>501442</v>
          </cell>
          <cell r="J723">
            <v>50</v>
          </cell>
          <cell r="K723" t="str">
            <v>14</v>
          </cell>
          <cell r="L723" t="str">
            <v>42</v>
          </cell>
          <cell r="M723" t="str">
            <v>2</v>
          </cell>
          <cell r="N723" t="str">
            <v>11</v>
          </cell>
          <cell r="O723" t="str">
            <v>034</v>
          </cell>
          <cell r="P723" t="str">
            <v>1</v>
          </cell>
          <cell r="Q723">
            <v>18</v>
          </cell>
          <cell r="R723" t="str">
            <v>MRC</v>
          </cell>
          <cell r="S723" t="str">
            <v>ZZ</v>
          </cell>
          <cell r="T723">
            <v>11</v>
          </cell>
          <cell r="U723" t="str">
            <v>1442211034118MRCZZ11</v>
          </cell>
          <cell r="V723">
            <v>716</v>
          </cell>
          <cell r="W723" t="str">
            <v>MS: ALL - TRAVEL OR MOTOR VEHICLE (SUBS</v>
          </cell>
          <cell r="X723">
            <v>2288736</v>
          </cell>
          <cell r="Y723">
            <v>2921557.77</v>
          </cell>
          <cell r="Z723">
            <v>3505869.324</v>
          </cell>
          <cell r="AA723"/>
          <cell r="AB723">
            <v>2288736</v>
          </cell>
          <cell r="AC723">
            <v>220421.91</v>
          </cell>
        </row>
        <row r="724">
          <cell r="F724" t="str">
            <v>MS: OVERTIME - STRUCTURED</v>
          </cell>
          <cell r="G724" t="str">
            <v>P211038</v>
          </cell>
          <cell r="H724" t="str">
            <v>P211038</v>
          </cell>
          <cell r="I724" t="str">
            <v>501442</v>
          </cell>
          <cell r="J724">
            <v>50</v>
          </cell>
          <cell r="K724" t="str">
            <v>14</v>
          </cell>
          <cell r="L724" t="str">
            <v>42</v>
          </cell>
          <cell r="M724" t="str">
            <v>2</v>
          </cell>
          <cell r="N724" t="str">
            <v>11</v>
          </cell>
          <cell r="O724" t="str">
            <v>038</v>
          </cell>
          <cell r="P724" t="str">
            <v>0</v>
          </cell>
          <cell r="Q724">
            <v>18</v>
          </cell>
          <cell r="R724" t="str">
            <v>MRC</v>
          </cell>
          <cell r="S724" t="str">
            <v>ZZ</v>
          </cell>
          <cell r="T724">
            <v>11</v>
          </cell>
          <cell r="U724" t="str">
            <v>1442211038018MRCZZ11</v>
          </cell>
          <cell r="V724">
            <v>717</v>
          </cell>
          <cell r="W724" t="str">
            <v>MS: OVERTIME - STRUCTURED</v>
          </cell>
          <cell r="X724">
            <v>322473</v>
          </cell>
          <cell r="Y724">
            <v>525849.06000000006</v>
          </cell>
          <cell r="Z724">
            <v>631018.87199999997</v>
          </cell>
          <cell r="AA724"/>
          <cell r="AB724">
            <v>322473</v>
          </cell>
          <cell r="AC724">
            <v>290225.7</v>
          </cell>
        </row>
        <row r="725">
          <cell r="F725" t="str">
            <v>MS: OVERTIME - NIGHT SHIFT</v>
          </cell>
          <cell r="G725" t="str">
            <v>P211042</v>
          </cell>
          <cell r="H725" t="str">
            <v>P211042</v>
          </cell>
          <cell r="I725" t="str">
            <v>501442</v>
          </cell>
          <cell r="J725">
            <v>50</v>
          </cell>
          <cell r="K725" t="str">
            <v>14</v>
          </cell>
          <cell r="L725" t="str">
            <v>42</v>
          </cell>
          <cell r="M725" t="str">
            <v>2</v>
          </cell>
          <cell r="N725" t="str">
            <v>11</v>
          </cell>
          <cell r="O725" t="str">
            <v>042</v>
          </cell>
          <cell r="P725" t="str">
            <v>0</v>
          </cell>
          <cell r="Q725">
            <v>18</v>
          </cell>
          <cell r="R725" t="str">
            <v>MRC</v>
          </cell>
          <cell r="S725" t="str">
            <v>ZZ</v>
          </cell>
          <cell r="T725">
            <v>11</v>
          </cell>
          <cell r="U725" t="str">
            <v>1442211042018MRCZZ11</v>
          </cell>
          <cell r="V725">
            <v>718</v>
          </cell>
          <cell r="W725" t="str">
            <v>MS: OVERTIME - NIGHT SHIFT</v>
          </cell>
          <cell r="X725">
            <v>26985</v>
          </cell>
          <cell r="Y725">
            <v>33334.81</v>
          </cell>
          <cell r="Z725">
            <v>40001.771999999997</v>
          </cell>
          <cell r="AA725"/>
          <cell r="AB725">
            <v>26985</v>
          </cell>
          <cell r="AC725">
            <v>24286.5</v>
          </cell>
        </row>
        <row r="726">
          <cell r="F726" t="str">
            <v>MS: SRB - ACTING ALLOWANCE</v>
          </cell>
          <cell r="G726" t="str">
            <v>P211044</v>
          </cell>
          <cell r="H726" t="str">
            <v>P211044</v>
          </cell>
          <cell r="I726" t="str">
            <v>501442</v>
          </cell>
          <cell r="J726">
            <v>50</v>
          </cell>
          <cell r="K726" t="str">
            <v>14</v>
          </cell>
          <cell r="L726" t="str">
            <v>42</v>
          </cell>
          <cell r="M726" t="str">
            <v>2</v>
          </cell>
          <cell r="N726" t="str">
            <v>11</v>
          </cell>
          <cell r="O726" t="str">
            <v>044</v>
          </cell>
          <cell r="P726" t="str">
            <v>0</v>
          </cell>
          <cell r="Q726">
            <v>18</v>
          </cell>
          <cell r="R726" t="str">
            <v>MRC</v>
          </cell>
          <cell r="S726" t="str">
            <v>ZZ</v>
          </cell>
          <cell r="T726">
            <v>11</v>
          </cell>
          <cell r="U726" t="str">
            <v>1442211044018MRCZZ11</v>
          </cell>
          <cell r="V726">
            <v>719</v>
          </cell>
          <cell r="W726" t="str">
            <v>MS: SRB - ACTING ALLOWANCE</v>
          </cell>
          <cell r="X726">
            <v>0</v>
          </cell>
          <cell r="Y726">
            <v>497335</v>
          </cell>
          <cell r="Z726">
            <v>596802</v>
          </cell>
          <cell r="AA726"/>
          <cell r="AB726">
            <v>0</v>
          </cell>
          <cell r="AC726">
            <v>0</v>
          </cell>
        </row>
        <row r="727">
          <cell r="F727" t="str">
            <v>MS: SRB - ANNUAL BONUS</v>
          </cell>
          <cell r="G727" t="str">
            <v>P211046</v>
          </cell>
          <cell r="H727" t="str">
            <v>P211046</v>
          </cell>
          <cell r="I727" t="str">
            <v>501442</v>
          </cell>
          <cell r="J727">
            <v>50</v>
          </cell>
          <cell r="K727" t="str">
            <v>14</v>
          </cell>
          <cell r="L727" t="str">
            <v>42</v>
          </cell>
          <cell r="M727" t="str">
            <v>2</v>
          </cell>
          <cell r="N727" t="str">
            <v>11</v>
          </cell>
          <cell r="O727" t="str">
            <v>046</v>
          </cell>
          <cell r="P727" t="str">
            <v>0</v>
          </cell>
          <cell r="Q727">
            <v>18</v>
          </cell>
          <cell r="R727" t="str">
            <v>MRC</v>
          </cell>
          <cell r="S727" t="str">
            <v>ZZ</v>
          </cell>
          <cell r="T727">
            <v>11</v>
          </cell>
          <cell r="U727" t="str">
            <v>1442211046018MRCZZ11</v>
          </cell>
          <cell r="V727">
            <v>720</v>
          </cell>
          <cell r="W727" t="str">
            <v>MS: SRB - ANNUAL BONUS</v>
          </cell>
          <cell r="X727">
            <v>803267</v>
          </cell>
          <cell r="Y727">
            <v>842483.4</v>
          </cell>
          <cell r="Z727">
            <v>1010980.08</v>
          </cell>
          <cell r="AA727"/>
          <cell r="AB727">
            <v>803267</v>
          </cell>
          <cell r="AC727">
            <v>968760.10866666667</v>
          </cell>
        </row>
        <row r="728">
          <cell r="F728" t="str">
            <v>MS: SRB - LONG SERVICE AWARD</v>
          </cell>
          <cell r="G728" t="str">
            <v>P211050</v>
          </cell>
          <cell r="H728" t="str">
            <v>P211050</v>
          </cell>
          <cell r="I728" t="str">
            <v>501442</v>
          </cell>
          <cell r="J728">
            <v>50</v>
          </cell>
          <cell r="K728" t="str">
            <v>14</v>
          </cell>
          <cell r="L728" t="str">
            <v>42</v>
          </cell>
          <cell r="M728" t="str">
            <v>2</v>
          </cell>
          <cell r="N728" t="str">
            <v>11</v>
          </cell>
          <cell r="O728" t="str">
            <v>050</v>
          </cell>
          <cell r="P728" t="str">
            <v>0</v>
          </cell>
          <cell r="Q728">
            <v>18</v>
          </cell>
          <cell r="R728" t="str">
            <v>MRC</v>
          </cell>
          <cell r="S728" t="str">
            <v>ZZ</v>
          </cell>
          <cell r="T728">
            <v>11</v>
          </cell>
          <cell r="U728" t="str">
            <v>1442211050018MRCZZ11</v>
          </cell>
          <cell r="V728">
            <v>721</v>
          </cell>
          <cell r="W728" t="str">
            <v>MS: SRB - LONG SERVICE AWARD</v>
          </cell>
          <cell r="X728">
            <v>0</v>
          </cell>
          <cell r="Y728">
            <v>0</v>
          </cell>
          <cell r="Z728">
            <v>0</v>
          </cell>
          <cell r="AA728"/>
          <cell r="AB728">
            <v>0</v>
          </cell>
          <cell r="AC728">
            <v>0</v>
          </cell>
        </row>
        <row r="729">
          <cell r="F729" t="str">
            <v>MS: SRB - STANDBY ALLOWANCE</v>
          </cell>
          <cell r="G729" t="str">
            <v>P211056</v>
          </cell>
          <cell r="H729" t="str">
            <v>P211056</v>
          </cell>
          <cell r="I729" t="str">
            <v>501442</v>
          </cell>
          <cell r="J729">
            <v>50</v>
          </cell>
          <cell r="K729" t="str">
            <v>14</v>
          </cell>
          <cell r="L729" t="str">
            <v>42</v>
          </cell>
          <cell r="M729" t="str">
            <v>2</v>
          </cell>
          <cell r="N729" t="str">
            <v>11</v>
          </cell>
          <cell r="O729" t="str">
            <v>056</v>
          </cell>
          <cell r="P729" t="str">
            <v>0</v>
          </cell>
          <cell r="Q729">
            <v>18</v>
          </cell>
          <cell r="R729" t="str">
            <v>MRC</v>
          </cell>
          <cell r="S729" t="str">
            <v>ZZ</v>
          </cell>
          <cell r="T729">
            <v>11</v>
          </cell>
          <cell r="U729" t="str">
            <v>1442211056018MRCZZ11</v>
          </cell>
          <cell r="V729">
            <v>722</v>
          </cell>
          <cell r="W729" t="str">
            <v>MS: SRB - STANDBY ALLOWANCE</v>
          </cell>
          <cell r="X729">
            <v>131956</v>
          </cell>
          <cell r="Y729">
            <v>149541.09</v>
          </cell>
          <cell r="Z729">
            <v>179449.30800000002</v>
          </cell>
          <cell r="AA729"/>
          <cell r="AB729">
            <v>131956</v>
          </cell>
          <cell r="AC729">
            <v>118760.40000000001</v>
          </cell>
        </row>
        <row r="730">
          <cell r="F730" t="str">
            <v>MS: SRB - TOOLS ALLOWANCE</v>
          </cell>
          <cell r="G730" t="str">
            <v>P211058</v>
          </cell>
          <cell r="H730" t="str">
            <v>P211058</v>
          </cell>
          <cell r="I730" t="str">
            <v>501442</v>
          </cell>
          <cell r="J730">
            <v>50</v>
          </cell>
          <cell r="K730" t="str">
            <v>14</v>
          </cell>
          <cell r="L730" t="str">
            <v>42</v>
          </cell>
          <cell r="M730" t="str">
            <v>2</v>
          </cell>
          <cell r="N730" t="str">
            <v>11</v>
          </cell>
          <cell r="O730" t="str">
            <v>058</v>
          </cell>
          <cell r="P730" t="str">
            <v>0</v>
          </cell>
          <cell r="Q730">
            <v>18</v>
          </cell>
          <cell r="R730" t="str">
            <v>MRC</v>
          </cell>
          <cell r="S730" t="str">
            <v>ZZ</v>
          </cell>
          <cell r="T730">
            <v>11</v>
          </cell>
          <cell r="U730" t="str">
            <v>1442211058018MRCZZ11</v>
          </cell>
          <cell r="V730">
            <v>723</v>
          </cell>
          <cell r="W730" t="str">
            <v>MS: SRB - TOOLS ALLOWANCE</v>
          </cell>
          <cell r="X730">
            <v>0</v>
          </cell>
          <cell r="Y730">
            <v>0</v>
          </cell>
          <cell r="Z730">
            <v>0</v>
          </cell>
          <cell r="AA730"/>
          <cell r="AB730">
            <v>0</v>
          </cell>
          <cell r="AC730">
            <v>0</v>
          </cell>
        </row>
        <row r="731">
          <cell r="F731" t="str">
            <v>MS: SOC CONTR - BARGAINING COUNCIL</v>
          </cell>
          <cell r="G731" t="str">
            <v>P213001</v>
          </cell>
          <cell r="H731" t="str">
            <v>P213001</v>
          </cell>
          <cell r="I731" t="str">
            <v>501442</v>
          </cell>
          <cell r="J731">
            <v>50</v>
          </cell>
          <cell r="K731" t="str">
            <v>14</v>
          </cell>
          <cell r="L731" t="str">
            <v>42</v>
          </cell>
          <cell r="M731" t="str">
            <v>2</v>
          </cell>
          <cell r="N731" t="str">
            <v>13</v>
          </cell>
          <cell r="O731" t="str">
            <v>001</v>
          </cell>
          <cell r="P731" t="str">
            <v>0</v>
          </cell>
          <cell r="Q731">
            <v>18</v>
          </cell>
          <cell r="R731" t="str">
            <v>MRC</v>
          </cell>
          <cell r="S731" t="str">
            <v>ZZ</v>
          </cell>
          <cell r="T731">
            <v>11</v>
          </cell>
          <cell r="U731" t="str">
            <v>1442213001018MRCZZ11</v>
          </cell>
          <cell r="V731">
            <v>724</v>
          </cell>
          <cell r="W731" t="str">
            <v>MS: SOC CONTR - BARGAINING COUNCIL</v>
          </cell>
          <cell r="X731">
            <v>2307</v>
          </cell>
          <cell r="Y731">
            <v>2430.8000000000002</v>
          </cell>
          <cell r="Z731">
            <v>2916.96</v>
          </cell>
          <cell r="AA731"/>
          <cell r="AB731">
            <v>2307</v>
          </cell>
          <cell r="AC731">
            <v>2979.2543999999989</v>
          </cell>
        </row>
        <row r="732">
          <cell r="F732" t="str">
            <v>MS: SOC CONTR - GROUP LIFE INSURANCE</v>
          </cell>
          <cell r="G732" t="str">
            <v>P213010</v>
          </cell>
          <cell r="H732" t="str">
            <v>P213010</v>
          </cell>
          <cell r="I732" t="str">
            <v>501442</v>
          </cell>
          <cell r="J732">
            <v>50</v>
          </cell>
          <cell r="K732" t="str">
            <v>14</v>
          </cell>
          <cell r="L732" t="str">
            <v>42</v>
          </cell>
          <cell r="M732" t="str">
            <v>2</v>
          </cell>
          <cell r="N732" t="str">
            <v>13</v>
          </cell>
          <cell r="O732" t="str">
            <v>010</v>
          </cell>
          <cell r="P732" t="str">
            <v>0</v>
          </cell>
          <cell r="Q732">
            <v>18</v>
          </cell>
          <cell r="R732" t="str">
            <v>MRC</v>
          </cell>
          <cell r="S732" t="str">
            <v>ZZ</v>
          </cell>
          <cell r="T732">
            <v>11</v>
          </cell>
          <cell r="U732" t="str">
            <v>1442213010018MRCZZ11</v>
          </cell>
          <cell r="V732">
            <v>725</v>
          </cell>
          <cell r="W732" t="str">
            <v>MS: SOC CONTR - GROUP LIFE INSURANCE</v>
          </cell>
          <cell r="X732">
            <v>40849</v>
          </cell>
          <cell r="Y732">
            <v>51608.27</v>
          </cell>
          <cell r="Z732">
            <v>61929.923999999992</v>
          </cell>
          <cell r="AA732"/>
          <cell r="AB732">
            <v>40849</v>
          </cell>
          <cell r="AC732">
            <v>224388.90335199999</v>
          </cell>
        </row>
        <row r="733">
          <cell r="F733" t="str">
            <v>MS: SOC CONTR - MEDICAL</v>
          </cell>
          <cell r="G733" t="str">
            <v>P213020</v>
          </cell>
          <cell r="H733" t="str">
            <v>P213020</v>
          </cell>
          <cell r="I733" t="str">
            <v>501442</v>
          </cell>
          <cell r="J733">
            <v>50</v>
          </cell>
          <cell r="K733" t="str">
            <v>14</v>
          </cell>
          <cell r="L733" t="str">
            <v>42</v>
          </cell>
          <cell r="M733" t="str">
            <v>2</v>
          </cell>
          <cell r="N733" t="str">
            <v>13</v>
          </cell>
          <cell r="O733" t="str">
            <v>020</v>
          </cell>
          <cell r="P733" t="str">
            <v>0</v>
          </cell>
          <cell r="Q733">
            <v>18</v>
          </cell>
          <cell r="R733" t="str">
            <v>MRC</v>
          </cell>
          <cell r="S733" t="str">
            <v>ZZ</v>
          </cell>
          <cell r="T733">
            <v>11</v>
          </cell>
          <cell r="U733" t="str">
            <v>1442213020018MRCZZ11</v>
          </cell>
          <cell r="V733">
            <v>726</v>
          </cell>
          <cell r="W733" t="str">
            <v>MS: SOC CONTR - MEDICAL</v>
          </cell>
          <cell r="X733">
            <v>646771</v>
          </cell>
          <cell r="Y733">
            <v>719121.96</v>
          </cell>
          <cell r="Z733">
            <v>862946.35199999996</v>
          </cell>
          <cell r="AA733"/>
          <cell r="AB733">
            <v>646771</v>
          </cell>
          <cell r="AC733">
            <v>1440642.1708799994</v>
          </cell>
        </row>
        <row r="734">
          <cell r="F734" t="str">
            <v>MS: SOC CONTR - PENSION</v>
          </cell>
          <cell r="G734" t="str">
            <v>P213030</v>
          </cell>
          <cell r="H734" t="str">
            <v>P213030</v>
          </cell>
          <cell r="I734" t="str">
            <v>501442</v>
          </cell>
          <cell r="J734">
            <v>50</v>
          </cell>
          <cell r="K734" t="str">
            <v>14</v>
          </cell>
          <cell r="L734" t="str">
            <v>42</v>
          </cell>
          <cell r="M734" t="str">
            <v>2</v>
          </cell>
          <cell r="N734" t="str">
            <v>13</v>
          </cell>
          <cell r="O734" t="str">
            <v>030</v>
          </cell>
          <cell r="P734" t="str">
            <v>0</v>
          </cell>
          <cell r="Q734">
            <v>18</v>
          </cell>
          <cell r="R734" t="str">
            <v>MRC</v>
          </cell>
          <cell r="S734" t="str">
            <v>ZZ</v>
          </cell>
          <cell r="T734">
            <v>11</v>
          </cell>
          <cell r="U734" t="str">
            <v>1442213030018MRCZZ11</v>
          </cell>
          <cell r="V734">
            <v>727</v>
          </cell>
          <cell r="W734" t="str">
            <v>MS: SOC CONTR - PENSION</v>
          </cell>
          <cell r="X734">
            <v>1513774</v>
          </cell>
          <cell r="Y734">
            <v>1639908.52</v>
          </cell>
          <cell r="Z734">
            <v>1967890.2240000002</v>
          </cell>
          <cell r="AA734"/>
          <cell r="AB734">
            <v>1513774</v>
          </cell>
          <cell r="AC734">
            <v>2385122.0491591999</v>
          </cell>
        </row>
        <row r="735">
          <cell r="F735" t="str">
            <v>MS: SOC CONTR - UNEMPLOYMENT INSUR FUND</v>
          </cell>
          <cell r="G735" t="str">
            <v>P213040</v>
          </cell>
          <cell r="H735" t="str">
            <v>P213040</v>
          </cell>
          <cell r="I735" t="str">
            <v>501442</v>
          </cell>
          <cell r="J735">
            <v>50</v>
          </cell>
          <cell r="K735" t="str">
            <v>14</v>
          </cell>
          <cell r="L735" t="str">
            <v>42</v>
          </cell>
          <cell r="M735" t="str">
            <v>2</v>
          </cell>
          <cell r="N735" t="str">
            <v>13</v>
          </cell>
          <cell r="O735" t="str">
            <v>040</v>
          </cell>
          <cell r="P735" t="str">
            <v>0</v>
          </cell>
          <cell r="Q735">
            <v>18</v>
          </cell>
          <cell r="R735" t="str">
            <v>MRC</v>
          </cell>
          <cell r="S735" t="str">
            <v>ZZ</v>
          </cell>
          <cell r="T735">
            <v>11</v>
          </cell>
          <cell r="U735" t="str">
            <v>1442213040018MRCZZ11</v>
          </cell>
          <cell r="V735">
            <v>728</v>
          </cell>
          <cell r="W735" t="str">
            <v>MS: SOC CONTR - UNEMPLOYMENT INSUR FUND</v>
          </cell>
          <cell r="X735">
            <v>34654</v>
          </cell>
          <cell r="Y735">
            <v>41626.120000000003</v>
          </cell>
          <cell r="Z735">
            <v>49951.343999999997</v>
          </cell>
          <cell r="AA735"/>
          <cell r="AB735">
            <v>34654</v>
          </cell>
          <cell r="AC735">
            <v>53459.066880000013</v>
          </cell>
        </row>
        <row r="736">
          <cell r="F736" t="str">
            <v>OS: CATERING SERVICES(REFRESHMENTS)</v>
          </cell>
          <cell r="G736" t="str">
            <v>P226060</v>
          </cell>
          <cell r="H736" t="str">
            <v>P226060</v>
          </cell>
          <cell r="I736"/>
          <cell r="J736"/>
          <cell r="K736" t="str">
            <v>14</v>
          </cell>
          <cell r="L736" t="str">
            <v>42</v>
          </cell>
          <cell r="M736" t="str">
            <v>2</v>
          </cell>
          <cell r="N736" t="str">
            <v>26</v>
          </cell>
          <cell r="O736" t="str">
            <v>060</v>
          </cell>
          <cell r="P736" t="str">
            <v>H</v>
          </cell>
          <cell r="Q736">
            <v>18</v>
          </cell>
          <cell r="R736" t="str">
            <v>MRC</v>
          </cell>
          <cell r="S736" t="str">
            <v>ZZ</v>
          </cell>
          <cell r="T736">
            <v>11</v>
          </cell>
          <cell r="U736" t="str">
            <v>1442226060H18MRCZZ11</v>
          </cell>
          <cell r="V736">
            <v>729</v>
          </cell>
          <cell r="W736" t="str">
            <v>OS: CATERING SERVICES(REFRESHMENTS)</v>
          </cell>
          <cell r="X736">
            <v>0</v>
          </cell>
          <cell r="Y736">
            <v>0</v>
          </cell>
          <cell r="Z736">
            <v>0</v>
          </cell>
          <cell r="AA736"/>
          <cell r="AB736">
            <v>0</v>
          </cell>
          <cell r="AC736">
            <v>8000</v>
          </cell>
        </row>
        <row r="737">
          <cell r="F737" t="str">
            <v>C&amp;PS: B&amp;A PROJECT MANAGEMENT</v>
          </cell>
          <cell r="G737" t="str">
            <v>P227334</v>
          </cell>
          <cell r="H737" t="str">
            <v>P227041</v>
          </cell>
          <cell r="I737"/>
          <cell r="J737"/>
          <cell r="K737" t="str">
            <v>14</v>
          </cell>
          <cell r="L737" t="str">
            <v>42</v>
          </cell>
          <cell r="M737" t="str">
            <v>2</v>
          </cell>
          <cell r="N737" t="str">
            <v>27</v>
          </cell>
          <cell r="O737" t="str">
            <v>041</v>
          </cell>
          <cell r="P737" t="str">
            <v>0</v>
          </cell>
          <cell r="Q737">
            <v>18</v>
          </cell>
          <cell r="R737" t="str">
            <v>MRC</v>
          </cell>
          <cell r="S737" t="str">
            <v>ZZ</v>
          </cell>
          <cell r="T737">
            <v>11</v>
          </cell>
          <cell r="U737" t="str">
            <v>1442227041018MRCZZ11</v>
          </cell>
          <cell r="V737">
            <v>730</v>
          </cell>
          <cell r="W737" t="str">
            <v>C&amp;PS: B&amp;A PROJECT MANAGEMENT</v>
          </cell>
          <cell r="X737">
            <v>0</v>
          </cell>
          <cell r="Y737">
            <v>0</v>
          </cell>
          <cell r="Z737">
            <v>0</v>
          </cell>
          <cell r="AA737"/>
          <cell r="AB737">
            <v>0</v>
          </cell>
          <cell r="AC737">
            <v>0</v>
          </cell>
        </row>
        <row r="738">
          <cell r="F738" t="str">
            <v>CONTR: MAINTENANCE OF EQUIPMENT</v>
          </cell>
          <cell r="G738" t="str">
            <v>P228361</v>
          </cell>
          <cell r="H738" t="str">
            <v>P228361</v>
          </cell>
          <cell r="I738"/>
          <cell r="J738"/>
          <cell r="K738" t="str">
            <v>14</v>
          </cell>
          <cell r="L738" t="str">
            <v>42</v>
          </cell>
          <cell r="M738" t="str">
            <v>2</v>
          </cell>
          <cell r="N738" t="str">
            <v>28</v>
          </cell>
          <cell r="O738" t="str">
            <v>361</v>
          </cell>
          <cell r="P738" t="str">
            <v>0</v>
          </cell>
          <cell r="Q738">
            <v>18</v>
          </cell>
          <cell r="R738" t="str">
            <v>NHH</v>
          </cell>
          <cell r="S738" t="str">
            <v>ZZ</v>
          </cell>
          <cell r="T738">
            <v>11</v>
          </cell>
          <cell r="U738" t="str">
            <v>1442228361018NHHZZ11</v>
          </cell>
          <cell r="V738">
            <v>731</v>
          </cell>
          <cell r="W738" t="str">
            <v>CONTR: MAINTENANCE OF EQUIPMENT</v>
          </cell>
          <cell r="X738">
            <v>0</v>
          </cell>
          <cell r="Y738">
            <v>0</v>
          </cell>
          <cell r="Z738">
            <v>0</v>
          </cell>
          <cell r="AA738"/>
          <cell r="AB738">
            <v>0</v>
          </cell>
          <cell r="AC738">
            <v>0</v>
          </cell>
        </row>
        <row r="739">
          <cell r="F739" t="str">
            <v>OC: ASSETS LESS THAN CAP THRESHOLD(TOOL</v>
          </cell>
          <cell r="G739" t="str">
            <v>P230452</v>
          </cell>
          <cell r="H739" t="str">
            <v>P230019</v>
          </cell>
          <cell r="I739"/>
          <cell r="J739"/>
          <cell r="K739" t="str">
            <v>14</v>
          </cell>
          <cell r="L739" t="str">
            <v>42</v>
          </cell>
          <cell r="M739" t="str">
            <v>2</v>
          </cell>
          <cell r="N739" t="str">
            <v>30</v>
          </cell>
          <cell r="O739" t="str">
            <v>019</v>
          </cell>
          <cell r="P739" t="str">
            <v>2</v>
          </cell>
          <cell r="Q739">
            <v>18</v>
          </cell>
          <cell r="R739" t="str">
            <v>MRC</v>
          </cell>
          <cell r="S739" t="str">
            <v>ZZ</v>
          </cell>
          <cell r="T739">
            <v>11</v>
          </cell>
          <cell r="U739" t="str">
            <v>1442230019218MRCZZ11</v>
          </cell>
          <cell r="V739">
            <v>732</v>
          </cell>
          <cell r="W739" t="str">
            <v>OC: ASSETS LESS THAN CAP THRESHOLD(TOOL</v>
          </cell>
          <cell r="X739">
            <v>0</v>
          </cell>
          <cell r="Y739">
            <v>0</v>
          </cell>
          <cell r="Z739">
            <v>0</v>
          </cell>
          <cell r="AA739"/>
          <cell r="AB739">
            <v>0</v>
          </cell>
          <cell r="AC739">
            <v>250000</v>
          </cell>
        </row>
        <row r="740">
          <cell r="F740" t="str">
            <v>OC: SKILLS DEVELOPMENT FUND LEVY</v>
          </cell>
          <cell r="G740" t="str">
            <v>P230452</v>
          </cell>
          <cell r="H740" t="str">
            <v>P230541</v>
          </cell>
          <cell r="I740"/>
          <cell r="J740"/>
          <cell r="K740" t="str">
            <v>14</v>
          </cell>
          <cell r="L740" t="str">
            <v>42</v>
          </cell>
          <cell r="M740" t="str">
            <v>2</v>
          </cell>
          <cell r="N740" t="str">
            <v>30</v>
          </cell>
          <cell r="O740" t="str">
            <v>541</v>
          </cell>
          <cell r="P740" t="str">
            <v>0</v>
          </cell>
          <cell r="Q740">
            <v>18</v>
          </cell>
          <cell r="R740" t="str">
            <v>MRC</v>
          </cell>
          <cell r="S740" t="str">
            <v>ZZ</v>
          </cell>
          <cell r="T740">
            <v>11</v>
          </cell>
          <cell r="U740" t="str">
            <v>1442230541018MRCZZ11</v>
          </cell>
          <cell r="V740">
            <v>733</v>
          </cell>
          <cell r="W740" t="str">
            <v>OC: SKILLS DEVELOPMENT FUND LEVY</v>
          </cell>
          <cell r="X740">
            <v>0</v>
          </cell>
          <cell r="Y740">
            <v>0</v>
          </cell>
          <cell r="Z740">
            <v>0</v>
          </cell>
          <cell r="AA740"/>
          <cell r="AB740">
            <v>0</v>
          </cell>
          <cell r="AC740">
            <v>0</v>
          </cell>
        </row>
        <row r="741">
          <cell r="F741" t="str">
            <v>OC: UNIFORM &amp; PROTECTIVE CLOTHING</v>
          </cell>
          <cell r="G741" t="str">
            <v>P230452</v>
          </cell>
          <cell r="H741" t="str">
            <v>P230610</v>
          </cell>
          <cell r="I741"/>
          <cell r="J741"/>
          <cell r="K741" t="str">
            <v>14</v>
          </cell>
          <cell r="L741" t="str">
            <v>42</v>
          </cell>
          <cell r="M741" t="str">
            <v>2</v>
          </cell>
          <cell r="N741" t="str">
            <v>30</v>
          </cell>
          <cell r="O741" t="str">
            <v>610</v>
          </cell>
          <cell r="P741" t="str">
            <v>0</v>
          </cell>
          <cell r="Q741">
            <v>18</v>
          </cell>
          <cell r="R741" t="str">
            <v>MRC</v>
          </cell>
          <cell r="S741" t="str">
            <v>ZZ</v>
          </cell>
          <cell r="T741">
            <v>11</v>
          </cell>
          <cell r="U741" t="str">
            <v>1442230610018MRCZZ11</v>
          </cell>
          <cell r="V741">
            <v>734</v>
          </cell>
          <cell r="W741" t="str">
            <v>OC: UNIFORM &amp; PROTECTIVE CLOTHING</v>
          </cell>
          <cell r="X741">
            <v>707</v>
          </cell>
          <cell r="Y741">
            <v>0</v>
          </cell>
          <cell r="Z741">
            <v>0</v>
          </cell>
          <cell r="AA741"/>
          <cell r="AB741">
            <v>707</v>
          </cell>
          <cell r="AC741">
            <v>2000000</v>
          </cell>
        </row>
        <row r="742">
          <cell r="F742" t="str">
            <v>STREET LIGHTING MANGAUNG5014-32-1-40-299</v>
          </cell>
          <cell r="G742" t="str">
            <v>P230452</v>
          </cell>
          <cell r="H742" t="str">
            <v>P230701</v>
          </cell>
          <cell r="I742"/>
          <cell r="J742"/>
          <cell r="K742" t="str">
            <v>14</v>
          </cell>
          <cell r="L742" t="str">
            <v>42</v>
          </cell>
          <cell r="M742" t="str">
            <v>2</v>
          </cell>
          <cell r="N742" t="str">
            <v>30</v>
          </cell>
          <cell r="O742" t="str">
            <v>701</v>
          </cell>
          <cell r="P742" t="str">
            <v>8</v>
          </cell>
          <cell r="Q742">
            <v>18</v>
          </cell>
          <cell r="R742" t="str">
            <v>MRC</v>
          </cell>
          <cell r="S742" t="str">
            <v>ZZ</v>
          </cell>
          <cell r="T742">
            <v>11</v>
          </cell>
          <cell r="U742" t="str">
            <v>1442230701818MRCZZ11</v>
          </cell>
          <cell r="V742">
            <v>735</v>
          </cell>
          <cell r="W742" t="str">
            <v>STREET LIGHTING MANGAUNG5014-32-1-40-299</v>
          </cell>
          <cell r="X742">
            <v>0</v>
          </cell>
          <cell r="Y742">
            <v>0</v>
          </cell>
          <cell r="Z742">
            <v>0</v>
          </cell>
          <cell r="AA742"/>
          <cell r="AB742">
            <v>0</v>
          </cell>
          <cell r="AC742">
            <v>0</v>
          </cell>
        </row>
        <row r="743">
          <cell r="F743" t="str">
            <v>INVENTORY - MATERIALS &amp; SUPPLIES(PRINT&amp;</v>
          </cell>
          <cell r="G743" t="str">
            <v>P232360</v>
          </cell>
          <cell r="H743" t="str">
            <v>P232360</v>
          </cell>
          <cell r="I743"/>
          <cell r="J743"/>
          <cell r="K743" t="str">
            <v>14</v>
          </cell>
          <cell r="L743" t="str">
            <v>42</v>
          </cell>
          <cell r="M743" t="str">
            <v>2</v>
          </cell>
          <cell r="N743" t="str">
            <v>32</v>
          </cell>
          <cell r="O743" t="str">
            <v>360</v>
          </cell>
          <cell r="P743" t="str">
            <v>D</v>
          </cell>
          <cell r="Q743">
            <v>18</v>
          </cell>
          <cell r="R743" t="str">
            <v>MRC</v>
          </cell>
          <cell r="S743" t="str">
            <v>ZZ</v>
          </cell>
          <cell r="T743">
            <v>11</v>
          </cell>
          <cell r="U743" t="str">
            <v>1442232360D18MRCZZ11</v>
          </cell>
          <cell r="V743">
            <v>736</v>
          </cell>
          <cell r="W743" t="str">
            <v>INVENTORY - MATERIALS &amp; SUPPLIES(PRINT&amp;</v>
          </cell>
          <cell r="X743">
            <v>103924</v>
          </cell>
          <cell r="Y743">
            <v>85122.95</v>
          </cell>
          <cell r="Z743">
            <v>102147.54000000001</v>
          </cell>
          <cell r="AA743">
            <v>0</v>
          </cell>
          <cell r="AB743">
            <v>103924</v>
          </cell>
          <cell r="AC743">
            <v>115000</v>
          </cell>
        </row>
        <row r="744">
          <cell r="F744" t="str">
            <v>INVENTORY - MATERIALS &amp; SUPPLIES(STOCK &amp;</v>
          </cell>
          <cell r="G744" t="str">
            <v>P232360</v>
          </cell>
          <cell r="H744" t="str">
            <v>P232360</v>
          </cell>
          <cell r="I744"/>
          <cell r="J744"/>
          <cell r="K744" t="str">
            <v>14</v>
          </cell>
          <cell r="L744" t="str">
            <v>42</v>
          </cell>
          <cell r="M744" t="str">
            <v>2</v>
          </cell>
          <cell r="N744" t="str">
            <v>32</v>
          </cell>
          <cell r="O744" t="str">
            <v>360</v>
          </cell>
          <cell r="P744" t="str">
            <v>R</v>
          </cell>
          <cell r="Q744">
            <v>18</v>
          </cell>
          <cell r="R744" t="str">
            <v>MRC</v>
          </cell>
          <cell r="S744" t="str">
            <v>ZZ</v>
          </cell>
          <cell r="T744">
            <v>11</v>
          </cell>
          <cell r="U744" t="str">
            <v>1442232360R18MRCZZ11</v>
          </cell>
          <cell r="V744">
            <v>737</v>
          </cell>
          <cell r="W744" t="str">
            <v>INVENTORY - MATERIALS &amp; SUPPLIES(STOCK &amp;</v>
          </cell>
          <cell r="X744">
            <v>0</v>
          </cell>
          <cell r="Y744">
            <v>0</v>
          </cell>
          <cell r="Z744">
            <v>0</v>
          </cell>
          <cell r="AA744"/>
          <cell r="AB744">
            <v>0</v>
          </cell>
          <cell r="AC744">
            <v>20000</v>
          </cell>
        </row>
        <row r="745">
          <cell r="F745" t="str">
            <v>DEPRECIATION FURNITURE &amp; OFFICE EQUIPM</v>
          </cell>
          <cell r="G745" t="str">
            <v>P272150</v>
          </cell>
          <cell r="H745" t="str">
            <v>P272150</v>
          </cell>
          <cell r="I745"/>
          <cell r="J745"/>
          <cell r="K745" t="str">
            <v>14</v>
          </cell>
          <cell r="L745" t="str">
            <v>42</v>
          </cell>
          <cell r="M745" t="str">
            <v>2</v>
          </cell>
          <cell r="N745" t="str">
            <v>72</v>
          </cell>
          <cell r="O745" t="str">
            <v>150</v>
          </cell>
          <cell r="P745" t="str">
            <v>0</v>
          </cell>
          <cell r="Q745">
            <v>18</v>
          </cell>
          <cell r="R745" t="str">
            <v>MRC</v>
          </cell>
          <cell r="S745" t="str">
            <v>ZZ</v>
          </cell>
          <cell r="T745">
            <v>11</v>
          </cell>
          <cell r="U745" t="str">
            <v>1442272150018MRCZZ11</v>
          </cell>
          <cell r="V745">
            <v>738</v>
          </cell>
          <cell r="W745" t="str">
            <v>DEPRECIATION FURNITURE &amp; OFFICE EQUIPM</v>
          </cell>
          <cell r="X745">
            <v>0</v>
          </cell>
          <cell r="Y745">
            <v>0</v>
          </cell>
          <cell r="Z745">
            <v>0</v>
          </cell>
          <cell r="AA745"/>
          <cell r="AB745">
            <v>0</v>
          </cell>
          <cell r="AC745">
            <v>0</v>
          </cell>
        </row>
        <row r="746">
          <cell r="F746" t="str">
            <v>DEPRECIATION ELEC MV NETWORKS</v>
          </cell>
          <cell r="G746" t="str">
            <v>P272150</v>
          </cell>
          <cell r="H746" t="str">
            <v>P272248</v>
          </cell>
          <cell r="I746"/>
          <cell r="J746"/>
          <cell r="K746" t="str">
            <v>14</v>
          </cell>
          <cell r="L746" t="str">
            <v>42</v>
          </cell>
          <cell r="M746" t="str">
            <v>2</v>
          </cell>
          <cell r="N746" t="str">
            <v>72</v>
          </cell>
          <cell r="O746" t="str">
            <v>248</v>
          </cell>
          <cell r="P746" t="str">
            <v>0</v>
          </cell>
          <cell r="Q746">
            <v>18</v>
          </cell>
          <cell r="R746" t="str">
            <v>MRC</v>
          </cell>
          <cell r="S746" t="str">
            <v>ZZ</v>
          </cell>
          <cell r="T746">
            <v>11</v>
          </cell>
          <cell r="U746" t="str">
            <v>1442272248018MRCZZ11</v>
          </cell>
          <cell r="V746">
            <v>739</v>
          </cell>
          <cell r="W746" t="str">
            <v>DEPRECIATION ELEC MV NETWORKS</v>
          </cell>
          <cell r="X746">
            <v>0</v>
          </cell>
          <cell r="Y746">
            <v>0</v>
          </cell>
          <cell r="Z746">
            <v>0</v>
          </cell>
          <cell r="AA746"/>
          <cell r="AB746">
            <v>0</v>
          </cell>
          <cell r="AC746">
            <v>0</v>
          </cell>
        </row>
        <row r="747">
          <cell r="F747" t="str">
            <v>DEPRECIATION  TRANSPORT ASSETS</v>
          </cell>
          <cell r="G747" t="str">
            <v>P272150</v>
          </cell>
          <cell r="H747" t="str">
            <v>P272570</v>
          </cell>
          <cell r="I747"/>
          <cell r="J747"/>
          <cell r="K747" t="str">
            <v>14</v>
          </cell>
          <cell r="L747" t="str">
            <v>42</v>
          </cell>
          <cell r="M747" t="str">
            <v>2</v>
          </cell>
          <cell r="N747" t="str">
            <v>72</v>
          </cell>
          <cell r="O747" t="str">
            <v>570</v>
          </cell>
          <cell r="P747" t="str">
            <v>0</v>
          </cell>
          <cell r="Q747">
            <v>18</v>
          </cell>
          <cell r="R747" t="str">
            <v>MRC</v>
          </cell>
          <cell r="S747" t="str">
            <v>ZZ</v>
          </cell>
          <cell r="T747">
            <v>11</v>
          </cell>
          <cell r="U747" t="str">
            <v>1442272570018MRCZZ11</v>
          </cell>
          <cell r="V747">
            <v>740</v>
          </cell>
          <cell r="W747" t="str">
            <v>DEPRECIATION  TRANSPORT ASSETS</v>
          </cell>
          <cell r="X747">
            <v>0</v>
          </cell>
          <cell r="Y747">
            <v>0</v>
          </cell>
          <cell r="Z747">
            <v>0</v>
          </cell>
          <cell r="AA747"/>
          <cell r="AB747">
            <v>0</v>
          </cell>
          <cell r="AC747">
            <v>0</v>
          </cell>
        </row>
        <row r="748">
          <cell r="F748" t="str">
            <v>PPE INFRA: ELECTRICITY - GAINS</v>
          </cell>
          <cell r="G748" t="str">
            <v>P320085</v>
          </cell>
          <cell r="H748" t="str">
            <v>P320085</v>
          </cell>
          <cell r="I748"/>
          <cell r="J748"/>
          <cell r="K748" t="str">
            <v>14</v>
          </cell>
          <cell r="L748" t="str">
            <v>42</v>
          </cell>
          <cell r="M748" t="str">
            <v>3</v>
          </cell>
          <cell r="N748" t="str">
            <v>20</v>
          </cell>
          <cell r="O748" t="str">
            <v>085</v>
          </cell>
          <cell r="P748" t="str">
            <v>0</v>
          </cell>
          <cell r="Q748">
            <v>18</v>
          </cell>
          <cell r="R748" t="str">
            <v>MRC</v>
          </cell>
          <cell r="S748" t="str">
            <v>ZZ</v>
          </cell>
          <cell r="T748">
            <v>11</v>
          </cell>
          <cell r="U748" t="str">
            <v>1442320085018MRCZZ11</v>
          </cell>
          <cell r="V748">
            <v>741</v>
          </cell>
          <cell r="W748" t="str">
            <v>PPE INFRA: ELECTRICITY - GAINS</v>
          </cell>
          <cell r="X748">
            <v>0</v>
          </cell>
          <cell r="Y748">
            <v>0</v>
          </cell>
          <cell r="Z748">
            <v>0</v>
          </cell>
          <cell r="AA748"/>
          <cell r="AB748">
            <v>0</v>
          </cell>
          <cell r="AC748">
            <v>-3400000</v>
          </cell>
        </row>
        <row r="749">
          <cell r="F749" t="str">
            <v>PPE INFRA: ELECTRICITY - LOSSES</v>
          </cell>
          <cell r="G749" t="str">
            <v>P370020</v>
          </cell>
          <cell r="H749" t="str">
            <v>P320090</v>
          </cell>
          <cell r="I749"/>
          <cell r="J749"/>
          <cell r="K749" t="str">
            <v>14</v>
          </cell>
          <cell r="L749" t="str">
            <v>42</v>
          </cell>
          <cell r="M749" t="str">
            <v>3</v>
          </cell>
          <cell r="N749" t="str">
            <v>20</v>
          </cell>
          <cell r="O749" t="str">
            <v>090</v>
          </cell>
          <cell r="P749" t="str">
            <v>0</v>
          </cell>
          <cell r="Q749">
            <v>18</v>
          </cell>
          <cell r="R749" t="str">
            <v>MRC</v>
          </cell>
          <cell r="S749" t="str">
            <v>ZZ</v>
          </cell>
          <cell r="T749">
            <v>11</v>
          </cell>
          <cell r="U749" t="str">
            <v>1442320090018MRCZZ11</v>
          </cell>
          <cell r="V749">
            <v>742</v>
          </cell>
          <cell r="W749" t="str">
            <v>PPE INFRA: ELECTRICITY - LOSSES</v>
          </cell>
          <cell r="X749">
            <v>0</v>
          </cell>
          <cell r="Y749">
            <v>0</v>
          </cell>
          <cell r="Z749">
            <v>0</v>
          </cell>
          <cell r="AA749"/>
          <cell r="AB749">
            <v>0</v>
          </cell>
          <cell r="AC749">
            <v>0</v>
          </cell>
        </row>
        <row r="750">
          <cell r="F750" t="str">
            <v>IL PPE: INFRASTRUCTURE - ELECTRICITY</v>
          </cell>
          <cell r="G750" t="str">
            <v>P350045</v>
          </cell>
          <cell r="H750" t="str">
            <v>P350045</v>
          </cell>
          <cell r="I750"/>
          <cell r="J750"/>
          <cell r="K750" t="str">
            <v>14</v>
          </cell>
          <cell r="L750" t="str">
            <v>42</v>
          </cell>
          <cell r="M750" t="str">
            <v>3</v>
          </cell>
          <cell r="N750" t="str">
            <v>50</v>
          </cell>
          <cell r="O750" t="str">
            <v>045</v>
          </cell>
          <cell r="P750" t="str">
            <v>0</v>
          </cell>
          <cell r="Q750">
            <v>18</v>
          </cell>
          <cell r="R750" t="str">
            <v>MRC</v>
          </cell>
          <cell r="S750" t="str">
            <v>ZZ</v>
          </cell>
          <cell r="T750">
            <v>11</v>
          </cell>
          <cell r="U750" t="str">
            <v>1442350045018MRCZZ11</v>
          </cell>
          <cell r="V750">
            <v>743</v>
          </cell>
          <cell r="W750" t="str">
            <v>IL PPE: INFRASTRUCTURE - ELECTRICITY</v>
          </cell>
          <cell r="X750">
            <v>0</v>
          </cell>
          <cell r="Y750">
            <v>0</v>
          </cell>
          <cell r="Z750">
            <v>0</v>
          </cell>
          <cell r="AA750"/>
          <cell r="AB750">
            <v>0</v>
          </cell>
          <cell r="AC750">
            <v>0</v>
          </cell>
        </row>
        <row r="751">
          <cell r="F751" t="str">
            <v>RIL PPE: INFRASTRUCTURE - ELECTRICITY</v>
          </cell>
          <cell r="G751" t="str">
            <v>P360045</v>
          </cell>
          <cell r="H751" t="str">
            <v>P360045</v>
          </cell>
          <cell r="I751"/>
          <cell r="J751"/>
          <cell r="K751" t="str">
            <v>14</v>
          </cell>
          <cell r="L751" t="str">
            <v>42</v>
          </cell>
          <cell r="M751" t="str">
            <v>3</v>
          </cell>
          <cell r="N751" t="str">
            <v>60</v>
          </cell>
          <cell r="O751" t="str">
            <v>045</v>
          </cell>
          <cell r="P751" t="str">
            <v>0</v>
          </cell>
          <cell r="Q751">
            <v>18</v>
          </cell>
          <cell r="R751" t="str">
            <v>MRC</v>
          </cell>
          <cell r="S751" t="str">
            <v>ZZ</v>
          </cell>
          <cell r="T751">
            <v>11</v>
          </cell>
          <cell r="U751" t="str">
            <v>1442360045018MRCZZ11</v>
          </cell>
          <cell r="V751">
            <v>744</v>
          </cell>
          <cell r="W751" t="str">
            <v>RIL PPE: INFRASTRUCTURE - ELECTRICITY</v>
          </cell>
          <cell r="X751">
            <v>0</v>
          </cell>
          <cell r="Y751">
            <v>0</v>
          </cell>
          <cell r="Z751">
            <v>0</v>
          </cell>
          <cell r="AA751"/>
          <cell r="AB751">
            <v>0</v>
          </cell>
          <cell r="AC751">
            <v>0</v>
          </cell>
        </row>
        <row r="752">
          <cell r="F752" t="str">
            <v>ELECTRIFICATION (USDG GRANT)</v>
          </cell>
          <cell r="G752" t="str">
            <v>P643302P16</v>
          </cell>
          <cell r="H752" t="str">
            <v>P643302P16</v>
          </cell>
          <cell r="I752"/>
          <cell r="J752"/>
          <cell r="K752" t="str">
            <v>14</v>
          </cell>
          <cell r="L752" t="str">
            <v>42</v>
          </cell>
          <cell r="M752" t="str">
            <v>6</v>
          </cell>
          <cell r="N752" t="str">
            <v>43</v>
          </cell>
          <cell r="O752" t="str">
            <v>302</v>
          </cell>
          <cell r="P752" t="str">
            <v>0</v>
          </cell>
          <cell r="Q752">
            <v>81</v>
          </cell>
          <cell r="R752" t="str">
            <v>P16</v>
          </cell>
          <cell r="S752" t="str">
            <v>ZZ</v>
          </cell>
          <cell r="T752">
            <v>11</v>
          </cell>
          <cell r="U752" t="str">
            <v>1442643302081P16ZZ11</v>
          </cell>
          <cell r="V752">
            <v>745</v>
          </cell>
          <cell r="W752" t="str">
            <v>ELECTRIFICATION (USDG GRANT)</v>
          </cell>
          <cell r="X752">
            <v>20466030</v>
          </cell>
          <cell r="Y752">
            <v>17225435.399999999</v>
          </cell>
          <cell r="Z752">
            <v>20670522.479999997</v>
          </cell>
          <cell r="AA752"/>
          <cell r="AB752">
            <v>20466030</v>
          </cell>
          <cell r="AC752">
            <v>20000000</v>
          </cell>
        </row>
        <row r="753">
          <cell r="F753" t="str">
            <v>MAPHIKELA DC 132/11KV</v>
          </cell>
          <cell r="G753" t="str">
            <v>P652042P06</v>
          </cell>
          <cell r="H753" t="str">
            <v>P652042P06</v>
          </cell>
          <cell r="I753"/>
          <cell r="J753"/>
          <cell r="K753" t="str">
            <v>14</v>
          </cell>
          <cell r="L753" t="str">
            <v>42</v>
          </cell>
          <cell r="M753" t="str">
            <v>6</v>
          </cell>
          <cell r="N753" t="str">
            <v>52</v>
          </cell>
          <cell r="O753" t="str">
            <v>042</v>
          </cell>
          <cell r="P753" t="str">
            <v>0</v>
          </cell>
          <cell r="Q753" t="str">
            <v>CF</v>
          </cell>
          <cell r="R753" t="str">
            <v>P06</v>
          </cell>
          <cell r="S753" t="str">
            <v>ZZ</v>
          </cell>
          <cell r="T753">
            <v>11</v>
          </cell>
          <cell r="U753" t="str">
            <v>14426520420CFP06ZZ11</v>
          </cell>
          <cell r="V753">
            <v>746</v>
          </cell>
          <cell r="W753" t="str">
            <v>MAPHIKELA DC 132/11KV</v>
          </cell>
          <cell r="X753">
            <v>0</v>
          </cell>
          <cell r="Y753">
            <v>0</v>
          </cell>
          <cell r="Z753">
            <v>0</v>
          </cell>
          <cell r="AA753"/>
          <cell r="AB753">
            <v>0</v>
          </cell>
          <cell r="AC753">
            <v>0</v>
          </cell>
        </row>
        <row r="754">
          <cell r="F754" t="str">
            <v>BOTSHABELO: ESTABLISHMENT OF 132KV (INDU</v>
          </cell>
          <cell r="G754" t="str">
            <v>P652042P09</v>
          </cell>
          <cell r="H754" t="str">
            <v>P652042P09</v>
          </cell>
          <cell r="I754"/>
          <cell r="J754"/>
          <cell r="K754" t="str">
            <v>14</v>
          </cell>
          <cell r="L754" t="str">
            <v>42</v>
          </cell>
          <cell r="M754" t="str">
            <v>6</v>
          </cell>
          <cell r="N754" t="str">
            <v>52</v>
          </cell>
          <cell r="O754" t="str">
            <v>042</v>
          </cell>
          <cell r="P754" t="str">
            <v>0</v>
          </cell>
          <cell r="Q754" t="str">
            <v>CF</v>
          </cell>
          <cell r="R754" t="str">
            <v>P09</v>
          </cell>
          <cell r="S754" t="str">
            <v>ZZ</v>
          </cell>
          <cell r="T754">
            <v>11</v>
          </cell>
          <cell r="U754" t="str">
            <v>14426520420CFP09ZZ11</v>
          </cell>
          <cell r="V754">
            <v>747</v>
          </cell>
          <cell r="W754" t="str">
            <v>BOTSHABELO: ESTABLISHMENT OF 132KV (INDU</v>
          </cell>
          <cell r="X754">
            <v>5000000</v>
          </cell>
          <cell r="Y754">
            <v>37670</v>
          </cell>
          <cell r="Z754">
            <v>45204</v>
          </cell>
          <cell r="AA754">
            <v>-4962330</v>
          </cell>
          <cell r="AB754">
            <v>37670</v>
          </cell>
          <cell r="AC754">
            <v>5000000</v>
          </cell>
        </row>
        <row r="755">
          <cell r="F755" t="str">
            <v>BOTSHABELO: ESTABLISHMENT OF 132KV CONNE</v>
          </cell>
          <cell r="G755" t="str">
            <v>P652242P47</v>
          </cell>
          <cell r="H755" t="str">
            <v>P652242P47</v>
          </cell>
          <cell r="I755"/>
          <cell r="J755"/>
          <cell r="K755" t="str">
            <v>14</v>
          </cell>
          <cell r="L755" t="str">
            <v>42</v>
          </cell>
          <cell r="M755" t="str">
            <v>6</v>
          </cell>
          <cell r="N755" t="str">
            <v>52</v>
          </cell>
          <cell r="O755" t="str">
            <v>242</v>
          </cell>
          <cell r="P755" t="str">
            <v>0</v>
          </cell>
          <cell r="Q755">
            <v>77</v>
          </cell>
          <cell r="R755" t="str">
            <v>P47</v>
          </cell>
          <cell r="S755" t="str">
            <v>ZZ</v>
          </cell>
          <cell r="T755">
            <v>11</v>
          </cell>
          <cell r="U755" t="str">
            <v>1442652242077P47ZZ11</v>
          </cell>
          <cell r="V755">
            <v>748</v>
          </cell>
          <cell r="W755" t="str">
            <v>BOTSHABELO: ESTABLISHMENT OF 132KV CONNE</v>
          </cell>
          <cell r="X755">
            <v>0</v>
          </cell>
          <cell r="Y755">
            <v>0</v>
          </cell>
          <cell r="Z755">
            <v>0</v>
          </cell>
          <cell r="AA755"/>
          <cell r="AB755">
            <v>0</v>
          </cell>
          <cell r="AC755">
            <v>0</v>
          </cell>
        </row>
        <row r="756">
          <cell r="F756" t="str">
            <v>EXTENSION AND UPGRADING OF THE 11KV NETW</v>
          </cell>
          <cell r="G756">
            <v>0</v>
          </cell>
          <cell r="H756">
            <v>0</v>
          </cell>
          <cell r="I756"/>
          <cell r="J756"/>
          <cell r="K756" t="str">
            <v>14</v>
          </cell>
          <cell r="L756" t="str">
            <v>42</v>
          </cell>
          <cell r="M756" t="str">
            <v>6</v>
          </cell>
          <cell r="N756" t="str">
            <v>52</v>
          </cell>
          <cell r="O756" t="str">
            <v>242</v>
          </cell>
          <cell r="P756" t="str">
            <v>0</v>
          </cell>
          <cell r="Q756">
            <v>81</v>
          </cell>
          <cell r="R756" t="str">
            <v>P53</v>
          </cell>
          <cell r="S756" t="str">
            <v>ZZ</v>
          </cell>
          <cell r="T756">
            <v>11</v>
          </cell>
          <cell r="U756" t="str">
            <v>1442652242081P53ZZ11</v>
          </cell>
          <cell r="V756">
            <v>749</v>
          </cell>
          <cell r="W756" t="str">
            <v>EXTENSION AND UPGRADING OF THE 11KV NETW</v>
          </cell>
          <cell r="X756">
            <v>0</v>
          </cell>
          <cell r="Y756">
            <v>0</v>
          </cell>
          <cell r="Z756">
            <v>0</v>
          </cell>
          <cell r="AA756"/>
          <cell r="AB756">
            <v>0</v>
          </cell>
          <cell r="AC756">
            <v>0</v>
          </cell>
        </row>
        <row r="757">
          <cell r="F757" t="str">
            <v>ELECTRIFICATION INTERNAL PROJECTS</v>
          </cell>
          <cell r="G757" t="str">
            <v>P652242P50</v>
          </cell>
          <cell r="H757" t="str">
            <v>P652242P50</v>
          </cell>
          <cell r="I757"/>
          <cell r="J757"/>
          <cell r="K757" t="str">
            <v>14</v>
          </cell>
          <cell r="L757" t="str">
            <v>42</v>
          </cell>
          <cell r="M757" t="str">
            <v>6</v>
          </cell>
          <cell r="N757" t="str">
            <v>52</v>
          </cell>
          <cell r="O757" t="str">
            <v>242</v>
          </cell>
          <cell r="P757" t="str">
            <v>0</v>
          </cell>
          <cell r="Q757" t="str">
            <v>CF</v>
          </cell>
          <cell r="R757" t="str">
            <v>P50</v>
          </cell>
          <cell r="S757" t="str">
            <v>ZZ</v>
          </cell>
          <cell r="T757">
            <v>11</v>
          </cell>
          <cell r="U757" t="str">
            <v>14426522420CFP50ZZ11</v>
          </cell>
          <cell r="V757">
            <v>750</v>
          </cell>
          <cell r="W757" t="str">
            <v>ELECTRIFICATION INTERNAL PROJECTS</v>
          </cell>
          <cell r="X757">
            <v>6431192</v>
          </cell>
          <cell r="Y757">
            <v>9625197.3300000001</v>
          </cell>
          <cell r="Z757">
            <v>11550236.796</v>
          </cell>
          <cell r="AA757">
            <v>22962330</v>
          </cell>
          <cell r="AB757">
            <v>29393522</v>
          </cell>
          <cell r="AC757">
            <v>7100000</v>
          </cell>
        </row>
        <row r="758">
          <cell r="F758" t="str">
            <v>EXTENSION AND UPGRADING OF THE 11KV NETW</v>
          </cell>
          <cell r="G758" t="str">
            <v>P652242P53</v>
          </cell>
          <cell r="H758" t="str">
            <v>P652242P53</v>
          </cell>
          <cell r="I758"/>
          <cell r="J758"/>
          <cell r="K758" t="str">
            <v>14</v>
          </cell>
          <cell r="L758" t="str">
            <v>42</v>
          </cell>
          <cell r="M758" t="str">
            <v>6</v>
          </cell>
          <cell r="N758" t="str">
            <v>52</v>
          </cell>
          <cell r="O758" t="str">
            <v>242</v>
          </cell>
          <cell r="P758" t="str">
            <v>0</v>
          </cell>
          <cell r="Q758" t="str">
            <v>CF</v>
          </cell>
          <cell r="R758" t="str">
            <v>P53</v>
          </cell>
          <cell r="S758" t="str">
            <v>ZZ</v>
          </cell>
          <cell r="T758">
            <v>11</v>
          </cell>
          <cell r="U758" t="str">
            <v>14426522420CFP53ZZ11</v>
          </cell>
          <cell r="V758">
            <v>751</v>
          </cell>
          <cell r="W758" t="str">
            <v>EXTENSION AND UPGRADING OF THE 11KV NETW</v>
          </cell>
          <cell r="X758">
            <v>5000000</v>
          </cell>
          <cell r="Y758">
            <v>911288.9</v>
          </cell>
          <cell r="Z758">
            <v>1093546.68</v>
          </cell>
          <cell r="AA758">
            <v>15133919</v>
          </cell>
          <cell r="AB758">
            <v>20133919</v>
          </cell>
          <cell r="AC758">
            <v>5000000</v>
          </cell>
        </row>
        <row r="759">
          <cell r="F759" t="str">
            <v>BOTSH-E: EST NEW 33/11KV 10MVA FIRM CAP</v>
          </cell>
          <cell r="G759" t="str">
            <v>652242P75</v>
          </cell>
          <cell r="H759" t="str">
            <v>652242P75</v>
          </cell>
          <cell r="I759"/>
          <cell r="J759"/>
          <cell r="K759" t="str">
            <v>14</v>
          </cell>
          <cell r="L759" t="str">
            <v>42</v>
          </cell>
          <cell r="M759" t="str">
            <v>6</v>
          </cell>
          <cell r="N759" t="str">
            <v>52</v>
          </cell>
          <cell r="O759" t="str">
            <v>242</v>
          </cell>
          <cell r="P759" t="str">
            <v>0</v>
          </cell>
          <cell r="Q759" t="str">
            <v>CF</v>
          </cell>
          <cell r="R759" t="str">
            <v>P75</v>
          </cell>
          <cell r="S759" t="str">
            <v>ZZ</v>
          </cell>
          <cell r="T759">
            <v>11</v>
          </cell>
          <cell r="U759" t="str">
            <v>14426522420CFP75ZZ11</v>
          </cell>
          <cell r="V759">
            <v>752</v>
          </cell>
          <cell r="W759" t="str">
            <v>BOTSH-E: EST NEW 33/11KV 10MVA FIRM CAP</v>
          </cell>
          <cell r="X759">
            <v>5000000</v>
          </cell>
          <cell r="Y759">
            <v>0</v>
          </cell>
          <cell r="Z759">
            <v>0</v>
          </cell>
          <cell r="AA759"/>
          <cell r="AB759">
            <v>5000000</v>
          </cell>
          <cell r="AC759">
            <v>8000000</v>
          </cell>
        </row>
        <row r="760">
          <cell r="F760" t="str">
            <v>BOTSH: UPG SUB T (2ND TRANS SCADA EQUI</v>
          </cell>
          <cell r="G760" t="str">
            <v>652242P76</v>
          </cell>
          <cell r="H760" t="str">
            <v>652242P76</v>
          </cell>
          <cell r="I760"/>
          <cell r="J760"/>
          <cell r="K760" t="str">
            <v>14</v>
          </cell>
          <cell r="L760" t="str">
            <v>42</v>
          </cell>
          <cell r="M760" t="str">
            <v>6</v>
          </cell>
          <cell r="N760" t="str">
            <v>52</v>
          </cell>
          <cell r="O760" t="str">
            <v>242</v>
          </cell>
          <cell r="P760" t="str">
            <v>0</v>
          </cell>
          <cell r="Q760" t="str">
            <v>CF</v>
          </cell>
          <cell r="R760" t="str">
            <v>P76</v>
          </cell>
          <cell r="S760" t="str">
            <v>ZZ</v>
          </cell>
          <cell r="T760">
            <v>11</v>
          </cell>
          <cell r="U760" t="str">
            <v>14426522420CFP76ZZ11</v>
          </cell>
          <cell r="V760">
            <v>753</v>
          </cell>
          <cell r="W760" t="str">
            <v>BOTSH: UPG SUB T (2ND TRANS SCADA EQUI</v>
          </cell>
          <cell r="X760">
            <v>8000000</v>
          </cell>
          <cell r="Y760">
            <v>0</v>
          </cell>
          <cell r="Z760">
            <v>0</v>
          </cell>
          <cell r="AA760">
            <v>-8000000</v>
          </cell>
          <cell r="AB760">
            <v>0</v>
          </cell>
          <cell r="AC760">
            <v>8000000</v>
          </cell>
        </row>
        <row r="761">
          <cell r="F761" t="str">
            <v>BOTSH: UPG SUB W (C/WORK B/W 2ND TRA S/D</v>
          </cell>
          <cell r="G761" t="str">
            <v>652242P77</v>
          </cell>
          <cell r="H761" t="str">
            <v>652242P77</v>
          </cell>
          <cell r="I761"/>
          <cell r="J761"/>
          <cell r="K761" t="str">
            <v>14</v>
          </cell>
          <cell r="L761" t="str">
            <v>42</v>
          </cell>
          <cell r="M761" t="str">
            <v>6</v>
          </cell>
          <cell r="N761" t="str">
            <v>52</v>
          </cell>
          <cell r="O761" t="str">
            <v>242</v>
          </cell>
          <cell r="P761" t="str">
            <v>0</v>
          </cell>
          <cell r="Q761" t="str">
            <v>CF</v>
          </cell>
          <cell r="R761" t="str">
            <v>P77</v>
          </cell>
          <cell r="S761" t="str">
            <v>ZZ</v>
          </cell>
          <cell r="T761">
            <v>11</v>
          </cell>
          <cell r="U761" t="str">
            <v>14426522420CFP77ZZ11</v>
          </cell>
          <cell r="V761">
            <v>754</v>
          </cell>
          <cell r="W761" t="str">
            <v>BOTSH: UPG SUB W (C/WORK B/W 2ND TRA S/D</v>
          </cell>
          <cell r="X761">
            <v>10000000</v>
          </cell>
          <cell r="Y761">
            <v>0</v>
          </cell>
          <cell r="Z761">
            <v>0</v>
          </cell>
          <cell r="AA761"/>
          <cell r="AB761">
            <v>10000000</v>
          </cell>
          <cell r="AC761">
            <v>8000000</v>
          </cell>
        </row>
        <row r="762">
          <cell r="F762" t="str">
            <v>BLOEM: C/Y-EST 33/11KV 20MVA FIRM SUPDC</v>
          </cell>
          <cell r="G762" t="str">
            <v>652242P78</v>
          </cell>
          <cell r="H762" t="str">
            <v>652242P78</v>
          </cell>
          <cell r="I762"/>
          <cell r="J762"/>
          <cell r="K762" t="str">
            <v>14</v>
          </cell>
          <cell r="L762" t="str">
            <v>42</v>
          </cell>
          <cell r="M762" t="str">
            <v>6</v>
          </cell>
          <cell r="N762" t="str">
            <v>52</v>
          </cell>
          <cell r="O762" t="str">
            <v>242</v>
          </cell>
          <cell r="P762" t="str">
            <v>0</v>
          </cell>
          <cell r="Q762" t="str">
            <v>CF</v>
          </cell>
          <cell r="R762" t="str">
            <v>P78</v>
          </cell>
          <cell r="S762" t="str">
            <v>ZZ</v>
          </cell>
          <cell r="T762">
            <v>11</v>
          </cell>
          <cell r="U762" t="str">
            <v>14426522420CFP78ZZ11</v>
          </cell>
          <cell r="V762">
            <v>755</v>
          </cell>
          <cell r="W762" t="str">
            <v>BLOEM: C/Y-EST 33/11KV 20MVA FIRM SUPDC</v>
          </cell>
          <cell r="X762">
            <v>10000000</v>
          </cell>
          <cell r="Y762">
            <v>0</v>
          </cell>
          <cell r="Z762">
            <v>0</v>
          </cell>
          <cell r="AA762">
            <v>-10000000</v>
          </cell>
          <cell r="AB762">
            <v>0</v>
          </cell>
          <cell r="AC762">
            <v>8000000</v>
          </cell>
        </row>
        <row r="763">
          <cell r="F763" t="str">
            <v>BLOEM: N/STAD-UPG 132/11KV 20MVA FIRM DC</v>
          </cell>
          <cell r="G763" t="str">
            <v>652242P79</v>
          </cell>
          <cell r="H763" t="str">
            <v>652242P79</v>
          </cell>
          <cell r="I763"/>
          <cell r="J763"/>
          <cell r="K763" t="str">
            <v>14</v>
          </cell>
          <cell r="L763" t="str">
            <v>42</v>
          </cell>
          <cell r="M763" t="str">
            <v>6</v>
          </cell>
          <cell r="N763" t="str">
            <v>52</v>
          </cell>
          <cell r="O763" t="str">
            <v>242</v>
          </cell>
          <cell r="P763" t="str">
            <v>0</v>
          </cell>
          <cell r="Q763" t="str">
            <v>CF</v>
          </cell>
          <cell r="R763" t="str">
            <v>P79</v>
          </cell>
          <cell r="S763" t="str">
            <v>ZZ</v>
          </cell>
          <cell r="T763">
            <v>11</v>
          </cell>
          <cell r="U763" t="str">
            <v>14426522420CFP79ZZ11</v>
          </cell>
          <cell r="V763">
            <v>756</v>
          </cell>
          <cell r="W763" t="str">
            <v>BLOEM: N/STAD-UPG 132/11KV 20MVA FIRM DC</v>
          </cell>
          <cell r="X763">
            <v>13000000</v>
          </cell>
          <cell r="Y763">
            <v>0</v>
          </cell>
          <cell r="Z763">
            <v>0</v>
          </cell>
          <cell r="AA763">
            <v>-8000000</v>
          </cell>
          <cell r="AB763">
            <v>5000000</v>
          </cell>
          <cell r="AC763">
            <v>10000000</v>
          </cell>
        </row>
        <row r="764">
          <cell r="F764" t="str">
            <v>INFRA CATALYST PROJECTS</v>
          </cell>
          <cell r="G764" t="str">
            <v>652242P81</v>
          </cell>
          <cell r="H764" t="str">
            <v>652242P81</v>
          </cell>
          <cell r="I764"/>
          <cell r="J764"/>
          <cell r="K764" t="str">
            <v>14</v>
          </cell>
          <cell r="L764" t="str">
            <v>42</v>
          </cell>
          <cell r="M764" t="str">
            <v>6</v>
          </cell>
          <cell r="N764" t="str">
            <v>52</v>
          </cell>
          <cell r="O764" t="str">
            <v>242</v>
          </cell>
          <cell r="P764" t="str">
            <v>0</v>
          </cell>
          <cell r="Q764" t="str">
            <v>CF</v>
          </cell>
          <cell r="R764" t="str">
            <v>P81</v>
          </cell>
          <cell r="S764" t="str">
            <v>ZZ</v>
          </cell>
          <cell r="T764">
            <v>11</v>
          </cell>
          <cell r="U764" t="str">
            <v>14426522420CFP81ZZ11</v>
          </cell>
          <cell r="V764">
            <v>757</v>
          </cell>
          <cell r="W764" t="str">
            <v>INFRA CATALYST PROJECTS</v>
          </cell>
          <cell r="X764">
            <v>8000000</v>
          </cell>
          <cell r="Y764">
            <v>3706019.38</v>
          </cell>
          <cell r="Z764">
            <v>4447223.2559999991</v>
          </cell>
          <cell r="AA764"/>
          <cell r="AB764">
            <v>8000000</v>
          </cell>
          <cell r="AC764">
            <v>8000000</v>
          </cell>
        </row>
        <row r="765">
          <cell r="F765" t="str">
            <v>UPGRADING AND EXTENTION OF LV NETWORK</v>
          </cell>
          <cell r="G765">
            <v>0</v>
          </cell>
          <cell r="H765">
            <v>0</v>
          </cell>
          <cell r="I765"/>
          <cell r="J765"/>
          <cell r="K765" t="str">
            <v>14</v>
          </cell>
          <cell r="L765" t="str">
            <v>42</v>
          </cell>
          <cell r="M765" t="str">
            <v>6</v>
          </cell>
          <cell r="N765" t="str">
            <v>52</v>
          </cell>
          <cell r="O765" t="str">
            <v>302</v>
          </cell>
          <cell r="P765" t="str">
            <v>0</v>
          </cell>
          <cell r="Q765">
            <v>81</v>
          </cell>
          <cell r="R765" t="str">
            <v>P26</v>
          </cell>
          <cell r="S765" t="str">
            <v>ZZ</v>
          </cell>
          <cell r="T765">
            <v>11</v>
          </cell>
          <cell r="U765" t="str">
            <v>1442652302081P26ZZ11</v>
          </cell>
          <cell r="V765">
            <v>758</v>
          </cell>
          <cell r="W765" t="str">
            <v>UPGRADING AND EXTENTION OF LV NETWORK</v>
          </cell>
          <cell r="X765">
            <v>0</v>
          </cell>
          <cell r="Y765">
            <v>0</v>
          </cell>
          <cell r="Z765">
            <v>0</v>
          </cell>
          <cell r="AA765"/>
          <cell r="AB765">
            <v>0</v>
          </cell>
          <cell r="AC765">
            <v>0</v>
          </cell>
        </row>
        <row r="766">
          <cell r="F766" t="str">
            <v>PUBLIC ELECTRICITY CONNECTIONS</v>
          </cell>
          <cell r="G766" t="str">
            <v>P125940</v>
          </cell>
          <cell r="H766" t="str">
            <v>P652302P28</v>
          </cell>
          <cell r="I766"/>
          <cell r="J766"/>
          <cell r="K766" t="str">
            <v>14</v>
          </cell>
          <cell r="L766" t="str">
            <v>42</v>
          </cell>
          <cell r="M766" t="str">
            <v>6</v>
          </cell>
          <cell r="N766" t="str">
            <v>52</v>
          </cell>
          <cell r="O766" t="str">
            <v>302</v>
          </cell>
          <cell r="P766" t="str">
            <v>0</v>
          </cell>
          <cell r="Q766">
            <v>95</v>
          </cell>
          <cell r="R766" t="str">
            <v>P28</v>
          </cell>
          <cell r="S766" t="str">
            <v>ZZ</v>
          </cell>
          <cell r="T766">
            <v>11</v>
          </cell>
          <cell r="U766" t="str">
            <v>1442652302095P28ZZ11</v>
          </cell>
          <cell r="V766">
            <v>759</v>
          </cell>
          <cell r="W766" t="str">
            <v>PUBLIC ELECTRICITY CONNECTIONS</v>
          </cell>
          <cell r="X766">
            <v>13000000</v>
          </cell>
          <cell r="Y766">
            <v>9706853.3699999992</v>
          </cell>
          <cell r="Z766">
            <v>11648224.044</v>
          </cell>
          <cell r="AA766"/>
          <cell r="AB766">
            <v>13000000</v>
          </cell>
          <cell r="AC766">
            <v>14300000</v>
          </cell>
        </row>
        <row r="767">
          <cell r="F767" t="str">
            <v>PUBLIC ELECTRICITY CONNECTIONS</v>
          </cell>
          <cell r="G767" t="str">
            <v>P652302P28</v>
          </cell>
          <cell r="H767" t="str">
            <v>P652302P28</v>
          </cell>
          <cell r="I767"/>
          <cell r="J767"/>
          <cell r="K767" t="str">
            <v>14</v>
          </cell>
          <cell r="L767" t="str">
            <v>42</v>
          </cell>
          <cell r="M767" t="str">
            <v>6</v>
          </cell>
          <cell r="N767" t="str">
            <v>52</v>
          </cell>
          <cell r="O767" t="str">
            <v>302</v>
          </cell>
          <cell r="P767" t="str">
            <v>0</v>
          </cell>
          <cell r="Q767">
            <v>95</v>
          </cell>
          <cell r="R767" t="str">
            <v>P28</v>
          </cell>
          <cell r="S767" t="str">
            <v>ZZ</v>
          </cell>
          <cell r="T767">
            <v>40</v>
          </cell>
          <cell r="U767" t="str">
            <v>1442652302095P28ZZ40</v>
          </cell>
          <cell r="V767">
            <v>760</v>
          </cell>
          <cell r="W767" t="str">
            <v>PUBLIC ELECTRICITY CONNECTIONS</v>
          </cell>
          <cell r="X767">
            <v>0</v>
          </cell>
          <cell r="Y767">
            <v>0</v>
          </cell>
          <cell r="Z767">
            <v>0</v>
          </cell>
          <cell r="AA767"/>
          <cell r="AB767">
            <v>0</v>
          </cell>
          <cell r="AC767">
            <v>0</v>
          </cell>
        </row>
        <row r="768">
          <cell r="F768" t="str">
            <v>UPGRADING AND EXTENTION OF LV NETWORK</v>
          </cell>
          <cell r="G768" t="str">
            <v>P652302P26</v>
          </cell>
          <cell r="H768" t="str">
            <v>P652302P26</v>
          </cell>
          <cell r="I768"/>
          <cell r="J768"/>
          <cell r="K768" t="str">
            <v>14</v>
          </cell>
          <cell r="L768" t="str">
            <v>42</v>
          </cell>
          <cell r="M768" t="str">
            <v>6</v>
          </cell>
          <cell r="N768" t="str">
            <v>52</v>
          </cell>
          <cell r="O768" t="str">
            <v>302</v>
          </cell>
          <cell r="P768" t="str">
            <v>0</v>
          </cell>
          <cell r="Q768" t="str">
            <v>CF</v>
          </cell>
          <cell r="R768" t="str">
            <v>P26</v>
          </cell>
          <cell r="S768" t="str">
            <v>ZZ</v>
          </cell>
          <cell r="T768">
            <v>11</v>
          </cell>
          <cell r="U768" t="str">
            <v>14426523020CFP26ZZ11</v>
          </cell>
          <cell r="V768">
            <v>761</v>
          </cell>
          <cell r="W768" t="str">
            <v>UPGRADING AND EXTENTION OF LV NETWORK</v>
          </cell>
          <cell r="X768">
            <v>3000000</v>
          </cell>
          <cell r="Y768">
            <v>488936.44</v>
          </cell>
          <cell r="Z768">
            <v>586723.728</v>
          </cell>
          <cell r="AA768"/>
          <cell r="AB768">
            <v>3000000</v>
          </cell>
          <cell r="AC768">
            <v>3000000</v>
          </cell>
        </row>
        <row r="769">
          <cell r="F769" t="str">
            <v>SERVITUDES  LAND (INCL INVEST REMUNE REG</v>
          </cell>
          <cell r="G769" t="str">
            <v>P652302P29</v>
          </cell>
          <cell r="H769" t="str">
            <v>P652302P29</v>
          </cell>
          <cell r="I769"/>
          <cell r="J769"/>
          <cell r="K769" t="str">
            <v>14</v>
          </cell>
          <cell r="L769" t="str">
            <v>42</v>
          </cell>
          <cell r="M769" t="str">
            <v>6</v>
          </cell>
          <cell r="N769" t="str">
            <v>52</v>
          </cell>
          <cell r="O769" t="str">
            <v>302</v>
          </cell>
          <cell r="P769" t="str">
            <v>0</v>
          </cell>
          <cell r="Q769" t="str">
            <v>CF</v>
          </cell>
          <cell r="R769" t="str">
            <v>P29</v>
          </cell>
          <cell r="S769" t="str">
            <v>ZZ</v>
          </cell>
          <cell r="T769">
            <v>11</v>
          </cell>
          <cell r="U769" t="str">
            <v>14426523020CFP29ZZ11</v>
          </cell>
          <cell r="V769">
            <v>762</v>
          </cell>
          <cell r="W769" t="str">
            <v>SERVITUDES  LAND (INCL INVEST REMUNE REG</v>
          </cell>
          <cell r="X769">
            <v>600000</v>
          </cell>
          <cell r="Y769">
            <v>0</v>
          </cell>
          <cell r="Z769">
            <v>0</v>
          </cell>
          <cell r="AA769"/>
          <cell r="AB769">
            <v>600000</v>
          </cell>
          <cell r="AC769">
            <v>600000</v>
          </cell>
        </row>
        <row r="770">
          <cell r="F770" t="str">
            <v>INSTALLATION OF PUBLIC LIGHTING</v>
          </cell>
          <cell r="G770" t="str">
            <v>P652302P35</v>
          </cell>
          <cell r="H770" t="str">
            <v>P652302P35</v>
          </cell>
          <cell r="I770"/>
          <cell r="J770"/>
          <cell r="K770" t="str">
            <v>14</v>
          </cell>
          <cell r="L770" t="str">
            <v>42</v>
          </cell>
          <cell r="M770" t="str">
            <v>6</v>
          </cell>
          <cell r="N770" t="str">
            <v>52</v>
          </cell>
          <cell r="O770" t="str">
            <v>302</v>
          </cell>
          <cell r="P770" t="str">
            <v>0</v>
          </cell>
          <cell r="Q770" t="str">
            <v>CF</v>
          </cell>
          <cell r="R770" t="str">
            <v>P35</v>
          </cell>
          <cell r="S770" t="str">
            <v>ZZ</v>
          </cell>
          <cell r="T770">
            <v>11</v>
          </cell>
          <cell r="U770" t="str">
            <v>14426523020CFP35ZZ11</v>
          </cell>
          <cell r="V770">
            <v>763</v>
          </cell>
          <cell r="W770" t="str">
            <v>INSTALLATION OF PUBLIC LIGHTING</v>
          </cell>
          <cell r="X770">
            <v>8000000</v>
          </cell>
          <cell r="Y770">
            <v>1685.9</v>
          </cell>
          <cell r="Z770">
            <v>2023.08</v>
          </cell>
          <cell r="AA770"/>
          <cell r="AB770">
            <v>8000000</v>
          </cell>
          <cell r="AC770">
            <v>8000000</v>
          </cell>
        </row>
        <row r="771">
          <cell r="F771" t="str">
            <v>INSTALL PREPAID METERS (INDIGENT)</v>
          </cell>
          <cell r="G771" t="str">
            <v>P652302P72</v>
          </cell>
          <cell r="H771" t="str">
            <v>P652302P72</v>
          </cell>
          <cell r="I771"/>
          <cell r="J771"/>
          <cell r="K771" t="str">
            <v>14</v>
          </cell>
          <cell r="L771" t="str">
            <v>42</v>
          </cell>
          <cell r="M771" t="str">
            <v>6</v>
          </cell>
          <cell r="N771" t="str">
            <v>52</v>
          </cell>
          <cell r="O771" t="str">
            <v>302</v>
          </cell>
          <cell r="P771" t="str">
            <v>0</v>
          </cell>
          <cell r="Q771" t="str">
            <v>CF</v>
          </cell>
          <cell r="R771" t="str">
            <v>P72</v>
          </cell>
          <cell r="S771" t="str">
            <v>ZZ</v>
          </cell>
          <cell r="T771">
            <v>11</v>
          </cell>
          <cell r="U771" t="str">
            <v>14426523020CFP72ZZ11</v>
          </cell>
          <cell r="V771">
            <v>764</v>
          </cell>
          <cell r="W771" t="str">
            <v>INSTALL PREPAID METERS (INDIGENT)</v>
          </cell>
          <cell r="X771">
            <v>100000</v>
          </cell>
          <cell r="Y771">
            <v>100523.22</v>
          </cell>
          <cell r="Z771">
            <v>120627.864</v>
          </cell>
          <cell r="AA771">
            <v>200000</v>
          </cell>
          <cell r="AB771">
            <v>300000</v>
          </cell>
          <cell r="AC771">
            <v>500000</v>
          </cell>
        </row>
        <row r="772">
          <cell r="F772" t="str">
            <v>MS: SAL &amp; ALL: BASIC SALARY &amp; WAGES</v>
          </cell>
          <cell r="G772" t="str">
            <v>P211001</v>
          </cell>
          <cell r="H772" t="str">
            <v>P211001</v>
          </cell>
          <cell r="I772" t="str">
            <v>501443</v>
          </cell>
          <cell r="J772">
            <v>50</v>
          </cell>
          <cell r="K772" t="str">
            <v>14</v>
          </cell>
          <cell r="L772" t="str">
            <v>43</v>
          </cell>
          <cell r="M772" t="str">
            <v>2</v>
          </cell>
          <cell r="N772" t="str">
            <v>11</v>
          </cell>
          <cell r="O772" t="str">
            <v>001</v>
          </cell>
          <cell r="P772" t="str">
            <v>0</v>
          </cell>
          <cell r="Q772">
            <v>18</v>
          </cell>
          <cell r="R772" t="str">
            <v>MRC</v>
          </cell>
          <cell r="S772" t="str">
            <v>ZZ</v>
          </cell>
          <cell r="T772">
            <v>11</v>
          </cell>
          <cell r="U772" t="str">
            <v>1443211001018MRCZZ11</v>
          </cell>
          <cell r="V772">
            <v>765</v>
          </cell>
          <cell r="W772" t="str">
            <v>MS: SAL &amp; ALL: BASIC SALARY &amp; WAGES</v>
          </cell>
          <cell r="X772">
            <v>43592467</v>
          </cell>
          <cell r="Y772">
            <v>2658766.21</v>
          </cell>
          <cell r="Z772">
            <v>3190519.4519999996</v>
          </cell>
          <cell r="AA772"/>
          <cell r="AB772">
            <v>43592467</v>
          </cell>
          <cell r="AC772">
            <v>51957513.440000005</v>
          </cell>
        </row>
        <row r="773">
          <cell r="F773" t="str">
            <v>MS: SAL &amp; ALL: BASIC SALARY &amp; WAGES</v>
          </cell>
          <cell r="G773" t="str">
            <v>P211001</v>
          </cell>
          <cell r="H773" t="str">
            <v>P211001</v>
          </cell>
          <cell r="I773"/>
          <cell r="J773"/>
          <cell r="K773" t="str">
            <v>14</v>
          </cell>
          <cell r="L773" t="str">
            <v>43</v>
          </cell>
          <cell r="M773" t="str">
            <v>2</v>
          </cell>
          <cell r="N773" t="str">
            <v>11</v>
          </cell>
          <cell r="O773" t="str">
            <v>001</v>
          </cell>
          <cell r="P773" t="str">
            <v>0</v>
          </cell>
          <cell r="Q773">
            <v>18</v>
          </cell>
          <cell r="R773" t="str">
            <v>P20</v>
          </cell>
          <cell r="S773" t="str">
            <v>ZZ</v>
          </cell>
          <cell r="T773">
            <v>11</v>
          </cell>
          <cell r="U773" t="str">
            <v>1443211001018P20ZZ11</v>
          </cell>
          <cell r="V773">
            <v>766</v>
          </cell>
          <cell r="W773" t="str">
            <v>MS: SAL &amp; ALL: BASIC SALARY &amp; WAGES</v>
          </cell>
          <cell r="X773">
            <v>0</v>
          </cell>
          <cell r="Y773">
            <v>46594922.460000001</v>
          </cell>
          <cell r="Z773">
            <v>55913906.952000007</v>
          </cell>
          <cell r="AA773"/>
          <cell r="AB773">
            <v>0</v>
          </cell>
          <cell r="AC773">
            <v>0</v>
          </cell>
        </row>
        <row r="774">
          <cell r="F774" t="str">
            <v>MS: ALL - CELLULAR &amp; TELEPHONE</v>
          </cell>
          <cell r="G774" t="str">
            <v>P211022</v>
          </cell>
          <cell r="H774" t="str">
            <v>P211022</v>
          </cell>
          <cell r="I774" t="str">
            <v>501443</v>
          </cell>
          <cell r="J774">
            <v>50</v>
          </cell>
          <cell r="K774" t="str">
            <v>14</v>
          </cell>
          <cell r="L774" t="str">
            <v>43</v>
          </cell>
          <cell r="M774" t="str">
            <v>2</v>
          </cell>
          <cell r="N774" t="str">
            <v>11</v>
          </cell>
          <cell r="O774" t="str">
            <v>022</v>
          </cell>
          <cell r="P774" t="str">
            <v>0</v>
          </cell>
          <cell r="Q774">
            <v>18</v>
          </cell>
          <cell r="R774" t="str">
            <v>MRC</v>
          </cell>
          <cell r="S774" t="str">
            <v>ZZ</v>
          </cell>
          <cell r="T774">
            <v>11</v>
          </cell>
          <cell r="U774" t="str">
            <v>1443211022018MRCZZ11</v>
          </cell>
          <cell r="V774">
            <v>767</v>
          </cell>
          <cell r="W774" t="str">
            <v>MS: ALL - CELLULAR &amp; TELEPHONE</v>
          </cell>
          <cell r="X774">
            <v>275504</v>
          </cell>
          <cell r="Y774">
            <v>11250</v>
          </cell>
          <cell r="Z774">
            <v>13500</v>
          </cell>
          <cell r="AA774"/>
          <cell r="AB774">
            <v>275504</v>
          </cell>
          <cell r="AC774">
            <v>216936</v>
          </cell>
        </row>
        <row r="775">
          <cell r="F775" t="str">
            <v>MS: ALL - CELLULAR &amp; TELEPHONE</v>
          </cell>
          <cell r="G775" t="str">
            <v>P211022</v>
          </cell>
          <cell r="H775" t="str">
            <v>P211022</v>
          </cell>
          <cell r="I775"/>
          <cell r="J775">
            <v>50</v>
          </cell>
          <cell r="K775" t="str">
            <v>14</v>
          </cell>
          <cell r="L775" t="str">
            <v>43</v>
          </cell>
          <cell r="M775" t="str">
            <v>2</v>
          </cell>
          <cell r="N775" t="str">
            <v>11</v>
          </cell>
          <cell r="O775" t="str">
            <v>022</v>
          </cell>
          <cell r="P775" t="str">
            <v>0</v>
          </cell>
          <cell r="Q775">
            <v>18</v>
          </cell>
          <cell r="R775" t="str">
            <v>P20</v>
          </cell>
          <cell r="S775" t="str">
            <v>ZZ</v>
          </cell>
          <cell r="T775">
            <v>11</v>
          </cell>
          <cell r="U775" t="str">
            <v>1443211022018P20ZZ11</v>
          </cell>
          <cell r="V775">
            <v>768</v>
          </cell>
          <cell r="W775" t="str">
            <v>MS: ALL - CELLULAR &amp; TELEPHONE</v>
          </cell>
          <cell r="X775">
            <v>0</v>
          </cell>
          <cell r="Y775">
            <v>208000</v>
          </cell>
          <cell r="Z775">
            <v>249600</v>
          </cell>
          <cell r="AA775"/>
          <cell r="AB775">
            <v>0</v>
          </cell>
          <cell r="AC775">
            <v>0</v>
          </cell>
        </row>
        <row r="776">
          <cell r="F776" t="str">
            <v>MS: HB &amp; INC: HOUSING BENEFITS</v>
          </cell>
          <cell r="G776" t="str">
            <v>P211026</v>
          </cell>
          <cell r="H776" t="str">
            <v>P211026</v>
          </cell>
          <cell r="I776" t="str">
            <v>501443</v>
          </cell>
          <cell r="J776">
            <v>50</v>
          </cell>
          <cell r="K776" t="str">
            <v>14</v>
          </cell>
          <cell r="L776" t="str">
            <v>43</v>
          </cell>
          <cell r="M776" t="str">
            <v>2</v>
          </cell>
          <cell r="N776" t="str">
            <v>11</v>
          </cell>
          <cell r="O776" t="str">
            <v>026</v>
          </cell>
          <cell r="P776" t="str">
            <v>0</v>
          </cell>
          <cell r="Q776">
            <v>18</v>
          </cell>
          <cell r="R776" t="str">
            <v>P20</v>
          </cell>
          <cell r="S776" t="str">
            <v>ZZ</v>
          </cell>
          <cell r="T776">
            <v>11</v>
          </cell>
          <cell r="U776" t="str">
            <v>1443211026018P20ZZ11</v>
          </cell>
          <cell r="V776">
            <v>769</v>
          </cell>
          <cell r="W776" t="str">
            <v>MS: HB &amp; INC: HOUSING BENEFITS</v>
          </cell>
          <cell r="X776">
            <v>458742</v>
          </cell>
          <cell r="Y776">
            <v>384839.49</v>
          </cell>
          <cell r="Z776">
            <v>461807.38800000004</v>
          </cell>
          <cell r="AA776"/>
          <cell r="AB776">
            <v>458742</v>
          </cell>
          <cell r="AC776">
            <v>2013526.5081600086</v>
          </cell>
        </row>
        <row r="777">
          <cell r="F777" t="str">
            <v>MS: ALL - LEAVE PAY</v>
          </cell>
          <cell r="G777" t="str">
            <v>P211032</v>
          </cell>
          <cell r="H777" t="str">
            <v>P211032</v>
          </cell>
          <cell r="I777" t="str">
            <v>501443</v>
          </cell>
          <cell r="J777">
            <v>50</v>
          </cell>
          <cell r="K777" t="str">
            <v>14</v>
          </cell>
          <cell r="L777" t="str">
            <v>43</v>
          </cell>
          <cell r="M777" t="str">
            <v>2</v>
          </cell>
          <cell r="N777" t="str">
            <v>11</v>
          </cell>
          <cell r="O777" t="str">
            <v>032</v>
          </cell>
          <cell r="P777" t="str">
            <v>0</v>
          </cell>
          <cell r="Q777">
            <v>18</v>
          </cell>
          <cell r="R777" t="str">
            <v>P20</v>
          </cell>
          <cell r="S777" t="str">
            <v>ZZ</v>
          </cell>
          <cell r="T777">
            <v>11</v>
          </cell>
          <cell r="U777" t="str">
            <v>1443211032018P20ZZ11</v>
          </cell>
          <cell r="V777">
            <v>770</v>
          </cell>
          <cell r="W777" t="str">
            <v>MS: ALL - LEAVE PAY</v>
          </cell>
          <cell r="X777">
            <v>0</v>
          </cell>
          <cell r="Y777">
            <v>0</v>
          </cell>
          <cell r="Z777">
            <v>0</v>
          </cell>
          <cell r="AA777"/>
          <cell r="AB777">
            <v>0</v>
          </cell>
          <cell r="AC777">
            <v>0</v>
          </cell>
        </row>
        <row r="778">
          <cell r="F778" t="str">
            <v>MS: ALL - TRAVEL OR MOTOR VEHICLE (SUBS</v>
          </cell>
          <cell r="G778" t="str">
            <v>P211034</v>
          </cell>
          <cell r="H778" t="str">
            <v>P211034</v>
          </cell>
          <cell r="I778" t="str">
            <v>501443</v>
          </cell>
          <cell r="J778">
            <v>50</v>
          </cell>
          <cell r="K778" t="str">
            <v>14</v>
          </cell>
          <cell r="L778" t="str">
            <v>43</v>
          </cell>
          <cell r="M778" t="str">
            <v>2</v>
          </cell>
          <cell r="N778" t="str">
            <v>11</v>
          </cell>
          <cell r="O778" t="str">
            <v>034</v>
          </cell>
          <cell r="P778" t="str">
            <v>1</v>
          </cell>
          <cell r="Q778">
            <v>18</v>
          </cell>
          <cell r="R778" t="str">
            <v>MRC</v>
          </cell>
          <cell r="S778" t="str">
            <v>ZZ</v>
          </cell>
          <cell r="T778">
            <v>11</v>
          </cell>
          <cell r="U778" t="str">
            <v>1443211034118MRCZZ11</v>
          </cell>
          <cell r="V778">
            <v>771</v>
          </cell>
          <cell r="W778" t="str">
            <v>MS: ALL - TRAVEL OR MOTOR VEHICLE (SUBS</v>
          </cell>
          <cell r="X778">
            <v>4037714</v>
          </cell>
          <cell r="Y778">
            <v>137153.04</v>
          </cell>
          <cell r="Z778">
            <v>164583.64799999999</v>
          </cell>
          <cell r="AA778"/>
          <cell r="AB778">
            <v>4037714</v>
          </cell>
          <cell r="AC778">
            <v>167809.42800000001</v>
          </cell>
        </row>
        <row r="779">
          <cell r="F779" t="str">
            <v>MS: ALL - TRAVEL OR MOTOR VEHICLE (SUBS</v>
          </cell>
          <cell r="G779" t="str">
            <v>P211034</v>
          </cell>
          <cell r="H779" t="str">
            <v>P211034</v>
          </cell>
          <cell r="I779"/>
          <cell r="J779">
            <v>50</v>
          </cell>
          <cell r="K779" t="str">
            <v>14</v>
          </cell>
          <cell r="L779" t="str">
            <v>43</v>
          </cell>
          <cell r="M779" t="str">
            <v>2</v>
          </cell>
          <cell r="N779" t="str">
            <v>11</v>
          </cell>
          <cell r="O779" t="str">
            <v>034</v>
          </cell>
          <cell r="P779" t="str">
            <v>1</v>
          </cell>
          <cell r="Q779">
            <v>18</v>
          </cell>
          <cell r="R779" t="str">
            <v>P20</v>
          </cell>
          <cell r="S779" t="str">
            <v>ZZ</v>
          </cell>
          <cell r="T779">
            <v>11</v>
          </cell>
          <cell r="U779" t="str">
            <v>1443211034118P20ZZ11</v>
          </cell>
          <cell r="V779">
            <v>772</v>
          </cell>
          <cell r="W779" t="str">
            <v>MS: ALL - TRAVEL OR MOTOR VEHICLE (SUBS</v>
          </cell>
          <cell r="X779">
            <v>0</v>
          </cell>
          <cell r="Y779">
            <v>2845557.98</v>
          </cell>
          <cell r="Z779">
            <v>3414669.5760000004</v>
          </cell>
          <cell r="AA779"/>
          <cell r="AB779">
            <v>0</v>
          </cell>
          <cell r="AC779">
            <v>0</v>
          </cell>
        </row>
        <row r="780">
          <cell r="F780" t="str">
            <v>MS: OVERTIME - STRUCTURED</v>
          </cell>
          <cell r="G780" t="str">
            <v>P211038</v>
          </cell>
          <cell r="H780" t="str">
            <v>P211038</v>
          </cell>
          <cell r="I780" t="str">
            <v>501443</v>
          </cell>
          <cell r="J780">
            <v>50</v>
          </cell>
          <cell r="K780" t="str">
            <v>14</v>
          </cell>
          <cell r="L780" t="str">
            <v>43</v>
          </cell>
          <cell r="M780" t="str">
            <v>2</v>
          </cell>
          <cell r="N780" t="str">
            <v>11</v>
          </cell>
          <cell r="O780" t="str">
            <v>038</v>
          </cell>
          <cell r="P780" t="str">
            <v>0</v>
          </cell>
          <cell r="Q780">
            <v>18</v>
          </cell>
          <cell r="R780" t="str">
            <v>MRC</v>
          </cell>
          <cell r="S780" t="str">
            <v>ZZ</v>
          </cell>
          <cell r="T780">
            <v>11</v>
          </cell>
          <cell r="U780" t="str">
            <v>1443211038018MRCZZ11</v>
          </cell>
          <cell r="V780">
            <v>773</v>
          </cell>
          <cell r="W780" t="str">
            <v>MS: OVERTIME - STRUCTURED</v>
          </cell>
          <cell r="X780">
            <v>11751807</v>
          </cell>
          <cell r="Y780">
            <v>578309.31999999995</v>
          </cell>
          <cell r="Z780">
            <v>693971.18399999989</v>
          </cell>
          <cell r="AA780"/>
          <cell r="AB780">
            <v>11751807</v>
          </cell>
          <cell r="AC780">
            <v>10576626.300000001</v>
          </cell>
        </row>
        <row r="781">
          <cell r="F781" t="str">
            <v>MS: OVERTIME - STRUCTURED</v>
          </cell>
          <cell r="G781" t="str">
            <v>P211038</v>
          </cell>
          <cell r="H781" t="str">
            <v>P211038</v>
          </cell>
          <cell r="I781" t="str">
            <v>501443</v>
          </cell>
          <cell r="J781">
            <v>50</v>
          </cell>
          <cell r="K781" t="str">
            <v>14</v>
          </cell>
          <cell r="L781" t="str">
            <v>43</v>
          </cell>
          <cell r="M781" t="str">
            <v>2</v>
          </cell>
          <cell r="N781" t="str">
            <v>11</v>
          </cell>
          <cell r="O781" t="str">
            <v>038</v>
          </cell>
          <cell r="P781" t="str">
            <v>0</v>
          </cell>
          <cell r="Q781">
            <v>18</v>
          </cell>
          <cell r="R781" t="str">
            <v>P20</v>
          </cell>
          <cell r="S781" t="str">
            <v>ZZ</v>
          </cell>
          <cell r="T781">
            <v>11</v>
          </cell>
          <cell r="U781" t="str">
            <v>1443211038018P20ZZ11</v>
          </cell>
          <cell r="V781">
            <v>774</v>
          </cell>
          <cell r="W781" t="str">
            <v>MS: OVERTIME - STRUCTURED</v>
          </cell>
          <cell r="X781">
            <v>0</v>
          </cell>
          <cell r="Y781">
            <v>10215282.41</v>
          </cell>
          <cell r="Z781">
            <v>12258338.892000001</v>
          </cell>
          <cell r="AA781"/>
          <cell r="AB781">
            <v>0</v>
          </cell>
          <cell r="AC781">
            <v>0</v>
          </cell>
        </row>
        <row r="782">
          <cell r="F782" t="str">
            <v>MS: PAYMENTS - SHIFT ADD REMUNERATION</v>
          </cell>
          <cell r="G782" t="str">
            <v>P211040</v>
          </cell>
          <cell r="H782" t="str">
            <v>P211040</v>
          </cell>
          <cell r="I782" t="str">
            <v>501443</v>
          </cell>
          <cell r="J782">
            <v>50</v>
          </cell>
          <cell r="K782" t="str">
            <v>14</v>
          </cell>
          <cell r="L782" t="str">
            <v>43</v>
          </cell>
          <cell r="M782" t="str">
            <v>2</v>
          </cell>
          <cell r="N782" t="str">
            <v>11</v>
          </cell>
          <cell r="O782" t="str">
            <v>040</v>
          </cell>
          <cell r="P782" t="str">
            <v>0</v>
          </cell>
          <cell r="Q782">
            <v>18</v>
          </cell>
          <cell r="R782" t="str">
            <v>MRC</v>
          </cell>
          <cell r="S782" t="str">
            <v>ZZ</v>
          </cell>
          <cell r="T782">
            <v>11</v>
          </cell>
          <cell r="U782" t="str">
            <v>1443211040018MRCZZ11</v>
          </cell>
          <cell r="V782">
            <v>775</v>
          </cell>
          <cell r="W782" t="str">
            <v>MS: PAYMENTS - SHIFT ADD REMUNERATION</v>
          </cell>
          <cell r="X782">
            <v>990707</v>
          </cell>
          <cell r="Y782">
            <v>13969.67</v>
          </cell>
          <cell r="Z782">
            <v>16763.603999999999</v>
          </cell>
          <cell r="AA782"/>
          <cell r="AB782">
            <v>990707</v>
          </cell>
          <cell r="AC782">
            <v>743030.25</v>
          </cell>
        </row>
        <row r="783">
          <cell r="F783" t="str">
            <v>MS: PAYMENTS - SHIFT ADD REMUNERATION</v>
          </cell>
          <cell r="G783" t="str">
            <v>P211040</v>
          </cell>
          <cell r="H783" t="str">
            <v>P211040</v>
          </cell>
          <cell r="I783" t="str">
            <v>501443</v>
          </cell>
          <cell r="J783">
            <v>50</v>
          </cell>
          <cell r="K783" t="str">
            <v>14</v>
          </cell>
          <cell r="L783" t="str">
            <v>43</v>
          </cell>
          <cell r="M783" t="str">
            <v>2</v>
          </cell>
          <cell r="N783" t="str">
            <v>11</v>
          </cell>
          <cell r="O783" t="str">
            <v>040</v>
          </cell>
          <cell r="P783" t="str">
            <v>0</v>
          </cell>
          <cell r="Q783">
            <v>18</v>
          </cell>
          <cell r="R783" t="str">
            <v>P20</v>
          </cell>
          <cell r="S783" t="str">
            <v>ZZ</v>
          </cell>
          <cell r="T783">
            <v>11</v>
          </cell>
          <cell r="U783" t="str">
            <v>1443211040018P20ZZ11</v>
          </cell>
          <cell r="V783">
            <v>776</v>
          </cell>
          <cell r="W783" t="str">
            <v>MS: PAYMENTS - SHIFT ADD REMUNERATION</v>
          </cell>
          <cell r="X783">
            <v>0</v>
          </cell>
          <cell r="Y783">
            <v>1070507.78</v>
          </cell>
          <cell r="Z783">
            <v>1284609.3360000001</v>
          </cell>
          <cell r="AA783"/>
          <cell r="AB783">
            <v>0</v>
          </cell>
          <cell r="AC783">
            <v>0</v>
          </cell>
        </row>
        <row r="784">
          <cell r="F784" t="str">
            <v>MS: OVERTIME - NIGHT SHIFT</v>
          </cell>
          <cell r="G784" t="str">
            <v>P211042</v>
          </cell>
          <cell r="H784" t="str">
            <v>P211042</v>
          </cell>
          <cell r="I784" t="str">
            <v>501443</v>
          </cell>
          <cell r="J784">
            <v>50</v>
          </cell>
          <cell r="K784" t="str">
            <v>14</v>
          </cell>
          <cell r="L784" t="str">
            <v>43</v>
          </cell>
          <cell r="M784" t="str">
            <v>2</v>
          </cell>
          <cell r="N784" t="str">
            <v>11</v>
          </cell>
          <cell r="O784" t="str">
            <v>042</v>
          </cell>
          <cell r="P784" t="str">
            <v>0</v>
          </cell>
          <cell r="Q784">
            <v>18</v>
          </cell>
          <cell r="R784" t="str">
            <v>MRC</v>
          </cell>
          <cell r="S784" t="str">
            <v>ZZ</v>
          </cell>
          <cell r="T784">
            <v>11</v>
          </cell>
          <cell r="U784" t="str">
            <v>1443211042018MRCZZ11</v>
          </cell>
          <cell r="V784">
            <v>777</v>
          </cell>
          <cell r="W784" t="str">
            <v>MS: OVERTIME - NIGHT SHIFT</v>
          </cell>
          <cell r="X784">
            <v>763487</v>
          </cell>
          <cell r="Y784">
            <v>29016.51</v>
          </cell>
          <cell r="Z784">
            <v>34819.811999999998</v>
          </cell>
          <cell r="AA784"/>
          <cell r="AB784">
            <v>763487</v>
          </cell>
          <cell r="AC784">
            <v>687138.3</v>
          </cell>
        </row>
        <row r="785">
          <cell r="F785" t="str">
            <v>MS: OVERTIME - NIGHT SHIFT</v>
          </cell>
          <cell r="G785" t="str">
            <v>P211042</v>
          </cell>
          <cell r="H785" t="str">
            <v>P211042</v>
          </cell>
          <cell r="I785" t="str">
            <v>501443</v>
          </cell>
          <cell r="J785">
            <v>50</v>
          </cell>
          <cell r="K785" t="str">
            <v>14</v>
          </cell>
          <cell r="L785" t="str">
            <v>43</v>
          </cell>
          <cell r="M785" t="str">
            <v>2</v>
          </cell>
          <cell r="N785" t="str">
            <v>11</v>
          </cell>
          <cell r="O785" t="str">
            <v>042</v>
          </cell>
          <cell r="P785" t="str">
            <v>0</v>
          </cell>
          <cell r="Q785">
            <v>18</v>
          </cell>
          <cell r="R785" t="str">
            <v>P20</v>
          </cell>
          <cell r="S785" t="str">
            <v>ZZ</v>
          </cell>
          <cell r="T785">
            <v>11</v>
          </cell>
          <cell r="U785" t="str">
            <v>1443211042018P20ZZ11</v>
          </cell>
          <cell r="V785">
            <v>778</v>
          </cell>
          <cell r="W785" t="str">
            <v>MS: OVERTIME - NIGHT SHIFT</v>
          </cell>
          <cell r="X785">
            <v>0</v>
          </cell>
          <cell r="Y785">
            <v>632586.31999999995</v>
          </cell>
          <cell r="Z785">
            <v>759103.58400000003</v>
          </cell>
          <cell r="AA785"/>
          <cell r="AB785">
            <v>0</v>
          </cell>
          <cell r="AC785">
            <v>0</v>
          </cell>
        </row>
        <row r="786">
          <cell r="F786" t="str">
            <v>MS: SRB - ACTING ALLOWANCE</v>
          </cell>
          <cell r="G786" t="str">
            <v>P211044</v>
          </cell>
          <cell r="H786" t="str">
            <v>P211044</v>
          </cell>
          <cell r="I786" t="str">
            <v>501443</v>
          </cell>
          <cell r="J786">
            <v>50</v>
          </cell>
          <cell r="K786" t="str">
            <v>14</v>
          </cell>
          <cell r="L786" t="str">
            <v>43</v>
          </cell>
          <cell r="M786" t="str">
            <v>2</v>
          </cell>
          <cell r="N786" t="str">
            <v>11</v>
          </cell>
          <cell r="O786" t="str">
            <v>044</v>
          </cell>
          <cell r="P786" t="str">
            <v>0</v>
          </cell>
          <cell r="Q786">
            <v>18</v>
          </cell>
          <cell r="R786" t="str">
            <v>P20</v>
          </cell>
          <cell r="S786" t="str">
            <v>ZZ</v>
          </cell>
          <cell r="T786">
            <v>11</v>
          </cell>
          <cell r="U786" t="str">
            <v>1443211044018P20ZZ11</v>
          </cell>
          <cell r="V786">
            <v>779</v>
          </cell>
          <cell r="W786" t="str">
            <v>MS: SRB - ACTING ALLOWANCE</v>
          </cell>
          <cell r="X786">
            <v>0</v>
          </cell>
          <cell r="Y786">
            <v>145872.79999999999</v>
          </cell>
          <cell r="Z786">
            <v>175047.36</v>
          </cell>
          <cell r="AA786"/>
          <cell r="AB786">
            <v>0</v>
          </cell>
          <cell r="AC786">
            <v>0</v>
          </cell>
        </row>
        <row r="787">
          <cell r="F787" t="str">
            <v>MS: SRB - ANNUAL BONUS</v>
          </cell>
          <cell r="G787" t="str">
            <v>P211046</v>
          </cell>
          <cell r="H787" t="str">
            <v>P211046</v>
          </cell>
          <cell r="I787" t="str">
            <v>501443</v>
          </cell>
          <cell r="J787">
            <v>50</v>
          </cell>
          <cell r="K787" t="str">
            <v>14</v>
          </cell>
          <cell r="L787" t="str">
            <v>43</v>
          </cell>
          <cell r="M787" t="str">
            <v>2</v>
          </cell>
          <cell r="N787" t="str">
            <v>11</v>
          </cell>
          <cell r="O787" t="str">
            <v>046</v>
          </cell>
          <cell r="P787" t="str">
            <v>0</v>
          </cell>
          <cell r="Q787">
            <v>18</v>
          </cell>
          <cell r="R787" t="str">
            <v>MRC</v>
          </cell>
          <cell r="S787" t="str">
            <v>ZZ</v>
          </cell>
          <cell r="T787">
            <v>11</v>
          </cell>
          <cell r="U787" t="str">
            <v>1443211046018MRCZZ11</v>
          </cell>
          <cell r="V787">
            <v>780</v>
          </cell>
          <cell r="W787" t="str">
            <v>MS: SRB - ANNUAL BONUS</v>
          </cell>
          <cell r="X787">
            <v>4796897</v>
          </cell>
          <cell r="Y787">
            <v>164246.98000000001</v>
          </cell>
          <cell r="Z787">
            <v>197096.37599999999</v>
          </cell>
          <cell r="AA787"/>
          <cell r="AB787">
            <v>4796897</v>
          </cell>
          <cell r="AC787">
            <v>4198608.6880000001</v>
          </cell>
        </row>
        <row r="788">
          <cell r="F788" t="str">
            <v>MS: SRB - ANNUAL BONUS</v>
          </cell>
          <cell r="G788" t="str">
            <v>P211046</v>
          </cell>
          <cell r="H788" t="str">
            <v>P211046</v>
          </cell>
          <cell r="I788"/>
          <cell r="J788">
            <v>50</v>
          </cell>
          <cell r="K788" t="str">
            <v>14</v>
          </cell>
          <cell r="L788" t="str">
            <v>43</v>
          </cell>
          <cell r="M788" t="str">
            <v>2</v>
          </cell>
          <cell r="N788" t="str">
            <v>11</v>
          </cell>
          <cell r="O788" t="str">
            <v>046</v>
          </cell>
          <cell r="P788" t="str">
            <v>0</v>
          </cell>
          <cell r="Q788">
            <v>18</v>
          </cell>
          <cell r="R788" t="str">
            <v>P20</v>
          </cell>
          <cell r="S788" t="str">
            <v>ZZ</v>
          </cell>
          <cell r="T788">
            <v>11</v>
          </cell>
          <cell r="U788" t="str">
            <v>1443211046018P20ZZ11</v>
          </cell>
          <cell r="V788">
            <v>781</v>
          </cell>
          <cell r="W788" t="str">
            <v>MS: SRB - ANNUAL BONUS</v>
          </cell>
          <cell r="X788">
            <v>0</v>
          </cell>
          <cell r="Y788">
            <v>3780223.09</v>
          </cell>
          <cell r="Z788">
            <v>4536267.7080000006</v>
          </cell>
          <cell r="AA788"/>
          <cell r="AB788">
            <v>0</v>
          </cell>
          <cell r="AC788">
            <v>0</v>
          </cell>
        </row>
        <row r="789">
          <cell r="F789" t="str">
            <v>MS: SRB - LONG SERVICE AWARD</v>
          </cell>
          <cell r="G789" t="str">
            <v>P211050</v>
          </cell>
          <cell r="H789" t="str">
            <v>P211050</v>
          </cell>
          <cell r="I789" t="str">
            <v>501443</v>
          </cell>
          <cell r="J789">
            <v>50</v>
          </cell>
          <cell r="K789" t="str">
            <v>14</v>
          </cell>
          <cell r="L789" t="str">
            <v>43</v>
          </cell>
          <cell r="M789" t="str">
            <v>2</v>
          </cell>
          <cell r="N789" t="str">
            <v>11</v>
          </cell>
          <cell r="O789" t="str">
            <v>050</v>
          </cell>
          <cell r="P789" t="str">
            <v>0</v>
          </cell>
          <cell r="Q789">
            <v>18</v>
          </cell>
          <cell r="R789" t="str">
            <v>P20</v>
          </cell>
          <cell r="S789" t="str">
            <v>ZZ</v>
          </cell>
          <cell r="T789">
            <v>11</v>
          </cell>
          <cell r="U789" t="str">
            <v>1443211050018P20ZZ11</v>
          </cell>
          <cell r="V789">
            <v>782</v>
          </cell>
          <cell r="W789" t="str">
            <v>MS: SRB - LONG SERVICE AWARD</v>
          </cell>
          <cell r="X789">
            <v>0</v>
          </cell>
          <cell r="Y789">
            <v>0</v>
          </cell>
          <cell r="Z789">
            <v>0</v>
          </cell>
          <cell r="AA789"/>
          <cell r="AB789">
            <v>0</v>
          </cell>
          <cell r="AC789">
            <v>0</v>
          </cell>
        </row>
        <row r="790">
          <cell r="F790" t="str">
            <v>MS: SRB - STANDBY ALLOWANCE</v>
          </cell>
          <cell r="G790" t="str">
            <v>P211056</v>
          </cell>
          <cell r="H790" t="str">
            <v>P211056</v>
          </cell>
          <cell r="I790" t="str">
            <v>501443</v>
          </cell>
          <cell r="J790">
            <v>50</v>
          </cell>
          <cell r="K790" t="str">
            <v>14</v>
          </cell>
          <cell r="L790" t="str">
            <v>43</v>
          </cell>
          <cell r="M790" t="str">
            <v>2</v>
          </cell>
          <cell r="N790" t="str">
            <v>11</v>
          </cell>
          <cell r="O790" t="str">
            <v>056</v>
          </cell>
          <cell r="P790" t="str">
            <v>0</v>
          </cell>
          <cell r="Q790">
            <v>18</v>
          </cell>
          <cell r="R790" t="str">
            <v>MRC</v>
          </cell>
          <cell r="S790" t="str">
            <v>ZZ</v>
          </cell>
          <cell r="T790">
            <v>11</v>
          </cell>
          <cell r="U790" t="str">
            <v>1443211056018MRCZZ11</v>
          </cell>
          <cell r="V790">
            <v>783</v>
          </cell>
          <cell r="W790" t="str">
            <v>MS: SRB - STANDBY ALLOWANCE</v>
          </cell>
          <cell r="X790">
            <v>3536611</v>
          </cell>
          <cell r="Y790">
            <v>164936.95000000001</v>
          </cell>
          <cell r="Z790">
            <v>197924.34</v>
          </cell>
          <cell r="AA790"/>
          <cell r="AB790">
            <v>3536611</v>
          </cell>
          <cell r="AC790">
            <v>3182949.9</v>
          </cell>
        </row>
        <row r="791">
          <cell r="F791" t="str">
            <v>MS: SRB - STANDBY ALLOWANCE</v>
          </cell>
          <cell r="G791" t="str">
            <v>P211056</v>
          </cell>
          <cell r="H791" t="str">
            <v>P211056</v>
          </cell>
          <cell r="I791" t="str">
            <v>501443</v>
          </cell>
          <cell r="J791">
            <v>50</v>
          </cell>
          <cell r="K791" t="str">
            <v>14</v>
          </cell>
          <cell r="L791" t="str">
            <v>43</v>
          </cell>
          <cell r="M791" t="str">
            <v>2</v>
          </cell>
          <cell r="N791" t="str">
            <v>11</v>
          </cell>
          <cell r="O791" t="str">
            <v>056</v>
          </cell>
          <cell r="P791" t="str">
            <v>0</v>
          </cell>
          <cell r="Q791">
            <v>18</v>
          </cell>
          <cell r="R791" t="str">
            <v>P20</v>
          </cell>
          <cell r="S791" t="str">
            <v>ZZ</v>
          </cell>
          <cell r="T791">
            <v>11</v>
          </cell>
          <cell r="U791" t="str">
            <v>1443211056018P20ZZ11</v>
          </cell>
          <cell r="V791">
            <v>784</v>
          </cell>
          <cell r="W791" t="str">
            <v>MS: SRB - STANDBY ALLOWANCE</v>
          </cell>
          <cell r="X791">
            <v>0</v>
          </cell>
          <cell r="Y791">
            <v>3027469.03</v>
          </cell>
          <cell r="Z791">
            <v>3632962.8360000001</v>
          </cell>
          <cell r="AA791"/>
          <cell r="AB791">
            <v>0</v>
          </cell>
          <cell r="AC791">
            <v>0</v>
          </cell>
        </row>
        <row r="792">
          <cell r="F792" t="str">
            <v>MS: SRB - UNIFORM/SPEC/PROTEC CLOTHING</v>
          </cell>
          <cell r="G792" t="str">
            <v>P211060</v>
          </cell>
          <cell r="H792" t="str">
            <v>P211060</v>
          </cell>
          <cell r="I792" t="str">
            <v>501443</v>
          </cell>
          <cell r="J792">
            <v>50</v>
          </cell>
          <cell r="K792" t="str">
            <v>14</v>
          </cell>
          <cell r="L792" t="str">
            <v>43</v>
          </cell>
          <cell r="M792" t="str">
            <v>2</v>
          </cell>
          <cell r="N792" t="str">
            <v>11</v>
          </cell>
          <cell r="O792" t="str">
            <v>060</v>
          </cell>
          <cell r="P792" t="str">
            <v>0</v>
          </cell>
          <cell r="Q792">
            <v>18</v>
          </cell>
          <cell r="R792" t="str">
            <v>P20</v>
          </cell>
          <cell r="S792" t="str">
            <v>ZZ</v>
          </cell>
          <cell r="T792">
            <v>11</v>
          </cell>
          <cell r="U792" t="str">
            <v>1443211060018P20ZZ11</v>
          </cell>
          <cell r="V792">
            <v>785</v>
          </cell>
          <cell r="W792" t="str">
            <v>MS: SRB - UNIFORM/SPEC/PROTEC CLOTHING</v>
          </cell>
          <cell r="X792">
            <v>677</v>
          </cell>
          <cell r="Y792">
            <v>603.24</v>
          </cell>
          <cell r="Z792">
            <v>723.88799999999992</v>
          </cell>
          <cell r="AA792"/>
          <cell r="AB792">
            <v>677</v>
          </cell>
          <cell r="AC792">
            <v>0</v>
          </cell>
        </row>
        <row r="793">
          <cell r="F793" t="str">
            <v>MS: SOC CONTR - BARGAINING COUNCIL</v>
          </cell>
          <cell r="G793" t="str">
            <v>P213001</v>
          </cell>
          <cell r="H793" t="str">
            <v>P213001</v>
          </cell>
          <cell r="I793" t="str">
            <v>501443</v>
          </cell>
          <cell r="J793">
            <v>50</v>
          </cell>
          <cell r="K793" t="str">
            <v>14</v>
          </cell>
          <cell r="L793" t="str">
            <v>43</v>
          </cell>
          <cell r="M793" t="str">
            <v>2</v>
          </cell>
          <cell r="N793" t="str">
            <v>13</v>
          </cell>
          <cell r="O793" t="str">
            <v>001</v>
          </cell>
          <cell r="P793" t="str">
            <v>0</v>
          </cell>
          <cell r="Q793">
            <v>18</v>
          </cell>
          <cell r="R793" t="str">
            <v>MRC</v>
          </cell>
          <cell r="S793" t="str">
            <v>ZZ</v>
          </cell>
          <cell r="T793">
            <v>11</v>
          </cell>
          <cell r="U793" t="str">
            <v>1443213001018MRCZZ11</v>
          </cell>
          <cell r="V793">
            <v>786</v>
          </cell>
          <cell r="W793" t="str">
            <v>MS: SOC CONTR - BARGAINING COUNCIL</v>
          </cell>
          <cell r="X793">
            <v>22037</v>
          </cell>
          <cell r="Y793">
            <v>844.6</v>
          </cell>
          <cell r="Z793">
            <v>1013.5200000000001</v>
          </cell>
          <cell r="AA793"/>
          <cell r="AB793">
            <v>22037</v>
          </cell>
          <cell r="AC793">
            <v>21502.444799999983</v>
          </cell>
        </row>
        <row r="794">
          <cell r="F794" t="str">
            <v>MS: SOC CONTR - BARGAINING COUNCIL</v>
          </cell>
          <cell r="G794" t="str">
            <v>P213001</v>
          </cell>
          <cell r="H794" t="str">
            <v>P213001</v>
          </cell>
          <cell r="I794"/>
          <cell r="J794">
            <v>50</v>
          </cell>
          <cell r="K794" t="str">
            <v>14</v>
          </cell>
          <cell r="L794" t="str">
            <v>43</v>
          </cell>
          <cell r="M794" t="str">
            <v>2</v>
          </cell>
          <cell r="N794" t="str">
            <v>13</v>
          </cell>
          <cell r="O794" t="str">
            <v>001</v>
          </cell>
          <cell r="P794" t="str">
            <v>0</v>
          </cell>
          <cell r="Q794">
            <v>18</v>
          </cell>
          <cell r="R794" t="str">
            <v>P20</v>
          </cell>
          <cell r="S794" t="str">
            <v>ZZ</v>
          </cell>
          <cell r="T794">
            <v>11</v>
          </cell>
          <cell r="U794" t="str">
            <v>1443213001018P20ZZ11</v>
          </cell>
          <cell r="V794">
            <v>787</v>
          </cell>
          <cell r="W794" t="str">
            <v>MS: SOC CONTR - BARGAINING COUNCIL</v>
          </cell>
          <cell r="X794">
            <v>0</v>
          </cell>
          <cell r="Y794">
            <v>18550.3</v>
          </cell>
          <cell r="Z794">
            <v>22260.36</v>
          </cell>
          <cell r="AA794"/>
          <cell r="AB794">
            <v>0</v>
          </cell>
          <cell r="AC794">
            <v>0</v>
          </cell>
        </row>
        <row r="795">
          <cell r="F795" t="str">
            <v>MS: SOC CONTR - GROUP LIFE INSURANCE</v>
          </cell>
          <cell r="G795" t="str">
            <v>P213010</v>
          </cell>
          <cell r="H795" t="str">
            <v>P213010</v>
          </cell>
          <cell r="I795" t="str">
            <v>501443</v>
          </cell>
          <cell r="J795">
            <v>50</v>
          </cell>
          <cell r="K795" t="str">
            <v>14</v>
          </cell>
          <cell r="L795" t="str">
            <v>43</v>
          </cell>
          <cell r="M795" t="str">
            <v>2</v>
          </cell>
          <cell r="N795" t="str">
            <v>13</v>
          </cell>
          <cell r="O795" t="str">
            <v>010</v>
          </cell>
          <cell r="P795" t="str">
            <v>0</v>
          </cell>
          <cell r="Q795">
            <v>18</v>
          </cell>
          <cell r="R795" t="str">
            <v>MRC</v>
          </cell>
          <cell r="S795" t="str">
            <v>ZZ</v>
          </cell>
          <cell r="T795">
            <v>11</v>
          </cell>
          <cell r="U795" t="str">
            <v>1443213010018MRCZZ11</v>
          </cell>
          <cell r="V795">
            <v>788</v>
          </cell>
          <cell r="W795" t="str">
            <v>MS: SOC CONTR - GROUP LIFE INSURANCE</v>
          </cell>
          <cell r="X795">
            <v>537316</v>
          </cell>
          <cell r="Y795">
            <v>19837.36</v>
          </cell>
          <cell r="Z795">
            <v>23804.832000000002</v>
          </cell>
          <cell r="AA795"/>
          <cell r="AB795">
            <v>537316</v>
          </cell>
          <cell r="AC795">
            <v>883277.72847999982</v>
          </cell>
        </row>
        <row r="796">
          <cell r="F796" t="str">
            <v>MS: SOC CONTR - GROUP LIFE INSURANCE</v>
          </cell>
          <cell r="G796" t="str">
            <v>P213010</v>
          </cell>
          <cell r="H796" t="str">
            <v>P213010</v>
          </cell>
          <cell r="I796"/>
          <cell r="J796">
            <v>50</v>
          </cell>
          <cell r="K796" t="str">
            <v>14</v>
          </cell>
          <cell r="L796" t="str">
            <v>43</v>
          </cell>
          <cell r="M796" t="str">
            <v>2</v>
          </cell>
          <cell r="N796" t="str">
            <v>13</v>
          </cell>
          <cell r="O796" t="str">
            <v>010</v>
          </cell>
          <cell r="P796" t="str">
            <v>0</v>
          </cell>
          <cell r="Q796">
            <v>18</v>
          </cell>
          <cell r="R796" t="str">
            <v>P20</v>
          </cell>
          <cell r="S796" t="str">
            <v>ZZ</v>
          </cell>
          <cell r="T796">
            <v>11</v>
          </cell>
          <cell r="U796" t="str">
            <v>1443213010018P20ZZ11</v>
          </cell>
          <cell r="V796">
            <v>789</v>
          </cell>
          <cell r="W796" t="str">
            <v>MS: SOC CONTR - GROUP LIFE INSURANCE</v>
          </cell>
          <cell r="X796">
            <v>0</v>
          </cell>
          <cell r="Y796">
            <v>458308.41</v>
          </cell>
          <cell r="Z796">
            <v>549970.09199999995</v>
          </cell>
          <cell r="AA796"/>
          <cell r="AB796">
            <v>0</v>
          </cell>
          <cell r="AC796">
            <v>0</v>
          </cell>
        </row>
        <row r="797">
          <cell r="F797" t="str">
            <v>MS: SOC CONTR - MEDICAL</v>
          </cell>
          <cell r="G797" t="str">
            <v>P213020</v>
          </cell>
          <cell r="H797" t="str">
            <v>P213020</v>
          </cell>
          <cell r="I797" t="str">
            <v>501443</v>
          </cell>
          <cell r="J797">
            <v>50</v>
          </cell>
          <cell r="K797" t="str">
            <v>14</v>
          </cell>
          <cell r="L797" t="str">
            <v>43</v>
          </cell>
          <cell r="M797" t="str">
            <v>2</v>
          </cell>
          <cell r="N797" t="str">
            <v>13</v>
          </cell>
          <cell r="O797" t="str">
            <v>020</v>
          </cell>
          <cell r="P797" t="str">
            <v>0</v>
          </cell>
          <cell r="Q797">
            <v>18</v>
          </cell>
          <cell r="R797" t="str">
            <v>MRC</v>
          </cell>
          <cell r="S797" t="str">
            <v>ZZ</v>
          </cell>
          <cell r="T797">
            <v>11</v>
          </cell>
          <cell r="U797" t="str">
            <v>1443213020018MRCZZ11</v>
          </cell>
          <cell r="V797">
            <v>790</v>
          </cell>
          <cell r="W797" t="str">
            <v>MS: SOC CONTR - MEDICAL</v>
          </cell>
          <cell r="X797">
            <v>5977983</v>
          </cell>
          <cell r="Y797">
            <v>265280.76</v>
          </cell>
          <cell r="Z797">
            <v>318336.91200000001</v>
          </cell>
          <cell r="AA797"/>
          <cell r="AB797">
            <v>5977983</v>
          </cell>
          <cell r="AC797">
            <v>10024468.439040016</v>
          </cell>
        </row>
        <row r="798">
          <cell r="F798" t="str">
            <v>MS: SOC CONTR - MEDICAL</v>
          </cell>
          <cell r="G798" t="str">
            <v>P213020</v>
          </cell>
          <cell r="H798" t="str">
            <v>P213020</v>
          </cell>
          <cell r="I798"/>
          <cell r="J798">
            <v>50</v>
          </cell>
          <cell r="K798" t="str">
            <v>14</v>
          </cell>
          <cell r="L798" t="str">
            <v>43</v>
          </cell>
          <cell r="M798" t="str">
            <v>2</v>
          </cell>
          <cell r="N798" t="str">
            <v>13</v>
          </cell>
          <cell r="O798" t="str">
            <v>020</v>
          </cell>
          <cell r="P798" t="str">
            <v>0</v>
          </cell>
          <cell r="Q798">
            <v>18</v>
          </cell>
          <cell r="R798" t="str">
            <v>P20</v>
          </cell>
          <cell r="S798" t="str">
            <v>ZZ</v>
          </cell>
          <cell r="T798">
            <v>11</v>
          </cell>
          <cell r="U798" t="str">
            <v>1443213020018P20ZZ11</v>
          </cell>
          <cell r="V798">
            <v>791</v>
          </cell>
          <cell r="W798" t="str">
            <v>MS: SOC CONTR - MEDICAL</v>
          </cell>
          <cell r="X798">
            <v>0</v>
          </cell>
          <cell r="Y798">
            <v>4999342.3899999997</v>
          </cell>
          <cell r="Z798">
            <v>5999210.8679999989</v>
          </cell>
          <cell r="AA798"/>
          <cell r="AB798">
            <v>0</v>
          </cell>
          <cell r="AC798">
            <v>0</v>
          </cell>
        </row>
        <row r="799">
          <cell r="F799" t="str">
            <v>MS: SOC CONTR - PENSION</v>
          </cell>
          <cell r="G799" t="str">
            <v>P213030</v>
          </cell>
          <cell r="H799" t="str">
            <v>P213030</v>
          </cell>
          <cell r="I799" t="str">
            <v>501443</v>
          </cell>
          <cell r="J799">
            <v>50</v>
          </cell>
          <cell r="K799" t="str">
            <v>14</v>
          </cell>
          <cell r="L799" t="str">
            <v>43</v>
          </cell>
          <cell r="M799" t="str">
            <v>2</v>
          </cell>
          <cell r="N799" t="str">
            <v>13</v>
          </cell>
          <cell r="O799" t="str">
            <v>030</v>
          </cell>
          <cell r="P799" t="str">
            <v>0</v>
          </cell>
          <cell r="Q799">
            <v>18</v>
          </cell>
          <cell r="R799" t="str">
            <v>MRC</v>
          </cell>
          <cell r="S799" t="str">
            <v>ZZ</v>
          </cell>
          <cell r="T799">
            <v>11</v>
          </cell>
          <cell r="U799" t="str">
            <v>1443213030018MRCZZ11</v>
          </cell>
          <cell r="V799">
            <v>792</v>
          </cell>
          <cell r="W799" t="str">
            <v>MS: SOC CONTR - PENSION</v>
          </cell>
          <cell r="X799">
            <v>9893068</v>
          </cell>
          <cell r="Y799">
            <v>389803.25</v>
          </cell>
          <cell r="Z799">
            <v>467763.89999999997</v>
          </cell>
          <cell r="AA799"/>
          <cell r="AB799">
            <v>9893068</v>
          </cell>
          <cell r="AC799">
            <v>9388722.6786080077</v>
          </cell>
        </row>
        <row r="800">
          <cell r="F800" t="str">
            <v>MS: SOC CONTR - PENSION</v>
          </cell>
          <cell r="G800" t="str">
            <v>P213030</v>
          </cell>
          <cell r="H800" t="str">
            <v>P213030</v>
          </cell>
          <cell r="I800"/>
          <cell r="J800">
            <v>50</v>
          </cell>
          <cell r="K800" t="str">
            <v>14</v>
          </cell>
          <cell r="L800" t="str">
            <v>43</v>
          </cell>
          <cell r="M800" t="str">
            <v>2</v>
          </cell>
          <cell r="N800" t="str">
            <v>13</v>
          </cell>
          <cell r="O800" t="str">
            <v>030</v>
          </cell>
          <cell r="P800" t="str">
            <v>0</v>
          </cell>
          <cell r="Q800">
            <v>18</v>
          </cell>
          <cell r="R800" t="str">
            <v>P20</v>
          </cell>
          <cell r="S800" t="str">
            <v>ZZ</v>
          </cell>
          <cell r="T800">
            <v>11</v>
          </cell>
          <cell r="U800" t="str">
            <v>1443213030018P20ZZ11</v>
          </cell>
          <cell r="V800">
            <v>793</v>
          </cell>
          <cell r="W800" t="str">
            <v>MS: SOC CONTR - PENSION</v>
          </cell>
          <cell r="X800">
            <v>0</v>
          </cell>
          <cell r="Y800">
            <v>8467406.4399999995</v>
          </cell>
          <cell r="Z800">
            <v>10160887.728</v>
          </cell>
          <cell r="AA800"/>
          <cell r="AB800">
            <v>0</v>
          </cell>
          <cell r="AC800">
            <v>0</v>
          </cell>
        </row>
        <row r="801">
          <cell r="F801" t="str">
            <v>MS: SOC CONTR - UNEMPLOYMENT INSUR FUND</v>
          </cell>
          <cell r="G801" t="str">
            <v>P213040</v>
          </cell>
          <cell r="H801" t="str">
            <v>P213040</v>
          </cell>
          <cell r="I801" t="str">
            <v>501443</v>
          </cell>
          <cell r="J801">
            <v>50</v>
          </cell>
          <cell r="K801" t="str">
            <v>14</v>
          </cell>
          <cell r="L801" t="str">
            <v>43</v>
          </cell>
          <cell r="M801" t="str">
            <v>2</v>
          </cell>
          <cell r="N801" t="str">
            <v>13</v>
          </cell>
          <cell r="O801" t="str">
            <v>040</v>
          </cell>
          <cell r="P801" t="str">
            <v>0</v>
          </cell>
          <cell r="Q801">
            <v>18</v>
          </cell>
          <cell r="R801" t="str">
            <v>MRC</v>
          </cell>
          <cell r="S801" t="str">
            <v>ZZ</v>
          </cell>
          <cell r="T801">
            <v>11</v>
          </cell>
          <cell r="U801" t="str">
            <v>1443213040018MRCZZ11</v>
          </cell>
          <cell r="V801">
            <v>794</v>
          </cell>
          <cell r="W801" t="str">
            <v>MS: SOC CONTR - UNEMPLOYMENT INSUR FUND</v>
          </cell>
          <cell r="X801">
            <v>335502</v>
          </cell>
          <cell r="Y801">
            <v>14440.18</v>
          </cell>
          <cell r="Z801">
            <v>17328.216</v>
          </cell>
          <cell r="AA801"/>
          <cell r="AB801">
            <v>335502</v>
          </cell>
          <cell r="AC801">
            <v>371986.00704000035</v>
          </cell>
        </row>
        <row r="802">
          <cell r="F802" t="str">
            <v>MS: SOC CONTR - UNEMPLOYMENT INSUR FUND</v>
          </cell>
          <cell r="G802" t="str">
            <v>P213040</v>
          </cell>
          <cell r="H802" t="str">
            <v>P213040</v>
          </cell>
          <cell r="I802"/>
          <cell r="J802">
            <v>50</v>
          </cell>
          <cell r="K802" t="str">
            <v>14</v>
          </cell>
          <cell r="L802" t="str">
            <v>43</v>
          </cell>
          <cell r="M802" t="str">
            <v>2</v>
          </cell>
          <cell r="N802" t="str">
            <v>13</v>
          </cell>
          <cell r="O802" t="str">
            <v>040</v>
          </cell>
          <cell r="P802" t="str">
            <v>0</v>
          </cell>
          <cell r="Q802">
            <v>18</v>
          </cell>
          <cell r="R802" t="str">
            <v>P20</v>
          </cell>
          <cell r="S802" t="str">
            <v>ZZ</v>
          </cell>
          <cell r="T802">
            <v>11</v>
          </cell>
          <cell r="U802" t="str">
            <v>1443213040018P20ZZ11</v>
          </cell>
          <cell r="V802">
            <v>795</v>
          </cell>
          <cell r="W802" t="str">
            <v>MS: SOC CONTR - UNEMPLOYMENT INSUR FUND</v>
          </cell>
          <cell r="X802">
            <v>0</v>
          </cell>
          <cell r="Y802">
            <v>315869.81</v>
          </cell>
          <cell r="Z802">
            <v>379043.772</v>
          </cell>
          <cell r="AA802"/>
          <cell r="AB802">
            <v>0</v>
          </cell>
          <cell r="AC802">
            <v>0</v>
          </cell>
        </row>
        <row r="803">
          <cell r="F803" t="str">
            <v>OS: CATERING SERVICES(REFRESHMENTS)</v>
          </cell>
          <cell r="G803" t="str">
            <v>P226060</v>
          </cell>
          <cell r="H803" t="str">
            <v>P226060</v>
          </cell>
          <cell r="I803"/>
          <cell r="J803"/>
          <cell r="K803" t="str">
            <v>14</v>
          </cell>
          <cell r="L803" t="str">
            <v>43</v>
          </cell>
          <cell r="M803" t="str">
            <v>2</v>
          </cell>
          <cell r="N803" t="str">
            <v>26</v>
          </cell>
          <cell r="O803" t="str">
            <v>060</v>
          </cell>
          <cell r="P803" t="str">
            <v>H</v>
          </cell>
          <cell r="Q803">
            <v>18</v>
          </cell>
          <cell r="R803" t="str">
            <v>MRC</v>
          </cell>
          <cell r="S803" t="str">
            <v>ZZ</v>
          </cell>
          <cell r="T803">
            <v>11</v>
          </cell>
          <cell r="U803" t="str">
            <v>1443226060H18MRCZZ11</v>
          </cell>
          <cell r="V803">
            <v>796</v>
          </cell>
          <cell r="W803" t="str">
            <v>OS: CATERING SERVICES(REFRESHMENTS)</v>
          </cell>
          <cell r="X803">
            <v>0</v>
          </cell>
          <cell r="Y803">
            <v>0</v>
          </cell>
          <cell r="Z803">
            <v>0</v>
          </cell>
          <cell r="AA803"/>
          <cell r="AB803">
            <v>0</v>
          </cell>
          <cell r="AC803">
            <v>5000</v>
          </cell>
        </row>
        <row r="804">
          <cell r="F804" t="str">
            <v>CONTR: MAINTENANCE OF EQUIPMENT</v>
          </cell>
          <cell r="G804" t="str">
            <v>P228361</v>
          </cell>
          <cell r="H804" t="str">
            <v>P228361</v>
          </cell>
          <cell r="I804"/>
          <cell r="J804"/>
          <cell r="K804" t="str">
            <v>14</v>
          </cell>
          <cell r="L804" t="str">
            <v>43</v>
          </cell>
          <cell r="M804" t="str">
            <v>2</v>
          </cell>
          <cell r="N804" t="str">
            <v>28</v>
          </cell>
          <cell r="O804" t="str">
            <v>361</v>
          </cell>
          <cell r="P804" t="str">
            <v>0</v>
          </cell>
          <cell r="Q804">
            <v>18</v>
          </cell>
          <cell r="R804" t="str">
            <v>NHH</v>
          </cell>
          <cell r="S804" t="str">
            <v>ZZ</v>
          </cell>
          <cell r="T804">
            <v>11</v>
          </cell>
          <cell r="U804" t="str">
            <v>1443228361018NHHZZ11</v>
          </cell>
          <cell r="V804">
            <v>797</v>
          </cell>
          <cell r="W804" t="str">
            <v>CONTR: MAINTENANCE OF EQUIPMENT</v>
          </cell>
          <cell r="X804">
            <v>0</v>
          </cell>
          <cell r="Y804">
            <v>0</v>
          </cell>
          <cell r="Z804">
            <v>0</v>
          </cell>
          <cell r="AA804"/>
          <cell r="AB804">
            <v>0</v>
          </cell>
          <cell r="AC804">
            <v>300000</v>
          </cell>
        </row>
        <row r="805">
          <cell r="F805" t="str">
            <v>CONTR: MAINTENANCE OF EQUIPMENT</v>
          </cell>
          <cell r="G805" t="str">
            <v>P228361</v>
          </cell>
          <cell r="H805" t="str">
            <v>P228361</v>
          </cell>
          <cell r="I805"/>
          <cell r="J805"/>
          <cell r="K805" t="str">
            <v>14</v>
          </cell>
          <cell r="L805" t="str">
            <v>43</v>
          </cell>
          <cell r="M805" t="str">
            <v>2</v>
          </cell>
          <cell r="N805" t="str">
            <v>28</v>
          </cell>
          <cell r="O805" t="str">
            <v>361</v>
          </cell>
          <cell r="P805" t="str">
            <v>0</v>
          </cell>
          <cell r="Q805">
            <v>18</v>
          </cell>
          <cell r="R805" t="str">
            <v>P05</v>
          </cell>
          <cell r="S805" t="str">
            <v>ZZ</v>
          </cell>
          <cell r="T805">
            <v>11</v>
          </cell>
          <cell r="U805" t="str">
            <v>1443228361018P05ZZ11</v>
          </cell>
          <cell r="V805">
            <v>798</v>
          </cell>
          <cell r="W805" t="str">
            <v>CONTR: MAINTENANCE OF EQUIPMENT</v>
          </cell>
          <cell r="X805">
            <v>0</v>
          </cell>
          <cell r="Y805">
            <v>0</v>
          </cell>
          <cell r="Z805">
            <v>0</v>
          </cell>
          <cell r="AA805"/>
          <cell r="AB805">
            <v>0</v>
          </cell>
          <cell r="AC805">
            <v>0</v>
          </cell>
        </row>
        <row r="806">
          <cell r="F806" t="str">
            <v>OC: STREET LIGHTING MANGAUNG</v>
          </cell>
          <cell r="G806" t="str">
            <v>P230452</v>
          </cell>
          <cell r="H806" t="str">
            <v>P230019</v>
          </cell>
          <cell r="I806"/>
          <cell r="J806"/>
          <cell r="K806" t="str">
            <v>14</v>
          </cell>
          <cell r="L806" t="str">
            <v>43</v>
          </cell>
          <cell r="M806" t="str">
            <v>2</v>
          </cell>
          <cell r="N806" t="str">
            <v>30</v>
          </cell>
          <cell r="O806" t="str">
            <v>019</v>
          </cell>
          <cell r="P806" t="str">
            <v>0</v>
          </cell>
          <cell r="Q806">
            <v>18</v>
          </cell>
          <cell r="R806" t="str">
            <v>MRC</v>
          </cell>
          <cell r="S806" t="str">
            <v>ZZ</v>
          </cell>
          <cell r="T806">
            <v>11</v>
          </cell>
          <cell r="U806" t="str">
            <v>1443230019018MRCZZ11</v>
          </cell>
          <cell r="V806">
            <v>799</v>
          </cell>
          <cell r="W806" t="str">
            <v>OC: STREET LIGHTING MANGAUNG</v>
          </cell>
          <cell r="X806">
            <v>34394778</v>
          </cell>
          <cell r="Y806">
            <v>33837384.93</v>
          </cell>
          <cell r="Z806">
            <v>40604861.915999994</v>
          </cell>
          <cell r="AA806"/>
          <cell r="AB806">
            <v>34394778</v>
          </cell>
          <cell r="AC806">
            <v>36045727.343999997</v>
          </cell>
        </row>
        <row r="807">
          <cell r="F807" t="str">
            <v>OC: ASSETS LESS THAN CAP THRESHOLD(TOOL</v>
          </cell>
          <cell r="G807" t="str">
            <v>P230452</v>
          </cell>
          <cell r="H807" t="str">
            <v>P230019</v>
          </cell>
          <cell r="I807"/>
          <cell r="J807"/>
          <cell r="K807" t="str">
            <v>14</v>
          </cell>
          <cell r="L807" t="str">
            <v>43</v>
          </cell>
          <cell r="M807" t="str">
            <v>2</v>
          </cell>
          <cell r="N807" t="str">
            <v>30</v>
          </cell>
          <cell r="O807" t="str">
            <v>019</v>
          </cell>
          <cell r="P807" t="str">
            <v>2</v>
          </cell>
          <cell r="Q807">
            <v>18</v>
          </cell>
          <cell r="R807" t="str">
            <v>MRC</v>
          </cell>
          <cell r="S807" t="str">
            <v>ZZ</v>
          </cell>
          <cell r="T807">
            <v>11</v>
          </cell>
          <cell r="U807" t="str">
            <v>1443230019218MRCZZ11</v>
          </cell>
          <cell r="V807">
            <v>800</v>
          </cell>
          <cell r="W807" t="str">
            <v>OC: ASSETS LESS THAN CAP THRESHOLD(TOOL</v>
          </cell>
          <cell r="X807">
            <v>1107</v>
          </cell>
          <cell r="Y807">
            <v>0</v>
          </cell>
          <cell r="Z807">
            <v>0</v>
          </cell>
          <cell r="AA807"/>
          <cell r="AB807">
            <v>1107</v>
          </cell>
          <cell r="AC807">
            <v>1500000</v>
          </cell>
        </row>
        <row r="808">
          <cell r="F808" t="str">
            <v>OC: REG FEES NATIONAL</v>
          </cell>
          <cell r="G808" t="str">
            <v>P230452</v>
          </cell>
          <cell r="H808" t="str">
            <v>P230511</v>
          </cell>
          <cell r="I808"/>
          <cell r="J808"/>
          <cell r="K808" t="str">
            <v>14</v>
          </cell>
          <cell r="L808" t="str">
            <v>43</v>
          </cell>
          <cell r="M808" t="str">
            <v>2</v>
          </cell>
          <cell r="N808" t="str">
            <v>30</v>
          </cell>
          <cell r="O808" t="str">
            <v>511</v>
          </cell>
          <cell r="P808" t="str">
            <v>0</v>
          </cell>
          <cell r="Q808">
            <v>18</v>
          </cell>
          <cell r="R808" t="str">
            <v>MRC</v>
          </cell>
          <cell r="S808" t="str">
            <v>ZZ</v>
          </cell>
          <cell r="T808">
            <v>11</v>
          </cell>
          <cell r="U808" t="str">
            <v>1443230511018MRCZZ11</v>
          </cell>
          <cell r="V808">
            <v>801</v>
          </cell>
          <cell r="W808" t="str">
            <v>OC: REG FEES NATIONAL</v>
          </cell>
          <cell r="X808">
            <v>0</v>
          </cell>
          <cell r="Y808">
            <v>0</v>
          </cell>
          <cell r="Z808">
            <v>0</v>
          </cell>
          <cell r="AA808"/>
          <cell r="AB808">
            <v>0</v>
          </cell>
          <cell r="AC808">
            <v>0</v>
          </cell>
        </row>
        <row r="809">
          <cell r="F809" t="str">
            <v>OC: SKILLS DEVELOPMENT FUND LEVY</v>
          </cell>
          <cell r="G809" t="str">
            <v>P230452</v>
          </cell>
          <cell r="H809" t="str">
            <v>P230541</v>
          </cell>
          <cell r="I809"/>
          <cell r="J809"/>
          <cell r="K809" t="str">
            <v>14</v>
          </cell>
          <cell r="L809" t="str">
            <v>43</v>
          </cell>
          <cell r="M809" t="str">
            <v>2</v>
          </cell>
          <cell r="N809" t="str">
            <v>30</v>
          </cell>
          <cell r="O809" t="str">
            <v>541</v>
          </cell>
          <cell r="P809" t="str">
            <v>0</v>
          </cell>
          <cell r="Q809">
            <v>18</v>
          </cell>
          <cell r="R809" t="str">
            <v>MRC</v>
          </cell>
          <cell r="S809" t="str">
            <v>ZZ</v>
          </cell>
          <cell r="T809">
            <v>11</v>
          </cell>
          <cell r="U809" t="str">
            <v>1443230541018MRCZZ11</v>
          </cell>
          <cell r="V809">
            <v>802</v>
          </cell>
          <cell r="W809" t="str">
            <v>OC: SKILLS DEVELOPMENT FUND LEVY</v>
          </cell>
          <cell r="X809">
            <v>928701</v>
          </cell>
          <cell r="Y809">
            <v>769999.2</v>
          </cell>
          <cell r="Z809">
            <v>923999.04</v>
          </cell>
          <cell r="AA809"/>
          <cell r="AB809">
            <v>928701</v>
          </cell>
          <cell r="AC809">
            <v>0</v>
          </cell>
        </row>
        <row r="810">
          <cell r="F810" t="str">
            <v>OC: T&amp;S DOM PUB TRP - AIR TRANSPORT</v>
          </cell>
          <cell r="G810" t="str">
            <v>P230452</v>
          </cell>
          <cell r="H810" t="str">
            <v>P230583</v>
          </cell>
          <cell r="I810"/>
          <cell r="J810"/>
          <cell r="K810" t="str">
            <v>14</v>
          </cell>
          <cell r="L810" t="str">
            <v>43</v>
          </cell>
          <cell r="M810" t="str">
            <v>2</v>
          </cell>
          <cell r="N810" t="str">
            <v>30</v>
          </cell>
          <cell r="O810" t="str">
            <v>583</v>
          </cell>
          <cell r="P810" t="str">
            <v>0</v>
          </cell>
          <cell r="Q810">
            <v>18</v>
          </cell>
          <cell r="R810" t="str">
            <v>MRC</v>
          </cell>
          <cell r="S810" t="str">
            <v>ZZ</v>
          </cell>
          <cell r="T810">
            <v>11</v>
          </cell>
          <cell r="U810" t="str">
            <v>1443230583018MRCZZ11</v>
          </cell>
          <cell r="V810">
            <v>803</v>
          </cell>
          <cell r="W810" t="str">
            <v>OC: T&amp;S DOM PUB TRP - AIR TRANSPORT</v>
          </cell>
          <cell r="X810">
            <v>0</v>
          </cell>
          <cell r="Y810">
            <v>0</v>
          </cell>
          <cell r="Z810">
            <v>0</v>
          </cell>
          <cell r="AA810"/>
          <cell r="AB810">
            <v>0</v>
          </cell>
          <cell r="AC810">
            <v>0</v>
          </cell>
        </row>
        <row r="811">
          <cell r="F811" t="str">
            <v>OC: UNIFORM &amp; PROTECTIVE CLOTHING</v>
          </cell>
          <cell r="G811" t="str">
            <v>P230452</v>
          </cell>
          <cell r="H811" t="str">
            <v>P230610</v>
          </cell>
          <cell r="I811"/>
          <cell r="J811"/>
          <cell r="K811" t="str">
            <v>14</v>
          </cell>
          <cell r="L811" t="str">
            <v>43</v>
          </cell>
          <cell r="M811" t="str">
            <v>2</v>
          </cell>
          <cell r="N811" t="str">
            <v>30</v>
          </cell>
          <cell r="O811" t="str">
            <v>610</v>
          </cell>
          <cell r="P811" t="str">
            <v>0</v>
          </cell>
          <cell r="Q811">
            <v>18</v>
          </cell>
          <cell r="R811" t="str">
            <v>MRC</v>
          </cell>
          <cell r="S811" t="str">
            <v>ZZ</v>
          </cell>
          <cell r="T811">
            <v>11</v>
          </cell>
          <cell r="U811" t="str">
            <v>1443230610018MRCZZ11</v>
          </cell>
          <cell r="V811">
            <v>804</v>
          </cell>
          <cell r="W811" t="str">
            <v>OC: UNIFORM &amp; PROTECTIVE CLOTHING</v>
          </cell>
          <cell r="X811">
            <v>245589</v>
          </cell>
          <cell r="Y811">
            <v>89888.72</v>
          </cell>
          <cell r="Z811">
            <v>107866.46399999999</v>
          </cell>
          <cell r="AA811"/>
          <cell r="AB811">
            <v>245589</v>
          </cell>
          <cell r="AC811">
            <v>2382058</v>
          </cell>
        </row>
        <row r="812">
          <cell r="F812" t="str">
            <v>INVENTORY - MATERIALS &amp; SUPPLIES(PRINT&amp;</v>
          </cell>
          <cell r="G812" t="str">
            <v>P232360</v>
          </cell>
          <cell r="H812" t="str">
            <v>P232360</v>
          </cell>
          <cell r="I812"/>
          <cell r="J812"/>
          <cell r="K812" t="str">
            <v>14</v>
          </cell>
          <cell r="L812" t="str">
            <v>43</v>
          </cell>
          <cell r="M812" t="str">
            <v>2</v>
          </cell>
          <cell r="N812" t="str">
            <v>32</v>
          </cell>
          <cell r="O812" t="str">
            <v>360</v>
          </cell>
          <cell r="P812" t="str">
            <v>D</v>
          </cell>
          <cell r="Q812">
            <v>18</v>
          </cell>
          <cell r="R812" t="str">
            <v>MRC</v>
          </cell>
          <cell r="S812" t="str">
            <v>ZZ</v>
          </cell>
          <cell r="T812">
            <v>11</v>
          </cell>
          <cell r="U812" t="str">
            <v>1443232360D18MRCZZ11</v>
          </cell>
          <cell r="V812">
            <v>805</v>
          </cell>
          <cell r="W812" t="str">
            <v>INVENTORY - MATERIALS &amp; SUPPLIES(PRINT&amp;</v>
          </cell>
          <cell r="X812">
            <v>58283</v>
          </cell>
          <cell r="Y812">
            <v>21893.01</v>
          </cell>
          <cell r="Z812">
            <v>26271.612000000001</v>
          </cell>
          <cell r="AA812"/>
          <cell r="AB812">
            <v>58283</v>
          </cell>
          <cell r="AC812">
            <v>50000</v>
          </cell>
        </row>
        <row r="813">
          <cell r="F813" t="str">
            <v>INVENTORY - MATERIALS &amp; SUPPLIES(R&amp;M )</v>
          </cell>
          <cell r="G813" t="str">
            <v>P232360</v>
          </cell>
          <cell r="H813" t="str">
            <v>P232360</v>
          </cell>
          <cell r="I813"/>
          <cell r="J813"/>
          <cell r="K813" t="str">
            <v>14</v>
          </cell>
          <cell r="L813" t="str">
            <v>43</v>
          </cell>
          <cell r="M813" t="str">
            <v>2</v>
          </cell>
          <cell r="N813" t="str">
            <v>32</v>
          </cell>
          <cell r="O813" t="str">
            <v>360</v>
          </cell>
          <cell r="P813" t="str">
            <v>H</v>
          </cell>
          <cell r="Q813">
            <v>18</v>
          </cell>
          <cell r="R813" t="str">
            <v>MRC</v>
          </cell>
          <cell r="S813" t="str">
            <v>ZZ</v>
          </cell>
          <cell r="T813">
            <v>11</v>
          </cell>
          <cell r="U813" t="str">
            <v>1443232360H18MRCZZ11</v>
          </cell>
          <cell r="V813">
            <v>806</v>
          </cell>
          <cell r="W813" t="str">
            <v>INVENTORY - MATERIALS &amp; SUPPLIES(R&amp;M )</v>
          </cell>
          <cell r="X813">
            <v>14689817</v>
          </cell>
          <cell r="Y813">
            <v>14605521.84</v>
          </cell>
          <cell r="Z813">
            <v>17526626.207999997</v>
          </cell>
          <cell r="AA813">
            <v>30000000</v>
          </cell>
          <cell r="AB813">
            <v>44689817</v>
          </cell>
          <cell r="AC813">
            <v>16394928.216</v>
          </cell>
        </row>
        <row r="814">
          <cell r="F814" t="str">
            <v>INVENTORY - MATERIALS &amp; SUPPLIES(R&amp;M)</v>
          </cell>
          <cell r="G814" t="str">
            <v>P232360</v>
          </cell>
          <cell r="H814" t="str">
            <v>P232360</v>
          </cell>
          <cell r="I814"/>
          <cell r="J814"/>
          <cell r="K814" t="str">
            <v>14</v>
          </cell>
          <cell r="L814" t="str">
            <v>43</v>
          </cell>
          <cell r="M814" t="str">
            <v>2</v>
          </cell>
          <cell r="N814" t="str">
            <v>32</v>
          </cell>
          <cell r="O814" t="str">
            <v>360</v>
          </cell>
          <cell r="P814" t="str">
            <v>I</v>
          </cell>
          <cell r="Q814">
            <v>18</v>
          </cell>
          <cell r="R814" t="str">
            <v>MRC</v>
          </cell>
          <cell r="S814" t="str">
            <v>ZZ</v>
          </cell>
          <cell r="T814">
            <v>11</v>
          </cell>
          <cell r="U814" t="str">
            <v>1443232360I18MRCZZ11</v>
          </cell>
          <cell r="V814">
            <v>807</v>
          </cell>
          <cell r="W814" t="str">
            <v>INVENTORY - MATERIALS &amp; SUPPLIES(R&amp;M)</v>
          </cell>
          <cell r="X814">
            <v>0</v>
          </cell>
          <cell r="Y814">
            <v>0</v>
          </cell>
          <cell r="Z814">
            <v>0</v>
          </cell>
          <cell r="AA814"/>
          <cell r="AB814">
            <v>0</v>
          </cell>
          <cell r="AC814">
            <v>0</v>
          </cell>
        </row>
        <row r="815">
          <cell r="F815" t="str">
            <v>INVENTORY - MATERIALS &amp; SUPPLIES(STOCK &amp;</v>
          </cell>
          <cell r="G815" t="str">
            <v>P232360</v>
          </cell>
          <cell r="H815" t="str">
            <v>P232360</v>
          </cell>
          <cell r="I815"/>
          <cell r="J815"/>
          <cell r="K815" t="str">
            <v>14</v>
          </cell>
          <cell r="L815" t="str">
            <v>43</v>
          </cell>
          <cell r="M815" t="str">
            <v>2</v>
          </cell>
          <cell r="N815" t="str">
            <v>32</v>
          </cell>
          <cell r="O815" t="str">
            <v>360</v>
          </cell>
          <cell r="P815" t="str">
            <v>R</v>
          </cell>
          <cell r="Q815">
            <v>18</v>
          </cell>
          <cell r="R815" t="str">
            <v>MRC</v>
          </cell>
          <cell r="S815" t="str">
            <v>ZZ</v>
          </cell>
          <cell r="T815">
            <v>11</v>
          </cell>
          <cell r="U815" t="str">
            <v>1443232360R18MRCZZ11</v>
          </cell>
          <cell r="V815">
            <v>808</v>
          </cell>
          <cell r="W815" t="str">
            <v>INVENTORY - MATERIALS &amp; SUPPLIES(STOCK &amp;</v>
          </cell>
          <cell r="X815">
            <v>16194</v>
          </cell>
          <cell r="Y815">
            <v>15716.31</v>
          </cell>
          <cell r="Z815">
            <v>18859.572</v>
          </cell>
          <cell r="AA815"/>
          <cell r="AB815">
            <v>16194</v>
          </cell>
          <cell r="AC815">
            <v>16000</v>
          </cell>
        </row>
        <row r="816">
          <cell r="F816" t="str">
            <v>DEPRECIATION FURNITURE &amp; OFFICE EQUIPM</v>
          </cell>
          <cell r="G816" t="str">
            <v>P272150</v>
          </cell>
          <cell r="H816" t="str">
            <v>P272150</v>
          </cell>
          <cell r="I816"/>
          <cell r="J816"/>
          <cell r="K816" t="str">
            <v>14</v>
          </cell>
          <cell r="L816" t="str">
            <v>43</v>
          </cell>
          <cell r="M816" t="str">
            <v>2</v>
          </cell>
          <cell r="N816" t="str">
            <v>72</v>
          </cell>
          <cell r="O816" t="str">
            <v>150</v>
          </cell>
          <cell r="P816" t="str">
            <v>0</v>
          </cell>
          <cell r="Q816">
            <v>18</v>
          </cell>
          <cell r="R816" t="str">
            <v>MRC</v>
          </cell>
          <cell r="S816" t="str">
            <v>ZZ</v>
          </cell>
          <cell r="T816">
            <v>11</v>
          </cell>
          <cell r="U816" t="str">
            <v>1443272150018MRCZZ11</v>
          </cell>
          <cell r="V816">
            <v>809</v>
          </cell>
          <cell r="W816" t="str">
            <v>DEPRECIATION FURNITURE &amp; OFFICE EQUIPM</v>
          </cell>
          <cell r="X816">
            <v>0</v>
          </cell>
          <cell r="Y816">
            <v>0</v>
          </cell>
          <cell r="Z816">
            <v>0</v>
          </cell>
          <cell r="AA816"/>
          <cell r="AB816">
            <v>0</v>
          </cell>
          <cell r="AC816">
            <v>0</v>
          </cell>
        </row>
        <row r="817">
          <cell r="F817" t="str">
            <v>DEPRECIATION  TRANSPORT ASSETS</v>
          </cell>
          <cell r="G817" t="str">
            <v>P272150</v>
          </cell>
          <cell r="H817" t="str">
            <v>P272570</v>
          </cell>
          <cell r="I817"/>
          <cell r="J817"/>
          <cell r="K817" t="str">
            <v>14</v>
          </cell>
          <cell r="L817" t="str">
            <v>43</v>
          </cell>
          <cell r="M817" t="str">
            <v>2</v>
          </cell>
          <cell r="N817" t="str">
            <v>72</v>
          </cell>
          <cell r="O817" t="str">
            <v>570</v>
          </cell>
          <cell r="P817" t="str">
            <v>0</v>
          </cell>
          <cell r="Q817">
            <v>18</v>
          </cell>
          <cell r="R817" t="str">
            <v>MRC</v>
          </cell>
          <cell r="S817" t="str">
            <v>ZZ</v>
          </cell>
          <cell r="T817">
            <v>11</v>
          </cell>
          <cell r="U817" t="str">
            <v>1443272570018MRCZZ11</v>
          </cell>
          <cell r="V817">
            <v>810</v>
          </cell>
          <cell r="W817" t="str">
            <v>DEPRECIATION  TRANSPORT ASSETS</v>
          </cell>
          <cell r="X817">
            <v>5623129</v>
          </cell>
          <cell r="Y817">
            <v>3669008.66</v>
          </cell>
          <cell r="Z817">
            <v>4402810.3920000009</v>
          </cell>
          <cell r="AA817">
            <v>-200000</v>
          </cell>
          <cell r="AB817">
            <v>5423129</v>
          </cell>
          <cell r="AC817">
            <v>5623129</v>
          </cell>
        </row>
        <row r="818">
          <cell r="F818" t="str">
            <v>REMEDIAL WORK 132KV SOUTHERN  LINES</v>
          </cell>
          <cell r="G818" t="str">
            <v>P652102P15</v>
          </cell>
          <cell r="H818" t="str">
            <v>P652102P15</v>
          </cell>
          <cell r="I818"/>
          <cell r="J818"/>
          <cell r="K818" t="str">
            <v>14</v>
          </cell>
          <cell r="L818" t="str">
            <v>43</v>
          </cell>
          <cell r="M818" t="str">
            <v>6</v>
          </cell>
          <cell r="N818" t="str">
            <v>52</v>
          </cell>
          <cell r="O818" t="str">
            <v>102</v>
          </cell>
          <cell r="P818" t="str">
            <v>0</v>
          </cell>
          <cell r="Q818">
            <v>81</v>
          </cell>
          <cell r="R818" t="str">
            <v>P15</v>
          </cell>
          <cell r="S818" t="str">
            <v>ZZ</v>
          </cell>
          <cell r="T818">
            <v>11</v>
          </cell>
          <cell r="U818" t="str">
            <v>1443652102081P15ZZ11</v>
          </cell>
          <cell r="V818">
            <v>811</v>
          </cell>
          <cell r="W818" t="str">
            <v>REMEDIAL WORK 132KV SOUTHERN  LINES</v>
          </cell>
          <cell r="X818">
            <v>0</v>
          </cell>
          <cell r="Y818">
            <v>0</v>
          </cell>
          <cell r="Z818">
            <v>0</v>
          </cell>
          <cell r="AA818"/>
          <cell r="AB818">
            <v>0</v>
          </cell>
          <cell r="AC818">
            <v>0</v>
          </cell>
        </row>
        <row r="819">
          <cell r="F819" t="str">
            <v>REMEDIAL WORK 132KV SOUTHERN  LINES</v>
          </cell>
          <cell r="G819" t="str">
            <v>P652102P15</v>
          </cell>
          <cell r="H819" t="str">
            <v>P652102P15</v>
          </cell>
          <cell r="I819"/>
          <cell r="J819"/>
          <cell r="K819" t="str">
            <v>14</v>
          </cell>
          <cell r="L819" t="str">
            <v>43</v>
          </cell>
          <cell r="M819" t="str">
            <v>6</v>
          </cell>
          <cell r="N819" t="str">
            <v>52</v>
          </cell>
          <cell r="O819" t="str">
            <v>102</v>
          </cell>
          <cell r="P819" t="str">
            <v>0</v>
          </cell>
          <cell r="Q819" t="str">
            <v>CF</v>
          </cell>
          <cell r="R819" t="str">
            <v>P15</v>
          </cell>
          <cell r="S819" t="str">
            <v>ZZ</v>
          </cell>
          <cell r="T819">
            <v>11</v>
          </cell>
          <cell r="U819" t="str">
            <v>14436521020CFP15ZZ11</v>
          </cell>
          <cell r="V819">
            <v>812</v>
          </cell>
          <cell r="W819" t="str">
            <v>REMEDIAL WORK 132KV SOUTHERN  LINES</v>
          </cell>
          <cell r="X819">
            <v>200000</v>
          </cell>
          <cell r="Y819">
            <v>0</v>
          </cell>
          <cell r="Z819">
            <v>0</v>
          </cell>
          <cell r="AA819"/>
          <cell r="AB819">
            <v>200000</v>
          </cell>
          <cell r="AC819">
            <v>9000000</v>
          </cell>
        </row>
        <row r="820">
          <cell r="F820" t="str">
            <v>REFURBISHMENT OF HIGH MAST LIGHTS</v>
          </cell>
          <cell r="G820" t="str">
            <v>P652302P27</v>
          </cell>
          <cell r="H820">
            <v>0</v>
          </cell>
          <cell r="I820"/>
          <cell r="J820"/>
          <cell r="K820" t="str">
            <v>14</v>
          </cell>
          <cell r="L820" t="str">
            <v>43</v>
          </cell>
          <cell r="M820" t="str">
            <v>6</v>
          </cell>
          <cell r="N820" t="str">
            <v>52</v>
          </cell>
          <cell r="O820" t="str">
            <v>302</v>
          </cell>
          <cell r="P820" t="str">
            <v>0</v>
          </cell>
          <cell r="Q820">
            <v>81</v>
          </cell>
          <cell r="R820" t="str">
            <v>P27</v>
          </cell>
          <cell r="S820" t="str">
            <v>ZZ</v>
          </cell>
          <cell r="T820">
            <v>11</v>
          </cell>
          <cell r="U820" t="str">
            <v>1443652302081P27ZZ11</v>
          </cell>
          <cell r="V820">
            <v>813</v>
          </cell>
          <cell r="W820" t="str">
            <v>REFURBISHMENT OF HIGH MAST LIGHTS</v>
          </cell>
          <cell r="X820">
            <v>0</v>
          </cell>
          <cell r="Y820">
            <v>0</v>
          </cell>
          <cell r="Z820">
            <v>0</v>
          </cell>
          <cell r="AA820"/>
          <cell r="AB820">
            <v>0</v>
          </cell>
          <cell r="AC820">
            <v>0</v>
          </cell>
        </row>
        <row r="821">
          <cell r="F821" t="str">
            <v>REP LOW VOLT DECREPIT 2/4/8 WAY BOXES</v>
          </cell>
          <cell r="G821" t="str">
            <v>P652302P30</v>
          </cell>
          <cell r="H821">
            <v>0</v>
          </cell>
          <cell r="I821"/>
          <cell r="J821"/>
          <cell r="K821" t="str">
            <v>14</v>
          </cell>
          <cell r="L821" t="str">
            <v>43</v>
          </cell>
          <cell r="M821" t="str">
            <v>6</v>
          </cell>
          <cell r="N821" t="str">
            <v>52</v>
          </cell>
          <cell r="O821" t="str">
            <v>302</v>
          </cell>
          <cell r="P821" t="str">
            <v>0</v>
          </cell>
          <cell r="Q821">
            <v>81</v>
          </cell>
          <cell r="R821" t="str">
            <v>P30</v>
          </cell>
          <cell r="S821" t="str">
            <v>ZZ</v>
          </cell>
          <cell r="T821">
            <v>11</v>
          </cell>
          <cell r="U821" t="str">
            <v>1443652302081P30ZZ11</v>
          </cell>
          <cell r="V821">
            <v>814</v>
          </cell>
          <cell r="W821" t="str">
            <v>REP LOW VOLT DECREPIT 2/4/8 WAY BOXES</v>
          </cell>
          <cell r="X821">
            <v>0</v>
          </cell>
          <cell r="Y821">
            <v>0</v>
          </cell>
          <cell r="Z821">
            <v>0</v>
          </cell>
          <cell r="AA821"/>
          <cell r="AB821">
            <v>0</v>
          </cell>
          <cell r="AC821">
            <v>0</v>
          </cell>
        </row>
        <row r="822">
          <cell r="F822" t="str">
            <v>REP BRITTLE OVERHEAD CONNECTIONS</v>
          </cell>
          <cell r="G822">
            <v>0</v>
          </cell>
          <cell r="H822">
            <v>0</v>
          </cell>
          <cell r="I822"/>
          <cell r="J822"/>
          <cell r="K822" t="str">
            <v>14</v>
          </cell>
          <cell r="L822" t="str">
            <v>43</v>
          </cell>
          <cell r="M822" t="str">
            <v>6</v>
          </cell>
          <cell r="N822" t="str">
            <v>52</v>
          </cell>
          <cell r="O822" t="str">
            <v>302</v>
          </cell>
          <cell r="P822" t="str">
            <v>0</v>
          </cell>
          <cell r="Q822">
            <v>81</v>
          </cell>
          <cell r="R822" t="str">
            <v>P34</v>
          </cell>
          <cell r="S822" t="str">
            <v>ZZ</v>
          </cell>
          <cell r="T822">
            <v>11</v>
          </cell>
          <cell r="U822" t="str">
            <v>1443652302081P34ZZ11</v>
          </cell>
          <cell r="V822">
            <v>815</v>
          </cell>
          <cell r="W822" t="str">
            <v>REP BRITTLE OVERHEAD CONNECTIONS</v>
          </cell>
          <cell r="X822">
            <v>0</v>
          </cell>
          <cell r="Y822">
            <v>0</v>
          </cell>
          <cell r="Z822">
            <v>0</v>
          </cell>
          <cell r="AA822"/>
          <cell r="AB822">
            <v>0</v>
          </cell>
          <cell r="AC822">
            <v>0</v>
          </cell>
        </row>
        <row r="823">
          <cell r="F823" t="str">
            <v>SHIFTING OF CONNECTION AND REPLACEMENT S</v>
          </cell>
          <cell r="G823" t="str">
            <v>P652302P25</v>
          </cell>
          <cell r="H823" t="str">
            <v>P652302P25</v>
          </cell>
          <cell r="I823"/>
          <cell r="J823"/>
          <cell r="K823" t="str">
            <v>14</v>
          </cell>
          <cell r="L823" t="str">
            <v>43</v>
          </cell>
          <cell r="M823" t="str">
            <v>6</v>
          </cell>
          <cell r="N823" t="str">
            <v>52</v>
          </cell>
          <cell r="O823" t="str">
            <v>302</v>
          </cell>
          <cell r="P823" t="str">
            <v>0</v>
          </cell>
          <cell r="Q823" t="str">
            <v>CF</v>
          </cell>
          <cell r="R823" t="str">
            <v>P25</v>
          </cell>
          <cell r="S823" t="str">
            <v>ZZ</v>
          </cell>
          <cell r="T823">
            <v>11</v>
          </cell>
          <cell r="U823" t="str">
            <v>14436523020CFP25ZZ11</v>
          </cell>
          <cell r="V823">
            <v>816</v>
          </cell>
          <cell r="W823" t="str">
            <v>SHIFTING OF CONNECTION AND REPLACEMENT S</v>
          </cell>
          <cell r="X823">
            <v>1005275</v>
          </cell>
          <cell r="Y823">
            <v>706493.48</v>
          </cell>
          <cell r="Z823">
            <v>847792.17599999998</v>
          </cell>
          <cell r="AA823"/>
          <cell r="AB823">
            <v>1005275</v>
          </cell>
          <cell r="AC823">
            <v>1005275</v>
          </cell>
        </row>
        <row r="824">
          <cell r="F824" t="str">
            <v>REFURBISHMENT OF HIGH MAST LIGHTS</v>
          </cell>
          <cell r="G824" t="str">
            <v>P652302P27</v>
          </cell>
          <cell r="H824" t="str">
            <v>P652302P27</v>
          </cell>
          <cell r="I824"/>
          <cell r="J824"/>
          <cell r="K824" t="str">
            <v>14</v>
          </cell>
          <cell r="L824" t="str">
            <v>43</v>
          </cell>
          <cell r="M824" t="str">
            <v>6</v>
          </cell>
          <cell r="N824" t="str">
            <v>52</v>
          </cell>
          <cell r="O824" t="str">
            <v>302</v>
          </cell>
          <cell r="P824" t="str">
            <v>0</v>
          </cell>
          <cell r="Q824" t="str">
            <v>CF</v>
          </cell>
          <cell r="R824" t="str">
            <v>P27</v>
          </cell>
          <cell r="S824" t="str">
            <v>ZZ</v>
          </cell>
          <cell r="T824">
            <v>11</v>
          </cell>
          <cell r="U824" t="str">
            <v>14436523020CFP27ZZ11</v>
          </cell>
          <cell r="V824">
            <v>817</v>
          </cell>
          <cell r="W824" t="str">
            <v>REFURBISHMENT OF HIGH MAST LIGHTS</v>
          </cell>
          <cell r="X824">
            <v>7029525</v>
          </cell>
          <cell r="Y824">
            <v>3809987.16</v>
          </cell>
          <cell r="Z824">
            <v>4571984.5920000002</v>
          </cell>
          <cell r="AA824"/>
          <cell r="AB824">
            <v>7029525</v>
          </cell>
          <cell r="AC824">
            <v>7029525</v>
          </cell>
        </row>
        <row r="825">
          <cell r="F825" t="str">
            <v>REP LOW VOLT DECREPIT 2/4/8 WAY BOXES</v>
          </cell>
          <cell r="G825" t="str">
            <v>P652302P30</v>
          </cell>
          <cell r="H825" t="str">
            <v>P652302P30</v>
          </cell>
          <cell r="I825"/>
          <cell r="J825"/>
          <cell r="K825" t="str">
            <v>14</v>
          </cell>
          <cell r="L825" t="str">
            <v>43</v>
          </cell>
          <cell r="M825" t="str">
            <v>6</v>
          </cell>
          <cell r="N825" t="str">
            <v>52</v>
          </cell>
          <cell r="O825" t="str">
            <v>302</v>
          </cell>
          <cell r="P825" t="str">
            <v>0</v>
          </cell>
          <cell r="Q825" t="str">
            <v>CF</v>
          </cell>
          <cell r="R825" t="str">
            <v>P30</v>
          </cell>
          <cell r="S825" t="str">
            <v>ZZ</v>
          </cell>
          <cell r="T825">
            <v>11</v>
          </cell>
          <cell r="U825" t="str">
            <v>14436523020CFP30ZZ11</v>
          </cell>
          <cell r="V825">
            <v>818</v>
          </cell>
          <cell r="W825" t="str">
            <v>REP LOW VOLT DECREPIT 2/4/8 WAY BOXES</v>
          </cell>
          <cell r="X825">
            <v>508390</v>
          </cell>
          <cell r="Y825">
            <v>293978.58</v>
          </cell>
          <cell r="Z825">
            <v>352774.29599999997</v>
          </cell>
          <cell r="AA825"/>
          <cell r="AB825">
            <v>508390</v>
          </cell>
          <cell r="AC825">
            <v>800000</v>
          </cell>
        </row>
        <row r="826">
          <cell r="F826" t="str">
            <v>REP BRITTLE OVERHEAD CONNECTIONS</v>
          </cell>
          <cell r="G826" t="str">
            <v>P652302P34</v>
          </cell>
          <cell r="H826" t="str">
            <v>P652302P34</v>
          </cell>
          <cell r="I826"/>
          <cell r="J826"/>
          <cell r="K826" t="str">
            <v>14</v>
          </cell>
          <cell r="L826" t="str">
            <v>43</v>
          </cell>
          <cell r="M826" t="str">
            <v>6</v>
          </cell>
          <cell r="N826" t="str">
            <v>52</v>
          </cell>
          <cell r="O826" t="str">
            <v>302</v>
          </cell>
          <cell r="P826" t="str">
            <v>0</v>
          </cell>
          <cell r="Q826" t="str">
            <v>CF</v>
          </cell>
          <cell r="R826" t="str">
            <v>P34</v>
          </cell>
          <cell r="S826" t="str">
            <v>ZZ</v>
          </cell>
          <cell r="T826">
            <v>11</v>
          </cell>
          <cell r="U826" t="str">
            <v>14436523020CFP34ZZ11</v>
          </cell>
          <cell r="V826">
            <v>819</v>
          </cell>
          <cell r="W826" t="str">
            <v>REP BRITTLE OVERHEAD CONNECTIONS</v>
          </cell>
          <cell r="X826">
            <v>0</v>
          </cell>
          <cell r="Y826">
            <v>2185.34</v>
          </cell>
          <cell r="Z826">
            <v>2622.4080000000004</v>
          </cell>
          <cell r="AA826"/>
          <cell r="AB826">
            <v>0</v>
          </cell>
          <cell r="AC826">
            <v>1000000</v>
          </cell>
        </row>
        <row r="827">
          <cell r="F827" t="str">
            <v>MS: SAL &amp; ALL: BASIC SALARY &amp; WAGES</v>
          </cell>
          <cell r="G827" t="str">
            <v>P211001</v>
          </cell>
          <cell r="H827" t="str">
            <v>P211001</v>
          </cell>
          <cell r="I827" t="str">
            <v>501444</v>
          </cell>
          <cell r="J827">
            <v>50</v>
          </cell>
          <cell r="K827" t="str">
            <v>14</v>
          </cell>
          <cell r="L827" t="str">
            <v>44</v>
          </cell>
          <cell r="M827" t="str">
            <v>2</v>
          </cell>
          <cell r="N827" t="str">
            <v>11</v>
          </cell>
          <cell r="O827" t="str">
            <v>001</v>
          </cell>
          <cell r="P827" t="str">
            <v>0</v>
          </cell>
          <cell r="Q827">
            <v>18</v>
          </cell>
          <cell r="R827" t="str">
            <v>MRC</v>
          </cell>
          <cell r="S827" t="str">
            <v>ZZ</v>
          </cell>
          <cell r="T827">
            <v>11</v>
          </cell>
          <cell r="U827" t="str">
            <v>1444211001018MRCZZ11</v>
          </cell>
          <cell r="V827">
            <v>820</v>
          </cell>
          <cell r="W827" t="str">
            <v>MS: SAL &amp; ALL: BASIC SALARY &amp; WAGES</v>
          </cell>
          <cell r="X827">
            <v>16221215</v>
          </cell>
          <cell r="Y827">
            <v>18397497.300000001</v>
          </cell>
          <cell r="Z827">
            <v>22076996.759999998</v>
          </cell>
          <cell r="AA827"/>
          <cell r="AB827">
            <v>16221215</v>
          </cell>
          <cell r="AC827">
            <v>20503231.296</v>
          </cell>
        </row>
        <row r="828">
          <cell r="F828" t="str">
            <v>MS: ALL - CELLULAR &amp; TELEPHONE</v>
          </cell>
          <cell r="G828" t="str">
            <v>P211022</v>
          </cell>
          <cell r="H828" t="str">
            <v>P211022</v>
          </cell>
          <cell r="I828" t="str">
            <v>501444</v>
          </cell>
          <cell r="J828">
            <v>50</v>
          </cell>
          <cell r="K828" t="str">
            <v>14</v>
          </cell>
          <cell r="L828" t="str">
            <v>44</v>
          </cell>
          <cell r="M828" t="str">
            <v>2</v>
          </cell>
          <cell r="N828" t="str">
            <v>11</v>
          </cell>
          <cell r="O828" t="str">
            <v>022</v>
          </cell>
          <cell r="P828" t="str">
            <v>0</v>
          </cell>
          <cell r="Q828">
            <v>18</v>
          </cell>
          <cell r="R828" t="str">
            <v>MRC</v>
          </cell>
          <cell r="S828" t="str">
            <v>ZZ</v>
          </cell>
          <cell r="T828">
            <v>11</v>
          </cell>
          <cell r="U828" t="str">
            <v>1444211022018MRCZZ11</v>
          </cell>
          <cell r="V828">
            <v>821</v>
          </cell>
          <cell r="W828" t="str">
            <v>MS: ALL - CELLULAR &amp; TELEPHONE</v>
          </cell>
          <cell r="X828">
            <v>115465</v>
          </cell>
          <cell r="Y828">
            <v>93960</v>
          </cell>
          <cell r="Z828">
            <v>112752</v>
          </cell>
          <cell r="AA828"/>
          <cell r="AB828">
            <v>115465</v>
          </cell>
          <cell r="AC828">
            <v>88556</v>
          </cell>
        </row>
        <row r="829">
          <cell r="F829" t="str">
            <v>MS: HB &amp; INC: HOUSING BENEFITS</v>
          </cell>
          <cell r="G829" t="str">
            <v>P211026</v>
          </cell>
          <cell r="H829" t="str">
            <v>P211026</v>
          </cell>
          <cell r="I829" t="str">
            <v>501444</v>
          </cell>
          <cell r="J829">
            <v>50</v>
          </cell>
          <cell r="K829" t="str">
            <v>14</v>
          </cell>
          <cell r="L829" t="str">
            <v>44</v>
          </cell>
          <cell r="M829" t="str">
            <v>2</v>
          </cell>
          <cell r="N829" t="str">
            <v>11</v>
          </cell>
          <cell r="O829" t="str">
            <v>026</v>
          </cell>
          <cell r="P829" t="str">
            <v>0</v>
          </cell>
          <cell r="Q829">
            <v>18</v>
          </cell>
          <cell r="R829" t="str">
            <v>MRC</v>
          </cell>
          <cell r="S829" t="str">
            <v>ZZ</v>
          </cell>
          <cell r="T829">
            <v>11</v>
          </cell>
          <cell r="U829" t="str">
            <v>1444211026018MRCZZ11</v>
          </cell>
          <cell r="V829">
            <v>822</v>
          </cell>
          <cell r="W829" t="str">
            <v>MS: HB &amp; INC: HOUSING BENEFITS</v>
          </cell>
          <cell r="X829">
            <v>83287</v>
          </cell>
          <cell r="Y829">
            <v>68480.210000000006</v>
          </cell>
          <cell r="Z829">
            <v>82176.252000000008</v>
          </cell>
          <cell r="AA829"/>
          <cell r="AB829">
            <v>83287</v>
          </cell>
          <cell r="AC829">
            <v>1018892.9318399997</v>
          </cell>
        </row>
        <row r="830">
          <cell r="F830" t="str">
            <v>MS: ALL - LEAVE PAY</v>
          </cell>
          <cell r="G830" t="str">
            <v>P211032</v>
          </cell>
          <cell r="H830" t="str">
            <v>P211032</v>
          </cell>
          <cell r="I830" t="str">
            <v>501444</v>
          </cell>
          <cell r="J830">
            <v>50</v>
          </cell>
          <cell r="K830" t="str">
            <v>14</v>
          </cell>
          <cell r="L830" t="str">
            <v>44</v>
          </cell>
          <cell r="M830" t="str">
            <v>2</v>
          </cell>
          <cell r="N830" t="str">
            <v>11</v>
          </cell>
          <cell r="O830" t="str">
            <v>032</v>
          </cell>
          <cell r="P830" t="str">
            <v>0</v>
          </cell>
          <cell r="Q830">
            <v>18</v>
          </cell>
          <cell r="R830" t="str">
            <v>MRC</v>
          </cell>
          <cell r="S830" t="str">
            <v>ZZ</v>
          </cell>
          <cell r="T830">
            <v>11</v>
          </cell>
          <cell r="U830" t="str">
            <v>1444211032018MRCZZ11</v>
          </cell>
          <cell r="V830">
            <v>823</v>
          </cell>
          <cell r="W830" t="str">
            <v>MS: ALL - LEAVE PAY</v>
          </cell>
          <cell r="X830">
            <v>0</v>
          </cell>
          <cell r="Y830">
            <v>0</v>
          </cell>
          <cell r="Z830">
            <v>0</v>
          </cell>
          <cell r="AA830"/>
          <cell r="AB830">
            <v>0</v>
          </cell>
          <cell r="AC830">
            <v>0</v>
          </cell>
        </row>
        <row r="831">
          <cell r="F831" t="str">
            <v>MS: ALL - TRAVEL OR MOTOR VEHICLE (SUBS</v>
          </cell>
          <cell r="G831" t="str">
            <v>P211034</v>
          </cell>
          <cell r="H831" t="str">
            <v>P211034</v>
          </cell>
          <cell r="I831" t="str">
            <v>501444</v>
          </cell>
          <cell r="J831">
            <v>50</v>
          </cell>
          <cell r="K831" t="str">
            <v>14</v>
          </cell>
          <cell r="L831" t="str">
            <v>44</v>
          </cell>
          <cell r="M831" t="str">
            <v>2</v>
          </cell>
          <cell r="N831" t="str">
            <v>11</v>
          </cell>
          <cell r="O831" t="str">
            <v>034</v>
          </cell>
          <cell r="P831" t="str">
            <v>1</v>
          </cell>
          <cell r="Q831">
            <v>18</v>
          </cell>
          <cell r="R831" t="str">
            <v>MRC</v>
          </cell>
          <cell r="S831" t="str">
            <v>ZZ</v>
          </cell>
          <cell r="T831">
            <v>11</v>
          </cell>
          <cell r="U831" t="str">
            <v>1444211034118MRCZZ11</v>
          </cell>
          <cell r="V831">
            <v>824</v>
          </cell>
          <cell r="W831" t="str">
            <v>MS: ALL - TRAVEL OR MOTOR VEHICLE (SUBS</v>
          </cell>
          <cell r="X831">
            <v>735875</v>
          </cell>
          <cell r="Y831">
            <v>709874.97</v>
          </cell>
          <cell r="Z831">
            <v>851849.96400000004</v>
          </cell>
          <cell r="AA831"/>
          <cell r="AB831">
            <v>735875</v>
          </cell>
          <cell r="AC831">
            <v>27848.766</v>
          </cell>
        </row>
        <row r="832">
          <cell r="F832" t="str">
            <v>MS: OVERTIME - NON STRUCTURED</v>
          </cell>
          <cell r="G832" t="str">
            <v>P211036</v>
          </cell>
          <cell r="H832" t="str">
            <v>P211036</v>
          </cell>
          <cell r="I832" t="str">
            <v>501444</v>
          </cell>
          <cell r="J832">
            <v>50</v>
          </cell>
          <cell r="K832" t="str">
            <v>14</v>
          </cell>
          <cell r="L832" t="str">
            <v>44</v>
          </cell>
          <cell r="M832" t="str">
            <v>2</v>
          </cell>
          <cell r="N832" t="str">
            <v>11</v>
          </cell>
          <cell r="O832" t="str">
            <v>036</v>
          </cell>
          <cell r="P832" t="str">
            <v>0</v>
          </cell>
          <cell r="Q832">
            <v>18</v>
          </cell>
          <cell r="R832" t="str">
            <v>MRC</v>
          </cell>
          <cell r="S832" t="str">
            <v>ZZ</v>
          </cell>
          <cell r="T832">
            <v>11</v>
          </cell>
          <cell r="U832" t="str">
            <v>1444211036018MRCZZ11</v>
          </cell>
          <cell r="V832">
            <v>825</v>
          </cell>
          <cell r="W832" t="str">
            <v>MS: OVERTIME - NON STRUCTURED</v>
          </cell>
          <cell r="X832">
            <v>0</v>
          </cell>
          <cell r="Y832">
            <v>0</v>
          </cell>
          <cell r="Z832">
            <v>0</v>
          </cell>
          <cell r="AA832"/>
          <cell r="AB832">
            <v>0</v>
          </cell>
          <cell r="AC832">
            <v>0</v>
          </cell>
        </row>
        <row r="833">
          <cell r="F833" t="str">
            <v>MS: OVERTIME - STRUCTURED</v>
          </cell>
          <cell r="G833" t="str">
            <v>P211038</v>
          </cell>
          <cell r="H833" t="str">
            <v>P211038</v>
          </cell>
          <cell r="I833" t="str">
            <v>501444</v>
          </cell>
          <cell r="J833">
            <v>50</v>
          </cell>
          <cell r="K833" t="str">
            <v>14</v>
          </cell>
          <cell r="L833" t="str">
            <v>44</v>
          </cell>
          <cell r="M833" t="str">
            <v>2</v>
          </cell>
          <cell r="N833" t="str">
            <v>11</v>
          </cell>
          <cell r="O833" t="str">
            <v>038</v>
          </cell>
          <cell r="P833" t="str">
            <v>0</v>
          </cell>
          <cell r="Q833">
            <v>18</v>
          </cell>
          <cell r="R833" t="str">
            <v>MRC</v>
          </cell>
          <cell r="S833" t="str">
            <v>ZZ</v>
          </cell>
          <cell r="T833">
            <v>11</v>
          </cell>
          <cell r="U833" t="str">
            <v>1444211038018MRCZZ11</v>
          </cell>
          <cell r="V833">
            <v>826</v>
          </cell>
          <cell r="W833" t="str">
            <v>MS: OVERTIME - STRUCTURED</v>
          </cell>
          <cell r="X833">
            <v>3948091</v>
          </cell>
          <cell r="Y833">
            <v>4583426.55</v>
          </cell>
          <cell r="Z833">
            <v>5500111.8599999994</v>
          </cell>
          <cell r="AA833"/>
          <cell r="AB833">
            <v>3948091</v>
          </cell>
          <cell r="AC833">
            <v>3553281.9</v>
          </cell>
        </row>
        <row r="834">
          <cell r="F834" t="str">
            <v>MS: PAYMENTS - SHIFT ADD REMUNERATION</v>
          </cell>
          <cell r="G834" t="str">
            <v>P211040</v>
          </cell>
          <cell r="H834" t="str">
            <v>P211040</v>
          </cell>
          <cell r="I834" t="str">
            <v>501444</v>
          </cell>
          <cell r="J834">
            <v>50</v>
          </cell>
          <cell r="K834" t="str">
            <v>14</v>
          </cell>
          <cell r="L834" t="str">
            <v>44</v>
          </cell>
          <cell r="M834" t="str">
            <v>2</v>
          </cell>
          <cell r="N834" t="str">
            <v>11</v>
          </cell>
          <cell r="O834" t="str">
            <v>040</v>
          </cell>
          <cell r="P834" t="str">
            <v>0</v>
          </cell>
          <cell r="Q834">
            <v>18</v>
          </cell>
          <cell r="R834" t="str">
            <v>MRC</v>
          </cell>
          <cell r="S834" t="str">
            <v>ZZ</v>
          </cell>
          <cell r="T834">
            <v>11</v>
          </cell>
          <cell r="U834" t="str">
            <v>1444211040018MRCZZ11</v>
          </cell>
          <cell r="V834">
            <v>827</v>
          </cell>
          <cell r="W834" t="str">
            <v>MS: PAYMENTS - SHIFT ADD REMUNERATION</v>
          </cell>
          <cell r="X834">
            <v>400540</v>
          </cell>
          <cell r="Y834">
            <v>338836.24</v>
          </cell>
          <cell r="Z834">
            <v>406603.48799999995</v>
          </cell>
          <cell r="AA834"/>
          <cell r="AB834">
            <v>400540</v>
          </cell>
          <cell r="AC834">
            <v>300405</v>
          </cell>
        </row>
        <row r="835">
          <cell r="F835" t="str">
            <v>MS: OVERTIME - NIGHT SHIFT</v>
          </cell>
          <cell r="G835" t="str">
            <v>P211042</v>
          </cell>
          <cell r="H835" t="str">
            <v>P211042</v>
          </cell>
          <cell r="I835" t="str">
            <v>501444</v>
          </cell>
          <cell r="J835">
            <v>50</v>
          </cell>
          <cell r="K835" t="str">
            <v>14</v>
          </cell>
          <cell r="L835" t="str">
            <v>44</v>
          </cell>
          <cell r="M835" t="str">
            <v>2</v>
          </cell>
          <cell r="N835" t="str">
            <v>11</v>
          </cell>
          <cell r="O835" t="str">
            <v>042</v>
          </cell>
          <cell r="P835" t="str">
            <v>0</v>
          </cell>
          <cell r="Q835">
            <v>18</v>
          </cell>
          <cell r="R835" t="str">
            <v>MRC</v>
          </cell>
          <cell r="S835" t="str">
            <v>ZZ</v>
          </cell>
          <cell r="T835">
            <v>11</v>
          </cell>
          <cell r="U835" t="str">
            <v>1444211042018MRCZZ11</v>
          </cell>
          <cell r="V835">
            <v>828</v>
          </cell>
          <cell r="W835" t="str">
            <v>MS: OVERTIME - NIGHT SHIFT</v>
          </cell>
          <cell r="X835">
            <v>345590</v>
          </cell>
          <cell r="Y835">
            <v>273839.67</v>
          </cell>
          <cell r="Z835">
            <v>328607.60399999993</v>
          </cell>
          <cell r="AA835"/>
          <cell r="AB835">
            <v>345590</v>
          </cell>
          <cell r="AC835">
            <v>311031</v>
          </cell>
        </row>
        <row r="836">
          <cell r="F836" t="str">
            <v>MS: SRB - ACTING ALLOWANCE</v>
          </cell>
          <cell r="G836" t="str">
            <v>P211044</v>
          </cell>
          <cell r="H836" t="str">
            <v>P211044</v>
          </cell>
          <cell r="I836" t="str">
            <v>501444</v>
          </cell>
          <cell r="J836">
            <v>50</v>
          </cell>
          <cell r="K836" t="str">
            <v>14</v>
          </cell>
          <cell r="L836" t="str">
            <v>44</v>
          </cell>
          <cell r="M836" t="str">
            <v>2</v>
          </cell>
          <cell r="N836" t="str">
            <v>11</v>
          </cell>
          <cell r="O836" t="str">
            <v>044</v>
          </cell>
          <cell r="P836" t="str">
            <v>0</v>
          </cell>
          <cell r="Q836">
            <v>18</v>
          </cell>
          <cell r="R836" t="str">
            <v>MRC</v>
          </cell>
          <cell r="S836" t="str">
            <v>ZZ</v>
          </cell>
          <cell r="T836">
            <v>11</v>
          </cell>
          <cell r="U836" t="str">
            <v>1444211044018MRCZZ11</v>
          </cell>
          <cell r="V836">
            <v>829</v>
          </cell>
          <cell r="W836" t="str">
            <v>MS: SRB - ACTING ALLOWANCE</v>
          </cell>
          <cell r="X836">
            <v>0</v>
          </cell>
          <cell r="Y836">
            <v>311713</v>
          </cell>
          <cell r="Z836">
            <v>374055.6</v>
          </cell>
          <cell r="AA836"/>
          <cell r="AB836">
            <v>0</v>
          </cell>
          <cell r="AC836">
            <v>0</v>
          </cell>
        </row>
        <row r="837">
          <cell r="F837" t="str">
            <v>MS: SRB - ANNUAL BONUS</v>
          </cell>
          <cell r="G837" t="str">
            <v>P211046</v>
          </cell>
          <cell r="H837" t="str">
            <v>P211046</v>
          </cell>
          <cell r="I837" t="str">
            <v>501444</v>
          </cell>
          <cell r="J837">
            <v>50</v>
          </cell>
          <cell r="K837" t="str">
            <v>14</v>
          </cell>
          <cell r="L837" t="str">
            <v>44</v>
          </cell>
          <cell r="M837" t="str">
            <v>2</v>
          </cell>
          <cell r="N837" t="str">
            <v>11</v>
          </cell>
          <cell r="O837" t="str">
            <v>046</v>
          </cell>
          <cell r="P837" t="str">
            <v>0</v>
          </cell>
          <cell r="Q837">
            <v>18</v>
          </cell>
          <cell r="R837" t="str">
            <v>MRC</v>
          </cell>
          <cell r="S837" t="str">
            <v>ZZ</v>
          </cell>
          <cell r="T837">
            <v>11</v>
          </cell>
          <cell r="U837" t="str">
            <v>1444211046018MRCZZ11</v>
          </cell>
          <cell r="V837">
            <v>830</v>
          </cell>
          <cell r="W837" t="str">
            <v>MS: SRB - ANNUAL BONUS</v>
          </cell>
          <cell r="X837">
            <v>1590800</v>
          </cell>
          <cell r="Y837">
            <v>1419795.5</v>
          </cell>
          <cell r="Z837">
            <v>1703754.5999999999</v>
          </cell>
          <cell r="AA837"/>
          <cell r="AB837">
            <v>1590800</v>
          </cell>
          <cell r="AC837">
            <v>1708602.608</v>
          </cell>
        </row>
        <row r="838">
          <cell r="F838" t="str">
            <v>MS: SRB - LONG SERVICE AWARD</v>
          </cell>
          <cell r="G838" t="str">
            <v>P211050</v>
          </cell>
          <cell r="H838" t="str">
            <v>P211050</v>
          </cell>
          <cell r="I838" t="str">
            <v>501444</v>
          </cell>
          <cell r="J838">
            <v>50</v>
          </cell>
          <cell r="K838" t="str">
            <v>14</v>
          </cell>
          <cell r="L838" t="str">
            <v>44</v>
          </cell>
          <cell r="M838" t="str">
            <v>2</v>
          </cell>
          <cell r="N838" t="str">
            <v>11</v>
          </cell>
          <cell r="O838" t="str">
            <v>050</v>
          </cell>
          <cell r="P838" t="str">
            <v>0</v>
          </cell>
          <cell r="Q838">
            <v>18</v>
          </cell>
          <cell r="R838" t="str">
            <v>MRC</v>
          </cell>
          <cell r="S838" t="str">
            <v>ZZ</v>
          </cell>
          <cell r="T838">
            <v>11</v>
          </cell>
          <cell r="U838" t="str">
            <v>1444211050018MRCZZ11</v>
          </cell>
          <cell r="V838">
            <v>831</v>
          </cell>
          <cell r="W838" t="str">
            <v>MS: SRB - LONG SERVICE AWARD</v>
          </cell>
          <cell r="X838">
            <v>0</v>
          </cell>
          <cell r="Y838">
            <v>0</v>
          </cell>
          <cell r="Z838">
            <v>0</v>
          </cell>
          <cell r="AA838"/>
          <cell r="AB838">
            <v>0</v>
          </cell>
          <cell r="AC838">
            <v>0</v>
          </cell>
        </row>
        <row r="839">
          <cell r="F839" t="str">
            <v>MS: SRB - STANDBY ALLOWANCE</v>
          </cell>
          <cell r="G839" t="str">
            <v>P211056</v>
          </cell>
          <cell r="H839" t="str">
            <v>P211056</v>
          </cell>
          <cell r="I839" t="str">
            <v>501444</v>
          </cell>
          <cell r="J839">
            <v>50</v>
          </cell>
          <cell r="K839" t="str">
            <v>14</v>
          </cell>
          <cell r="L839" t="str">
            <v>44</v>
          </cell>
          <cell r="M839" t="str">
            <v>2</v>
          </cell>
          <cell r="N839" t="str">
            <v>11</v>
          </cell>
          <cell r="O839" t="str">
            <v>056</v>
          </cell>
          <cell r="P839" t="str">
            <v>0</v>
          </cell>
          <cell r="Q839">
            <v>18</v>
          </cell>
          <cell r="R839" t="str">
            <v>MRC</v>
          </cell>
          <cell r="S839" t="str">
            <v>ZZ</v>
          </cell>
          <cell r="T839">
            <v>11</v>
          </cell>
          <cell r="U839" t="str">
            <v>1444211056018MRCZZ11</v>
          </cell>
          <cell r="V839">
            <v>832</v>
          </cell>
          <cell r="W839" t="str">
            <v>MS: SRB - STANDBY ALLOWANCE</v>
          </cell>
          <cell r="X839">
            <v>1634762</v>
          </cell>
          <cell r="Y839">
            <v>1624078.31</v>
          </cell>
          <cell r="Z839">
            <v>1948893.9720000001</v>
          </cell>
          <cell r="AA839"/>
          <cell r="AB839">
            <v>1634762</v>
          </cell>
          <cell r="AC839">
            <v>1471285.8</v>
          </cell>
        </row>
        <row r="840">
          <cell r="F840" t="str">
            <v>MS: SOC CONTR - BARGAINING COUNCIL</v>
          </cell>
          <cell r="G840" t="str">
            <v>P213001</v>
          </cell>
          <cell r="H840" t="str">
            <v>P213001</v>
          </cell>
          <cell r="I840" t="str">
            <v>501444</v>
          </cell>
          <cell r="J840">
            <v>50</v>
          </cell>
          <cell r="K840" t="str">
            <v>14</v>
          </cell>
          <cell r="L840" t="str">
            <v>44</v>
          </cell>
          <cell r="M840" t="str">
            <v>2</v>
          </cell>
          <cell r="N840" t="str">
            <v>13</v>
          </cell>
          <cell r="O840" t="str">
            <v>001</v>
          </cell>
          <cell r="P840" t="str">
            <v>0</v>
          </cell>
          <cell r="Q840">
            <v>18</v>
          </cell>
          <cell r="R840" t="str">
            <v>MRC</v>
          </cell>
          <cell r="S840" t="str">
            <v>ZZ</v>
          </cell>
          <cell r="T840">
            <v>11</v>
          </cell>
          <cell r="U840" t="str">
            <v>1444213001018MRCZZ11</v>
          </cell>
          <cell r="V840">
            <v>833</v>
          </cell>
          <cell r="W840" t="str">
            <v>MS: SOC CONTR - BARGAINING COUNCIL</v>
          </cell>
          <cell r="X840">
            <v>8196</v>
          </cell>
          <cell r="Y840">
            <v>8590.2000000000007</v>
          </cell>
          <cell r="Z840">
            <v>10308.240000000002</v>
          </cell>
          <cell r="AA840"/>
          <cell r="AB840">
            <v>8196</v>
          </cell>
          <cell r="AC840">
            <v>10880.755200000018</v>
          </cell>
        </row>
        <row r="841">
          <cell r="F841" t="str">
            <v>MS: SOC CONTR - GROUP LIFE INSURANCE</v>
          </cell>
          <cell r="G841" t="str">
            <v>P213010</v>
          </cell>
          <cell r="H841" t="str">
            <v>P213010</v>
          </cell>
          <cell r="I841" t="str">
            <v>501444</v>
          </cell>
          <cell r="J841">
            <v>50</v>
          </cell>
          <cell r="K841" t="str">
            <v>14</v>
          </cell>
          <cell r="L841" t="str">
            <v>44</v>
          </cell>
          <cell r="M841" t="str">
            <v>2</v>
          </cell>
          <cell r="N841" t="str">
            <v>13</v>
          </cell>
          <cell r="O841" t="str">
            <v>010</v>
          </cell>
          <cell r="P841" t="str">
            <v>0</v>
          </cell>
          <cell r="Q841">
            <v>18</v>
          </cell>
          <cell r="R841" t="str">
            <v>MRC</v>
          </cell>
          <cell r="S841" t="str">
            <v>ZZ</v>
          </cell>
          <cell r="T841">
            <v>11</v>
          </cell>
          <cell r="U841" t="str">
            <v>1444213010018MRCZZ11</v>
          </cell>
          <cell r="V841">
            <v>834</v>
          </cell>
          <cell r="W841" t="str">
            <v>MS: SOC CONTR - GROUP LIFE INSURANCE</v>
          </cell>
          <cell r="X841">
            <v>197551</v>
          </cell>
          <cell r="Y841">
            <v>175749.82</v>
          </cell>
          <cell r="Z841">
            <v>210899.78399999999</v>
          </cell>
          <cell r="AA841"/>
          <cell r="AB841">
            <v>197551</v>
          </cell>
          <cell r="AC841">
            <v>348554.93203199963</v>
          </cell>
        </row>
        <row r="842">
          <cell r="F842" t="str">
            <v>MS: SOC CONTR - MEDICAL</v>
          </cell>
          <cell r="G842" t="str">
            <v>P213020</v>
          </cell>
          <cell r="H842" t="str">
            <v>P213020</v>
          </cell>
          <cell r="I842" t="str">
            <v>501444</v>
          </cell>
          <cell r="J842">
            <v>50</v>
          </cell>
          <cell r="K842" t="str">
            <v>14</v>
          </cell>
          <cell r="L842" t="str">
            <v>44</v>
          </cell>
          <cell r="M842" t="str">
            <v>2</v>
          </cell>
          <cell r="N842" t="str">
            <v>13</v>
          </cell>
          <cell r="O842" t="str">
            <v>020</v>
          </cell>
          <cell r="P842" t="str">
            <v>0</v>
          </cell>
          <cell r="Q842">
            <v>18</v>
          </cell>
          <cell r="R842" t="str">
            <v>MRC</v>
          </cell>
          <cell r="S842" t="str">
            <v>ZZ</v>
          </cell>
          <cell r="T842">
            <v>11</v>
          </cell>
          <cell r="U842" t="str">
            <v>1444213020018MRCZZ11</v>
          </cell>
          <cell r="V842">
            <v>835</v>
          </cell>
          <cell r="W842" t="str">
            <v>MS: SOC CONTR - MEDICAL</v>
          </cell>
          <cell r="X842">
            <v>2365006</v>
          </cell>
          <cell r="Y842">
            <v>2394268.44</v>
          </cell>
          <cell r="Z842">
            <v>2873122.1279999996</v>
          </cell>
          <cell r="AA842"/>
          <cell r="AB842">
            <v>2365006</v>
          </cell>
          <cell r="AC842">
            <v>5042247.5980800008</v>
          </cell>
        </row>
        <row r="843">
          <cell r="F843" t="str">
            <v>MS: SOC CONTR - PENSION</v>
          </cell>
          <cell r="G843" t="str">
            <v>P213030</v>
          </cell>
          <cell r="H843" t="str">
            <v>P213030</v>
          </cell>
          <cell r="I843" t="str">
            <v>501444</v>
          </cell>
          <cell r="J843">
            <v>50</v>
          </cell>
          <cell r="K843" t="str">
            <v>14</v>
          </cell>
          <cell r="L843" t="str">
            <v>44</v>
          </cell>
          <cell r="M843" t="str">
            <v>2</v>
          </cell>
          <cell r="N843" t="str">
            <v>13</v>
          </cell>
          <cell r="O843" t="str">
            <v>030</v>
          </cell>
          <cell r="P843" t="str">
            <v>0</v>
          </cell>
          <cell r="Q843">
            <v>18</v>
          </cell>
          <cell r="R843" t="str">
            <v>MRC</v>
          </cell>
          <cell r="S843" t="str">
            <v>ZZ</v>
          </cell>
          <cell r="T843">
            <v>11</v>
          </cell>
          <cell r="U843" t="str">
            <v>1444213030018MRCZZ11</v>
          </cell>
          <cell r="V843">
            <v>836</v>
          </cell>
          <cell r="W843" t="str">
            <v>MS: SOC CONTR - PENSION</v>
          </cell>
          <cell r="X843">
            <v>3201100</v>
          </cell>
          <cell r="Y843">
            <v>3238612.69</v>
          </cell>
          <cell r="Z843">
            <v>3886335.2279999997</v>
          </cell>
          <cell r="AA843"/>
          <cell r="AB843">
            <v>3201100</v>
          </cell>
          <cell r="AC843">
            <v>3704933.8951871931</v>
          </cell>
        </row>
        <row r="844">
          <cell r="F844" t="str">
            <v>MS: SOC CONTR - UNEMPLOYMENT INSUR FUND</v>
          </cell>
          <cell r="G844" t="str">
            <v>P213040</v>
          </cell>
          <cell r="H844" t="str">
            <v>P213040</v>
          </cell>
          <cell r="I844" t="str">
            <v>501444</v>
          </cell>
          <cell r="J844">
            <v>50</v>
          </cell>
          <cell r="K844" t="str">
            <v>14</v>
          </cell>
          <cell r="L844" t="str">
            <v>44</v>
          </cell>
          <cell r="M844" t="str">
            <v>2</v>
          </cell>
          <cell r="N844" t="str">
            <v>13</v>
          </cell>
          <cell r="O844" t="str">
            <v>040</v>
          </cell>
          <cell r="P844" t="str">
            <v>0</v>
          </cell>
          <cell r="Q844">
            <v>18</v>
          </cell>
          <cell r="R844" t="str">
            <v>MRC</v>
          </cell>
          <cell r="S844" t="str">
            <v>ZZ</v>
          </cell>
          <cell r="T844">
            <v>11</v>
          </cell>
          <cell r="U844" t="str">
            <v>1444213040018MRCZZ11</v>
          </cell>
          <cell r="V844">
            <v>837</v>
          </cell>
          <cell r="W844" t="str">
            <v>MS: SOC CONTR - UNEMPLOYMENT INSUR FUND</v>
          </cell>
          <cell r="X844">
            <v>123123</v>
          </cell>
          <cell r="Y844">
            <v>145790.28</v>
          </cell>
          <cell r="Z844">
            <v>174948.33600000001</v>
          </cell>
          <cell r="AA844"/>
          <cell r="AB844">
            <v>123123</v>
          </cell>
          <cell r="AC844">
            <v>187106.73408000014</v>
          </cell>
        </row>
        <row r="845">
          <cell r="F845" t="str">
            <v>OS: CATERING SERVICES(REFRESHMENTS)</v>
          </cell>
          <cell r="G845" t="str">
            <v>P226060</v>
          </cell>
          <cell r="H845" t="str">
            <v>P226060</v>
          </cell>
          <cell r="I845"/>
          <cell r="J845"/>
          <cell r="K845" t="str">
            <v>14</v>
          </cell>
          <cell r="L845" t="str">
            <v>44</v>
          </cell>
          <cell r="M845" t="str">
            <v>2</v>
          </cell>
          <cell r="N845" t="str">
            <v>26</v>
          </cell>
          <cell r="O845" t="str">
            <v>060</v>
          </cell>
          <cell r="P845" t="str">
            <v>H</v>
          </cell>
          <cell r="Q845">
            <v>18</v>
          </cell>
          <cell r="R845" t="str">
            <v>MRC</v>
          </cell>
          <cell r="S845" t="str">
            <v>ZZ</v>
          </cell>
          <cell r="T845">
            <v>11</v>
          </cell>
          <cell r="U845" t="str">
            <v>1444226060H18MRCZZ11</v>
          </cell>
          <cell r="V845">
            <v>838</v>
          </cell>
          <cell r="W845" t="str">
            <v>OS: CATERING SERVICES(REFRESHMENTS)</v>
          </cell>
          <cell r="X845">
            <v>0</v>
          </cell>
          <cell r="Y845">
            <v>0</v>
          </cell>
          <cell r="Z845">
            <v>0</v>
          </cell>
          <cell r="AA845"/>
          <cell r="AB845">
            <v>0</v>
          </cell>
          <cell r="AC845">
            <v>0</v>
          </cell>
        </row>
        <row r="846">
          <cell r="F846" t="str">
            <v>CONTR: MAINTENANCE OF EQUIPMENT</v>
          </cell>
          <cell r="G846" t="str">
            <v>P228361</v>
          </cell>
          <cell r="H846" t="str">
            <v>P228361</v>
          </cell>
          <cell r="I846"/>
          <cell r="J846"/>
          <cell r="K846" t="str">
            <v>14</v>
          </cell>
          <cell r="L846" t="str">
            <v>44</v>
          </cell>
          <cell r="M846" t="str">
            <v>2</v>
          </cell>
          <cell r="N846" t="str">
            <v>28</v>
          </cell>
          <cell r="O846" t="str">
            <v>361</v>
          </cell>
          <cell r="P846" t="str">
            <v>0</v>
          </cell>
          <cell r="Q846">
            <v>18</v>
          </cell>
          <cell r="R846" t="str">
            <v>NSP</v>
          </cell>
          <cell r="S846" t="str">
            <v>ZZ</v>
          </cell>
          <cell r="T846">
            <v>11</v>
          </cell>
          <cell r="U846" t="str">
            <v>1444228361018NSPZZ11</v>
          </cell>
          <cell r="V846">
            <v>839</v>
          </cell>
          <cell r="W846" t="str">
            <v>CONTR: MAINTENANCE OF EQUIPMENT</v>
          </cell>
          <cell r="X846">
            <v>0</v>
          </cell>
          <cell r="Y846">
            <v>0</v>
          </cell>
          <cell r="Z846">
            <v>0</v>
          </cell>
          <cell r="AA846"/>
          <cell r="AB846">
            <v>0</v>
          </cell>
          <cell r="AC846">
            <v>0</v>
          </cell>
        </row>
        <row r="847">
          <cell r="F847" t="str">
            <v>OC: ASSETS LESS THAN CAP THRESHOLD(TOOL</v>
          </cell>
          <cell r="G847" t="str">
            <v>P230452</v>
          </cell>
          <cell r="H847" t="str">
            <v>P230019</v>
          </cell>
          <cell r="I847"/>
          <cell r="J847"/>
          <cell r="K847" t="str">
            <v>14</v>
          </cell>
          <cell r="L847" t="str">
            <v>44</v>
          </cell>
          <cell r="M847" t="str">
            <v>2</v>
          </cell>
          <cell r="N847" t="str">
            <v>30</v>
          </cell>
          <cell r="O847" t="str">
            <v>019</v>
          </cell>
          <cell r="P847" t="str">
            <v>2</v>
          </cell>
          <cell r="Q847">
            <v>18</v>
          </cell>
          <cell r="R847" t="str">
            <v>MRC</v>
          </cell>
          <cell r="S847" t="str">
            <v>ZZ</v>
          </cell>
          <cell r="T847">
            <v>11</v>
          </cell>
          <cell r="U847" t="str">
            <v>1444230019218MRCZZ11</v>
          </cell>
          <cell r="V847">
            <v>840</v>
          </cell>
          <cell r="W847" t="str">
            <v>OC: ASSETS LESS THAN CAP THRESHOLD(TOOL</v>
          </cell>
          <cell r="X847">
            <v>12417</v>
          </cell>
          <cell r="Y847">
            <v>0</v>
          </cell>
          <cell r="Z847">
            <v>0</v>
          </cell>
          <cell r="AA847"/>
          <cell r="AB847">
            <v>12417</v>
          </cell>
          <cell r="AC847">
            <v>12500</v>
          </cell>
        </row>
        <row r="848">
          <cell r="F848" t="str">
            <v>OC: SKILLS DEVELOPMENT FUND LEVY</v>
          </cell>
          <cell r="G848" t="str">
            <v>P230452</v>
          </cell>
          <cell r="H848" t="str">
            <v>P230541</v>
          </cell>
          <cell r="I848"/>
          <cell r="J848"/>
          <cell r="K848" t="str">
            <v>14</v>
          </cell>
          <cell r="L848" t="str">
            <v>44</v>
          </cell>
          <cell r="M848" t="str">
            <v>2</v>
          </cell>
          <cell r="N848" t="str">
            <v>30</v>
          </cell>
          <cell r="O848" t="str">
            <v>541</v>
          </cell>
          <cell r="P848" t="str">
            <v>0</v>
          </cell>
          <cell r="Q848">
            <v>18</v>
          </cell>
          <cell r="R848" t="str">
            <v>MRC</v>
          </cell>
          <cell r="S848" t="str">
            <v>ZZ</v>
          </cell>
          <cell r="T848">
            <v>11</v>
          </cell>
          <cell r="U848" t="str">
            <v>1444230541018MRCZZ11</v>
          </cell>
          <cell r="V848">
            <v>841</v>
          </cell>
          <cell r="W848" t="str">
            <v>OC: SKILLS DEVELOPMENT FUND LEVY</v>
          </cell>
          <cell r="X848">
            <v>0</v>
          </cell>
          <cell r="Y848">
            <v>0</v>
          </cell>
          <cell r="Z848">
            <v>0</v>
          </cell>
          <cell r="AA848"/>
          <cell r="AB848">
            <v>0</v>
          </cell>
          <cell r="AC848">
            <v>0</v>
          </cell>
        </row>
        <row r="849">
          <cell r="F849" t="str">
            <v>OC: T&amp;S DOM - ACCOMMODATION</v>
          </cell>
          <cell r="G849" t="str">
            <v>P230452</v>
          </cell>
          <cell r="H849" t="str">
            <v>P230576</v>
          </cell>
          <cell r="I849"/>
          <cell r="J849"/>
          <cell r="K849" t="str">
            <v>14</v>
          </cell>
          <cell r="L849" t="str">
            <v>44</v>
          </cell>
          <cell r="M849" t="str">
            <v>2</v>
          </cell>
          <cell r="N849" t="str">
            <v>30</v>
          </cell>
          <cell r="O849" t="str">
            <v>576</v>
          </cell>
          <cell r="P849" t="str">
            <v>0</v>
          </cell>
          <cell r="Q849">
            <v>18</v>
          </cell>
          <cell r="R849" t="str">
            <v>MRC</v>
          </cell>
          <cell r="S849" t="str">
            <v>ZZ</v>
          </cell>
          <cell r="T849">
            <v>11</v>
          </cell>
          <cell r="U849" t="str">
            <v>1444230576018MRCZZ11</v>
          </cell>
          <cell r="V849">
            <v>842</v>
          </cell>
          <cell r="W849" t="str">
            <v>OC: T&amp;S DOM - ACCOMMODATION</v>
          </cell>
          <cell r="X849">
            <v>0</v>
          </cell>
          <cell r="Y849">
            <v>0</v>
          </cell>
          <cell r="Z849">
            <v>0</v>
          </cell>
          <cell r="AA849"/>
          <cell r="AB849">
            <v>0</v>
          </cell>
          <cell r="AC849">
            <v>0</v>
          </cell>
        </row>
        <row r="850">
          <cell r="F850" t="str">
            <v>OC: T&amp;S DOM - DAILY ALLOWANCE</v>
          </cell>
          <cell r="G850" t="str">
            <v>P230452</v>
          </cell>
          <cell r="H850" t="str">
            <v>P230577</v>
          </cell>
          <cell r="I850"/>
          <cell r="J850"/>
          <cell r="K850" t="str">
            <v>14</v>
          </cell>
          <cell r="L850" t="str">
            <v>44</v>
          </cell>
          <cell r="M850" t="str">
            <v>2</v>
          </cell>
          <cell r="N850" t="str">
            <v>30</v>
          </cell>
          <cell r="O850" t="str">
            <v>577</v>
          </cell>
          <cell r="P850" t="str">
            <v>0</v>
          </cell>
          <cell r="Q850">
            <v>18</v>
          </cell>
          <cell r="R850" t="str">
            <v>MRC</v>
          </cell>
          <cell r="S850" t="str">
            <v>ZZ</v>
          </cell>
          <cell r="T850">
            <v>11</v>
          </cell>
          <cell r="U850" t="str">
            <v>1444230577018MRCZZ11</v>
          </cell>
          <cell r="V850">
            <v>843</v>
          </cell>
          <cell r="W850" t="str">
            <v>OC: T&amp;S DOM - DAILY ALLOWANCE</v>
          </cell>
          <cell r="X850">
            <v>0</v>
          </cell>
          <cell r="Y850">
            <v>0</v>
          </cell>
          <cell r="Z850">
            <v>0</v>
          </cell>
          <cell r="AA850"/>
          <cell r="AB850">
            <v>0</v>
          </cell>
          <cell r="AC850">
            <v>0</v>
          </cell>
        </row>
        <row r="851">
          <cell r="F851" t="str">
            <v>OC: T&amp;S DOM TRP - WITHOUT OPR CAR RENTAL</v>
          </cell>
          <cell r="G851" t="str">
            <v>P230452</v>
          </cell>
          <cell r="H851" t="str">
            <v>P230580</v>
          </cell>
          <cell r="I851"/>
          <cell r="J851"/>
          <cell r="K851" t="str">
            <v>14</v>
          </cell>
          <cell r="L851" t="str">
            <v>44</v>
          </cell>
          <cell r="M851" t="str">
            <v>2</v>
          </cell>
          <cell r="N851" t="str">
            <v>30</v>
          </cell>
          <cell r="O851" t="str">
            <v>580</v>
          </cell>
          <cell r="P851" t="str">
            <v>0</v>
          </cell>
          <cell r="Q851">
            <v>18</v>
          </cell>
          <cell r="R851" t="str">
            <v>MRC</v>
          </cell>
          <cell r="S851" t="str">
            <v>ZZ</v>
          </cell>
          <cell r="T851">
            <v>11</v>
          </cell>
          <cell r="U851" t="str">
            <v>1444230580018MRCZZ11</v>
          </cell>
          <cell r="V851">
            <v>844</v>
          </cell>
          <cell r="W851" t="str">
            <v>OC: T&amp;S DOM TRP - WITHOUT OPR CAR RENTAL</v>
          </cell>
          <cell r="X851">
            <v>0</v>
          </cell>
          <cell r="Y851">
            <v>0</v>
          </cell>
          <cell r="Z851">
            <v>0</v>
          </cell>
          <cell r="AA851"/>
          <cell r="AB851">
            <v>0</v>
          </cell>
          <cell r="AC851">
            <v>0</v>
          </cell>
        </row>
        <row r="852">
          <cell r="F852" t="str">
            <v>OC: T&amp;S DOM PUB TRP - AIR TRANSPORT</v>
          </cell>
          <cell r="G852" t="str">
            <v>P230452</v>
          </cell>
          <cell r="H852" t="str">
            <v>P230583</v>
          </cell>
          <cell r="I852"/>
          <cell r="J852"/>
          <cell r="K852" t="str">
            <v>14</v>
          </cell>
          <cell r="L852" t="str">
            <v>44</v>
          </cell>
          <cell r="M852" t="str">
            <v>2</v>
          </cell>
          <cell r="N852" t="str">
            <v>30</v>
          </cell>
          <cell r="O852" t="str">
            <v>583</v>
          </cell>
          <cell r="P852" t="str">
            <v>0</v>
          </cell>
          <cell r="Q852">
            <v>18</v>
          </cell>
          <cell r="R852" t="str">
            <v>MRC</v>
          </cell>
          <cell r="S852" t="str">
            <v>ZZ</v>
          </cell>
          <cell r="T852">
            <v>11</v>
          </cell>
          <cell r="U852" t="str">
            <v>1444230583018MRCZZ11</v>
          </cell>
          <cell r="V852">
            <v>845</v>
          </cell>
          <cell r="W852" t="str">
            <v>OC: T&amp;S DOM PUB TRP - AIR TRANSPORT</v>
          </cell>
          <cell r="X852">
            <v>0</v>
          </cell>
          <cell r="Y852">
            <v>0</v>
          </cell>
          <cell r="Z852">
            <v>0</v>
          </cell>
          <cell r="AA852"/>
          <cell r="AB852">
            <v>0</v>
          </cell>
          <cell r="AC852">
            <v>0</v>
          </cell>
        </row>
        <row r="853">
          <cell r="F853" t="str">
            <v>OC: UNIFORM &amp; PROTECTIVE CLOTHING</v>
          </cell>
          <cell r="G853" t="str">
            <v>P230452</v>
          </cell>
          <cell r="H853" t="str">
            <v>P230610</v>
          </cell>
          <cell r="I853"/>
          <cell r="J853"/>
          <cell r="K853" t="str">
            <v>14</v>
          </cell>
          <cell r="L853" t="str">
            <v>44</v>
          </cell>
          <cell r="M853" t="str">
            <v>2</v>
          </cell>
          <cell r="N853" t="str">
            <v>30</v>
          </cell>
          <cell r="O853" t="str">
            <v>610</v>
          </cell>
          <cell r="P853" t="str">
            <v>0</v>
          </cell>
          <cell r="Q853">
            <v>18</v>
          </cell>
          <cell r="R853" t="str">
            <v>MRC</v>
          </cell>
          <cell r="S853" t="str">
            <v>ZZ</v>
          </cell>
          <cell r="T853">
            <v>11</v>
          </cell>
          <cell r="U853" t="str">
            <v>1444230610018MRCZZ11</v>
          </cell>
          <cell r="V853">
            <v>846</v>
          </cell>
          <cell r="W853" t="str">
            <v>OC: UNIFORM &amp; PROTECTIVE CLOTHING</v>
          </cell>
          <cell r="X853">
            <v>76677</v>
          </cell>
          <cell r="Y853">
            <v>59792.32</v>
          </cell>
          <cell r="Z853">
            <v>71750.784</v>
          </cell>
          <cell r="AA853"/>
          <cell r="AB853">
            <v>76677</v>
          </cell>
          <cell r="AC853">
            <v>80357.495999999999</v>
          </cell>
        </row>
        <row r="854">
          <cell r="F854" t="str">
            <v>INVENTORY - MATERIALS &amp; SUPPLIES(PRINT&amp;</v>
          </cell>
          <cell r="G854" t="str">
            <v>P232360</v>
          </cell>
          <cell r="H854" t="str">
            <v>P232360</v>
          </cell>
          <cell r="I854"/>
          <cell r="J854"/>
          <cell r="K854" t="str">
            <v>14</v>
          </cell>
          <cell r="L854" t="str">
            <v>44</v>
          </cell>
          <cell r="M854" t="str">
            <v>2</v>
          </cell>
          <cell r="N854" t="str">
            <v>32</v>
          </cell>
          <cell r="O854" t="str">
            <v>360</v>
          </cell>
          <cell r="P854" t="str">
            <v>D</v>
          </cell>
          <cell r="Q854">
            <v>18</v>
          </cell>
          <cell r="R854" t="str">
            <v>MRC</v>
          </cell>
          <cell r="S854" t="str">
            <v>ZZ</v>
          </cell>
          <cell r="T854">
            <v>11</v>
          </cell>
          <cell r="U854" t="str">
            <v>1444232360D18MRCZZ11</v>
          </cell>
          <cell r="V854">
            <v>847</v>
          </cell>
          <cell r="W854" t="str">
            <v>INVENTORY - MATERIALS &amp; SUPPLIES(PRINT&amp;</v>
          </cell>
          <cell r="X854">
            <v>21599</v>
          </cell>
          <cell r="Y854">
            <v>21429.61</v>
          </cell>
          <cell r="Z854">
            <v>25715.532000000003</v>
          </cell>
          <cell r="AA854"/>
          <cell r="AB854">
            <v>21599</v>
          </cell>
          <cell r="AC854">
            <v>20000</v>
          </cell>
        </row>
        <row r="855">
          <cell r="F855" t="str">
            <v>INVENTORY - MATERIALS &amp; SUPPLIES(PRINT&amp;</v>
          </cell>
          <cell r="G855" t="str">
            <v>P232360</v>
          </cell>
          <cell r="H855" t="str">
            <v>P232360</v>
          </cell>
          <cell r="I855"/>
          <cell r="J855"/>
          <cell r="K855" t="str">
            <v>14</v>
          </cell>
          <cell r="L855" t="str">
            <v>44</v>
          </cell>
          <cell r="M855" t="str">
            <v>2</v>
          </cell>
          <cell r="N855" t="str">
            <v>32</v>
          </cell>
          <cell r="O855" t="str">
            <v>360</v>
          </cell>
          <cell r="P855" t="str">
            <v>F</v>
          </cell>
          <cell r="Q855">
            <v>18</v>
          </cell>
          <cell r="R855" t="str">
            <v>MRC</v>
          </cell>
          <cell r="S855" t="str">
            <v>ZZ</v>
          </cell>
          <cell r="T855">
            <v>11</v>
          </cell>
          <cell r="U855" t="str">
            <v>1444232360F18MRCZZ11</v>
          </cell>
          <cell r="V855">
            <v>848</v>
          </cell>
          <cell r="W855" t="str">
            <v>INVENTORY - MATERIALS &amp; SUPPLIES(PRINT&amp;</v>
          </cell>
          <cell r="X855">
            <v>0</v>
          </cell>
          <cell r="Y855">
            <v>0</v>
          </cell>
          <cell r="Z855">
            <v>0</v>
          </cell>
          <cell r="AA855"/>
          <cell r="AB855">
            <v>0</v>
          </cell>
          <cell r="AC855">
            <v>0</v>
          </cell>
        </row>
        <row r="856">
          <cell r="F856" t="str">
            <v>INVENTORY - MATERIALS &amp; SUPPLIES(R&amp;M)</v>
          </cell>
          <cell r="G856" t="str">
            <v>P232360</v>
          </cell>
          <cell r="H856" t="str">
            <v>P232360</v>
          </cell>
          <cell r="I856"/>
          <cell r="J856"/>
          <cell r="K856" t="str">
            <v>14</v>
          </cell>
          <cell r="L856" t="str">
            <v>44</v>
          </cell>
          <cell r="M856" t="str">
            <v>2</v>
          </cell>
          <cell r="N856" t="str">
            <v>32</v>
          </cell>
          <cell r="O856" t="str">
            <v>360</v>
          </cell>
          <cell r="P856" t="str">
            <v>G</v>
          </cell>
          <cell r="Q856">
            <v>18</v>
          </cell>
          <cell r="R856" t="str">
            <v>MRC</v>
          </cell>
          <cell r="S856" t="str">
            <v>ZZ</v>
          </cell>
          <cell r="T856">
            <v>11</v>
          </cell>
          <cell r="U856" t="str">
            <v>1444232360G18MRCZZ11</v>
          </cell>
          <cell r="V856">
            <v>849</v>
          </cell>
          <cell r="W856" t="str">
            <v>INVENTORY - MATERIALS &amp; SUPPLIES(R&amp;M)</v>
          </cell>
          <cell r="X856">
            <v>2287528</v>
          </cell>
          <cell r="Y856">
            <v>1626316.76</v>
          </cell>
          <cell r="Z856">
            <v>1951580.1120000002</v>
          </cell>
          <cell r="AA856"/>
          <cell r="AB856">
            <v>2287528</v>
          </cell>
          <cell r="AC856">
            <v>2897329.344</v>
          </cell>
        </row>
        <row r="857">
          <cell r="F857" t="str">
            <v>INVENTORY - MATERIALS &amp; SUPPLIES(STOCK &amp;</v>
          </cell>
          <cell r="G857" t="str">
            <v>P232360</v>
          </cell>
          <cell r="H857" t="str">
            <v>P232360</v>
          </cell>
          <cell r="I857"/>
          <cell r="J857"/>
          <cell r="K857" t="str">
            <v>14</v>
          </cell>
          <cell r="L857" t="str">
            <v>44</v>
          </cell>
          <cell r="M857" t="str">
            <v>2</v>
          </cell>
          <cell r="N857" t="str">
            <v>32</v>
          </cell>
          <cell r="O857" t="str">
            <v>360</v>
          </cell>
          <cell r="P857" t="str">
            <v>R</v>
          </cell>
          <cell r="Q857">
            <v>18</v>
          </cell>
          <cell r="R857" t="str">
            <v>MRC</v>
          </cell>
          <cell r="S857" t="str">
            <v>ZZ</v>
          </cell>
          <cell r="T857">
            <v>11</v>
          </cell>
          <cell r="U857" t="str">
            <v>1444232360R18MRCZZ11</v>
          </cell>
          <cell r="V857">
            <v>850</v>
          </cell>
          <cell r="W857" t="str">
            <v>INVENTORY - MATERIALS &amp; SUPPLIES(STOCK &amp;</v>
          </cell>
          <cell r="X857">
            <v>3745</v>
          </cell>
          <cell r="Y857">
            <v>3190</v>
          </cell>
          <cell r="Z857">
            <v>3828</v>
          </cell>
          <cell r="AA857"/>
          <cell r="AB857">
            <v>3745</v>
          </cell>
          <cell r="AC857">
            <v>5000</v>
          </cell>
        </row>
        <row r="858">
          <cell r="F858" t="str">
            <v>DEPRECIATION FURNITURE &amp; OFFICE EQUIPM</v>
          </cell>
          <cell r="G858" t="str">
            <v>P272150</v>
          </cell>
          <cell r="H858" t="str">
            <v>P272150</v>
          </cell>
          <cell r="I858"/>
          <cell r="J858"/>
          <cell r="K858" t="str">
            <v>14</v>
          </cell>
          <cell r="L858" t="str">
            <v>44</v>
          </cell>
          <cell r="M858" t="str">
            <v>2</v>
          </cell>
          <cell r="N858" t="str">
            <v>72</v>
          </cell>
          <cell r="O858" t="str">
            <v>150</v>
          </cell>
          <cell r="P858" t="str">
            <v>0</v>
          </cell>
          <cell r="Q858">
            <v>18</v>
          </cell>
          <cell r="R858" t="str">
            <v>MRC</v>
          </cell>
          <cell r="S858" t="str">
            <v>ZZ</v>
          </cell>
          <cell r="T858">
            <v>11</v>
          </cell>
          <cell r="U858" t="str">
            <v>1444272150018MRCZZ11</v>
          </cell>
          <cell r="V858">
            <v>851</v>
          </cell>
          <cell r="W858" t="str">
            <v>DEPRECIATION FURNITURE &amp; OFFICE EQUIPM</v>
          </cell>
          <cell r="X858">
            <v>0</v>
          </cell>
          <cell r="Y858">
            <v>0</v>
          </cell>
          <cell r="Z858">
            <v>0</v>
          </cell>
          <cell r="AA858"/>
          <cell r="AB858">
            <v>0</v>
          </cell>
          <cell r="AC858">
            <v>0</v>
          </cell>
        </row>
        <row r="859">
          <cell r="F859" t="str">
            <v>DEPRECIATION  TRANSPORT ASSETS</v>
          </cell>
          <cell r="G859" t="str">
            <v>P272150</v>
          </cell>
          <cell r="H859" t="str">
            <v>P272570</v>
          </cell>
          <cell r="I859"/>
          <cell r="J859"/>
          <cell r="K859" t="str">
            <v>14</v>
          </cell>
          <cell r="L859" t="str">
            <v>44</v>
          </cell>
          <cell r="M859" t="str">
            <v>2</v>
          </cell>
          <cell r="N859" t="str">
            <v>72</v>
          </cell>
          <cell r="O859" t="str">
            <v>570</v>
          </cell>
          <cell r="P859" t="str">
            <v>0</v>
          </cell>
          <cell r="Q859">
            <v>18</v>
          </cell>
          <cell r="R859" t="str">
            <v>MRC</v>
          </cell>
          <cell r="S859" t="str">
            <v>ZZ</v>
          </cell>
          <cell r="T859">
            <v>11</v>
          </cell>
          <cell r="U859" t="str">
            <v>1444272570018MRCZZ11</v>
          </cell>
          <cell r="V859">
            <v>852</v>
          </cell>
          <cell r="W859" t="str">
            <v>DEPRECIATION  TRANSPORT ASSETS</v>
          </cell>
          <cell r="X859">
            <v>0</v>
          </cell>
          <cell r="Y859">
            <v>0</v>
          </cell>
          <cell r="Z859">
            <v>0</v>
          </cell>
          <cell r="AA859"/>
          <cell r="AB859">
            <v>0</v>
          </cell>
          <cell r="AC859">
            <v>0</v>
          </cell>
        </row>
        <row r="860">
          <cell r="F860" t="str">
            <v>S/LIGHTS REPLACE POLE TRNS POLES SECTION</v>
          </cell>
          <cell r="G860" t="str">
            <v>P652302P36</v>
          </cell>
          <cell r="H860">
            <v>0</v>
          </cell>
          <cell r="I860"/>
          <cell r="J860"/>
          <cell r="K860" t="str">
            <v>14</v>
          </cell>
          <cell r="L860" t="str">
            <v>44</v>
          </cell>
          <cell r="M860" t="str">
            <v>6</v>
          </cell>
          <cell r="N860" t="str">
            <v>52</v>
          </cell>
          <cell r="O860" t="str">
            <v>302</v>
          </cell>
          <cell r="P860" t="str">
            <v>0</v>
          </cell>
          <cell r="Q860">
            <v>81</v>
          </cell>
          <cell r="R860" t="str">
            <v>P36</v>
          </cell>
          <cell r="S860" t="str">
            <v>ZZ</v>
          </cell>
          <cell r="T860">
            <v>11</v>
          </cell>
          <cell r="U860" t="str">
            <v>1444652302081P36ZZ11</v>
          </cell>
          <cell r="V860">
            <v>853</v>
          </cell>
          <cell r="W860" t="str">
            <v>S/LIGHTS REPLACE POLE TRNS POLES SECTION</v>
          </cell>
          <cell r="X860">
            <v>0</v>
          </cell>
          <cell r="Y860">
            <v>0</v>
          </cell>
          <cell r="Z860">
            <v>0</v>
          </cell>
          <cell r="AA860"/>
          <cell r="AB860">
            <v>0</v>
          </cell>
          <cell r="AC860">
            <v>0</v>
          </cell>
        </row>
        <row r="861">
          <cell r="F861" t="str">
            <v>S/LIGHTS REPLACE POLE TRNS POLES SECTION</v>
          </cell>
          <cell r="G861" t="str">
            <v>P652302P36</v>
          </cell>
          <cell r="H861" t="str">
            <v>P652302P36</v>
          </cell>
          <cell r="I861"/>
          <cell r="J861"/>
          <cell r="K861" t="str">
            <v>14</v>
          </cell>
          <cell r="L861" t="str">
            <v>44</v>
          </cell>
          <cell r="M861" t="str">
            <v>6</v>
          </cell>
          <cell r="N861" t="str">
            <v>52</v>
          </cell>
          <cell r="O861" t="str">
            <v>302</v>
          </cell>
          <cell r="P861" t="str">
            <v>0</v>
          </cell>
          <cell r="Q861" t="str">
            <v>CF</v>
          </cell>
          <cell r="R861" t="str">
            <v>P36</v>
          </cell>
          <cell r="S861" t="str">
            <v>ZZ</v>
          </cell>
          <cell r="T861">
            <v>11</v>
          </cell>
          <cell r="U861" t="str">
            <v>14446523020CFP36ZZ11</v>
          </cell>
          <cell r="V861">
            <v>854</v>
          </cell>
          <cell r="W861" t="str">
            <v>S/LIGHTS REPLACE POLE TRNS POLES SECTION</v>
          </cell>
          <cell r="X861">
            <v>2077195</v>
          </cell>
          <cell r="Y861">
            <v>1925901.14</v>
          </cell>
          <cell r="Z861">
            <v>2311081.3679999998</v>
          </cell>
          <cell r="AA861"/>
          <cell r="AB861">
            <v>2077195</v>
          </cell>
          <cell r="AC861">
            <v>2176900.36</v>
          </cell>
        </row>
        <row r="862">
          <cell r="F862" t="str">
            <v>MS: SAL &amp; ALL: BASIC SALARY &amp; WAGES</v>
          </cell>
          <cell r="G862" t="str">
            <v>P211001</v>
          </cell>
          <cell r="H862" t="str">
            <v>P211001</v>
          </cell>
          <cell r="I862" t="str">
            <v>501445</v>
          </cell>
          <cell r="J862">
            <v>50</v>
          </cell>
          <cell r="K862" t="str">
            <v>14</v>
          </cell>
          <cell r="L862" t="str">
            <v>45</v>
          </cell>
          <cell r="M862" t="str">
            <v>2</v>
          </cell>
          <cell r="N862" t="str">
            <v>11</v>
          </cell>
          <cell r="O862" t="str">
            <v>001</v>
          </cell>
          <cell r="P862" t="str">
            <v>0</v>
          </cell>
          <cell r="Q862">
            <v>18</v>
          </cell>
          <cell r="R862" t="str">
            <v>MRC</v>
          </cell>
          <cell r="S862" t="str">
            <v>ZZ</v>
          </cell>
          <cell r="T862">
            <v>11</v>
          </cell>
          <cell r="U862" t="str">
            <v>1445211001018MRCZZ11</v>
          </cell>
          <cell r="V862">
            <v>855</v>
          </cell>
          <cell r="W862" t="str">
            <v>MS: SAL &amp; ALL: BASIC SALARY &amp; WAGES</v>
          </cell>
          <cell r="X862">
            <v>16171535</v>
          </cell>
          <cell r="Y862">
            <v>21778653.579999998</v>
          </cell>
          <cell r="Z862">
            <v>26134384.296</v>
          </cell>
          <cell r="AA862"/>
          <cell r="AB862">
            <v>16171535</v>
          </cell>
          <cell r="AC862">
            <v>26575284.608000003</v>
          </cell>
        </row>
        <row r="863">
          <cell r="F863" t="str">
            <v>MS: ALL - CELLULAR &amp; TELEPHONE</v>
          </cell>
          <cell r="G863" t="str">
            <v>P211022</v>
          </cell>
          <cell r="H863" t="str">
            <v>P211022</v>
          </cell>
          <cell r="I863" t="str">
            <v>501445</v>
          </cell>
          <cell r="J863">
            <v>50</v>
          </cell>
          <cell r="K863" t="str">
            <v>14</v>
          </cell>
          <cell r="L863" t="str">
            <v>45</v>
          </cell>
          <cell r="M863" t="str">
            <v>2</v>
          </cell>
          <cell r="N863" t="str">
            <v>11</v>
          </cell>
          <cell r="O863" t="str">
            <v>022</v>
          </cell>
          <cell r="P863" t="str">
            <v>0</v>
          </cell>
          <cell r="Q863">
            <v>18</v>
          </cell>
          <cell r="R863" t="str">
            <v>MRC</v>
          </cell>
          <cell r="S863" t="str">
            <v>ZZ</v>
          </cell>
          <cell r="T863">
            <v>11</v>
          </cell>
          <cell r="U863" t="str">
            <v>1445211022018MRCZZ11</v>
          </cell>
          <cell r="V863">
            <v>856</v>
          </cell>
          <cell r="W863" t="str">
            <v>MS: ALL - CELLULAR &amp; TELEPHONE</v>
          </cell>
          <cell r="X863">
            <v>67779</v>
          </cell>
          <cell r="Y863">
            <v>56250</v>
          </cell>
          <cell r="Z863">
            <v>67500</v>
          </cell>
          <cell r="AA863"/>
          <cell r="AB863">
            <v>67779</v>
          </cell>
          <cell r="AC863">
            <v>72312</v>
          </cell>
        </row>
        <row r="864">
          <cell r="F864" t="str">
            <v>MS: HB &amp; INC: HOUSING BENEFITS</v>
          </cell>
          <cell r="G864" t="str">
            <v>P211026</v>
          </cell>
          <cell r="H864" t="str">
            <v>P211026</v>
          </cell>
          <cell r="I864" t="str">
            <v>501445</v>
          </cell>
          <cell r="J864">
            <v>50</v>
          </cell>
          <cell r="K864" t="str">
            <v>14</v>
          </cell>
          <cell r="L864" t="str">
            <v>45</v>
          </cell>
          <cell r="M864" t="str">
            <v>2</v>
          </cell>
          <cell r="N864" t="str">
            <v>11</v>
          </cell>
          <cell r="O864" t="str">
            <v>026</v>
          </cell>
          <cell r="P864" t="str">
            <v>0</v>
          </cell>
          <cell r="Q864">
            <v>18</v>
          </cell>
          <cell r="R864" t="str">
            <v>MRC</v>
          </cell>
          <cell r="S864" t="str">
            <v>ZZ</v>
          </cell>
          <cell r="T864">
            <v>11</v>
          </cell>
          <cell r="U864" t="str">
            <v>1445211026018MRCZZ11</v>
          </cell>
          <cell r="V864">
            <v>857</v>
          </cell>
          <cell r="W864" t="str">
            <v>MS: HB &amp; INC: HOUSING BENEFITS</v>
          </cell>
          <cell r="X864">
            <v>204913</v>
          </cell>
          <cell r="Y864">
            <v>205440.63</v>
          </cell>
          <cell r="Z864">
            <v>246528.75600000002</v>
          </cell>
          <cell r="AA864"/>
          <cell r="AB864">
            <v>204913</v>
          </cell>
          <cell r="AC864">
            <v>873336.79871999985</v>
          </cell>
        </row>
        <row r="865">
          <cell r="F865" t="str">
            <v>MS: ALL - LEAVE PAY</v>
          </cell>
          <cell r="G865" t="str">
            <v>P211032</v>
          </cell>
          <cell r="H865" t="str">
            <v>P211032</v>
          </cell>
          <cell r="I865" t="str">
            <v>501445</v>
          </cell>
          <cell r="J865">
            <v>50</v>
          </cell>
          <cell r="K865" t="str">
            <v>14</v>
          </cell>
          <cell r="L865" t="str">
            <v>45</v>
          </cell>
          <cell r="M865" t="str">
            <v>2</v>
          </cell>
          <cell r="N865" t="str">
            <v>11</v>
          </cell>
          <cell r="O865" t="str">
            <v>032</v>
          </cell>
          <cell r="P865" t="str">
            <v>0</v>
          </cell>
          <cell r="Q865">
            <v>18</v>
          </cell>
          <cell r="R865" t="str">
            <v>MRC</v>
          </cell>
          <cell r="S865" t="str">
            <v>ZZ</v>
          </cell>
          <cell r="T865">
            <v>11</v>
          </cell>
          <cell r="U865" t="str">
            <v>1445211032018MRCZZ11</v>
          </cell>
          <cell r="V865">
            <v>858</v>
          </cell>
          <cell r="W865" t="str">
            <v>MS: ALL - LEAVE PAY</v>
          </cell>
          <cell r="X865">
            <v>0</v>
          </cell>
          <cell r="Y865">
            <v>0</v>
          </cell>
          <cell r="Z865">
            <v>0</v>
          </cell>
          <cell r="AA865"/>
          <cell r="AB865">
            <v>0</v>
          </cell>
          <cell r="AC865">
            <v>0</v>
          </cell>
        </row>
        <row r="866">
          <cell r="F866" t="str">
            <v>MS: ALL - TRAVEL OR MOTOR VEHICLE</v>
          </cell>
          <cell r="G866" t="str">
            <v>P211034</v>
          </cell>
          <cell r="H866" t="str">
            <v>P211034</v>
          </cell>
          <cell r="I866" t="str">
            <v>501445</v>
          </cell>
          <cell r="J866">
            <v>50</v>
          </cell>
          <cell r="K866" t="str">
            <v>14</v>
          </cell>
          <cell r="L866" t="str">
            <v>45</v>
          </cell>
          <cell r="M866" t="str">
            <v>2</v>
          </cell>
          <cell r="N866" t="str">
            <v>11</v>
          </cell>
          <cell r="O866" t="str">
            <v>034</v>
          </cell>
          <cell r="P866" t="str">
            <v>0</v>
          </cell>
          <cell r="Q866">
            <v>18</v>
          </cell>
          <cell r="R866" t="str">
            <v>MRC</v>
          </cell>
          <cell r="S866" t="str">
            <v>ZZ</v>
          </cell>
          <cell r="T866">
            <v>11</v>
          </cell>
          <cell r="U866" t="str">
            <v>1445211034018MRCZZ11</v>
          </cell>
          <cell r="V866">
            <v>859</v>
          </cell>
          <cell r="W866" t="str">
            <v>MS: ALL - TRAVEL OR MOTOR VEHICLE</v>
          </cell>
          <cell r="X866">
            <v>6218</v>
          </cell>
          <cell r="Y866">
            <v>0</v>
          </cell>
          <cell r="Z866">
            <v>0</v>
          </cell>
          <cell r="AA866"/>
          <cell r="AB866">
            <v>6218</v>
          </cell>
          <cell r="AC866">
            <v>0</v>
          </cell>
        </row>
        <row r="867">
          <cell r="F867" t="str">
            <v>MS: ALL - TRAVEL OR MOTOR VEHICLE (SUBS</v>
          </cell>
          <cell r="G867" t="str">
            <v>P211034</v>
          </cell>
          <cell r="H867" t="str">
            <v>P211034</v>
          </cell>
          <cell r="I867" t="str">
            <v>501445</v>
          </cell>
          <cell r="J867">
            <v>50</v>
          </cell>
          <cell r="K867" t="str">
            <v>14</v>
          </cell>
          <cell r="L867" t="str">
            <v>45</v>
          </cell>
          <cell r="M867" t="str">
            <v>2</v>
          </cell>
          <cell r="N867" t="str">
            <v>11</v>
          </cell>
          <cell r="O867" t="str">
            <v>034</v>
          </cell>
          <cell r="P867" t="str">
            <v>1</v>
          </cell>
          <cell r="Q867">
            <v>18</v>
          </cell>
          <cell r="R867" t="str">
            <v>MRC</v>
          </cell>
          <cell r="S867" t="str">
            <v>ZZ</v>
          </cell>
          <cell r="T867">
            <v>11</v>
          </cell>
          <cell r="U867" t="str">
            <v>1445211034118MRCZZ11</v>
          </cell>
          <cell r="V867">
            <v>860</v>
          </cell>
          <cell r="W867" t="str">
            <v>MS: ALL - TRAVEL OR MOTOR VEHICLE (SUBS</v>
          </cell>
          <cell r="X867">
            <v>2644858</v>
          </cell>
          <cell r="Y867">
            <v>3384593.95</v>
          </cell>
          <cell r="Z867">
            <v>4061512.74</v>
          </cell>
          <cell r="AA867"/>
          <cell r="AB867">
            <v>2644858</v>
          </cell>
          <cell r="AC867">
            <v>223450.63</v>
          </cell>
        </row>
        <row r="868">
          <cell r="F868" t="str">
            <v>MS: OVERTIME - NON STRUCTURED</v>
          </cell>
          <cell r="G868" t="str">
            <v>P211036</v>
          </cell>
          <cell r="H868" t="str">
            <v>P211036</v>
          </cell>
          <cell r="I868" t="str">
            <v>501445</v>
          </cell>
          <cell r="J868">
            <v>50</v>
          </cell>
          <cell r="K868" t="str">
            <v>14</v>
          </cell>
          <cell r="L868" t="str">
            <v>45</v>
          </cell>
          <cell r="M868" t="str">
            <v>2</v>
          </cell>
          <cell r="N868" t="str">
            <v>11</v>
          </cell>
          <cell r="O868" t="str">
            <v>036</v>
          </cell>
          <cell r="P868" t="str">
            <v>0</v>
          </cell>
          <cell r="Q868">
            <v>18</v>
          </cell>
          <cell r="R868" t="str">
            <v>MRC</v>
          </cell>
          <cell r="S868" t="str">
            <v>ZZ</v>
          </cell>
          <cell r="T868">
            <v>11</v>
          </cell>
          <cell r="U868" t="str">
            <v>1445211036018MRCZZ11</v>
          </cell>
          <cell r="V868">
            <v>861</v>
          </cell>
          <cell r="W868" t="str">
            <v>MS: OVERTIME - NON STRUCTURED</v>
          </cell>
          <cell r="X868">
            <v>0</v>
          </cell>
          <cell r="Y868">
            <v>0</v>
          </cell>
          <cell r="Z868">
            <v>0</v>
          </cell>
          <cell r="AA868"/>
          <cell r="AB868">
            <v>0</v>
          </cell>
          <cell r="AC868">
            <v>0</v>
          </cell>
        </row>
        <row r="869">
          <cell r="F869" t="str">
            <v>MS: OVERTIME - STRUCTURED</v>
          </cell>
          <cell r="G869" t="str">
            <v>P211038</v>
          </cell>
          <cell r="H869" t="str">
            <v>P211038</v>
          </cell>
          <cell r="I869" t="str">
            <v>501445</v>
          </cell>
          <cell r="J869">
            <v>50</v>
          </cell>
          <cell r="K869" t="str">
            <v>14</v>
          </cell>
          <cell r="L869" t="str">
            <v>45</v>
          </cell>
          <cell r="M869" t="str">
            <v>2</v>
          </cell>
          <cell r="N869" t="str">
            <v>11</v>
          </cell>
          <cell r="O869" t="str">
            <v>038</v>
          </cell>
          <cell r="P869" t="str">
            <v>0</v>
          </cell>
          <cell r="Q869">
            <v>18</v>
          </cell>
          <cell r="R869" t="str">
            <v>MRC</v>
          </cell>
          <cell r="S869" t="str">
            <v>ZZ</v>
          </cell>
          <cell r="T869">
            <v>11</v>
          </cell>
          <cell r="U869" t="str">
            <v>1445211038018MRCZZ11</v>
          </cell>
          <cell r="V869">
            <v>862</v>
          </cell>
          <cell r="W869" t="str">
            <v>MS: OVERTIME - STRUCTURED</v>
          </cell>
          <cell r="X869">
            <v>3773643</v>
          </cell>
          <cell r="Y869">
            <v>3710261.52</v>
          </cell>
          <cell r="Z869">
            <v>4452313.824</v>
          </cell>
          <cell r="AA869"/>
          <cell r="AB869">
            <v>3773643</v>
          </cell>
          <cell r="AC869">
            <v>3396278.7</v>
          </cell>
        </row>
        <row r="870">
          <cell r="F870" t="str">
            <v>MS: PAYMENTS - SHIFT ADD REMUNERATION</v>
          </cell>
          <cell r="G870" t="str">
            <v>P211040</v>
          </cell>
          <cell r="H870" t="str">
            <v>P211040</v>
          </cell>
          <cell r="I870" t="str">
            <v>501445</v>
          </cell>
          <cell r="J870">
            <v>50</v>
          </cell>
          <cell r="K870" t="str">
            <v>14</v>
          </cell>
          <cell r="L870" t="str">
            <v>45</v>
          </cell>
          <cell r="M870" t="str">
            <v>2</v>
          </cell>
          <cell r="N870" t="str">
            <v>11</v>
          </cell>
          <cell r="O870" t="str">
            <v>040</v>
          </cell>
          <cell r="P870" t="str">
            <v>0</v>
          </cell>
          <cell r="Q870">
            <v>18</v>
          </cell>
          <cell r="R870" t="str">
            <v>MRC</v>
          </cell>
          <cell r="S870" t="str">
            <v>ZZ</v>
          </cell>
          <cell r="T870">
            <v>11</v>
          </cell>
          <cell r="U870" t="str">
            <v>1445211040018MRCZZ11</v>
          </cell>
          <cell r="V870">
            <v>863</v>
          </cell>
          <cell r="W870" t="str">
            <v>MS: PAYMENTS - SHIFT ADD REMUNERATION</v>
          </cell>
          <cell r="X870">
            <v>1646540</v>
          </cell>
          <cell r="Y870">
            <v>1686026.91</v>
          </cell>
          <cell r="Z870">
            <v>2023232.2919999999</v>
          </cell>
          <cell r="AA870"/>
          <cell r="AB870">
            <v>1646540</v>
          </cell>
          <cell r="AC870">
            <v>1234905</v>
          </cell>
        </row>
        <row r="871">
          <cell r="F871" t="str">
            <v>MS: OVERTIME - NIGHT SHIFT</v>
          </cell>
          <cell r="G871" t="str">
            <v>P211042</v>
          </cell>
          <cell r="H871" t="str">
            <v>P211042</v>
          </cell>
          <cell r="I871" t="str">
            <v>501445</v>
          </cell>
          <cell r="J871">
            <v>50</v>
          </cell>
          <cell r="K871" t="str">
            <v>14</v>
          </cell>
          <cell r="L871" t="str">
            <v>45</v>
          </cell>
          <cell r="M871" t="str">
            <v>2</v>
          </cell>
          <cell r="N871" t="str">
            <v>11</v>
          </cell>
          <cell r="O871" t="str">
            <v>042</v>
          </cell>
          <cell r="P871" t="str">
            <v>0</v>
          </cell>
          <cell r="Q871">
            <v>18</v>
          </cell>
          <cell r="R871" t="str">
            <v>MRC</v>
          </cell>
          <cell r="S871" t="str">
            <v>ZZ</v>
          </cell>
          <cell r="T871">
            <v>11</v>
          </cell>
          <cell r="U871" t="str">
            <v>1445211042018MRCZZ11</v>
          </cell>
          <cell r="V871">
            <v>864</v>
          </cell>
          <cell r="W871" t="str">
            <v>MS: OVERTIME - NIGHT SHIFT</v>
          </cell>
          <cell r="X871">
            <v>192986</v>
          </cell>
          <cell r="Y871">
            <v>198181.81</v>
          </cell>
          <cell r="Z871">
            <v>237818.17200000002</v>
          </cell>
          <cell r="AA871"/>
          <cell r="AB871">
            <v>192986</v>
          </cell>
          <cell r="AC871">
            <v>173687.4</v>
          </cell>
        </row>
        <row r="872">
          <cell r="F872" t="str">
            <v>MS: SRB - ACTING ALLOWANCE</v>
          </cell>
          <cell r="G872" t="str">
            <v>P211044</v>
          </cell>
          <cell r="H872" t="str">
            <v>P211044</v>
          </cell>
          <cell r="I872" t="str">
            <v>501445</v>
          </cell>
          <cell r="J872">
            <v>50</v>
          </cell>
          <cell r="K872" t="str">
            <v>14</v>
          </cell>
          <cell r="L872" t="str">
            <v>45</v>
          </cell>
          <cell r="M872" t="str">
            <v>2</v>
          </cell>
          <cell r="N872" t="str">
            <v>11</v>
          </cell>
          <cell r="O872" t="str">
            <v>044</v>
          </cell>
          <cell r="P872" t="str">
            <v>0</v>
          </cell>
          <cell r="Q872">
            <v>18</v>
          </cell>
          <cell r="R872" t="str">
            <v>MRC</v>
          </cell>
          <cell r="S872" t="str">
            <v>ZZ</v>
          </cell>
          <cell r="T872">
            <v>11</v>
          </cell>
          <cell r="U872" t="str">
            <v>1445211044018MRCZZ11</v>
          </cell>
          <cell r="V872">
            <v>865</v>
          </cell>
          <cell r="W872" t="str">
            <v>MS: SRB - ACTING ALLOWANCE</v>
          </cell>
          <cell r="X872">
            <v>131000</v>
          </cell>
          <cell r="Y872">
            <v>83936</v>
          </cell>
          <cell r="Z872">
            <v>100723.20000000001</v>
          </cell>
          <cell r="AA872"/>
          <cell r="AB872">
            <v>131000</v>
          </cell>
          <cell r="AC872">
            <v>0</v>
          </cell>
        </row>
        <row r="873">
          <cell r="F873" t="str">
            <v>MS: SRB - ANNUAL BONUS</v>
          </cell>
          <cell r="G873" t="str">
            <v>P211046</v>
          </cell>
          <cell r="H873" t="str">
            <v>P211046</v>
          </cell>
          <cell r="I873" t="str">
            <v>501445</v>
          </cell>
          <cell r="J873">
            <v>50</v>
          </cell>
          <cell r="K873" t="str">
            <v>14</v>
          </cell>
          <cell r="L873" t="str">
            <v>45</v>
          </cell>
          <cell r="M873" t="str">
            <v>2</v>
          </cell>
          <cell r="N873" t="str">
            <v>11</v>
          </cell>
          <cell r="O873" t="str">
            <v>046</v>
          </cell>
          <cell r="P873" t="str">
            <v>0</v>
          </cell>
          <cell r="Q873">
            <v>18</v>
          </cell>
          <cell r="R873" t="str">
            <v>MRC</v>
          </cell>
          <cell r="S873" t="str">
            <v>ZZ</v>
          </cell>
          <cell r="T873">
            <v>11</v>
          </cell>
          <cell r="U873" t="str">
            <v>1445211046018MRCZZ11</v>
          </cell>
          <cell r="V873">
            <v>866</v>
          </cell>
          <cell r="W873" t="str">
            <v>MS: SRB - ANNUAL BONUS</v>
          </cell>
          <cell r="X873">
            <v>1789280</v>
          </cell>
          <cell r="Y873">
            <v>1931278.12</v>
          </cell>
          <cell r="Z873">
            <v>2317533.7439999999</v>
          </cell>
          <cell r="AA873"/>
          <cell r="AB873">
            <v>1789280</v>
          </cell>
          <cell r="AC873">
            <v>2083422.952</v>
          </cell>
        </row>
        <row r="874">
          <cell r="F874" t="str">
            <v>MS: SRB - STANDBY ALLOWANCE</v>
          </cell>
          <cell r="G874" t="str">
            <v>P211056</v>
          </cell>
          <cell r="H874" t="str">
            <v>P211056</v>
          </cell>
          <cell r="I874" t="str">
            <v>501445</v>
          </cell>
          <cell r="J874">
            <v>50</v>
          </cell>
          <cell r="K874" t="str">
            <v>14</v>
          </cell>
          <cell r="L874" t="str">
            <v>45</v>
          </cell>
          <cell r="M874" t="str">
            <v>2</v>
          </cell>
          <cell r="N874" t="str">
            <v>11</v>
          </cell>
          <cell r="O874" t="str">
            <v>056</v>
          </cell>
          <cell r="P874" t="str">
            <v>0</v>
          </cell>
          <cell r="Q874">
            <v>18</v>
          </cell>
          <cell r="R874" t="str">
            <v>MRC</v>
          </cell>
          <cell r="S874" t="str">
            <v>ZZ</v>
          </cell>
          <cell r="T874">
            <v>11</v>
          </cell>
          <cell r="U874" t="str">
            <v>1445211056018MRCZZ11</v>
          </cell>
          <cell r="V874">
            <v>867</v>
          </cell>
          <cell r="W874" t="str">
            <v>MS: SRB - STANDBY ALLOWANCE</v>
          </cell>
          <cell r="X874">
            <v>1375926</v>
          </cell>
          <cell r="Y874">
            <v>1273494.6200000001</v>
          </cell>
          <cell r="Z874">
            <v>1528193.5440000002</v>
          </cell>
          <cell r="AA874"/>
          <cell r="AB874">
            <v>1375926</v>
          </cell>
          <cell r="AC874">
            <v>1238333.4000000001</v>
          </cell>
        </row>
        <row r="875">
          <cell r="F875" t="str">
            <v>MS: SOC CONTR - BARGAINING COUNCIL</v>
          </cell>
          <cell r="G875" t="str">
            <v>P213001</v>
          </cell>
          <cell r="H875" t="str">
            <v>P213001</v>
          </cell>
          <cell r="I875" t="str">
            <v>501445</v>
          </cell>
          <cell r="J875">
            <v>50</v>
          </cell>
          <cell r="K875" t="str">
            <v>14</v>
          </cell>
          <cell r="L875" t="str">
            <v>45</v>
          </cell>
          <cell r="M875" t="str">
            <v>2</v>
          </cell>
          <cell r="N875" t="str">
            <v>13</v>
          </cell>
          <cell r="O875" t="str">
            <v>001</v>
          </cell>
          <cell r="P875" t="str">
            <v>0</v>
          </cell>
          <cell r="Q875">
            <v>18</v>
          </cell>
          <cell r="R875" t="str">
            <v>MRC</v>
          </cell>
          <cell r="S875" t="str">
            <v>ZZ</v>
          </cell>
          <cell r="T875">
            <v>11</v>
          </cell>
          <cell r="U875" t="str">
            <v>1445213001018MRCZZ11</v>
          </cell>
          <cell r="V875">
            <v>868</v>
          </cell>
          <cell r="W875" t="str">
            <v>MS: SOC CONTR - BARGAINING COUNCIL</v>
          </cell>
          <cell r="X875">
            <v>7504</v>
          </cell>
          <cell r="Y875">
            <v>7168.8</v>
          </cell>
          <cell r="Z875">
            <v>8602.56</v>
          </cell>
          <cell r="AA875"/>
          <cell r="AB875">
            <v>7504</v>
          </cell>
          <cell r="AC875">
            <v>9326.3616000000129</v>
          </cell>
        </row>
        <row r="876">
          <cell r="F876" t="str">
            <v>MS: SOC CONTR - GROUP LIFE INSURANCE</v>
          </cell>
          <cell r="G876" t="str">
            <v>P213010</v>
          </cell>
          <cell r="H876" t="str">
            <v>P213010</v>
          </cell>
          <cell r="I876" t="str">
            <v>501445</v>
          </cell>
          <cell r="J876">
            <v>50</v>
          </cell>
          <cell r="K876" t="str">
            <v>14</v>
          </cell>
          <cell r="L876" t="str">
            <v>45</v>
          </cell>
          <cell r="M876" t="str">
            <v>2</v>
          </cell>
          <cell r="N876" t="str">
            <v>13</v>
          </cell>
          <cell r="O876" t="str">
            <v>010</v>
          </cell>
          <cell r="P876" t="str">
            <v>0</v>
          </cell>
          <cell r="Q876">
            <v>18</v>
          </cell>
          <cell r="R876" t="str">
            <v>MRC</v>
          </cell>
          <cell r="S876" t="str">
            <v>ZZ</v>
          </cell>
          <cell r="T876">
            <v>11</v>
          </cell>
          <cell r="U876" t="str">
            <v>1445213010018MRCZZ11</v>
          </cell>
          <cell r="V876">
            <v>869</v>
          </cell>
          <cell r="W876" t="str">
            <v>MS: SOC CONTR - GROUP LIFE INSURANCE</v>
          </cell>
          <cell r="X876">
            <v>192323</v>
          </cell>
          <cell r="Y876">
            <v>200633.79</v>
          </cell>
          <cell r="Z876">
            <v>240760.54800000001</v>
          </cell>
          <cell r="AA876"/>
          <cell r="AB876">
            <v>192323</v>
          </cell>
          <cell r="AC876">
            <v>451779.83833599964</v>
          </cell>
        </row>
        <row r="877">
          <cell r="F877" t="str">
            <v>MS: SOC CONTR - MEDICAL</v>
          </cell>
          <cell r="G877" t="str">
            <v>P213020</v>
          </cell>
          <cell r="H877" t="str">
            <v>P213020</v>
          </cell>
          <cell r="I877" t="str">
            <v>501445</v>
          </cell>
          <cell r="J877">
            <v>50</v>
          </cell>
          <cell r="K877" t="str">
            <v>14</v>
          </cell>
          <cell r="L877" t="str">
            <v>45</v>
          </cell>
          <cell r="M877" t="str">
            <v>2</v>
          </cell>
          <cell r="N877" t="str">
            <v>13</v>
          </cell>
          <cell r="O877" t="str">
            <v>020</v>
          </cell>
          <cell r="P877" t="str">
            <v>0</v>
          </cell>
          <cell r="Q877">
            <v>18</v>
          </cell>
          <cell r="R877" t="str">
            <v>MRC</v>
          </cell>
          <cell r="S877" t="str">
            <v>ZZ</v>
          </cell>
          <cell r="T877">
            <v>11</v>
          </cell>
          <cell r="U877" t="str">
            <v>1445213020018MRCZZ11</v>
          </cell>
          <cell r="V877">
            <v>870</v>
          </cell>
          <cell r="W877" t="str">
            <v>MS: SOC CONTR - MEDICAL</v>
          </cell>
          <cell r="X877">
            <v>1868090</v>
          </cell>
          <cell r="Y877">
            <v>2372776.56</v>
          </cell>
          <cell r="Z877">
            <v>2847331.8720000004</v>
          </cell>
          <cell r="AA877"/>
          <cell r="AB877">
            <v>1868090</v>
          </cell>
          <cell r="AC877">
            <v>4381953.2697599968</v>
          </cell>
        </row>
        <row r="878">
          <cell r="F878" t="str">
            <v>MS: SOC CONTR - PENSION</v>
          </cell>
          <cell r="G878" t="str">
            <v>P213030</v>
          </cell>
          <cell r="H878" t="str">
            <v>P213030</v>
          </cell>
          <cell r="I878" t="str">
            <v>501445</v>
          </cell>
          <cell r="J878">
            <v>50</v>
          </cell>
          <cell r="K878" t="str">
            <v>14</v>
          </cell>
          <cell r="L878" t="str">
            <v>45</v>
          </cell>
          <cell r="M878" t="str">
            <v>2</v>
          </cell>
          <cell r="N878" t="str">
            <v>13</v>
          </cell>
          <cell r="O878" t="str">
            <v>030</v>
          </cell>
          <cell r="P878" t="str">
            <v>0</v>
          </cell>
          <cell r="Q878">
            <v>18</v>
          </cell>
          <cell r="R878" t="str">
            <v>MRC</v>
          </cell>
          <cell r="S878" t="str">
            <v>ZZ</v>
          </cell>
          <cell r="T878">
            <v>11</v>
          </cell>
          <cell r="U878" t="str">
            <v>1445213030018MRCZZ11</v>
          </cell>
          <cell r="V878">
            <v>871</v>
          </cell>
          <cell r="W878" t="str">
            <v>MS: SOC CONTR - PENSION</v>
          </cell>
          <cell r="X878">
            <v>3292521</v>
          </cell>
          <cell r="Y878">
            <v>3731646.4</v>
          </cell>
          <cell r="Z878">
            <v>4477975.68</v>
          </cell>
          <cell r="AA878"/>
          <cell r="AB878">
            <v>3292521</v>
          </cell>
          <cell r="AC878">
            <v>4802153.9286655961</v>
          </cell>
        </row>
        <row r="879">
          <cell r="F879" t="str">
            <v>MS: SOC CONTR - UNEMPLOYMENT INSUR FUND</v>
          </cell>
          <cell r="G879" t="str">
            <v>P213040</v>
          </cell>
          <cell r="H879" t="str">
            <v>P213040</v>
          </cell>
          <cell r="I879" t="str">
            <v>501445</v>
          </cell>
          <cell r="J879">
            <v>50</v>
          </cell>
          <cell r="K879" t="str">
            <v>14</v>
          </cell>
          <cell r="L879" t="str">
            <v>45</v>
          </cell>
          <cell r="M879" t="str">
            <v>2</v>
          </cell>
          <cell r="N879" t="str">
            <v>13</v>
          </cell>
          <cell r="O879" t="str">
            <v>040</v>
          </cell>
          <cell r="P879" t="str">
            <v>0</v>
          </cell>
          <cell r="Q879">
            <v>18</v>
          </cell>
          <cell r="R879" t="str">
            <v>MRC</v>
          </cell>
          <cell r="S879" t="str">
            <v>ZZ</v>
          </cell>
          <cell r="T879">
            <v>11</v>
          </cell>
          <cell r="U879" t="str">
            <v>1445213040018MRCZZ11</v>
          </cell>
          <cell r="V879">
            <v>872</v>
          </cell>
          <cell r="W879" t="str">
            <v>MS: SOC CONTR - UNEMPLOYMENT INSUR FUND</v>
          </cell>
          <cell r="X879">
            <v>112727</v>
          </cell>
          <cell r="Y879">
            <v>123275.52</v>
          </cell>
          <cell r="Z879">
            <v>147930.62400000001</v>
          </cell>
          <cell r="AA879"/>
          <cell r="AB879">
            <v>112727</v>
          </cell>
          <cell r="AC879">
            <v>162604.66176000013</v>
          </cell>
        </row>
        <row r="880">
          <cell r="F880" t="str">
            <v>OS: CATERING SERVICES(REFRESHMENTS)</v>
          </cell>
          <cell r="G880" t="str">
            <v>P226060</v>
          </cell>
          <cell r="H880" t="str">
            <v>P226060</v>
          </cell>
          <cell r="I880"/>
          <cell r="J880"/>
          <cell r="K880" t="str">
            <v>14</v>
          </cell>
          <cell r="L880" t="str">
            <v>45</v>
          </cell>
          <cell r="M880" t="str">
            <v>2</v>
          </cell>
          <cell r="N880" t="str">
            <v>26</v>
          </cell>
          <cell r="O880" t="str">
            <v>060</v>
          </cell>
          <cell r="P880" t="str">
            <v>H</v>
          </cell>
          <cell r="Q880">
            <v>18</v>
          </cell>
          <cell r="R880" t="str">
            <v>MRC</v>
          </cell>
          <cell r="S880" t="str">
            <v>ZZ</v>
          </cell>
          <cell r="T880">
            <v>11</v>
          </cell>
          <cell r="U880" t="str">
            <v>1445226060H18MRCZZ11</v>
          </cell>
          <cell r="V880">
            <v>873</v>
          </cell>
          <cell r="W880" t="str">
            <v>OS: CATERING SERVICES(REFRESHMENTS)</v>
          </cell>
          <cell r="X880">
            <v>0</v>
          </cell>
          <cell r="Y880">
            <v>0</v>
          </cell>
          <cell r="Z880">
            <v>0</v>
          </cell>
          <cell r="AA880"/>
          <cell r="AB880">
            <v>0</v>
          </cell>
          <cell r="AC880">
            <v>0</v>
          </cell>
        </row>
        <row r="881">
          <cell r="F881" t="str">
            <v>C&amp;PS: B&amp;A PROJECT MANAGEMENT</v>
          </cell>
          <cell r="G881" t="str">
            <v>P227334</v>
          </cell>
          <cell r="H881" t="str">
            <v>P227041</v>
          </cell>
          <cell r="I881"/>
          <cell r="J881"/>
          <cell r="K881" t="str">
            <v>14</v>
          </cell>
          <cell r="L881" t="str">
            <v>45</v>
          </cell>
          <cell r="M881" t="str">
            <v>2</v>
          </cell>
          <cell r="N881" t="str">
            <v>27</v>
          </cell>
          <cell r="O881" t="str">
            <v>041</v>
          </cell>
          <cell r="P881" t="str">
            <v>0</v>
          </cell>
          <cell r="Q881">
            <v>18</v>
          </cell>
          <cell r="R881" t="str">
            <v>MRC</v>
          </cell>
          <cell r="S881" t="str">
            <v>ZZ</v>
          </cell>
          <cell r="T881">
            <v>11</v>
          </cell>
          <cell r="U881" t="str">
            <v>1445227041018MRCZZ11</v>
          </cell>
          <cell r="V881">
            <v>874</v>
          </cell>
          <cell r="W881" t="str">
            <v>C&amp;PS: B&amp;A PROJECT MANAGEMENT</v>
          </cell>
          <cell r="X881">
            <v>0</v>
          </cell>
          <cell r="Y881">
            <v>0</v>
          </cell>
          <cell r="Z881">
            <v>0</v>
          </cell>
          <cell r="AA881"/>
          <cell r="AB881">
            <v>0</v>
          </cell>
          <cell r="AC881">
            <v>0</v>
          </cell>
        </row>
        <row r="882">
          <cell r="F882" t="str">
            <v>CONTR: MAINT OF EQUIP(METERS)</v>
          </cell>
          <cell r="G882" t="str">
            <v>P228361</v>
          </cell>
          <cell r="H882" t="str">
            <v>P228361</v>
          </cell>
          <cell r="I882"/>
          <cell r="J882"/>
          <cell r="K882" t="str">
            <v>14</v>
          </cell>
          <cell r="L882" t="str">
            <v>45</v>
          </cell>
          <cell r="M882" t="str">
            <v>2</v>
          </cell>
          <cell r="N882" t="str">
            <v>28</v>
          </cell>
          <cell r="O882" t="str">
            <v>361</v>
          </cell>
          <cell r="P882" t="str">
            <v>W</v>
          </cell>
          <cell r="Q882">
            <v>18</v>
          </cell>
          <cell r="R882" t="str">
            <v>P89</v>
          </cell>
          <cell r="S882" t="str">
            <v>ZZ</v>
          </cell>
          <cell r="T882">
            <v>11</v>
          </cell>
          <cell r="U882" t="str">
            <v>1445228361W18P89ZZ11</v>
          </cell>
          <cell r="V882">
            <v>875</v>
          </cell>
          <cell r="W882" t="str">
            <v>CONTR: MAINT OF EQUIP(METERS)</v>
          </cell>
          <cell r="X882">
            <v>0</v>
          </cell>
          <cell r="Y882">
            <v>0</v>
          </cell>
          <cell r="Z882">
            <v>0</v>
          </cell>
          <cell r="AA882"/>
          <cell r="AB882">
            <v>0</v>
          </cell>
          <cell r="AC882">
            <v>262000</v>
          </cell>
        </row>
        <row r="883">
          <cell r="F883" t="str">
            <v>OC: ASSETS LESS THAN CAP THRESHOLD(TOOL</v>
          </cell>
          <cell r="G883" t="str">
            <v>P230452</v>
          </cell>
          <cell r="H883" t="str">
            <v>P230019</v>
          </cell>
          <cell r="I883"/>
          <cell r="J883"/>
          <cell r="K883" t="str">
            <v>14</v>
          </cell>
          <cell r="L883" t="str">
            <v>45</v>
          </cell>
          <cell r="M883" t="str">
            <v>2</v>
          </cell>
          <cell r="N883" t="str">
            <v>30</v>
          </cell>
          <cell r="O883" t="str">
            <v>019</v>
          </cell>
          <cell r="P883" t="str">
            <v>2</v>
          </cell>
          <cell r="Q883">
            <v>18</v>
          </cell>
          <cell r="R883" t="str">
            <v>MRC</v>
          </cell>
          <cell r="S883" t="str">
            <v>ZZ</v>
          </cell>
          <cell r="T883">
            <v>11</v>
          </cell>
          <cell r="U883" t="str">
            <v>1445230019218MRCZZ11</v>
          </cell>
          <cell r="V883">
            <v>876</v>
          </cell>
          <cell r="W883" t="str">
            <v>OC: ASSETS LESS THAN CAP THRESHOLD(TOOL</v>
          </cell>
          <cell r="X883">
            <v>0</v>
          </cell>
          <cell r="Y883">
            <v>0</v>
          </cell>
          <cell r="Z883">
            <v>0</v>
          </cell>
          <cell r="AA883"/>
          <cell r="AB883">
            <v>0</v>
          </cell>
          <cell r="AC883">
            <v>300000</v>
          </cell>
        </row>
        <row r="884">
          <cell r="F884" t="str">
            <v>OC: COMM - CELL CONTRACT (SUBS &amp; CALLS)</v>
          </cell>
          <cell r="G884" t="str">
            <v>P230452</v>
          </cell>
          <cell r="H884" t="str">
            <v>P230110</v>
          </cell>
          <cell r="I884"/>
          <cell r="J884"/>
          <cell r="K884" t="str">
            <v>14</v>
          </cell>
          <cell r="L884" t="str">
            <v>45</v>
          </cell>
          <cell r="M884" t="str">
            <v>2</v>
          </cell>
          <cell r="N884" t="str">
            <v>30</v>
          </cell>
          <cell r="O884" t="str">
            <v>110</v>
          </cell>
          <cell r="P884" t="str">
            <v>0</v>
          </cell>
          <cell r="Q884">
            <v>18</v>
          </cell>
          <cell r="R884" t="str">
            <v>MRC</v>
          </cell>
          <cell r="S884" t="str">
            <v>ZZ</v>
          </cell>
          <cell r="T884">
            <v>11</v>
          </cell>
          <cell r="U884" t="str">
            <v>1445230110018MRCZZ11</v>
          </cell>
          <cell r="V884">
            <v>877</v>
          </cell>
          <cell r="W884" t="str">
            <v>OC: COMM - CELL CONTRACT (SUBS &amp; CALLS)</v>
          </cell>
          <cell r="X884">
            <v>0</v>
          </cell>
          <cell r="Y884">
            <v>0</v>
          </cell>
          <cell r="Z884">
            <v>0</v>
          </cell>
          <cell r="AA884"/>
          <cell r="AB884">
            <v>0</v>
          </cell>
          <cell r="AC884">
            <v>0</v>
          </cell>
        </row>
        <row r="885">
          <cell r="F885" t="str">
            <v>OC: SKILLS DEVELOPMENT FUND LEVY</v>
          </cell>
          <cell r="G885" t="str">
            <v>P230452</v>
          </cell>
          <cell r="H885" t="str">
            <v>P230541</v>
          </cell>
          <cell r="I885"/>
          <cell r="J885"/>
          <cell r="K885" t="str">
            <v>14</v>
          </cell>
          <cell r="L885" t="str">
            <v>45</v>
          </cell>
          <cell r="M885" t="str">
            <v>2</v>
          </cell>
          <cell r="N885" t="str">
            <v>30</v>
          </cell>
          <cell r="O885" t="str">
            <v>541</v>
          </cell>
          <cell r="P885" t="str">
            <v>0</v>
          </cell>
          <cell r="Q885">
            <v>18</v>
          </cell>
          <cell r="R885" t="str">
            <v>MRC</v>
          </cell>
          <cell r="S885" t="str">
            <v>ZZ</v>
          </cell>
          <cell r="T885">
            <v>11</v>
          </cell>
          <cell r="U885" t="str">
            <v>1445230541018MRCZZ11</v>
          </cell>
          <cell r="V885">
            <v>878</v>
          </cell>
          <cell r="W885" t="str">
            <v>OC: SKILLS DEVELOPMENT FUND LEVY</v>
          </cell>
          <cell r="X885">
            <v>0</v>
          </cell>
          <cell r="Y885">
            <v>0</v>
          </cell>
          <cell r="Z885">
            <v>0</v>
          </cell>
          <cell r="AA885"/>
          <cell r="AB885">
            <v>0</v>
          </cell>
          <cell r="AC885">
            <v>0</v>
          </cell>
        </row>
        <row r="886">
          <cell r="F886" t="str">
            <v>OC: T&amp;S DOM - ACCOMMODATION</v>
          </cell>
          <cell r="G886" t="str">
            <v>P230452</v>
          </cell>
          <cell r="H886" t="str">
            <v>P230576</v>
          </cell>
          <cell r="I886"/>
          <cell r="J886"/>
          <cell r="K886" t="str">
            <v>14</v>
          </cell>
          <cell r="L886" t="str">
            <v>45</v>
          </cell>
          <cell r="M886" t="str">
            <v>2</v>
          </cell>
          <cell r="N886" t="str">
            <v>30</v>
          </cell>
          <cell r="O886" t="str">
            <v>576</v>
          </cell>
          <cell r="P886" t="str">
            <v>0</v>
          </cell>
          <cell r="Q886">
            <v>18</v>
          </cell>
          <cell r="R886" t="str">
            <v>MRC</v>
          </cell>
          <cell r="S886" t="str">
            <v>ZZ</v>
          </cell>
          <cell r="T886">
            <v>11</v>
          </cell>
          <cell r="U886" t="str">
            <v>1445230576018MRCZZ11</v>
          </cell>
          <cell r="V886">
            <v>879</v>
          </cell>
          <cell r="W886" t="str">
            <v>OC: T&amp;S DOM - ACCOMMODATION</v>
          </cell>
          <cell r="X886">
            <v>0</v>
          </cell>
          <cell r="Y886">
            <v>0</v>
          </cell>
          <cell r="Z886">
            <v>0</v>
          </cell>
          <cell r="AA886"/>
          <cell r="AB886">
            <v>0</v>
          </cell>
          <cell r="AC886">
            <v>250000</v>
          </cell>
        </row>
        <row r="887">
          <cell r="F887" t="str">
            <v>OC: T&amp;S DOM - DAILY ALLOWANCE</v>
          </cell>
          <cell r="G887" t="str">
            <v>P230452</v>
          </cell>
          <cell r="H887" t="str">
            <v>P230577</v>
          </cell>
          <cell r="I887"/>
          <cell r="J887"/>
          <cell r="K887" t="str">
            <v>14</v>
          </cell>
          <cell r="L887" t="str">
            <v>45</v>
          </cell>
          <cell r="M887" t="str">
            <v>2</v>
          </cell>
          <cell r="N887" t="str">
            <v>30</v>
          </cell>
          <cell r="O887" t="str">
            <v>577</v>
          </cell>
          <cell r="P887" t="str">
            <v>0</v>
          </cell>
          <cell r="Q887">
            <v>18</v>
          </cell>
          <cell r="R887" t="str">
            <v>MRC</v>
          </cell>
          <cell r="S887" t="str">
            <v>ZZ</v>
          </cell>
          <cell r="T887">
            <v>11</v>
          </cell>
          <cell r="U887" t="str">
            <v>1445230577018MRCZZ11</v>
          </cell>
          <cell r="V887">
            <v>880</v>
          </cell>
          <cell r="W887" t="str">
            <v>OC: T&amp;S DOM - DAILY ALLOWANCE</v>
          </cell>
          <cell r="X887">
            <v>0</v>
          </cell>
          <cell r="Y887">
            <v>0</v>
          </cell>
          <cell r="Z887">
            <v>0</v>
          </cell>
          <cell r="AA887"/>
          <cell r="AB887">
            <v>0</v>
          </cell>
          <cell r="AC887">
            <v>0</v>
          </cell>
        </row>
        <row r="888">
          <cell r="F888" t="str">
            <v>OC: T&amp;S DOM PUB TRP - AIR TRANSPORT</v>
          </cell>
          <cell r="G888" t="str">
            <v>P230452</v>
          </cell>
          <cell r="H888" t="str">
            <v>P230583</v>
          </cell>
          <cell r="I888"/>
          <cell r="J888"/>
          <cell r="K888" t="str">
            <v>14</v>
          </cell>
          <cell r="L888" t="str">
            <v>45</v>
          </cell>
          <cell r="M888" t="str">
            <v>2</v>
          </cell>
          <cell r="N888" t="str">
            <v>30</v>
          </cell>
          <cell r="O888" t="str">
            <v>583</v>
          </cell>
          <cell r="P888" t="str">
            <v>0</v>
          </cell>
          <cell r="Q888">
            <v>18</v>
          </cell>
          <cell r="R888" t="str">
            <v>MRC</v>
          </cell>
          <cell r="S888" t="str">
            <v>ZZ</v>
          </cell>
          <cell r="T888">
            <v>11</v>
          </cell>
          <cell r="U888" t="str">
            <v>1445230583018MRCZZ11</v>
          </cell>
          <cell r="V888">
            <v>881</v>
          </cell>
          <cell r="W888" t="str">
            <v>OC: T&amp;S DOM PUB TRP - AIR TRANSPORT</v>
          </cell>
          <cell r="X888">
            <v>0</v>
          </cell>
          <cell r="Y888">
            <v>0</v>
          </cell>
          <cell r="Z888">
            <v>0</v>
          </cell>
          <cell r="AA888"/>
          <cell r="AB888">
            <v>0</v>
          </cell>
          <cell r="AC888">
            <v>0</v>
          </cell>
        </row>
        <row r="889">
          <cell r="F889" t="str">
            <v>OC: UNIFORM &amp; PROTECTIVE CLOTHING</v>
          </cell>
          <cell r="G889" t="str">
            <v>P230452</v>
          </cell>
          <cell r="H889" t="str">
            <v>P230610</v>
          </cell>
          <cell r="I889"/>
          <cell r="J889"/>
          <cell r="K889" t="str">
            <v>14</v>
          </cell>
          <cell r="L889" t="str">
            <v>45</v>
          </cell>
          <cell r="M889" t="str">
            <v>2</v>
          </cell>
          <cell r="N889" t="str">
            <v>30</v>
          </cell>
          <cell r="O889" t="str">
            <v>610</v>
          </cell>
          <cell r="P889" t="str">
            <v>0</v>
          </cell>
          <cell r="Q889">
            <v>18</v>
          </cell>
          <cell r="R889" t="str">
            <v>MRC</v>
          </cell>
          <cell r="S889" t="str">
            <v>ZZ</v>
          </cell>
          <cell r="T889">
            <v>11</v>
          </cell>
          <cell r="U889" t="str">
            <v>1445230610018MRCZZ11</v>
          </cell>
          <cell r="V889">
            <v>882</v>
          </cell>
          <cell r="W889" t="str">
            <v>OC: UNIFORM &amp; PROTECTIVE CLOTHING</v>
          </cell>
          <cell r="X889">
            <v>49522</v>
          </cell>
          <cell r="Y889">
            <v>45039.74</v>
          </cell>
          <cell r="Z889">
            <v>54047.688000000002</v>
          </cell>
          <cell r="AA889"/>
          <cell r="AB889">
            <v>49522</v>
          </cell>
          <cell r="AC889">
            <v>51899.056000000004</v>
          </cell>
        </row>
        <row r="890">
          <cell r="F890" t="str">
            <v>INVENTORY - MATERIALS &amp; SUPPLIES(PRINT&amp;</v>
          </cell>
          <cell r="G890" t="str">
            <v>P232360</v>
          </cell>
          <cell r="H890" t="str">
            <v>P232360</v>
          </cell>
          <cell r="I890"/>
          <cell r="J890"/>
          <cell r="K890" t="str">
            <v>14</v>
          </cell>
          <cell r="L890" t="str">
            <v>45</v>
          </cell>
          <cell r="M890" t="str">
            <v>2</v>
          </cell>
          <cell r="N890" t="str">
            <v>32</v>
          </cell>
          <cell r="O890" t="str">
            <v>360</v>
          </cell>
          <cell r="P890" t="str">
            <v>D</v>
          </cell>
          <cell r="Q890">
            <v>18</v>
          </cell>
          <cell r="R890" t="str">
            <v>MRC</v>
          </cell>
          <cell r="S890" t="str">
            <v>ZZ</v>
          </cell>
          <cell r="T890">
            <v>11</v>
          </cell>
          <cell r="U890" t="str">
            <v>1445232360D18MRCZZ11</v>
          </cell>
          <cell r="V890">
            <v>883</v>
          </cell>
          <cell r="W890" t="str">
            <v>INVENTORY - MATERIALS &amp; SUPPLIES(PRINT&amp;</v>
          </cell>
          <cell r="X890">
            <v>17980</v>
          </cell>
          <cell r="Y890">
            <v>17820.3</v>
          </cell>
          <cell r="Z890">
            <v>21384.36</v>
          </cell>
          <cell r="AA890"/>
          <cell r="AB890">
            <v>17980</v>
          </cell>
          <cell r="AC890">
            <v>17000</v>
          </cell>
        </row>
        <row r="891">
          <cell r="F891" t="str">
            <v>INVENTORY - MATERIALS &amp; SUPPLIES(R&amp;M )</v>
          </cell>
          <cell r="G891" t="str">
            <v>P232360</v>
          </cell>
          <cell r="H891" t="str">
            <v>P232360</v>
          </cell>
          <cell r="I891"/>
          <cell r="J891"/>
          <cell r="K891" t="str">
            <v>14</v>
          </cell>
          <cell r="L891" t="str">
            <v>45</v>
          </cell>
          <cell r="M891" t="str">
            <v>2</v>
          </cell>
          <cell r="N891" t="str">
            <v>32</v>
          </cell>
          <cell r="O891" t="str">
            <v>360</v>
          </cell>
          <cell r="P891" t="str">
            <v>H</v>
          </cell>
          <cell r="Q891">
            <v>18</v>
          </cell>
          <cell r="R891" t="str">
            <v>MRC</v>
          </cell>
          <cell r="S891" t="str">
            <v>ZZ</v>
          </cell>
          <cell r="T891">
            <v>11</v>
          </cell>
          <cell r="U891" t="str">
            <v>1445232360H18MRCZZ11</v>
          </cell>
          <cell r="V891">
            <v>884</v>
          </cell>
          <cell r="W891" t="str">
            <v>INVENTORY - MATERIALS &amp; SUPPLIES(R&amp;M )</v>
          </cell>
          <cell r="X891">
            <v>7822830</v>
          </cell>
          <cell r="Y891">
            <v>7115318.7800000003</v>
          </cell>
          <cell r="Z891">
            <v>8538382.5360000003</v>
          </cell>
          <cell r="AA891">
            <v>17167811.490000002</v>
          </cell>
          <cell r="AB891">
            <v>24990641.490000002</v>
          </cell>
          <cell r="AC891">
            <v>16590267.15</v>
          </cell>
        </row>
        <row r="892">
          <cell r="F892" t="str">
            <v>INVENTORY - MATERIALS &amp; SUPPLIES(STOCK &amp;</v>
          </cell>
          <cell r="G892" t="str">
            <v>P232360</v>
          </cell>
          <cell r="H892" t="str">
            <v>P232360</v>
          </cell>
          <cell r="I892"/>
          <cell r="J892"/>
          <cell r="K892" t="str">
            <v>14</v>
          </cell>
          <cell r="L892" t="str">
            <v>45</v>
          </cell>
          <cell r="M892" t="str">
            <v>2</v>
          </cell>
          <cell r="N892" t="str">
            <v>32</v>
          </cell>
          <cell r="O892" t="str">
            <v>360</v>
          </cell>
          <cell r="P892" t="str">
            <v>R</v>
          </cell>
          <cell r="Q892">
            <v>18</v>
          </cell>
          <cell r="R892" t="str">
            <v>MRC</v>
          </cell>
          <cell r="S892" t="str">
            <v>ZZ</v>
          </cell>
          <cell r="T892">
            <v>11</v>
          </cell>
          <cell r="U892" t="str">
            <v>1445232360R18MRCZZ11</v>
          </cell>
          <cell r="V892">
            <v>885</v>
          </cell>
          <cell r="W892" t="str">
            <v>INVENTORY - MATERIALS &amp; SUPPLIES(STOCK &amp;</v>
          </cell>
          <cell r="X892">
            <v>44715</v>
          </cell>
          <cell r="Y892">
            <v>37807.370000000003</v>
          </cell>
          <cell r="Z892">
            <v>45368.843999999997</v>
          </cell>
          <cell r="AA892"/>
          <cell r="AB892">
            <v>44715</v>
          </cell>
          <cell r="AC892">
            <v>46861.32</v>
          </cell>
        </row>
        <row r="893">
          <cell r="F893" t="str">
            <v>DEPRECIATION FURNITURE &amp; OFFICE EQUIPM</v>
          </cell>
          <cell r="G893" t="str">
            <v>P272150</v>
          </cell>
          <cell r="H893" t="str">
            <v>P272150</v>
          </cell>
          <cell r="I893"/>
          <cell r="J893"/>
          <cell r="K893" t="str">
            <v>14</v>
          </cell>
          <cell r="L893" t="str">
            <v>45</v>
          </cell>
          <cell r="M893" t="str">
            <v>2</v>
          </cell>
          <cell r="N893" t="str">
            <v>72</v>
          </cell>
          <cell r="O893" t="str">
            <v>150</v>
          </cell>
          <cell r="P893" t="str">
            <v>0</v>
          </cell>
          <cell r="Q893">
            <v>18</v>
          </cell>
          <cell r="R893" t="str">
            <v>MRC</v>
          </cell>
          <cell r="S893" t="str">
            <v>ZZ</v>
          </cell>
          <cell r="T893">
            <v>11</v>
          </cell>
          <cell r="U893" t="str">
            <v>1445272150018MRCZZ11</v>
          </cell>
          <cell r="V893">
            <v>886</v>
          </cell>
          <cell r="W893" t="str">
            <v>DEPRECIATION FURNITURE &amp; OFFICE EQUIPM</v>
          </cell>
          <cell r="X893">
            <v>0</v>
          </cell>
          <cell r="Y893">
            <v>0</v>
          </cell>
          <cell r="Z893">
            <v>0</v>
          </cell>
          <cell r="AA893"/>
          <cell r="AB893">
            <v>0</v>
          </cell>
          <cell r="AC893">
            <v>0</v>
          </cell>
        </row>
        <row r="894">
          <cell r="F894" t="str">
            <v>DEPRECIATION  TRANSPORT ASSETS</v>
          </cell>
          <cell r="G894" t="str">
            <v>P272150</v>
          </cell>
          <cell r="H894" t="str">
            <v>P272570</v>
          </cell>
          <cell r="I894"/>
          <cell r="J894"/>
          <cell r="K894" t="str">
            <v>14</v>
          </cell>
          <cell r="L894" t="str">
            <v>45</v>
          </cell>
          <cell r="M894" t="str">
            <v>2</v>
          </cell>
          <cell r="N894" t="str">
            <v>72</v>
          </cell>
          <cell r="O894" t="str">
            <v>570</v>
          </cell>
          <cell r="P894" t="str">
            <v>0</v>
          </cell>
          <cell r="Q894">
            <v>18</v>
          </cell>
          <cell r="R894" t="str">
            <v>MRC</v>
          </cell>
          <cell r="S894" t="str">
            <v>ZZ</v>
          </cell>
          <cell r="T894">
            <v>11</v>
          </cell>
          <cell r="U894" t="str">
            <v>1445272570018MRCZZ11</v>
          </cell>
          <cell r="V894">
            <v>887</v>
          </cell>
          <cell r="W894" t="str">
            <v>DEPRECIATION  TRANSPORT ASSETS</v>
          </cell>
          <cell r="X894">
            <v>0</v>
          </cell>
          <cell r="Y894">
            <v>0</v>
          </cell>
          <cell r="Z894">
            <v>0</v>
          </cell>
          <cell r="AA894"/>
          <cell r="AB894">
            <v>0</v>
          </cell>
          <cell r="AC894">
            <v>0</v>
          </cell>
        </row>
        <row r="895">
          <cell r="F895" t="str">
            <v xml:space="preserve">CONTR: PEST CONT &amp; FUMIGATION    </v>
          </cell>
          <cell r="G895" t="str">
            <v>P226060</v>
          </cell>
          <cell r="H895" t="str">
            <v>P226060</v>
          </cell>
          <cell r="I895"/>
          <cell r="J895"/>
          <cell r="K895"/>
          <cell r="L895"/>
          <cell r="M895" t="str">
            <v>2</v>
          </cell>
          <cell r="N895" t="str">
            <v>26</v>
          </cell>
          <cell r="O895"/>
          <cell r="P895"/>
          <cell r="Q895"/>
          <cell r="R895"/>
          <cell r="S895"/>
          <cell r="T895"/>
          <cell r="U895" t="str">
            <v>1445228450018727ZZ11</v>
          </cell>
          <cell r="W895" t="str">
            <v xml:space="preserve">CONTR: PEST CONT &amp; FUMIGATION    </v>
          </cell>
          <cell r="X895"/>
          <cell r="Y895">
            <v>0</v>
          </cell>
          <cell r="Z895">
            <v>0</v>
          </cell>
          <cell r="AA895"/>
          <cell r="AB895"/>
          <cell r="AC895">
            <v>6000000</v>
          </cell>
        </row>
        <row r="896">
          <cell r="F896" t="str">
            <v>PPE COMMUNITY ASSETS - LOSSES</v>
          </cell>
          <cell r="G896" t="str">
            <v>P370020</v>
          </cell>
          <cell r="H896" t="str">
            <v>P320285</v>
          </cell>
          <cell r="I896"/>
          <cell r="J896"/>
          <cell r="K896" t="str">
            <v>14</v>
          </cell>
          <cell r="L896" t="str">
            <v>45</v>
          </cell>
          <cell r="M896" t="str">
            <v>3</v>
          </cell>
          <cell r="N896" t="str">
            <v>20</v>
          </cell>
          <cell r="O896" t="str">
            <v>285</v>
          </cell>
          <cell r="P896" t="str">
            <v>0</v>
          </cell>
          <cell r="Q896">
            <v>18</v>
          </cell>
          <cell r="R896" t="str">
            <v>MRC</v>
          </cell>
          <cell r="S896" t="str">
            <v>ZZ</v>
          </cell>
          <cell r="T896">
            <v>11</v>
          </cell>
          <cell r="U896" t="str">
            <v>1445320285018MRCZZ11</v>
          </cell>
          <cell r="V896">
            <v>888</v>
          </cell>
          <cell r="W896" t="str">
            <v>PPE COMMUNITY ASSETS - LOSSES</v>
          </cell>
          <cell r="X896">
            <v>0</v>
          </cell>
          <cell r="Y896">
            <v>0</v>
          </cell>
          <cell r="Z896">
            <v>0</v>
          </cell>
          <cell r="AA896"/>
          <cell r="AB896">
            <v>0</v>
          </cell>
          <cell r="AC896">
            <v>0</v>
          </cell>
        </row>
        <row r="897">
          <cell r="F897" t="str">
            <v xml:space="preserve"> PROTECTION TEST UNIT</v>
          </cell>
          <cell r="G897" t="str">
            <v>P642142QH8</v>
          </cell>
          <cell r="H897" t="str">
            <v>P642142QH8</v>
          </cell>
          <cell r="I897"/>
          <cell r="J897"/>
          <cell r="K897" t="str">
            <v>14</v>
          </cell>
          <cell r="L897" t="str">
            <v>45</v>
          </cell>
          <cell r="M897" t="str">
            <v>6</v>
          </cell>
          <cell r="N897" t="str">
            <v>42</v>
          </cell>
          <cell r="O897" t="str">
            <v>142</v>
          </cell>
          <cell r="P897" t="str">
            <v>0</v>
          </cell>
          <cell r="Q897" t="str">
            <v>CF</v>
          </cell>
          <cell r="R897" t="str">
            <v>QH8</v>
          </cell>
          <cell r="S897" t="str">
            <v>ZZ</v>
          </cell>
          <cell r="T897">
            <v>11</v>
          </cell>
          <cell r="U897" t="str">
            <v>14456420420CFCX1ZZ11</v>
          </cell>
          <cell r="V897">
            <v>889</v>
          </cell>
          <cell r="W897" t="str">
            <v xml:space="preserve"> PROTECTION TEST UNIT</v>
          </cell>
          <cell r="X897">
            <v>0</v>
          </cell>
          <cell r="Y897">
            <v>0</v>
          </cell>
          <cell r="Z897">
            <v>0</v>
          </cell>
          <cell r="AA897"/>
          <cell r="AB897">
            <v>0</v>
          </cell>
          <cell r="AC897">
            <v>2000000</v>
          </cell>
        </row>
        <row r="898">
          <cell r="F898" t="str">
            <v>REPLACEMENT OF 110V BATTERIES</v>
          </cell>
          <cell r="G898" t="str">
            <v>P652042P04</v>
          </cell>
          <cell r="H898">
            <v>0</v>
          </cell>
          <cell r="I898"/>
          <cell r="J898"/>
          <cell r="K898" t="str">
            <v>14</v>
          </cell>
          <cell r="L898" t="str">
            <v>45</v>
          </cell>
          <cell r="M898" t="str">
            <v>6</v>
          </cell>
          <cell r="N898" t="str">
            <v>52</v>
          </cell>
          <cell r="O898" t="str">
            <v>042</v>
          </cell>
          <cell r="P898" t="str">
            <v>0</v>
          </cell>
          <cell r="Q898">
            <v>81</v>
          </cell>
          <cell r="R898" t="str">
            <v>P04</v>
          </cell>
          <cell r="S898" t="str">
            <v>ZZ</v>
          </cell>
          <cell r="T898">
            <v>11</v>
          </cell>
          <cell r="U898" t="str">
            <v>1445652042081P04ZZ11</v>
          </cell>
          <cell r="V898">
            <v>890</v>
          </cell>
          <cell r="W898" t="str">
            <v>REPLACEMENT OF 110V BATTERIES</v>
          </cell>
          <cell r="X898">
            <v>0</v>
          </cell>
          <cell r="Y898">
            <v>0</v>
          </cell>
          <cell r="Z898">
            <v>0</v>
          </cell>
          <cell r="AA898"/>
          <cell r="AB898">
            <v>0</v>
          </cell>
          <cell r="AC898">
            <v>0</v>
          </cell>
        </row>
        <row r="899">
          <cell r="F899" t="str">
            <v>REPLACEMENT OF 110V BATTERIES</v>
          </cell>
          <cell r="G899" t="str">
            <v>P652042P04</v>
          </cell>
          <cell r="H899" t="str">
            <v>P652042P04</v>
          </cell>
          <cell r="I899"/>
          <cell r="J899"/>
          <cell r="K899" t="str">
            <v>14</v>
          </cell>
          <cell r="L899" t="str">
            <v>45</v>
          </cell>
          <cell r="M899" t="str">
            <v>6</v>
          </cell>
          <cell r="N899" t="str">
            <v>52</v>
          </cell>
          <cell r="O899" t="str">
            <v>042</v>
          </cell>
          <cell r="P899" t="str">
            <v>0</v>
          </cell>
          <cell r="Q899" t="str">
            <v>CF</v>
          </cell>
          <cell r="R899" t="str">
            <v>P04</v>
          </cell>
          <cell r="S899" t="str">
            <v>ZZ</v>
          </cell>
          <cell r="T899">
            <v>11</v>
          </cell>
          <cell r="U899" t="str">
            <v>14456520420CFP04ZZ11</v>
          </cell>
          <cell r="V899">
            <v>891</v>
          </cell>
          <cell r="W899" t="str">
            <v>REPLACEMENT OF 110V BATTERIES</v>
          </cell>
          <cell r="X899">
            <v>1557553</v>
          </cell>
          <cell r="Y899">
            <v>0</v>
          </cell>
          <cell r="Z899">
            <v>0</v>
          </cell>
          <cell r="AA899"/>
          <cell r="AB899">
            <v>1557553</v>
          </cell>
          <cell r="AC899">
            <v>2250000</v>
          </cell>
        </row>
        <row r="900">
          <cell r="F900" t="str">
            <v>REPLACEMENT OF 11KV SWITCHGEARS</v>
          </cell>
          <cell r="G900" t="str">
            <v>P652142P60</v>
          </cell>
          <cell r="H900">
            <v>0</v>
          </cell>
          <cell r="I900"/>
          <cell r="J900"/>
          <cell r="K900" t="str">
            <v>14</v>
          </cell>
          <cell r="L900" t="str">
            <v>45</v>
          </cell>
          <cell r="M900" t="str">
            <v>6</v>
          </cell>
          <cell r="N900" t="str">
            <v>52</v>
          </cell>
          <cell r="O900" t="str">
            <v>142</v>
          </cell>
          <cell r="P900" t="str">
            <v>0</v>
          </cell>
          <cell r="Q900">
            <v>81</v>
          </cell>
          <cell r="R900" t="str">
            <v>P60</v>
          </cell>
          <cell r="S900" t="str">
            <v>ZZ</v>
          </cell>
          <cell r="T900">
            <v>11</v>
          </cell>
          <cell r="U900" t="str">
            <v>1445652142081P60ZZ11</v>
          </cell>
          <cell r="V900">
            <v>892</v>
          </cell>
          <cell r="W900" t="str">
            <v>REPLACEMENT OF 11KV SWITCHGEARS</v>
          </cell>
          <cell r="X900">
            <v>0</v>
          </cell>
          <cell r="Y900">
            <v>0</v>
          </cell>
          <cell r="Z900">
            <v>0</v>
          </cell>
          <cell r="AA900"/>
          <cell r="AB900">
            <v>0</v>
          </cell>
          <cell r="AC900">
            <v>0</v>
          </cell>
        </row>
        <row r="901">
          <cell r="F901" t="str">
            <v>REPLACEMENT OF 32V BATTERIES</v>
          </cell>
          <cell r="G901">
            <v>0</v>
          </cell>
          <cell r="H901">
            <v>0</v>
          </cell>
          <cell r="I901"/>
          <cell r="J901"/>
          <cell r="K901" t="str">
            <v>14</v>
          </cell>
          <cell r="L901" t="str">
            <v>45</v>
          </cell>
          <cell r="M901" t="str">
            <v>6</v>
          </cell>
          <cell r="N901" t="str">
            <v>52</v>
          </cell>
          <cell r="O901" t="str">
            <v>142</v>
          </cell>
          <cell r="P901" t="str">
            <v>0</v>
          </cell>
          <cell r="Q901">
            <v>81</v>
          </cell>
          <cell r="R901" t="str">
            <v>P61</v>
          </cell>
          <cell r="S901" t="str">
            <v>ZZ</v>
          </cell>
          <cell r="T901">
            <v>11</v>
          </cell>
          <cell r="U901" t="str">
            <v>1445652142081P61ZZ11</v>
          </cell>
          <cell r="V901">
            <v>893</v>
          </cell>
          <cell r="W901" t="str">
            <v>REPLACEMENT OF 32V BATTERIES</v>
          </cell>
          <cell r="X901">
            <v>0</v>
          </cell>
          <cell r="Y901">
            <v>0</v>
          </cell>
          <cell r="Z901">
            <v>0</v>
          </cell>
          <cell r="AA901"/>
          <cell r="AB901">
            <v>0</v>
          </cell>
          <cell r="AC901">
            <v>0</v>
          </cell>
        </row>
        <row r="902">
          <cell r="F902" t="str">
            <v>REPLACEMENT OF 11KV SWITCHGEARS</v>
          </cell>
          <cell r="G902" t="str">
            <v>P652142P60</v>
          </cell>
          <cell r="H902" t="str">
            <v>P652142P60</v>
          </cell>
          <cell r="I902"/>
          <cell r="J902"/>
          <cell r="K902" t="str">
            <v>14</v>
          </cell>
          <cell r="L902" t="str">
            <v>45</v>
          </cell>
          <cell r="M902" t="str">
            <v>6</v>
          </cell>
          <cell r="N902" t="str">
            <v>52</v>
          </cell>
          <cell r="O902" t="str">
            <v>142</v>
          </cell>
          <cell r="P902" t="str">
            <v>0</v>
          </cell>
          <cell r="Q902" t="str">
            <v>CF</v>
          </cell>
          <cell r="R902" t="str">
            <v>P60</v>
          </cell>
          <cell r="S902" t="str">
            <v>ZZ</v>
          </cell>
          <cell r="T902">
            <v>11</v>
          </cell>
          <cell r="U902" t="str">
            <v>14456521420CFP60ZZ11</v>
          </cell>
          <cell r="V902">
            <v>894</v>
          </cell>
          <cell r="W902" t="str">
            <v>REPLACEMENT OF 11KV SWITCHGEARS</v>
          </cell>
          <cell r="X902">
            <v>1858403</v>
          </cell>
          <cell r="Y902">
            <v>555956.54</v>
          </cell>
          <cell r="Z902">
            <v>667147.848</v>
          </cell>
          <cell r="AA902"/>
          <cell r="AB902">
            <v>1858403</v>
          </cell>
          <cell r="AC902">
            <v>2250000</v>
          </cell>
        </row>
        <row r="903">
          <cell r="F903" t="str">
            <v>REPLACEMENT OF 32V BATTERIES</v>
          </cell>
          <cell r="G903" t="str">
            <v>P652142P61</v>
          </cell>
          <cell r="H903" t="str">
            <v>P652142P61</v>
          </cell>
          <cell r="I903"/>
          <cell r="J903"/>
          <cell r="K903" t="str">
            <v>14</v>
          </cell>
          <cell r="L903" t="str">
            <v>45</v>
          </cell>
          <cell r="M903" t="str">
            <v>6</v>
          </cell>
          <cell r="N903" t="str">
            <v>52</v>
          </cell>
          <cell r="O903" t="str">
            <v>142</v>
          </cell>
          <cell r="P903" t="str">
            <v>0</v>
          </cell>
          <cell r="Q903" t="str">
            <v>CF</v>
          </cell>
          <cell r="R903" t="str">
            <v>P61</v>
          </cell>
          <cell r="S903" t="str">
            <v>ZZ</v>
          </cell>
          <cell r="T903">
            <v>11</v>
          </cell>
          <cell r="U903" t="str">
            <v>14456521420CFP61ZZ11</v>
          </cell>
          <cell r="V903">
            <v>895</v>
          </cell>
          <cell r="W903" t="str">
            <v>REPLACEMENT OF 32V BATTERIES</v>
          </cell>
          <cell r="X903">
            <v>510827</v>
          </cell>
          <cell r="Y903">
            <v>23497.84</v>
          </cell>
          <cell r="Z903">
            <v>28197.408000000003</v>
          </cell>
          <cell r="AA903"/>
          <cell r="AB903">
            <v>510827</v>
          </cell>
          <cell r="AC903">
            <v>2000000</v>
          </cell>
        </row>
        <row r="904">
          <cell r="F904" t="str">
            <v>REFUR PROTEC &amp; SCADA SYSTEMS  DIST CENTR</v>
          </cell>
          <cell r="G904" t="str">
            <v>P652242P45</v>
          </cell>
          <cell r="H904">
            <v>0</v>
          </cell>
          <cell r="I904"/>
          <cell r="J904"/>
          <cell r="K904" t="str">
            <v>14</v>
          </cell>
          <cell r="L904" t="str">
            <v>45</v>
          </cell>
          <cell r="M904" t="str">
            <v>6</v>
          </cell>
          <cell r="N904" t="str">
            <v>52</v>
          </cell>
          <cell r="O904" t="str">
            <v>242</v>
          </cell>
          <cell r="P904" t="str">
            <v>0</v>
          </cell>
          <cell r="Q904">
            <v>81</v>
          </cell>
          <cell r="R904" t="str">
            <v>P45</v>
          </cell>
          <cell r="S904" t="str">
            <v>ZZ</v>
          </cell>
          <cell r="T904">
            <v>11</v>
          </cell>
          <cell r="U904" t="str">
            <v>1445652242081P45ZZ11</v>
          </cell>
          <cell r="V904">
            <v>896</v>
          </cell>
          <cell r="W904" t="str">
            <v>REFUR PROTEC &amp; SCADA SYSTEMS  DIST CENTR</v>
          </cell>
          <cell r="X904">
            <v>0</v>
          </cell>
          <cell r="Y904">
            <v>0</v>
          </cell>
          <cell r="Z904">
            <v>0</v>
          </cell>
          <cell r="AA904"/>
          <cell r="AB904">
            <v>0</v>
          </cell>
          <cell r="AC904">
            <v>0</v>
          </cell>
        </row>
        <row r="905">
          <cell r="F905" t="str">
            <v>TRANSFORMER REPLACE &amp; OTHER RELATED EQUI</v>
          </cell>
          <cell r="G905" t="str">
            <v>P652242P52</v>
          </cell>
          <cell r="H905">
            <v>0</v>
          </cell>
          <cell r="I905"/>
          <cell r="J905"/>
          <cell r="K905" t="str">
            <v>14</v>
          </cell>
          <cell r="L905" t="str">
            <v>45</v>
          </cell>
          <cell r="M905" t="str">
            <v>6</v>
          </cell>
          <cell r="N905" t="str">
            <v>52</v>
          </cell>
          <cell r="O905" t="str">
            <v>242</v>
          </cell>
          <cell r="P905" t="str">
            <v>0</v>
          </cell>
          <cell r="Q905">
            <v>81</v>
          </cell>
          <cell r="R905" t="str">
            <v>P52</v>
          </cell>
          <cell r="S905" t="str">
            <v>ZZ</v>
          </cell>
          <cell r="T905">
            <v>11</v>
          </cell>
          <cell r="U905" t="str">
            <v>1445652242081P52ZZ11</v>
          </cell>
          <cell r="V905">
            <v>897</v>
          </cell>
          <cell r="W905" t="str">
            <v>TRANSFORMER REPLACE &amp; OTHER RELATED EQUI</v>
          </cell>
          <cell r="X905">
            <v>0</v>
          </cell>
          <cell r="Y905">
            <v>0</v>
          </cell>
          <cell r="Z905">
            <v>0</v>
          </cell>
          <cell r="AA905"/>
          <cell r="AB905">
            <v>0</v>
          </cell>
          <cell r="AC905">
            <v>0</v>
          </cell>
        </row>
        <row r="906">
          <cell r="F906" t="str">
            <v>REFUR PROTEC &amp; SCADA SYSTEMS  DIST CENTR</v>
          </cell>
          <cell r="G906" t="str">
            <v>P652242P45</v>
          </cell>
          <cell r="H906" t="str">
            <v>P652242P45</v>
          </cell>
          <cell r="I906"/>
          <cell r="J906"/>
          <cell r="K906" t="str">
            <v>14</v>
          </cell>
          <cell r="L906" t="str">
            <v>45</v>
          </cell>
          <cell r="M906" t="str">
            <v>6</v>
          </cell>
          <cell r="N906" t="str">
            <v>52</v>
          </cell>
          <cell r="O906" t="str">
            <v>242</v>
          </cell>
          <cell r="P906" t="str">
            <v>0</v>
          </cell>
          <cell r="Q906" t="str">
            <v>CF</v>
          </cell>
          <cell r="R906" t="str">
            <v>P45</v>
          </cell>
          <cell r="S906" t="str">
            <v>ZZ</v>
          </cell>
          <cell r="T906">
            <v>11</v>
          </cell>
          <cell r="U906" t="str">
            <v>14456522420CFP45ZZ11</v>
          </cell>
          <cell r="V906">
            <v>898</v>
          </cell>
          <cell r="W906" t="str">
            <v>REFUR PROTEC &amp; SCADA SYSTEMS  DIST CENTR</v>
          </cell>
          <cell r="X906">
            <v>789241</v>
          </cell>
          <cell r="Y906">
            <v>560519.02</v>
          </cell>
          <cell r="Z906">
            <v>672622.82400000002</v>
          </cell>
          <cell r="AA906"/>
          <cell r="AB906">
            <v>789241</v>
          </cell>
          <cell r="AC906">
            <v>1000000</v>
          </cell>
        </row>
        <row r="907">
          <cell r="F907" t="str">
            <v>REPLACEMENT OF DAMAGED SWITCHGEAR AND EQ</v>
          </cell>
          <cell r="G907" t="str">
            <v>P652242P46</v>
          </cell>
          <cell r="H907" t="str">
            <v>P652242P46</v>
          </cell>
          <cell r="I907"/>
          <cell r="J907"/>
          <cell r="K907" t="str">
            <v>14</v>
          </cell>
          <cell r="L907" t="str">
            <v>45</v>
          </cell>
          <cell r="M907" t="str">
            <v>6</v>
          </cell>
          <cell r="N907" t="str">
            <v>52</v>
          </cell>
          <cell r="O907" t="str">
            <v>242</v>
          </cell>
          <cell r="P907" t="str">
            <v>0</v>
          </cell>
          <cell r="Q907" t="str">
            <v>CF</v>
          </cell>
          <cell r="R907" t="str">
            <v>P46</v>
          </cell>
          <cell r="S907" t="str">
            <v>ZZ</v>
          </cell>
          <cell r="T907">
            <v>11</v>
          </cell>
          <cell r="U907" t="str">
            <v>14456522420CFP46ZZ11</v>
          </cell>
          <cell r="V907">
            <v>899</v>
          </cell>
          <cell r="W907" t="str">
            <v>REPLACEMENT OF DAMAGED SWITCHGEAR AND EQ</v>
          </cell>
          <cell r="X907">
            <v>0</v>
          </cell>
          <cell r="Y907">
            <v>0</v>
          </cell>
          <cell r="Z907">
            <v>0</v>
          </cell>
          <cell r="AA907"/>
          <cell r="AB907">
            <v>0</v>
          </cell>
          <cell r="AC907">
            <v>0</v>
          </cell>
        </row>
        <row r="908">
          <cell r="F908" t="str">
            <v>TRANSFORMER REPLACE &amp; OTHER RELATED EQUI</v>
          </cell>
          <cell r="G908" t="str">
            <v>P652242P52</v>
          </cell>
          <cell r="H908" t="str">
            <v>P652242P52</v>
          </cell>
          <cell r="I908"/>
          <cell r="J908"/>
          <cell r="K908" t="str">
            <v>14</v>
          </cell>
          <cell r="L908" t="str">
            <v>45</v>
          </cell>
          <cell r="M908" t="str">
            <v>6</v>
          </cell>
          <cell r="N908" t="str">
            <v>52</v>
          </cell>
          <cell r="O908" t="str">
            <v>242</v>
          </cell>
          <cell r="P908" t="str">
            <v>0</v>
          </cell>
          <cell r="Q908" t="str">
            <v>CF</v>
          </cell>
          <cell r="R908" t="str">
            <v>P52</v>
          </cell>
          <cell r="S908" t="str">
            <v>ZZ</v>
          </cell>
          <cell r="T908">
            <v>11</v>
          </cell>
          <cell r="U908" t="str">
            <v>14456522420CFP52ZZ11</v>
          </cell>
          <cell r="V908">
            <v>900</v>
          </cell>
          <cell r="W908" t="str">
            <v>TRANSFORMER REPLACE &amp; OTHER RELATED EQUI</v>
          </cell>
          <cell r="X908">
            <v>9800000</v>
          </cell>
          <cell r="Y908">
            <v>6520374.2000000002</v>
          </cell>
          <cell r="Z908">
            <v>7824449.040000001</v>
          </cell>
          <cell r="AA908"/>
          <cell r="AB908">
            <v>9800000</v>
          </cell>
          <cell r="AC908">
            <v>13000000</v>
          </cell>
        </row>
        <row r="909">
          <cell r="F909" t="str">
            <v>REP 2 &amp;4 WAY FIBREGLAS BOX (BOTS % TBAN)</v>
          </cell>
          <cell r="G909">
            <v>0</v>
          </cell>
          <cell r="H909">
            <v>0</v>
          </cell>
          <cell r="I909"/>
          <cell r="J909"/>
          <cell r="K909" t="str">
            <v>14</v>
          </cell>
          <cell r="L909" t="str">
            <v>45</v>
          </cell>
          <cell r="M909" t="str">
            <v>6</v>
          </cell>
          <cell r="N909" t="str">
            <v>52</v>
          </cell>
          <cell r="O909" t="str">
            <v>302</v>
          </cell>
          <cell r="P909" t="str">
            <v>0</v>
          </cell>
          <cell r="Q909">
            <v>81</v>
          </cell>
          <cell r="R909" t="str">
            <v>P31</v>
          </cell>
          <cell r="S909" t="str">
            <v>ZZ</v>
          </cell>
          <cell r="T909">
            <v>11</v>
          </cell>
          <cell r="U909" t="str">
            <v>1445652302081P31ZZ11</v>
          </cell>
          <cell r="V909">
            <v>901</v>
          </cell>
          <cell r="W909" t="str">
            <v>REP 2 &amp;4 WAY FIBREGLAS BOX (BOTS % TBAN)</v>
          </cell>
          <cell r="X909">
            <v>0</v>
          </cell>
          <cell r="Y909">
            <v>0</v>
          </cell>
          <cell r="Z909">
            <v>0</v>
          </cell>
          <cell r="AA909"/>
          <cell r="AB909">
            <v>0</v>
          </cell>
          <cell r="AC909">
            <v>0</v>
          </cell>
        </row>
        <row r="910">
          <cell r="F910" t="str">
            <v>INSTALLATION OF HIGH VOLTAGE TEST EQUIPMENT</v>
          </cell>
          <cell r="G910" t="str">
            <v>P652302P31</v>
          </cell>
          <cell r="H910" t="str">
            <v>P652302P31</v>
          </cell>
          <cell r="I910"/>
          <cell r="J910"/>
          <cell r="K910" t="str">
            <v>14</v>
          </cell>
          <cell r="L910" t="str">
            <v>45</v>
          </cell>
          <cell r="M910" t="str">
            <v>6</v>
          </cell>
          <cell r="N910" t="str">
            <v>52</v>
          </cell>
          <cell r="O910" t="str">
            <v>302</v>
          </cell>
          <cell r="P910" t="str">
            <v>0</v>
          </cell>
          <cell r="Q910" t="str">
            <v>CF</v>
          </cell>
          <cell r="R910" t="str">
            <v>P31</v>
          </cell>
          <cell r="S910" t="str">
            <v>ZZ</v>
          </cell>
          <cell r="T910">
            <v>11</v>
          </cell>
          <cell r="U910" t="str">
            <v>14456523020CFCX2ZZ11</v>
          </cell>
          <cell r="V910">
            <v>902</v>
          </cell>
          <cell r="W910" t="str">
            <v>INSTALLATION OF HIGH VOLTAGE TEST EQUIPMENT</v>
          </cell>
          <cell r="X910">
            <v>0</v>
          </cell>
          <cell r="Y910">
            <v>0</v>
          </cell>
          <cell r="Z910">
            <v>0</v>
          </cell>
          <cell r="AA910"/>
          <cell r="AB910">
            <v>0</v>
          </cell>
          <cell r="AC910">
            <v>2500000</v>
          </cell>
        </row>
        <row r="911">
          <cell r="F911" t="str">
            <v>REPLACEMENT OF OIL PLANT</v>
          </cell>
          <cell r="G911" t="str">
            <v>P652402P80</v>
          </cell>
          <cell r="H911" t="str">
            <v>P652402P80</v>
          </cell>
          <cell r="I911"/>
          <cell r="J911"/>
          <cell r="K911" t="str">
            <v>14</v>
          </cell>
          <cell r="L911" t="str">
            <v>45</v>
          </cell>
          <cell r="M911" t="str">
            <v>6</v>
          </cell>
          <cell r="N911" t="str">
            <v>52</v>
          </cell>
          <cell r="O911" t="str">
            <v>402</v>
          </cell>
          <cell r="P911" t="str">
            <v>0</v>
          </cell>
          <cell r="Q911" t="str">
            <v>CF</v>
          </cell>
          <cell r="R911" t="str">
            <v>P80</v>
          </cell>
          <cell r="S911" t="str">
            <v>ZZ</v>
          </cell>
          <cell r="T911">
            <v>11</v>
          </cell>
          <cell r="U911" t="str">
            <v>14456524020CFP80ZZ11</v>
          </cell>
          <cell r="V911">
            <v>903</v>
          </cell>
          <cell r="W911" t="str">
            <v>REPLACEMENT OF OIL PLANT</v>
          </cell>
          <cell r="X911">
            <v>200000</v>
          </cell>
          <cell r="Y911">
            <v>0</v>
          </cell>
          <cell r="Z911">
            <v>0</v>
          </cell>
          <cell r="AA911"/>
          <cell r="AB911">
            <v>200000</v>
          </cell>
          <cell r="AC911">
            <v>500000</v>
          </cell>
        </row>
        <row r="912">
          <cell r="F912" t="str">
            <v>REPAIR VISTA DIST DIST CENTRE</v>
          </cell>
          <cell r="G912" t="str">
            <v>P656352QH7</v>
          </cell>
          <cell r="H912" t="str">
            <v>P656352QH7</v>
          </cell>
          <cell r="I912"/>
          <cell r="J912"/>
          <cell r="K912" t="str">
            <v>14</v>
          </cell>
          <cell r="L912" t="str">
            <v>45</v>
          </cell>
          <cell r="M912" t="str">
            <v>6</v>
          </cell>
          <cell r="N912" t="str">
            <v>56</v>
          </cell>
          <cell r="O912" t="str">
            <v>352</v>
          </cell>
          <cell r="P912" t="str">
            <v>0</v>
          </cell>
          <cell r="Q912">
            <v>81</v>
          </cell>
          <cell r="R912" t="str">
            <v>QH7</v>
          </cell>
          <cell r="S912" t="str">
            <v>ZZ</v>
          </cell>
          <cell r="T912">
            <v>11</v>
          </cell>
          <cell r="U912" t="str">
            <v>1445656352081QH7ZZ11</v>
          </cell>
          <cell r="V912">
            <v>904</v>
          </cell>
          <cell r="W912" t="str">
            <v>REPAIR VISTA DIST DIST CENTRE</v>
          </cell>
          <cell r="X912">
            <v>0</v>
          </cell>
          <cell r="Y912">
            <v>0</v>
          </cell>
          <cell r="Z912">
            <v>0</v>
          </cell>
          <cell r="AA912"/>
          <cell r="AB912">
            <v>0</v>
          </cell>
          <cell r="AC912">
            <v>0</v>
          </cell>
        </row>
        <row r="913">
          <cell r="F913" t="str">
            <v>REPAIR MMM DIST DIST CENTRE</v>
          </cell>
          <cell r="G913" t="str">
            <v>P656352QH6</v>
          </cell>
          <cell r="H913" t="str">
            <v>P656352QH6</v>
          </cell>
          <cell r="I913"/>
          <cell r="J913"/>
          <cell r="K913" t="str">
            <v>14</v>
          </cell>
          <cell r="L913" t="str">
            <v>45</v>
          </cell>
          <cell r="M913" t="str">
            <v>6</v>
          </cell>
          <cell r="N913" t="str">
            <v>56</v>
          </cell>
          <cell r="O913" t="str">
            <v>352</v>
          </cell>
          <cell r="P913" t="str">
            <v>0</v>
          </cell>
          <cell r="Q913" t="str">
            <v>CF</v>
          </cell>
          <cell r="R913" t="str">
            <v>QH6</v>
          </cell>
          <cell r="S913" t="str">
            <v>ZZ</v>
          </cell>
          <cell r="T913">
            <v>11</v>
          </cell>
          <cell r="U913" t="str">
            <v>14456563520CFQH6ZZ11</v>
          </cell>
          <cell r="V913">
            <v>905</v>
          </cell>
          <cell r="W913" t="str">
            <v>REPAIR MMM DIST DIST CENTRE</v>
          </cell>
          <cell r="X913">
            <v>11133919</v>
          </cell>
          <cell r="Y913">
            <v>4243305.46</v>
          </cell>
          <cell r="Z913">
            <v>5091966.5519999992</v>
          </cell>
          <cell r="AA913">
            <v>-7133919</v>
          </cell>
          <cell r="AB913">
            <v>4000000</v>
          </cell>
          <cell r="AC913">
            <v>12247310.9</v>
          </cell>
        </row>
        <row r="914">
          <cell r="F914" t="str">
            <v>REPAIR VISTA DIST DIST CENTRE</v>
          </cell>
          <cell r="G914" t="str">
            <v>P656352QH7</v>
          </cell>
          <cell r="H914" t="str">
            <v>P656352QH7</v>
          </cell>
          <cell r="I914"/>
          <cell r="J914"/>
          <cell r="K914" t="str">
            <v>14</v>
          </cell>
          <cell r="L914" t="str">
            <v>45</v>
          </cell>
          <cell r="M914" t="str">
            <v>6</v>
          </cell>
          <cell r="N914" t="str">
            <v>56</v>
          </cell>
          <cell r="O914" t="str">
            <v>352</v>
          </cell>
          <cell r="P914" t="str">
            <v>0</v>
          </cell>
          <cell r="Q914" t="str">
            <v>CF</v>
          </cell>
          <cell r="R914" t="str">
            <v>QH7</v>
          </cell>
          <cell r="S914" t="str">
            <v>ZZ</v>
          </cell>
          <cell r="T914">
            <v>11</v>
          </cell>
          <cell r="U914" t="str">
            <v>14456563520CFQH7ZZ11</v>
          </cell>
          <cell r="V914">
            <v>906</v>
          </cell>
          <cell r="W914" t="str">
            <v>REPAIR VISTA DIST DIST CENTRE</v>
          </cell>
          <cell r="X914">
            <v>14498158</v>
          </cell>
          <cell r="Y914">
            <v>0</v>
          </cell>
          <cell r="Z914">
            <v>0</v>
          </cell>
          <cell r="AA914">
            <v>-14498158</v>
          </cell>
          <cell r="AB914">
            <v>0</v>
          </cell>
          <cell r="AC914">
            <v>30163643.869999997</v>
          </cell>
        </row>
        <row r="915">
          <cell r="F915" t="str">
            <v>SM D14: SAL &amp; ALL -  BASIC SALARY</v>
          </cell>
          <cell r="G915" t="str">
            <v>P1501203605</v>
          </cell>
          <cell r="H915" t="str">
            <v>P1501203605</v>
          </cell>
          <cell r="I915" t="str">
            <v>501501</v>
          </cell>
          <cell r="J915">
            <v>50</v>
          </cell>
          <cell r="K915" t="str">
            <v>15</v>
          </cell>
          <cell r="L915" t="str">
            <v>01</v>
          </cell>
          <cell r="M915" t="str">
            <v>2</v>
          </cell>
          <cell r="N915" t="str">
            <v>03</v>
          </cell>
          <cell r="O915" t="str">
            <v>605</v>
          </cell>
          <cell r="P915" t="str">
            <v>0</v>
          </cell>
          <cell r="Q915">
            <v>18</v>
          </cell>
          <cell r="R915" t="str">
            <v>MRC</v>
          </cell>
          <cell r="S915" t="str">
            <v>ZZ</v>
          </cell>
          <cell r="T915">
            <v>11</v>
          </cell>
          <cell r="U915" t="str">
            <v>1501203605018MRCZZ11</v>
          </cell>
          <cell r="V915">
            <v>907</v>
          </cell>
          <cell r="W915" t="str">
            <v>SM D14: SAL &amp; ALL -  BASIC SALARY</v>
          </cell>
          <cell r="X915">
            <v>1238288</v>
          </cell>
          <cell r="Y915">
            <v>81756.5</v>
          </cell>
          <cell r="Z915">
            <v>98107.799999999988</v>
          </cell>
          <cell r="AA915"/>
          <cell r="AB915">
            <v>1238288</v>
          </cell>
          <cell r="AC915">
            <v>1341533.6626944002</v>
          </cell>
        </row>
        <row r="916">
          <cell r="F916" t="str">
            <v>SM D14: ALLOW - CELLULAR &amp; TELEPHONE</v>
          </cell>
          <cell r="G916" t="str">
            <v>P1501203607</v>
          </cell>
          <cell r="H916" t="str">
            <v>P1501203607</v>
          </cell>
          <cell r="I916" t="str">
            <v>501501</v>
          </cell>
          <cell r="J916">
            <v>50</v>
          </cell>
          <cell r="K916" t="str">
            <v>15</v>
          </cell>
          <cell r="L916" t="str">
            <v>01</v>
          </cell>
          <cell r="M916" t="str">
            <v>2</v>
          </cell>
          <cell r="N916" t="str">
            <v>03</v>
          </cell>
          <cell r="O916" t="str">
            <v>607</v>
          </cell>
          <cell r="P916" t="str">
            <v>0</v>
          </cell>
          <cell r="Q916">
            <v>18</v>
          </cell>
          <cell r="R916" t="str">
            <v>MRC</v>
          </cell>
          <cell r="S916" t="str">
            <v>ZZ</v>
          </cell>
          <cell r="T916">
            <v>11</v>
          </cell>
          <cell r="U916" t="str">
            <v>1501203607018MRCZZ11</v>
          </cell>
          <cell r="V916">
            <v>908</v>
          </cell>
          <cell r="W916" t="str">
            <v>SM D14: ALLOW - CELLULAR &amp; TELEPHONE</v>
          </cell>
          <cell r="X916">
            <v>16736</v>
          </cell>
          <cell r="Y916">
            <v>1200</v>
          </cell>
          <cell r="Z916">
            <v>1440</v>
          </cell>
          <cell r="AA916"/>
          <cell r="AB916">
            <v>16736</v>
          </cell>
          <cell r="AC916">
            <v>15091.2</v>
          </cell>
        </row>
        <row r="917">
          <cell r="F917" t="str">
            <v>SM D14: ALLOW - TRAVEL OR MOTOR VEHICLE</v>
          </cell>
          <cell r="G917" t="str">
            <v>P1501203609</v>
          </cell>
          <cell r="H917" t="str">
            <v>P1501203609</v>
          </cell>
          <cell r="I917" t="str">
            <v>501501</v>
          </cell>
          <cell r="J917">
            <v>50</v>
          </cell>
          <cell r="K917" t="str">
            <v>15</v>
          </cell>
          <cell r="L917" t="str">
            <v>01</v>
          </cell>
          <cell r="M917" t="str">
            <v>2</v>
          </cell>
          <cell r="N917" t="str">
            <v>03</v>
          </cell>
          <cell r="O917" t="str">
            <v>609</v>
          </cell>
          <cell r="P917" t="str">
            <v>0</v>
          </cell>
          <cell r="Q917">
            <v>18</v>
          </cell>
          <cell r="R917" t="str">
            <v>MRC</v>
          </cell>
          <cell r="S917" t="str">
            <v>ZZ</v>
          </cell>
          <cell r="T917">
            <v>11</v>
          </cell>
          <cell r="U917" t="str">
            <v>1501203609018MRCZZ11</v>
          </cell>
          <cell r="V917">
            <v>909</v>
          </cell>
          <cell r="W917" t="str">
            <v>SM D14: ALLOW - TRAVEL OR MOTOR VEHICLE</v>
          </cell>
          <cell r="X917">
            <v>143713</v>
          </cell>
          <cell r="Y917">
            <v>20000</v>
          </cell>
          <cell r="Z917">
            <v>24000</v>
          </cell>
          <cell r="AA917"/>
          <cell r="AB917">
            <v>143713</v>
          </cell>
          <cell r="AC917">
            <v>0</v>
          </cell>
        </row>
        <row r="918">
          <cell r="F918" t="str">
            <v>SM D14: SOC CONTR: UIF</v>
          </cell>
          <cell r="G918" t="str">
            <v>P1501205623</v>
          </cell>
          <cell r="H918" t="str">
            <v>P1501205623</v>
          </cell>
          <cell r="I918" t="str">
            <v>501501</v>
          </cell>
          <cell r="J918">
            <v>50</v>
          </cell>
          <cell r="K918" t="str">
            <v>15</v>
          </cell>
          <cell r="L918" t="str">
            <v>01</v>
          </cell>
          <cell r="M918" t="str">
            <v>2</v>
          </cell>
          <cell r="N918" t="str">
            <v>05</v>
          </cell>
          <cell r="O918" t="str">
            <v>623</v>
          </cell>
          <cell r="P918" t="str">
            <v>0</v>
          </cell>
          <cell r="Q918">
            <v>18</v>
          </cell>
          <cell r="R918" t="str">
            <v>MRC</v>
          </cell>
          <cell r="S918" t="str">
            <v>ZZ</v>
          </cell>
          <cell r="T918">
            <v>11</v>
          </cell>
          <cell r="U918" t="str">
            <v>1501205623018MRCZZ11</v>
          </cell>
          <cell r="V918">
            <v>910</v>
          </cell>
          <cell r="W918" t="str">
            <v>SM D14: SOC CONTR: UIF</v>
          </cell>
          <cell r="X918">
            <v>2227</v>
          </cell>
          <cell r="Y918">
            <v>177.12</v>
          </cell>
          <cell r="Z918">
            <v>212.54399999999998</v>
          </cell>
          <cell r="AA918"/>
          <cell r="AB918">
            <v>2227</v>
          </cell>
          <cell r="AC918">
            <v>0</v>
          </cell>
        </row>
        <row r="919">
          <cell r="F919" t="str">
            <v>MS: SAL &amp; ALL: BASIC SALARY &amp; WAGES</v>
          </cell>
          <cell r="G919" t="str">
            <v>P211001</v>
          </cell>
          <cell r="H919" t="str">
            <v>P211001</v>
          </cell>
          <cell r="I919" t="str">
            <v>501501</v>
          </cell>
          <cell r="J919">
            <v>50</v>
          </cell>
          <cell r="K919" t="str">
            <v>15</v>
          </cell>
          <cell r="L919" t="str">
            <v>01</v>
          </cell>
          <cell r="M919" t="str">
            <v>2</v>
          </cell>
          <cell r="N919" t="str">
            <v>11</v>
          </cell>
          <cell r="O919" t="str">
            <v>001</v>
          </cell>
          <cell r="P919" t="str">
            <v>0</v>
          </cell>
          <cell r="Q919">
            <v>18</v>
          </cell>
          <cell r="R919" t="str">
            <v>MRC</v>
          </cell>
          <cell r="S919" t="str">
            <v>ZZ</v>
          </cell>
          <cell r="T919">
            <v>11</v>
          </cell>
          <cell r="U919" t="str">
            <v>1501211001018MRCZZ11</v>
          </cell>
          <cell r="V919">
            <v>911</v>
          </cell>
          <cell r="W919" t="str">
            <v>MS: SAL &amp; ALL: BASIC SALARY &amp; WAGES</v>
          </cell>
          <cell r="X919">
            <v>1708631</v>
          </cell>
          <cell r="Y919">
            <v>1390939.23</v>
          </cell>
          <cell r="Z919">
            <v>1669127.0760000001</v>
          </cell>
          <cell r="AA919"/>
          <cell r="AB919">
            <v>1708631</v>
          </cell>
          <cell r="AC919">
            <v>1078043.0160000001</v>
          </cell>
        </row>
        <row r="920">
          <cell r="F920" t="str">
            <v>MS: ALL - CELLULAR &amp; TELEPHONE</v>
          </cell>
          <cell r="G920" t="str">
            <v>P211022</v>
          </cell>
          <cell r="H920" t="str">
            <v>P211022</v>
          </cell>
          <cell r="I920" t="str">
            <v>501501</v>
          </cell>
          <cell r="J920">
            <v>50</v>
          </cell>
          <cell r="K920" t="str">
            <v>15</v>
          </cell>
          <cell r="L920" t="str">
            <v>01</v>
          </cell>
          <cell r="M920" t="str">
            <v>2</v>
          </cell>
          <cell r="N920" t="str">
            <v>11</v>
          </cell>
          <cell r="O920" t="str">
            <v>022</v>
          </cell>
          <cell r="P920" t="str">
            <v>0</v>
          </cell>
          <cell r="Q920">
            <v>18</v>
          </cell>
          <cell r="R920" t="str">
            <v>MRC</v>
          </cell>
          <cell r="S920" t="str">
            <v>ZZ</v>
          </cell>
          <cell r="T920">
            <v>11</v>
          </cell>
          <cell r="U920" t="str">
            <v>1501211022018MRCZZ11</v>
          </cell>
          <cell r="V920">
            <v>912</v>
          </cell>
          <cell r="W920" t="str">
            <v>MS: ALL - CELLULAR &amp; TELEPHONE</v>
          </cell>
          <cell r="X920">
            <v>18759</v>
          </cell>
          <cell r="Y920">
            <v>15527.7</v>
          </cell>
          <cell r="Z920">
            <v>18633.239999999998</v>
          </cell>
          <cell r="AA920"/>
          <cell r="AB920">
            <v>18759</v>
          </cell>
          <cell r="AC920">
            <v>4033.1232</v>
          </cell>
        </row>
        <row r="921">
          <cell r="F921" t="str">
            <v>MS: HB &amp; INC: HOUSING BENEFITS</v>
          </cell>
          <cell r="G921" t="str">
            <v>P211026</v>
          </cell>
          <cell r="H921" t="str">
            <v>P211026</v>
          </cell>
          <cell r="I921" t="str">
            <v>501501</v>
          </cell>
          <cell r="J921">
            <v>50</v>
          </cell>
          <cell r="K921" t="str">
            <v>15</v>
          </cell>
          <cell r="L921" t="str">
            <v>01</v>
          </cell>
          <cell r="M921" t="str">
            <v>2</v>
          </cell>
          <cell r="N921" t="str">
            <v>11</v>
          </cell>
          <cell r="O921" t="str">
            <v>026</v>
          </cell>
          <cell r="P921" t="str">
            <v>0</v>
          </cell>
          <cell r="Q921">
            <v>18</v>
          </cell>
          <cell r="R921" t="str">
            <v>MRC</v>
          </cell>
          <cell r="S921" t="str">
            <v>ZZ</v>
          </cell>
          <cell r="T921">
            <v>11</v>
          </cell>
          <cell r="U921" t="str">
            <v>1501211026018MRCZZ11</v>
          </cell>
          <cell r="V921">
            <v>913</v>
          </cell>
          <cell r="W921" t="str">
            <v>MS: HB &amp; INC: HOUSING BENEFITS</v>
          </cell>
          <cell r="X921">
            <v>0</v>
          </cell>
          <cell r="Y921">
            <v>0</v>
          </cell>
          <cell r="Z921">
            <v>0</v>
          </cell>
          <cell r="AA921"/>
          <cell r="AB921">
            <v>0</v>
          </cell>
          <cell r="AC921">
            <v>24259.355519999997</v>
          </cell>
        </row>
        <row r="922">
          <cell r="F922" t="str">
            <v>MS: ALL - TRAVEL OR MOTOR VEHICLE</v>
          </cell>
          <cell r="G922" t="str">
            <v>P211034</v>
          </cell>
          <cell r="H922" t="str">
            <v>P211034</v>
          </cell>
          <cell r="I922" t="str">
            <v>501501</v>
          </cell>
          <cell r="J922">
            <v>50</v>
          </cell>
          <cell r="K922" t="str">
            <v>15</v>
          </cell>
          <cell r="L922" t="str">
            <v>01</v>
          </cell>
          <cell r="M922" t="str">
            <v>2</v>
          </cell>
          <cell r="N922" t="str">
            <v>11</v>
          </cell>
          <cell r="O922" t="str">
            <v>034</v>
          </cell>
          <cell r="P922" t="str">
            <v>0</v>
          </cell>
          <cell r="Q922">
            <v>18</v>
          </cell>
          <cell r="R922" t="str">
            <v>MRC</v>
          </cell>
          <cell r="S922" t="str">
            <v>ZZ</v>
          </cell>
          <cell r="T922">
            <v>11</v>
          </cell>
          <cell r="U922" t="str">
            <v>1501211034018MRCZZ11</v>
          </cell>
          <cell r="V922">
            <v>914</v>
          </cell>
          <cell r="W922" t="str">
            <v>MS: ALL - TRAVEL OR MOTOR VEHICLE</v>
          </cell>
          <cell r="X922">
            <v>0</v>
          </cell>
          <cell r="Y922">
            <v>0</v>
          </cell>
          <cell r="Z922">
            <v>0</v>
          </cell>
          <cell r="AA922"/>
          <cell r="AB922">
            <v>0</v>
          </cell>
          <cell r="AC922">
            <v>0</v>
          </cell>
        </row>
        <row r="923">
          <cell r="F923" t="str">
            <v>MS: ALL - TRAVEL OR MOTOR VEHICLE (SUBS</v>
          </cell>
          <cell r="G923" t="str">
            <v>P211034</v>
          </cell>
          <cell r="H923" t="str">
            <v>P211034</v>
          </cell>
          <cell r="I923" t="str">
            <v>501501</v>
          </cell>
          <cell r="J923">
            <v>50</v>
          </cell>
          <cell r="K923" t="str">
            <v>15</v>
          </cell>
          <cell r="L923" t="str">
            <v>01</v>
          </cell>
          <cell r="M923" t="str">
            <v>2</v>
          </cell>
          <cell r="N923" t="str">
            <v>11</v>
          </cell>
          <cell r="O923" t="str">
            <v>034</v>
          </cell>
          <cell r="P923" t="str">
            <v>1</v>
          </cell>
          <cell r="Q923">
            <v>18</v>
          </cell>
          <cell r="R923" t="str">
            <v>MRC</v>
          </cell>
          <cell r="S923" t="str">
            <v>ZZ</v>
          </cell>
          <cell r="T923">
            <v>11</v>
          </cell>
          <cell r="U923" t="str">
            <v>1501211034118MRCZZ11</v>
          </cell>
          <cell r="V923">
            <v>915</v>
          </cell>
          <cell r="W923" t="str">
            <v>MS: ALL - TRAVEL OR MOTOR VEHICLE (SUBS</v>
          </cell>
          <cell r="X923">
            <v>246720</v>
          </cell>
          <cell r="Y923">
            <v>200000</v>
          </cell>
          <cell r="Z923">
            <v>240000</v>
          </cell>
          <cell r="AA923"/>
          <cell r="AB923">
            <v>246720</v>
          </cell>
          <cell r="AC923">
            <v>0</v>
          </cell>
        </row>
        <row r="924">
          <cell r="F924" t="str">
            <v>MS: OVERTIME - STRUCTURED</v>
          </cell>
          <cell r="G924" t="str">
            <v>P211038</v>
          </cell>
          <cell r="H924" t="str">
            <v>P211038</v>
          </cell>
          <cell r="I924" t="str">
            <v>501501</v>
          </cell>
          <cell r="J924">
            <v>50</v>
          </cell>
          <cell r="K924" t="str">
            <v>15</v>
          </cell>
          <cell r="L924" t="str">
            <v>01</v>
          </cell>
          <cell r="M924" t="str">
            <v>2</v>
          </cell>
          <cell r="N924" t="str">
            <v>11</v>
          </cell>
          <cell r="O924" t="str">
            <v>038</v>
          </cell>
          <cell r="P924" t="str">
            <v>0</v>
          </cell>
          <cell r="Q924">
            <v>18</v>
          </cell>
          <cell r="R924" t="str">
            <v>MRC</v>
          </cell>
          <cell r="S924" t="str">
            <v>ZZ</v>
          </cell>
          <cell r="T924">
            <v>11</v>
          </cell>
          <cell r="U924" t="str">
            <v>1501211038018MRCZZ11</v>
          </cell>
          <cell r="V924">
            <v>916</v>
          </cell>
          <cell r="W924" t="str">
            <v>MS: OVERTIME - STRUCTURED</v>
          </cell>
          <cell r="X924">
            <v>89324</v>
          </cell>
          <cell r="Y924">
            <v>89898.82</v>
          </cell>
          <cell r="Z924">
            <v>107878.58400000002</v>
          </cell>
          <cell r="AA924"/>
          <cell r="AB924">
            <v>89324</v>
          </cell>
          <cell r="AC924">
            <v>80391.600000000006</v>
          </cell>
        </row>
        <row r="925">
          <cell r="F925" t="str">
            <v>MS: OVERTIME - NIGHT SHIFT</v>
          </cell>
          <cell r="G925" t="str">
            <v>P211042</v>
          </cell>
          <cell r="H925" t="str">
            <v>P211042</v>
          </cell>
          <cell r="I925" t="str">
            <v>501501</v>
          </cell>
          <cell r="J925">
            <v>50</v>
          </cell>
          <cell r="K925" t="str">
            <v>15</v>
          </cell>
          <cell r="L925" t="str">
            <v>01</v>
          </cell>
          <cell r="M925" t="str">
            <v>2</v>
          </cell>
          <cell r="N925" t="str">
            <v>11</v>
          </cell>
          <cell r="O925" t="str">
            <v>042</v>
          </cell>
          <cell r="P925" t="str">
            <v>0</v>
          </cell>
          <cell r="Q925">
            <v>18</v>
          </cell>
          <cell r="R925" t="str">
            <v>MRC</v>
          </cell>
          <cell r="S925" t="str">
            <v>ZZ</v>
          </cell>
          <cell r="T925">
            <v>11</v>
          </cell>
          <cell r="U925" t="str">
            <v>1501211042018MRCZZ11</v>
          </cell>
          <cell r="V925">
            <v>917</v>
          </cell>
          <cell r="W925" t="str">
            <v>MS: OVERTIME - NIGHT SHIFT</v>
          </cell>
          <cell r="X925">
            <v>7141</v>
          </cell>
          <cell r="Y925">
            <v>6964.44</v>
          </cell>
          <cell r="Z925">
            <v>8357.3279999999995</v>
          </cell>
          <cell r="AA925"/>
          <cell r="AB925">
            <v>7141</v>
          </cell>
          <cell r="AC925">
            <v>6426.9000000000005</v>
          </cell>
        </row>
        <row r="926">
          <cell r="F926" t="str">
            <v>MS: SRB - ANNUAL BONUS</v>
          </cell>
          <cell r="G926" t="str">
            <v>P211046</v>
          </cell>
          <cell r="H926" t="str">
            <v>P211046</v>
          </cell>
          <cell r="I926" t="str">
            <v>501501</v>
          </cell>
          <cell r="J926">
            <v>50</v>
          </cell>
          <cell r="K926" t="str">
            <v>15</v>
          </cell>
          <cell r="L926" t="str">
            <v>01</v>
          </cell>
          <cell r="M926" t="str">
            <v>2</v>
          </cell>
          <cell r="N926" t="str">
            <v>11</v>
          </cell>
          <cell r="O926" t="str">
            <v>046</v>
          </cell>
          <cell r="P926" t="str">
            <v>0</v>
          </cell>
          <cell r="Q926">
            <v>18</v>
          </cell>
          <cell r="R926" t="str">
            <v>MRC</v>
          </cell>
          <cell r="S926" t="str">
            <v>ZZ</v>
          </cell>
          <cell r="T926">
            <v>11</v>
          </cell>
          <cell r="U926" t="str">
            <v>1501211046018MRCZZ11</v>
          </cell>
          <cell r="V926">
            <v>918</v>
          </cell>
          <cell r="W926" t="str">
            <v>MS: SRB - ANNUAL BONUS</v>
          </cell>
          <cell r="X926">
            <v>0</v>
          </cell>
          <cell r="Y926">
            <v>47078.84</v>
          </cell>
          <cell r="Z926">
            <v>56494.608</v>
          </cell>
          <cell r="AA926"/>
          <cell r="AB926">
            <v>0</v>
          </cell>
          <cell r="AC926">
            <v>89836.918000000005</v>
          </cell>
        </row>
        <row r="927">
          <cell r="F927" t="str">
            <v>MS: SRB - STANDBY ALLOWANCE</v>
          </cell>
          <cell r="G927" t="str">
            <v>P211056</v>
          </cell>
          <cell r="H927" t="str">
            <v>P211056</v>
          </cell>
          <cell r="I927" t="str">
            <v>501501</v>
          </cell>
          <cell r="J927">
            <v>50</v>
          </cell>
          <cell r="K927" t="str">
            <v>15</v>
          </cell>
          <cell r="L927" t="str">
            <v>01</v>
          </cell>
          <cell r="M927" t="str">
            <v>2</v>
          </cell>
          <cell r="N927" t="str">
            <v>11</v>
          </cell>
          <cell r="O927" t="str">
            <v>056</v>
          </cell>
          <cell r="P927" t="str">
            <v>0</v>
          </cell>
          <cell r="Q927">
            <v>18</v>
          </cell>
          <cell r="R927" t="str">
            <v>MRC</v>
          </cell>
          <cell r="S927" t="str">
            <v>ZZ</v>
          </cell>
          <cell r="T927">
            <v>11</v>
          </cell>
          <cell r="U927" t="str">
            <v>1501211056018MRCZZ11</v>
          </cell>
          <cell r="V927">
            <v>919</v>
          </cell>
          <cell r="W927" t="str">
            <v>MS: SRB - STANDBY ALLOWANCE</v>
          </cell>
          <cell r="X927">
            <v>23068</v>
          </cell>
          <cell r="Y927">
            <v>20732.97</v>
          </cell>
          <cell r="Z927">
            <v>24879.563999999998</v>
          </cell>
          <cell r="AA927"/>
          <cell r="AB927">
            <v>23068</v>
          </cell>
          <cell r="AC927">
            <v>20761.2</v>
          </cell>
        </row>
        <row r="928">
          <cell r="F928" t="str">
            <v>MS: SRB - TOOLS ALLOWANCE</v>
          </cell>
          <cell r="G928" t="str">
            <v>P211058</v>
          </cell>
          <cell r="H928" t="str">
            <v>P211058</v>
          </cell>
          <cell r="I928" t="str">
            <v>501501</v>
          </cell>
          <cell r="J928">
            <v>50</v>
          </cell>
          <cell r="K928" t="str">
            <v>15</v>
          </cell>
          <cell r="L928" t="str">
            <v>01</v>
          </cell>
          <cell r="M928" t="str">
            <v>2</v>
          </cell>
          <cell r="N928" t="str">
            <v>11</v>
          </cell>
          <cell r="O928" t="str">
            <v>058</v>
          </cell>
          <cell r="P928" t="str">
            <v>0</v>
          </cell>
          <cell r="Q928">
            <v>18</v>
          </cell>
          <cell r="R928" t="str">
            <v>MRC</v>
          </cell>
          <cell r="S928" t="str">
            <v>ZZ</v>
          </cell>
          <cell r="T928">
            <v>11</v>
          </cell>
          <cell r="U928" t="str">
            <v>1501211058018MRCZZ11</v>
          </cell>
          <cell r="V928">
            <v>920</v>
          </cell>
          <cell r="W928" t="str">
            <v>MS: SRB - TOOLS ALLOWANCE</v>
          </cell>
          <cell r="X928">
            <v>0</v>
          </cell>
          <cell r="Y928">
            <v>0</v>
          </cell>
          <cell r="Z928">
            <v>0</v>
          </cell>
          <cell r="AA928"/>
          <cell r="AB928">
            <v>0</v>
          </cell>
          <cell r="AC928">
            <v>0</v>
          </cell>
        </row>
        <row r="929">
          <cell r="F929" t="str">
            <v>MS: SOC CONTR - BARGAINING COUNCIL</v>
          </cell>
          <cell r="G929" t="str">
            <v>P213001</v>
          </cell>
          <cell r="H929" t="str">
            <v>P213001</v>
          </cell>
          <cell r="I929" t="str">
            <v>501501</v>
          </cell>
          <cell r="J929">
            <v>50</v>
          </cell>
          <cell r="K929" t="str">
            <v>15</v>
          </cell>
          <cell r="L929" t="str">
            <v>01</v>
          </cell>
          <cell r="M929" t="str">
            <v>2</v>
          </cell>
          <cell r="N929" t="str">
            <v>13</v>
          </cell>
          <cell r="O929" t="str">
            <v>001</v>
          </cell>
          <cell r="P929" t="str">
            <v>0</v>
          </cell>
          <cell r="Q929">
            <v>18</v>
          </cell>
          <cell r="R929" t="str">
            <v>MRC</v>
          </cell>
          <cell r="S929" t="str">
            <v>ZZ</v>
          </cell>
          <cell r="T929">
            <v>11</v>
          </cell>
          <cell r="U929" t="str">
            <v>1501213001018MRCZZ11</v>
          </cell>
          <cell r="V929">
            <v>921</v>
          </cell>
          <cell r="W929" t="str">
            <v>MS: SOC CONTR - BARGAINING COUNCIL</v>
          </cell>
          <cell r="X929">
            <v>366</v>
          </cell>
          <cell r="Y929">
            <v>339.9</v>
          </cell>
          <cell r="Z929">
            <v>407.87999999999994</v>
          </cell>
          <cell r="AA929"/>
          <cell r="AB929">
            <v>366</v>
          </cell>
          <cell r="AC929">
            <v>259.06560000000002</v>
          </cell>
        </row>
        <row r="930">
          <cell r="F930" t="str">
            <v>MS: SOC CONTR - GROUP LIFE INSURANCE</v>
          </cell>
          <cell r="G930" t="str">
            <v>P213010</v>
          </cell>
          <cell r="H930" t="str">
            <v>P213010</v>
          </cell>
          <cell r="I930" t="str">
            <v>501501</v>
          </cell>
          <cell r="J930">
            <v>50</v>
          </cell>
          <cell r="K930" t="str">
            <v>15</v>
          </cell>
          <cell r="L930" t="str">
            <v>01</v>
          </cell>
          <cell r="M930" t="str">
            <v>2</v>
          </cell>
          <cell r="N930" t="str">
            <v>13</v>
          </cell>
          <cell r="O930" t="str">
            <v>010</v>
          </cell>
          <cell r="P930" t="str">
            <v>0</v>
          </cell>
          <cell r="Q930">
            <v>18</v>
          </cell>
          <cell r="R930" t="str">
            <v>MRC</v>
          </cell>
          <cell r="S930" t="str">
            <v>ZZ</v>
          </cell>
          <cell r="T930">
            <v>11</v>
          </cell>
          <cell r="U930" t="str">
            <v>1501213010018MRCZZ11</v>
          </cell>
          <cell r="V930">
            <v>922</v>
          </cell>
          <cell r="W930" t="str">
            <v>MS: SOC CONTR - GROUP LIFE INSURANCE</v>
          </cell>
          <cell r="X930">
            <v>2968</v>
          </cell>
          <cell r="Y930">
            <v>2713.6</v>
          </cell>
          <cell r="Z930">
            <v>3256.32</v>
          </cell>
          <cell r="AA930"/>
          <cell r="AB930">
            <v>2968</v>
          </cell>
          <cell r="AC930">
            <v>18326.731272000001</v>
          </cell>
        </row>
        <row r="931">
          <cell r="F931" t="str">
            <v>MS: SOC CONTR - MEDICAL</v>
          </cell>
          <cell r="G931" t="str">
            <v>P213020</v>
          </cell>
          <cell r="H931" t="str">
            <v>P213020</v>
          </cell>
          <cell r="I931" t="str">
            <v>501501</v>
          </cell>
          <cell r="J931">
            <v>50</v>
          </cell>
          <cell r="K931" t="str">
            <v>15</v>
          </cell>
          <cell r="L931" t="str">
            <v>01</v>
          </cell>
          <cell r="M931" t="str">
            <v>2</v>
          </cell>
          <cell r="N931" t="str">
            <v>13</v>
          </cell>
          <cell r="O931" t="str">
            <v>020</v>
          </cell>
          <cell r="P931" t="str">
            <v>0</v>
          </cell>
          <cell r="Q931">
            <v>18</v>
          </cell>
          <cell r="R931" t="str">
            <v>MRC</v>
          </cell>
          <cell r="S931" t="str">
            <v>ZZ</v>
          </cell>
          <cell r="T931">
            <v>11</v>
          </cell>
          <cell r="U931" t="str">
            <v>1501213020018MRCZZ11</v>
          </cell>
          <cell r="V931">
            <v>923</v>
          </cell>
          <cell r="W931" t="str">
            <v>MS: SOC CONTR - MEDICAL</v>
          </cell>
          <cell r="X931">
            <v>104804</v>
          </cell>
          <cell r="Y931">
            <v>94584.09</v>
          </cell>
          <cell r="Z931">
            <v>113500.908</v>
          </cell>
          <cell r="AA931"/>
          <cell r="AB931">
            <v>104804</v>
          </cell>
          <cell r="AC931">
            <v>120053.51424</v>
          </cell>
        </row>
        <row r="932">
          <cell r="F932" t="str">
            <v>MS: SOC CONTR - PENSION</v>
          </cell>
          <cell r="G932" t="str">
            <v>P213030</v>
          </cell>
          <cell r="H932" t="str">
            <v>P213030</v>
          </cell>
          <cell r="I932" t="str">
            <v>501501</v>
          </cell>
          <cell r="J932">
            <v>50</v>
          </cell>
          <cell r="K932" t="str">
            <v>15</v>
          </cell>
          <cell r="L932" t="str">
            <v>01</v>
          </cell>
          <cell r="M932" t="str">
            <v>2</v>
          </cell>
          <cell r="N932" t="str">
            <v>13</v>
          </cell>
          <cell r="O932" t="str">
            <v>030</v>
          </cell>
          <cell r="P932" t="str">
            <v>0</v>
          </cell>
          <cell r="Q932">
            <v>18</v>
          </cell>
          <cell r="R932" t="str">
            <v>MRC</v>
          </cell>
          <cell r="S932" t="str">
            <v>ZZ</v>
          </cell>
          <cell r="T932">
            <v>11</v>
          </cell>
          <cell r="U932" t="str">
            <v>1501213030018MRCZZ11</v>
          </cell>
          <cell r="V932">
            <v>924</v>
          </cell>
          <cell r="W932" t="str">
            <v>MS: SOC CONTR - PENSION</v>
          </cell>
          <cell r="X932">
            <v>106306</v>
          </cell>
          <cell r="Y932">
            <v>98246.55</v>
          </cell>
          <cell r="Z932">
            <v>117895.86000000002</v>
          </cell>
          <cell r="AA932"/>
          <cell r="AB932">
            <v>106306</v>
          </cell>
          <cell r="AC932">
            <v>194802.37299119998</v>
          </cell>
        </row>
        <row r="933">
          <cell r="F933" t="str">
            <v>MS: SOC CONTR - UNEMPLOYMENT INSUR FUND</v>
          </cell>
          <cell r="G933" t="str">
            <v>P213040</v>
          </cell>
          <cell r="H933" t="str">
            <v>P213040</v>
          </cell>
          <cell r="I933" t="str">
            <v>501501</v>
          </cell>
          <cell r="J933">
            <v>50</v>
          </cell>
          <cell r="K933" t="str">
            <v>15</v>
          </cell>
          <cell r="L933" t="str">
            <v>01</v>
          </cell>
          <cell r="M933" t="str">
            <v>2</v>
          </cell>
          <cell r="N933" t="str">
            <v>13</v>
          </cell>
          <cell r="O933" t="str">
            <v>040</v>
          </cell>
          <cell r="P933" t="str">
            <v>0</v>
          </cell>
          <cell r="Q933">
            <v>18</v>
          </cell>
          <cell r="R933" t="str">
            <v>MRC</v>
          </cell>
          <cell r="S933" t="str">
            <v>ZZ</v>
          </cell>
          <cell r="T933">
            <v>11</v>
          </cell>
          <cell r="U933" t="str">
            <v>1501213040018MRCZZ11</v>
          </cell>
          <cell r="V933">
            <v>925</v>
          </cell>
          <cell r="W933" t="str">
            <v>MS: SOC CONTR - UNEMPLOYMENT INSUR FUND</v>
          </cell>
          <cell r="X933">
            <v>5504</v>
          </cell>
          <cell r="Y933">
            <v>5667.84</v>
          </cell>
          <cell r="Z933">
            <v>6801.4079999999994</v>
          </cell>
          <cell r="AA933"/>
          <cell r="AB933">
            <v>5504</v>
          </cell>
          <cell r="AC933">
            <v>4454.9222399999999</v>
          </cell>
        </row>
        <row r="934">
          <cell r="F934" t="str">
            <v>OS: CATERING SERVICES(REFRESHMENTS)</v>
          </cell>
          <cell r="G934" t="str">
            <v>P226060</v>
          </cell>
          <cell r="H934" t="str">
            <v>P226060</v>
          </cell>
          <cell r="I934"/>
          <cell r="J934"/>
          <cell r="K934" t="str">
            <v>15</v>
          </cell>
          <cell r="L934" t="str">
            <v>01</v>
          </cell>
          <cell r="M934" t="str">
            <v>2</v>
          </cell>
          <cell r="N934" t="str">
            <v>26</v>
          </cell>
          <cell r="O934" t="str">
            <v>060</v>
          </cell>
          <cell r="P934" t="str">
            <v>H</v>
          </cell>
          <cell r="Q934">
            <v>18</v>
          </cell>
          <cell r="R934" t="str">
            <v>MRC</v>
          </cell>
          <cell r="S934" t="str">
            <v>ZZ</v>
          </cell>
          <cell r="T934">
            <v>11</v>
          </cell>
          <cell r="U934" t="str">
            <v>1501226060H18MRCZZ11</v>
          </cell>
          <cell r="V934">
            <v>926</v>
          </cell>
          <cell r="W934" t="str">
            <v>OS: CATERING SERVICES(REFRESHMENTS)</v>
          </cell>
          <cell r="X934">
            <v>0</v>
          </cell>
          <cell r="Y934">
            <v>0</v>
          </cell>
          <cell r="Z934">
            <v>0</v>
          </cell>
          <cell r="AA934"/>
          <cell r="AB934">
            <v>0</v>
          </cell>
          <cell r="AC934">
            <v>15000</v>
          </cell>
        </row>
        <row r="935">
          <cell r="F935" t="str">
            <v>OC: REG FEES NATIONAL</v>
          </cell>
          <cell r="G935" t="str">
            <v>P230452</v>
          </cell>
          <cell r="H935" t="str">
            <v>P230511</v>
          </cell>
          <cell r="I935"/>
          <cell r="J935"/>
          <cell r="K935" t="str">
            <v>15</v>
          </cell>
          <cell r="L935" t="str">
            <v>01</v>
          </cell>
          <cell r="M935" t="str">
            <v>2</v>
          </cell>
          <cell r="N935" t="str">
            <v>30</v>
          </cell>
          <cell r="O935" t="str">
            <v>511</v>
          </cell>
          <cell r="P935" t="str">
            <v>0</v>
          </cell>
          <cell r="Q935">
            <v>18</v>
          </cell>
          <cell r="R935" t="str">
            <v>MRC</v>
          </cell>
          <cell r="S935" t="str">
            <v>ZZ</v>
          </cell>
          <cell r="T935">
            <v>11</v>
          </cell>
          <cell r="U935" t="str">
            <v>1501230511018MRCZZ11</v>
          </cell>
          <cell r="V935">
            <v>927</v>
          </cell>
          <cell r="W935" t="str">
            <v>OC: REG FEES NATIONAL</v>
          </cell>
          <cell r="X935">
            <v>0</v>
          </cell>
          <cell r="Y935">
            <v>0</v>
          </cell>
          <cell r="Z935">
            <v>0</v>
          </cell>
          <cell r="AA935"/>
          <cell r="AB935">
            <v>0</v>
          </cell>
          <cell r="AC935">
            <v>100000</v>
          </cell>
        </row>
        <row r="936">
          <cell r="F936" t="str">
            <v>OC: SKILLS DEVELOPMENT FUND LEVY</v>
          </cell>
          <cell r="G936" t="str">
            <v>P230452</v>
          </cell>
          <cell r="H936" t="str">
            <v>P230541</v>
          </cell>
          <cell r="I936"/>
          <cell r="J936"/>
          <cell r="K936" t="str">
            <v>15</v>
          </cell>
          <cell r="L936" t="str">
            <v>01</v>
          </cell>
          <cell r="M936" t="str">
            <v>2</v>
          </cell>
          <cell r="N936" t="str">
            <v>30</v>
          </cell>
          <cell r="O936" t="str">
            <v>541</v>
          </cell>
          <cell r="P936" t="str">
            <v>0</v>
          </cell>
          <cell r="Q936">
            <v>18</v>
          </cell>
          <cell r="R936" t="str">
            <v>MRC</v>
          </cell>
          <cell r="S936" t="str">
            <v>ZZ</v>
          </cell>
          <cell r="T936">
            <v>11</v>
          </cell>
          <cell r="U936" t="str">
            <v>1501230541018MRCZZ11</v>
          </cell>
          <cell r="V936">
            <v>928</v>
          </cell>
          <cell r="W936" t="str">
            <v>OC: SKILLS DEVELOPMENT FUND LEVY</v>
          </cell>
          <cell r="X936">
            <v>0</v>
          </cell>
          <cell r="Y936">
            <v>0</v>
          </cell>
          <cell r="Z936">
            <v>0</v>
          </cell>
          <cell r="AA936"/>
          <cell r="AB936">
            <v>0</v>
          </cell>
          <cell r="AC936">
            <v>0</v>
          </cell>
        </row>
        <row r="937">
          <cell r="F937" t="str">
            <v>INVENTORY - MATERIALS &amp; SUPPLIES(PRINT&amp;</v>
          </cell>
          <cell r="G937" t="str">
            <v>P232360</v>
          </cell>
          <cell r="H937" t="str">
            <v>P232360</v>
          </cell>
          <cell r="I937"/>
          <cell r="J937"/>
          <cell r="K937" t="str">
            <v>15</v>
          </cell>
          <cell r="L937" t="str">
            <v>01</v>
          </cell>
          <cell r="M937" t="str">
            <v>2</v>
          </cell>
          <cell r="N937" t="str">
            <v>32</v>
          </cell>
          <cell r="O937" t="str">
            <v>360</v>
          </cell>
          <cell r="P937" t="str">
            <v>D</v>
          </cell>
          <cell r="Q937">
            <v>18</v>
          </cell>
          <cell r="R937" t="str">
            <v>MRC</v>
          </cell>
          <cell r="S937" t="str">
            <v>ZZ</v>
          </cell>
          <cell r="T937">
            <v>11</v>
          </cell>
          <cell r="U937" t="str">
            <v>1501232360D18MRCZZ11</v>
          </cell>
          <cell r="V937">
            <v>929</v>
          </cell>
          <cell r="W937" t="str">
            <v>INVENTORY - MATERIALS &amp; SUPPLIES(PRINT&amp;</v>
          </cell>
          <cell r="X937">
            <v>0</v>
          </cell>
          <cell r="Y937">
            <v>0</v>
          </cell>
          <cell r="Z937">
            <v>0</v>
          </cell>
          <cell r="AA937"/>
          <cell r="AB937">
            <v>0</v>
          </cell>
          <cell r="AC937">
            <v>5000</v>
          </cell>
        </row>
        <row r="938">
          <cell r="F938" t="str">
            <v>MS: SAL &amp; ALL: BASIC SALARY &amp; WAGES</v>
          </cell>
          <cell r="G938" t="str">
            <v>P211001</v>
          </cell>
          <cell r="H938" t="str">
            <v>P211001</v>
          </cell>
          <cell r="I938" t="str">
            <v>501502</v>
          </cell>
          <cell r="J938">
            <v>50</v>
          </cell>
          <cell r="K938" t="str">
            <v>15</v>
          </cell>
          <cell r="L938" t="str">
            <v>02</v>
          </cell>
          <cell r="M938" t="str">
            <v>2</v>
          </cell>
          <cell r="N938" t="str">
            <v>11</v>
          </cell>
          <cell r="O938" t="str">
            <v>001</v>
          </cell>
          <cell r="P938" t="str">
            <v>0</v>
          </cell>
          <cell r="Q938">
            <v>18</v>
          </cell>
          <cell r="R938" t="str">
            <v>MRC</v>
          </cell>
          <cell r="S938" t="str">
            <v>ZZ</v>
          </cell>
          <cell r="T938">
            <v>11</v>
          </cell>
          <cell r="U938" t="str">
            <v>1502211001018MRCZZ11</v>
          </cell>
          <cell r="V938">
            <v>930</v>
          </cell>
          <cell r="W938" t="str">
            <v>MS: SAL &amp; ALL: BASIC SALARY &amp; WAGES</v>
          </cell>
          <cell r="X938">
            <v>2471955</v>
          </cell>
          <cell r="Y938">
            <v>8384668.6299999999</v>
          </cell>
          <cell r="Z938">
            <v>10061602.356000001</v>
          </cell>
          <cell r="AA938"/>
          <cell r="AB938">
            <v>2471955</v>
          </cell>
          <cell r="AC938">
            <v>5499684.9680000003</v>
          </cell>
        </row>
        <row r="939">
          <cell r="F939" t="str">
            <v>MS: ALL - CELLULAR &amp; TELEPHONE</v>
          </cell>
          <cell r="G939" t="str">
            <v>P211022</v>
          </cell>
          <cell r="H939" t="str">
            <v>P211022</v>
          </cell>
          <cell r="I939" t="str">
            <v>501502</v>
          </cell>
          <cell r="J939">
            <v>50</v>
          </cell>
          <cell r="K939" t="str">
            <v>15</v>
          </cell>
          <cell r="L939" t="str">
            <v>02</v>
          </cell>
          <cell r="M939" t="str">
            <v>2</v>
          </cell>
          <cell r="N939" t="str">
            <v>11</v>
          </cell>
          <cell r="O939" t="str">
            <v>022</v>
          </cell>
          <cell r="P939" t="str">
            <v>0</v>
          </cell>
          <cell r="Q939">
            <v>18</v>
          </cell>
          <cell r="R939" t="str">
            <v>MRC</v>
          </cell>
          <cell r="S939" t="str">
            <v>ZZ</v>
          </cell>
          <cell r="T939">
            <v>11</v>
          </cell>
          <cell r="U939" t="str">
            <v>1502211022018MRCZZ11</v>
          </cell>
          <cell r="V939">
            <v>931</v>
          </cell>
          <cell r="W939" t="str">
            <v>MS: ALL - CELLULAR &amp; TELEPHONE</v>
          </cell>
          <cell r="X939">
            <v>14872</v>
          </cell>
          <cell r="Y939">
            <v>21700</v>
          </cell>
          <cell r="Z939">
            <v>26040</v>
          </cell>
          <cell r="AA939"/>
          <cell r="AB939">
            <v>14872</v>
          </cell>
          <cell r="AC939">
            <v>30182.400000000001</v>
          </cell>
        </row>
        <row r="940">
          <cell r="F940" t="str">
            <v>MS: HB &amp; INC: HOUSING BENEFITS</v>
          </cell>
          <cell r="G940" t="str">
            <v>P211026</v>
          </cell>
          <cell r="H940" t="str">
            <v>P211026</v>
          </cell>
          <cell r="I940" t="str">
            <v>501502</v>
          </cell>
          <cell r="J940">
            <v>50</v>
          </cell>
          <cell r="K940" t="str">
            <v>15</v>
          </cell>
          <cell r="L940" t="str">
            <v>02</v>
          </cell>
          <cell r="M940" t="str">
            <v>2</v>
          </cell>
          <cell r="N940" t="str">
            <v>11</v>
          </cell>
          <cell r="O940" t="str">
            <v>026</v>
          </cell>
          <cell r="P940" t="str">
            <v>0</v>
          </cell>
          <cell r="Q940">
            <v>18</v>
          </cell>
          <cell r="R940" t="str">
            <v>MRC</v>
          </cell>
          <cell r="S940" t="str">
            <v>ZZ</v>
          </cell>
          <cell r="T940">
            <v>11</v>
          </cell>
          <cell r="U940" t="str">
            <v>1502211026018MRCZZ11</v>
          </cell>
          <cell r="V940">
            <v>932</v>
          </cell>
          <cell r="W940" t="str">
            <v>MS: HB &amp; INC: HOUSING BENEFITS</v>
          </cell>
          <cell r="X940">
            <v>17186</v>
          </cell>
          <cell r="Y940">
            <v>10609.61</v>
          </cell>
          <cell r="Z940">
            <v>12731.531999999999</v>
          </cell>
          <cell r="AA940"/>
          <cell r="AB940">
            <v>17186</v>
          </cell>
          <cell r="AC940">
            <v>109167.09983999998</v>
          </cell>
        </row>
        <row r="941">
          <cell r="F941" t="str">
            <v>MS: ALL - TRAVEL OR MOTOR VEHICLE (SUBS</v>
          </cell>
          <cell r="G941" t="str">
            <v>P211034</v>
          </cell>
          <cell r="H941" t="str">
            <v>P211034</v>
          </cell>
          <cell r="I941" t="str">
            <v>501502</v>
          </cell>
          <cell r="J941">
            <v>50</v>
          </cell>
          <cell r="K941" t="str">
            <v>15</v>
          </cell>
          <cell r="L941" t="str">
            <v>02</v>
          </cell>
          <cell r="M941" t="str">
            <v>2</v>
          </cell>
          <cell r="N941" t="str">
            <v>11</v>
          </cell>
          <cell r="O941" t="str">
            <v>034</v>
          </cell>
          <cell r="P941" t="str">
            <v>1</v>
          </cell>
          <cell r="Q941">
            <v>18</v>
          </cell>
          <cell r="R941" t="str">
            <v>MRC</v>
          </cell>
          <cell r="S941" t="str">
            <v>ZZ</v>
          </cell>
          <cell r="T941">
            <v>11</v>
          </cell>
          <cell r="U941" t="str">
            <v>1502211034118MRCZZ11</v>
          </cell>
          <cell r="V941">
            <v>933</v>
          </cell>
          <cell r="W941" t="str">
            <v>MS: ALL - TRAVEL OR MOTOR VEHICLE (SUBS</v>
          </cell>
          <cell r="X941">
            <v>334494</v>
          </cell>
          <cell r="Y941">
            <v>557148.68999999994</v>
          </cell>
          <cell r="Z941">
            <v>668578.42799999984</v>
          </cell>
          <cell r="AA941"/>
          <cell r="AB941">
            <v>334494</v>
          </cell>
          <cell r="AC941">
            <v>34159.036</v>
          </cell>
        </row>
        <row r="942">
          <cell r="F942" t="str">
            <v>MS: SRB - ANNUAL BONUS</v>
          </cell>
          <cell r="G942" t="str">
            <v>P211046</v>
          </cell>
          <cell r="H942" t="str">
            <v>P211046</v>
          </cell>
          <cell r="I942" t="str">
            <v>501502</v>
          </cell>
          <cell r="J942">
            <v>50</v>
          </cell>
          <cell r="K942" t="str">
            <v>15</v>
          </cell>
          <cell r="L942" t="str">
            <v>02</v>
          </cell>
          <cell r="M942" t="str">
            <v>2</v>
          </cell>
          <cell r="N942" t="str">
            <v>11</v>
          </cell>
          <cell r="O942" t="str">
            <v>046</v>
          </cell>
          <cell r="P942" t="str">
            <v>0</v>
          </cell>
          <cell r="Q942">
            <v>18</v>
          </cell>
          <cell r="R942" t="str">
            <v>MRC</v>
          </cell>
          <cell r="S942" t="str">
            <v>ZZ</v>
          </cell>
          <cell r="T942">
            <v>11</v>
          </cell>
          <cell r="U942" t="str">
            <v>1502211046018MRCZZ11</v>
          </cell>
          <cell r="V942">
            <v>934</v>
          </cell>
          <cell r="W942" t="str">
            <v>MS: SRB - ANNUAL BONUS</v>
          </cell>
          <cell r="X942">
            <v>302233</v>
          </cell>
          <cell r="Y942">
            <v>366951.45</v>
          </cell>
          <cell r="Z942">
            <v>440341.74000000005</v>
          </cell>
          <cell r="AA942"/>
          <cell r="AB942">
            <v>302233</v>
          </cell>
          <cell r="AC942">
            <v>347165.72000000003</v>
          </cell>
        </row>
        <row r="943">
          <cell r="F943" t="str">
            <v>MS: SOC CONTR - BARGAINING COUNCIL</v>
          </cell>
          <cell r="G943" t="str">
            <v>P213001</v>
          </cell>
          <cell r="H943" t="str">
            <v>P213001</v>
          </cell>
          <cell r="I943" t="str">
            <v>501502</v>
          </cell>
          <cell r="J943">
            <v>50</v>
          </cell>
          <cell r="K943" t="str">
            <v>15</v>
          </cell>
          <cell r="L943" t="str">
            <v>02</v>
          </cell>
          <cell r="M943" t="str">
            <v>2</v>
          </cell>
          <cell r="N943" t="str">
            <v>13</v>
          </cell>
          <cell r="O943" t="str">
            <v>001</v>
          </cell>
          <cell r="P943" t="str">
            <v>0</v>
          </cell>
          <cell r="Q943">
            <v>18</v>
          </cell>
          <cell r="R943" t="str">
            <v>MRC</v>
          </cell>
          <cell r="S943" t="str">
            <v>ZZ</v>
          </cell>
          <cell r="T943">
            <v>11</v>
          </cell>
          <cell r="U943" t="str">
            <v>1502213001018MRCZZ11</v>
          </cell>
          <cell r="V943">
            <v>935</v>
          </cell>
          <cell r="W943" t="str">
            <v>MS: SOC CONTR - BARGAINING COUNCIL</v>
          </cell>
          <cell r="X943">
            <v>773</v>
          </cell>
          <cell r="Y943">
            <v>3007.6</v>
          </cell>
          <cell r="Z943">
            <v>3609.12</v>
          </cell>
          <cell r="AA943"/>
          <cell r="AB943">
            <v>773</v>
          </cell>
          <cell r="AC943">
            <v>1165.7952000000002</v>
          </cell>
        </row>
        <row r="944">
          <cell r="F944" t="str">
            <v>MS: SOC CONTR - GROUP LIFE INSURANCE</v>
          </cell>
          <cell r="G944" t="str">
            <v>P213010</v>
          </cell>
          <cell r="H944" t="str">
            <v>P213010</v>
          </cell>
          <cell r="I944" t="str">
            <v>501502</v>
          </cell>
          <cell r="J944">
            <v>50</v>
          </cell>
          <cell r="K944" t="str">
            <v>15</v>
          </cell>
          <cell r="L944" t="str">
            <v>02</v>
          </cell>
          <cell r="M944" t="str">
            <v>2</v>
          </cell>
          <cell r="N944" t="str">
            <v>13</v>
          </cell>
          <cell r="O944" t="str">
            <v>010</v>
          </cell>
          <cell r="P944" t="str">
            <v>0</v>
          </cell>
          <cell r="Q944">
            <v>18</v>
          </cell>
          <cell r="R944" t="str">
            <v>MRC</v>
          </cell>
          <cell r="S944" t="str">
            <v>ZZ</v>
          </cell>
          <cell r="T944">
            <v>11</v>
          </cell>
          <cell r="U944" t="str">
            <v>1502213010018MRCZZ11</v>
          </cell>
          <cell r="V944">
            <v>936</v>
          </cell>
          <cell r="W944" t="str">
            <v>MS: SOC CONTR - GROUP LIFE INSURANCE</v>
          </cell>
          <cell r="X944">
            <v>13401</v>
          </cell>
          <cell r="Y944">
            <v>28792.3</v>
          </cell>
          <cell r="Z944">
            <v>34550.76</v>
          </cell>
          <cell r="AA944"/>
          <cell r="AB944">
            <v>13401</v>
          </cell>
          <cell r="AC944">
            <v>93494.644456000038</v>
          </cell>
        </row>
        <row r="945">
          <cell r="F945" t="str">
            <v>MS: SOC CONTR - MEDICAL</v>
          </cell>
          <cell r="G945" t="str">
            <v>P213020</v>
          </cell>
          <cell r="H945" t="str">
            <v>P213020</v>
          </cell>
          <cell r="I945" t="str">
            <v>501502</v>
          </cell>
          <cell r="J945">
            <v>50</v>
          </cell>
          <cell r="K945" t="str">
            <v>15</v>
          </cell>
          <cell r="L945" t="str">
            <v>02</v>
          </cell>
          <cell r="M945" t="str">
            <v>2</v>
          </cell>
          <cell r="N945" t="str">
            <v>13</v>
          </cell>
          <cell r="O945" t="str">
            <v>020</v>
          </cell>
          <cell r="P945" t="str">
            <v>0</v>
          </cell>
          <cell r="Q945">
            <v>18</v>
          </cell>
          <cell r="R945" t="str">
            <v>MRC</v>
          </cell>
          <cell r="S945" t="str">
            <v>ZZ</v>
          </cell>
          <cell r="T945">
            <v>11</v>
          </cell>
          <cell r="U945" t="str">
            <v>1502213020018MRCZZ11</v>
          </cell>
          <cell r="V945">
            <v>937</v>
          </cell>
          <cell r="W945" t="str">
            <v>MS: SOC CONTR - MEDICAL</v>
          </cell>
          <cell r="X945">
            <v>202378</v>
          </cell>
          <cell r="Y945">
            <v>791233.8</v>
          </cell>
          <cell r="Z945">
            <v>949480.56</v>
          </cell>
          <cell r="AA945"/>
          <cell r="AB945">
            <v>202378</v>
          </cell>
          <cell r="AC945">
            <v>600267.57120000001</v>
          </cell>
        </row>
        <row r="946">
          <cell r="F946" t="str">
            <v>MS: SOC CONTR - PENSION</v>
          </cell>
          <cell r="G946" t="str">
            <v>P213030</v>
          </cell>
          <cell r="H946" t="str">
            <v>P213030</v>
          </cell>
          <cell r="I946" t="str">
            <v>501502</v>
          </cell>
          <cell r="J946">
            <v>50</v>
          </cell>
          <cell r="K946" t="str">
            <v>15</v>
          </cell>
          <cell r="L946" t="str">
            <v>02</v>
          </cell>
          <cell r="M946" t="str">
            <v>2</v>
          </cell>
          <cell r="N946" t="str">
            <v>13</v>
          </cell>
          <cell r="O946" t="str">
            <v>030</v>
          </cell>
          <cell r="P946" t="str">
            <v>0</v>
          </cell>
          <cell r="Q946">
            <v>18</v>
          </cell>
          <cell r="R946" t="str">
            <v>MRC</v>
          </cell>
          <cell r="S946" t="str">
            <v>ZZ</v>
          </cell>
          <cell r="T946">
            <v>11</v>
          </cell>
          <cell r="U946" t="str">
            <v>1502213030018MRCZZ11</v>
          </cell>
          <cell r="V946">
            <v>938</v>
          </cell>
          <cell r="W946" t="str">
            <v>MS: SOC CONTR - PENSION</v>
          </cell>
          <cell r="X946">
            <v>523018</v>
          </cell>
          <cell r="Y946">
            <v>1255607.8500000001</v>
          </cell>
          <cell r="Z946">
            <v>1506729.42</v>
          </cell>
          <cell r="AA946"/>
          <cell r="AB946">
            <v>523018</v>
          </cell>
          <cell r="AC946">
            <v>993793.07371759997</v>
          </cell>
        </row>
        <row r="947">
          <cell r="F947" t="str">
            <v>MS: SOC CONTR - UNEMPLOYMENT INSUR FUND</v>
          </cell>
          <cell r="G947" t="str">
            <v>P213040</v>
          </cell>
          <cell r="H947" t="str">
            <v>P213040</v>
          </cell>
          <cell r="I947" t="str">
            <v>501502</v>
          </cell>
          <cell r="J947">
            <v>50</v>
          </cell>
          <cell r="K947" t="str">
            <v>15</v>
          </cell>
          <cell r="L947" t="str">
            <v>02</v>
          </cell>
          <cell r="M947" t="str">
            <v>2</v>
          </cell>
          <cell r="N947" t="str">
            <v>13</v>
          </cell>
          <cell r="O947" t="str">
            <v>040</v>
          </cell>
          <cell r="P947" t="str">
            <v>0</v>
          </cell>
          <cell r="Q947">
            <v>18</v>
          </cell>
          <cell r="R947" t="str">
            <v>MRC</v>
          </cell>
          <cell r="S947" t="str">
            <v>ZZ</v>
          </cell>
          <cell r="T947">
            <v>11</v>
          </cell>
          <cell r="U947" t="str">
            <v>1502213040018MRCZZ11</v>
          </cell>
          <cell r="V947">
            <v>939</v>
          </cell>
          <cell r="W947" t="str">
            <v>MS: SOC CONTR - UNEMPLOYMENT INSUR FUND</v>
          </cell>
          <cell r="X947">
            <v>11619</v>
          </cell>
          <cell r="Y947">
            <v>51560.01</v>
          </cell>
          <cell r="Z947">
            <v>61872.012000000002</v>
          </cell>
          <cell r="AA947"/>
          <cell r="AB947">
            <v>11619</v>
          </cell>
          <cell r="AC947">
            <v>22274.611199999999</v>
          </cell>
        </row>
        <row r="948">
          <cell r="F948" t="str">
            <v>OS: CATERING SERVICES(REFRESHMENTS)</v>
          </cell>
          <cell r="G948" t="str">
            <v>P226060</v>
          </cell>
          <cell r="H948" t="str">
            <v>P226060</v>
          </cell>
          <cell r="I948"/>
          <cell r="J948"/>
          <cell r="K948" t="str">
            <v>15</v>
          </cell>
          <cell r="L948" t="str">
            <v>02</v>
          </cell>
          <cell r="M948" t="str">
            <v>2</v>
          </cell>
          <cell r="N948" t="str">
            <v>26</v>
          </cell>
          <cell r="O948" t="str">
            <v>060</v>
          </cell>
          <cell r="P948" t="str">
            <v>H</v>
          </cell>
          <cell r="Q948">
            <v>18</v>
          </cell>
          <cell r="R948" t="str">
            <v>MRC</v>
          </cell>
          <cell r="S948" t="str">
            <v>ZZ</v>
          </cell>
          <cell r="T948">
            <v>11</v>
          </cell>
          <cell r="U948" t="str">
            <v>1502226060H18MRCZZ11</v>
          </cell>
          <cell r="V948">
            <v>940</v>
          </cell>
          <cell r="W948" t="str">
            <v>OS: CATERING SERVICES(REFRESHMENTS)</v>
          </cell>
          <cell r="X948">
            <v>0</v>
          </cell>
          <cell r="Y948">
            <v>0</v>
          </cell>
          <cell r="Z948">
            <v>0</v>
          </cell>
          <cell r="AA948"/>
          <cell r="AB948">
            <v>0</v>
          </cell>
          <cell r="AC948">
            <v>2500</v>
          </cell>
        </row>
        <row r="949">
          <cell r="F949" t="str">
            <v>C&amp;PS: B&amp;A PROJECT MANAGEMENT</v>
          </cell>
          <cell r="G949" t="str">
            <v>P227334</v>
          </cell>
          <cell r="H949" t="str">
            <v>P227041</v>
          </cell>
          <cell r="I949"/>
          <cell r="J949"/>
          <cell r="K949" t="str">
            <v>15</v>
          </cell>
          <cell r="L949" t="str">
            <v>02</v>
          </cell>
          <cell r="M949" t="str">
            <v>2</v>
          </cell>
          <cell r="N949" t="str">
            <v>27</v>
          </cell>
          <cell r="O949" t="str">
            <v>041</v>
          </cell>
          <cell r="P949" t="str">
            <v>0</v>
          </cell>
          <cell r="Q949">
            <v>18</v>
          </cell>
          <cell r="R949" t="str">
            <v>MRC</v>
          </cell>
          <cell r="S949" t="str">
            <v>ZZ</v>
          </cell>
          <cell r="T949">
            <v>11</v>
          </cell>
          <cell r="U949" t="str">
            <v>1502227041018MRCZZ11</v>
          </cell>
          <cell r="V949">
            <v>941</v>
          </cell>
          <cell r="W949" t="str">
            <v>C&amp;PS: B&amp;A PROJECT MANAGEMENT</v>
          </cell>
          <cell r="X949">
            <v>250000</v>
          </cell>
          <cell r="Y949">
            <v>78969.45</v>
          </cell>
          <cell r="Z949">
            <v>94763.34</v>
          </cell>
          <cell r="AA949"/>
          <cell r="AB949">
            <v>250000</v>
          </cell>
          <cell r="AC949">
            <v>1250000</v>
          </cell>
        </row>
        <row r="950">
          <cell r="F950" t="str">
            <v>OC: REG FEES NATIONAL</v>
          </cell>
          <cell r="G950" t="str">
            <v>P230452</v>
          </cell>
          <cell r="H950" t="str">
            <v>P230511</v>
          </cell>
          <cell r="I950"/>
          <cell r="J950"/>
          <cell r="K950" t="str">
            <v>15</v>
          </cell>
          <cell r="L950" t="str">
            <v>02</v>
          </cell>
          <cell r="M950" t="str">
            <v>2</v>
          </cell>
          <cell r="N950" t="str">
            <v>30</v>
          </cell>
          <cell r="O950" t="str">
            <v>511</v>
          </cell>
          <cell r="P950" t="str">
            <v>0</v>
          </cell>
          <cell r="Q950">
            <v>18</v>
          </cell>
          <cell r="R950" t="str">
            <v>MRC</v>
          </cell>
          <cell r="S950" t="str">
            <v>ZZ</v>
          </cell>
          <cell r="T950">
            <v>11</v>
          </cell>
          <cell r="U950" t="str">
            <v>1502230511018MRCZZ11</v>
          </cell>
          <cell r="V950">
            <v>942</v>
          </cell>
          <cell r="W950" t="str">
            <v>OC: REG FEES NATIONAL</v>
          </cell>
          <cell r="X950">
            <v>12467</v>
          </cell>
          <cell r="Y950">
            <v>0</v>
          </cell>
          <cell r="Z950">
            <v>0</v>
          </cell>
          <cell r="AA950"/>
          <cell r="AB950">
            <v>12467</v>
          </cell>
          <cell r="AC950">
            <v>0</v>
          </cell>
        </row>
        <row r="951">
          <cell r="F951" t="str">
            <v>OC: SKILLS DEVELOPMENT FUND LEVY</v>
          </cell>
          <cell r="G951" t="str">
            <v>P230452</v>
          </cell>
          <cell r="H951" t="str">
            <v>P230541</v>
          </cell>
          <cell r="I951"/>
          <cell r="J951"/>
          <cell r="K951" t="str">
            <v>15</v>
          </cell>
          <cell r="L951" t="str">
            <v>02</v>
          </cell>
          <cell r="M951" t="str">
            <v>2</v>
          </cell>
          <cell r="N951" t="str">
            <v>30</v>
          </cell>
          <cell r="O951" t="str">
            <v>541</v>
          </cell>
          <cell r="P951" t="str">
            <v>0</v>
          </cell>
          <cell r="Q951">
            <v>18</v>
          </cell>
          <cell r="R951" t="str">
            <v>MRC</v>
          </cell>
          <cell r="S951" t="str">
            <v>ZZ</v>
          </cell>
          <cell r="T951">
            <v>11</v>
          </cell>
          <cell r="U951" t="str">
            <v>1502230541018MRCZZ11</v>
          </cell>
          <cell r="V951">
            <v>943</v>
          </cell>
          <cell r="W951" t="str">
            <v>OC: SKILLS DEVELOPMENT FUND LEVY</v>
          </cell>
          <cell r="X951">
            <v>0</v>
          </cell>
          <cell r="Y951">
            <v>0</v>
          </cell>
          <cell r="Z951">
            <v>0</v>
          </cell>
          <cell r="AA951"/>
          <cell r="AB951">
            <v>0</v>
          </cell>
          <cell r="AC951">
            <v>0</v>
          </cell>
        </row>
        <row r="952">
          <cell r="F952" t="str">
            <v>OC: T&amp;S DOM - ACCOMMODATION</v>
          </cell>
          <cell r="G952" t="str">
            <v>P230452</v>
          </cell>
          <cell r="H952" t="str">
            <v>P230576</v>
          </cell>
          <cell r="I952"/>
          <cell r="J952"/>
          <cell r="K952" t="str">
            <v>15</v>
          </cell>
          <cell r="L952" t="str">
            <v>02</v>
          </cell>
          <cell r="M952" t="str">
            <v>2</v>
          </cell>
          <cell r="N952" t="str">
            <v>30</v>
          </cell>
          <cell r="O952" t="str">
            <v>576</v>
          </cell>
          <cell r="P952" t="str">
            <v>0</v>
          </cell>
          <cell r="Q952">
            <v>18</v>
          </cell>
          <cell r="R952" t="str">
            <v>MRC</v>
          </cell>
          <cell r="S952" t="str">
            <v>ZZ</v>
          </cell>
          <cell r="T952">
            <v>11</v>
          </cell>
          <cell r="U952" t="str">
            <v>1502230576018MRCZZ11</v>
          </cell>
          <cell r="V952">
            <v>944</v>
          </cell>
          <cell r="W952" t="str">
            <v>OC: T&amp;S DOM - ACCOMMODATION</v>
          </cell>
          <cell r="X952">
            <v>9719</v>
          </cell>
          <cell r="Y952">
            <v>0</v>
          </cell>
          <cell r="Z952">
            <v>0</v>
          </cell>
          <cell r="AA952"/>
          <cell r="AB952">
            <v>9719</v>
          </cell>
          <cell r="AC952">
            <v>80000</v>
          </cell>
        </row>
        <row r="953">
          <cell r="F953" t="str">
            <v>OC: T&amp;S DOM - DAILY ALLOWANCE</v>
          </cell>
          <cell r="G953" t="str">
            <v>P230452</v>
          </cell>
          <cell r="H953" t="str">
            <v>P230577</v>
          </cell>
          <cell r="I953"/>
          <cell r="J953"/>
          <cell r="K953" t="str">
            <v>15</v>
          </cell>
          <cell r="L953" t="str">
            <v>02</v>
          </cell>
          <cell r="M953" t="str">
            <v>2</v>
          </cell>
          <cell r="N953" t="str">
            <v>30</v>
          </cell>
          <cell r="O953" t="str">
            <v>577</v>
          </cell>
          <cell r="P953" t="str">
            <v>0</v>
          </cell>
          <cell r="Q953">
            <v>18</v>
          </cell>
          <cell r="R953" t="str">
            <v>MRC</v>
          </cell>
          <cell r="S953" t="str">
            <v>ZZ</v>
          </cell>
          <cell r="T953">
            <v>11</v>
          </cell>
          <cell r="U953" t="str">
            <v>1502230577018MRCZZ11</v>
          </cell>
          <cell r="V953">
            <v>945</v>
          </cell>
          <cell r="W953" t="str">
            <v>OC: T&amp;S DOM - DAILY ALLOWANCE</v>
          </cell>
          <cell r="X953">
            <v>0</v>
          </cell>
          <cell r="Y953">
            <v>0</v>
          </cell>
          <cell r="Z953">
            <v>0</v>
          </cell>
          <cell r="AA953"/>
          <cell r="AB953">
            <v>0</v>
          </cell>
          <cell r="AC953">
            <v>20000</v>
          </cell>
        </row>
        <row r="954">
          <cell r="F954" t="str">
            <v>OC: T&amp;S DOM TRP - WITHOUT OPR CAR RENTAL</v>
          </cell>
          <cell r="G954" t="str">
            <v>P230452</v>
          </cell>
          <cell r="H954" t="str">
            <v>P230580</v>
          </cell>
          <cell r="I954"/>
          <cell r="J954"/>
          <cell r="K954" t="str">
            <v>15</v>
          </cell>
          <cell r="L954" t="str">
            <v>02</v>
          </cell>
          <cell r="M954" t="str">
            <v>2</v>
          </cell>
          <cell r="N954" t="str">
            <v>30</v>
          </cell>
          <cell r="O954" t="str">
            <v>580</v>
          </cell>
          <cell r="P954" t="str">
            <v>0</v>
          </cell>
          <cell r="Q954">
            <v>18</v>
          </cell>
          <cell r="R954" t="str">
            <v>MRC</v>
          </cell>
          <cell r="S954" t="str">
            <v>ZZ</v>
          </cell>
          <cell r="T954">
            <v>11</v>
          </cell>
          <cell r="U954" t="str">
            <v>1502230580018MRCZZ11</v>
          </cell>
          <cell r="V954">
            <v>946</v>
          </cell>
          <cell r="W954" t="str">
            <v>OC: T&amp;S DOM TRP - WITHOUT OPR CAR RENTAL</v>
          </cell>
          <cell r="X954">
            <v>0</v>
          </cell>
          <cell r="Y954">
            <v>0</v>
          </cell>
          <cell r="Z954">
            <v>0</v>
          </cell>
          <cell r="AA954"/>
          <cell r="AB954">
            <v>0</v>
          </cell>
          <cell r="AC954">
            <v>30000</v>
          </cell>
        </row>
        <row r="955">
          <cell r="F955" t="str">
            <v>OC: T&amp;S DOM PUB TRP - AIR TRANSPORT</v>
          </cell>
          <cell r="G955" t="str">
            <v>P230452</v>
          </cell>
          <cell r="H955" t="str">
            <v>P230583</v>
          </cell>
          <cell r="I955"/>
          <cell r="J955"/>
          <cell r="K955" t="str">
            <v>15</v>
          </cell>
          <cell r="L955" t="str">
            <v>02</v>
          </cell>
          <cell r="M955" t="str">
            <v>2</v>
          </cell>
          <cell r="N955" t="str">
            <v>30</v>
          </cell>
          <cell r="O955" t="str">
            <v>583</v>
          </cell>
          <cell r="P955" t="str">
            <v>0</v>
          </cell>
          <cell r="Q955">
            <v>18</v>
          </cell>
          <cell r="R955" t="str">
            <v>MRC</v>
          </cell>
          <cell r="S955" t="str">
            <v>ZZ</v>
          </cell>
          <cell r="T955">
            <v>11</v>
          </cell>
          <cell r="U955" t="str">
            <v>1502230583018MRCZZ11</v>
          </cell>
          <cell r="V955">
            <v>947</v>
          </cell>
          <cell r="W955" t="str">
            <v>OC: T&amp;S DOM PUB TRP - AIR TRANSPORT</v>
          </cell>
          <cell r="X955">
            <v>0</v>
          </cell>
          <cell r="Y955">
            <v>0</v>
          </cell>
          <cell r="Z955">
            <v>0</v>
          </cell>
          <cell r="AA955"/>
          <cell r="AB955">
            <v>0</v>
          </cell>
          <cell r="AC955">
            <v>50000</v>
          </cell>
        </row>
        <row r="956">
          <cell r="F956" t="str">
            <v>INVENTORY - MATERIALS &amp; SUPPLIES(PRINT&amp;</v>
          </cell>
          <cell r="G956" t="str">
            <v>P232360</v>
          </cell>
          <cell r="H956" t="str">
            <v>P232360</v>
          </cell>
          <cell r="I956"/>
          <cell r="J956"/>
          <cell r="K956" t="str">
            <v>15</v>
          </cell>
          <cell r="L956" t="str">
            <v>02</v>
          </cell>
          <cell r="M956" t="str">
            <v>2</v>
          </cell>
          <cell r="N956" t="str">
            <v>32</v>
          </cell>
          <cell r="O956" t="str">
            <v>360</v>
          </cell>
          <cell r="P956" t="str">
            <v>E</v>
          </cell>
          <cell r="Q956">
            <v>18</v>
          </cell>
          <cell r="R956" t="str">
            <v>MRC</v>
          </cell>
          <cell r="S956" t="str">
            <v>ZZ</v>
          </cell>
          <cell r="T956">
            <v>11</v>
          </cell>
          <cell r="U956" t="str">
            <v>1502232360E18MRCZZ11</v>
          </cell>
          <cell r="V956">
            <v>948</v>
          </cell>
          <cell r="W956" t="str">
            <v>INVENTORY - MATERIALS &amp; SUPPLIES(PRINT&amp;</v>
          </cell>
          <cell r="X956">
            <v>0</v>
          </cell>
          <cell r="Y956">
            <v>0</v>
          </cell>
          <cell r="Z956">
            <v>0</v>
          </cell>
          <cell r="AA956"/>
          <cell r="AB956">
            <v>0</v>
          </cell>
          <cell r="AC956">
            <v>30000</v>
          </cell>
        </row>
        <row r="957">
          <cell r="F957" t="str">
            <v>MS: SAL &amp; ALL: BASIC SALARY &amp; WAGES</v>
          </cell>
          <cell r="G957" t="str">
            <v>P211001</v>
          </cell>
          <cell r="H957" t="str">
            <v>P211001</v>
          </cell>
          <cell r="I957" t="str">
            <v>501503</v>
          </cell>
          <cell r="J957">
            <v>50</v>
          </cell>
          <cell r="K957" t="str">
            <v>15</v>
          </cell>
          <cell r="L957" t="str">
            <v>03</v>
          </cell>
          <cell r="M957" t="str">
            <v>2</v>
          </cell>
          <cell r="N957" t="str">
            <v>11</v>
          </cell>
          <cell r="O957" t="str">
            <v>001</v>
          </cell>
          <cell r="P957" t="str">
            <v>0</v>
          </cell>
          <cell r="Q957">
            <v>18</v>
          </cell>
          <cell r="R957" t="str">
            <v>MRC</v>
          </cell>
          <cell r="S957" t="str">
            <v>ZZ</v>
          </cell>
          <cell r="T957">
            <v>11</v>
          </cell>
          <cell r="U957" t="str">
            <v>1503211001018MRCZZ11</v>
          </cell>
          <cell r="V957">
            <v>949</v>
          </cell>
          <cell r="W957" t="str">
            <v>MS: SAL &amp; ALL: BASIC SALARY &amp; WAGES</v>
          </cell>
          <cell r="X957">
            <v>7995462</v>
          </cell>
          <cell r="Y957">
            <v>8089142.8499999996</v>
          </cell>
          <cell r="Z957">
            <v>9706971.4199999981</v>
          </cell>
          <cell r="AA957"/>
          <cell r="AB957">
            <v>7995462</v>
          </cell>
          <cell r="AC957">
            <v>14294749.344000001</v>
          </cell>
        </row>
        <row r="958">
          <cell r="F958" t="str">
            <v>MS: ALL - CELLULAR &amp; TELEPHONE</v>
          </cell>
          <cell r="G958" t="str">
            <v>P211022</v>
          </cell>
          <cell r="H958" t="str">
            <v>P211022</v>
          </cell>
          <cell r="I958" t="str">
            <v>501503</v>
          </cell>
          <cell r="J958">
            <v>50</v>
          </cell>
          <cell r="K958" t="str">
            <v>15</v>
          </cell>
          <cell r="L958" t="str">
            <v>03</v>
          </cell>
          <cell r="M958" t="str">
            <v>2</v>
          </cell>
          <cell r="N958" t="str">
            <v>11</v>
          </cell>
          <cell r="O958" t="str">
            <v>022</v>
          </cell>
          <cell r="P958" t="str">
            <v>0</v>
          </cell>
          <cell r="Q958">
            <v>18</v>
          </cell>
          <cell r="R958" t="str">
            <v>MRC</v>
          </cell>
          <cell r="S958" t="str">
            <v>ZZ</v>
          </cell>
          <cell r="T958">
            <v>11</v>
          </cell>
          <cell r="U958" t="str">
            <v>1503211022018MRCZZ11</v>
          </cell>
          <cell r="V958">
            <v>950</v>
          </cell>
          <cell r="W958" t="str">
            <v>MS: ALL - CELLULAR &amp; TELEPHONE</v>
          </cell>
          <cell r="X958">
            <v>0</v>
          </cell>
          <cell r="Y958">
            <v>0</v>
          </cell>
          <cell r="Z958">
            <v>0</v>
          </cell>
          <cell r="AA958"/>
          <cell r="AB958">
            <v>0</v>
          </cell>
          <cell r="AC958">
            <v>9432</v>
          </cell>
        </row>
        <row r="959">
          <cell r="F959" t="str">
            <v>MS: HB &amp; INC: HOUSING BENEFITS</v>
          </cell>
          <cell r="G959" t="str">
            <v>P211026</v>
          </cell>
          <cell r="H959" t="str">
            <v>P211026</v>
          </cell>
          <cell r="I959" t="str">
            <v>501503</v>
          </cell>
          <cell r="J959">
            <v>50</v>
          </cell>
          <cell r="K959" t="str">
            <v>15</v>
          </cell>
          <cell r="L959" t="str">
            <v>03</v>
          </cell>
          <cell r="M959" t="str">
            <v>2</v>
          </cell>
          <cell r="N959" t="str">
            <v>11</v>
          </cell>
          <cell r="O959" t="str">
            <v>026</v>
          </cell>
          <cell r="P959" t="str">
            <v>0</v>
          </cell>
          <cell r="Q959">
            <v>18</v>
          </cell>
          <cell r="R959" t="str">
            <v>MRC</v>
          </cell>
          <cell r="S959" t="str">
            <v>ZZ</v>
          </cell>
          <cell r="T959">
            <v>11</v>
          </cell>
          <cell r="U959" t="str">
            <v>1503211026018MRCZZ11</v>
          </cell>
          <cell r="V959">
            <v>951</v>
          </cell>
          <cell r="W959" t="str">
            <v>MS: HB &amp; INC: HOUSING BENEFITS</v>
          </cell>
          <cell r="X959">
            <v>0</v>
          </cell>
          <cell r="Y959">
            <v>0</v>
          </cell>
          <cell r="Z959">
            <v>0</v>
          </cell>
          <cell r="AA959"/>
          <cell r="AB959">
            <v>0</v>
          </cell>
          <cell r="AC959">
            <v>727780.66559999983</v>
          </cell>
        </row>
        <row r="960">
          <cell r="F960" t="str">
            <v>MS: ALL - LEAVE PAY</v>
          </cell>
          <cell r="G960" t="str">
            <v>P211032</v>
          </cell>
          <cell r="H960" t="str">
            <v>P211032</v>
          </cell>
          <cell r="I960" t="str">
            <v>501503</v>
          </cell>
          <cell r="J960">
            <v>50</v>
          </cell>
          <cell r="K960" t="str">
            <v>15</v>
          </cell>
          <cell r="L960" t="str">
            <v>03</v>
          </cell>
          <cell r="M960" t="str">
            <v>2</v>
          </cell>
          <cell r="N960" t="str">
            <v>11</v>
          </cell>
          <cell r="O960" t="str">
            <v>032</v>
          </cell>
          <cell r="P960" t="str">
            <v>0</v>
          </cell>
          <cell r="Q960">
            <v>18</v>
          </cell>
          <cell r="R960" t="str">
            <v>MRC</v>
          </cell>
          <cell r="S960" t="str">
            <v>ZZ</v>
          </cell>
          <cell r="T960">
            <v>11</v>
          </cell>
          <cell r="U960" t="str">
            <v>1503211032018MRCZZ11</v>
          </cell>
          <cell r="V960">
            <v>952</v>
          </cell>
          <cell r="W960" t="str">
            <v>MS: ALL - LEAVE PAY</v>
          </cell>
          <cell r="X960">
            <v>0</v>
          </cell>
          <cell r="Y960">
            <v>0</v>
          </cell>
          <cell r="Z960">
            <v>0</v>
          </cell>
          <cell r="AA960"/>
          <cell r="AB960">
            <v>0</v>
          </cell>
          <cell r="AC960">
            <v>0</v>
          </cell>
        </row>
        <row r="961">
          <cell r="F961" t="str">
            <v>MS: ALL - TRAVEL OR MOTOR VEHICLE (SUBS</v>
          </cell>
          <cell r="G961" t="str">
            <v>P211034</v>
          </cell>
          <cell r="H961" t="str">
            <v>P211034</v>
          </cell>
          <cell r="I961" t="str">
            <v>501503</v>
          </cell>
          <cell r="J961">
            <v>50</v>
          </cell>
          <cell r="K961" t="str">
            <v>15</v>
          </cell>
          <cell r="L961" t="str">
            <v>03</v>
          </cell>
          <cell r="M961" t="str">
            <v>2</v>
          </cell>
          <cell r="N961" t="str">
            <v>11</v>
          </cell>
          <cell r="O961" t="str">
            <v>034</v>
          </cell>
          <cell r="P961" t="str">
            <v>1</v>
          </cell>
          <cell r="Q961">
            <v>18</v>
          </cell>
          <cell r="R961" t="str">
            <v>MRC</v>
          </cell>
          <cell r="S961" t="str">
            <v>ZZ</v>
          </cell>
          <cell r="T961">
            <v>11</v>
          </cell>
          <cell r="U961" t="str">
            <v>1503211034118MRCZZ11</v>
          </cell>
          <cell r="V961">
            <v>953</v>
          </cell>
          <cell r="W961" t="str">
            <v>MS: ALL - TRAVEL OR MOTOR VEHICLE (SUBS</v>
          </cell>
          <cell r="X961">
            <v>0</v>
          </cell>
          <cell r="Y961">
            <v>0</v>
          </cell>
          <cell r="Z961">
            <v>0</v>
          </cell>
          <cell r="AA961"/>
          <cell r="AB961">
            <v>0</v>
          </cell>
          <cell r="AC961">
            <v>19511.664000000001</v>
          </cell>
        </row>
        <row r="962">
          <cell r="F962" t="str">
            <v>MS: OVERTIME - STRUCTURED</v>
          </cell>
          <cell r="G962" t="str">
            <v>P211038</v>
          </cell>
          <cell r="H962" t="str">
            <v>P211038</v>
          </cell>
          <cell r="I962" t="str">
            <v>501503</v>
          </cell>
          <cell r="J962">
            <v>50</v>
          </cell>
          <cell r="K962" t="str">
            <v>15</v>
          </cell>
          <cell r="L962" t="str">
            <v>03</v>
          </cell>
          <cell r="M962" t="str">
            <v>2</v>
          </cell>
          <cell r="N962" t="str">
            <v>11</v>
          </cell>
          <cell r="O962" t="str">
            <v>038</v>
          </cell>
          <cell r="P962" t="str">
            <v>0</v>
          </cell>
          <cell r="Q962">
            <v>18</v>
          </cell>
          <cell r="R962" t="str">
            <v>MRC</v>
          </cell>
          <cell r="S962" t="str">
            <v>ZZ</v>
          </cell>
          <cell r="T962">
            <v>11</v>
          </cell>
          <cell r="U962" t="str">
            <v>1503211038018MRCZZ11</v>
          </cell>
          <cell r="V962">
            <v>954</v>
          </cell>
          <cell r="W962" t="str">
            <v>MS: OVERTIME - STRUCTURED</v>
          </cell>
          <cell r="X962">
            <v>3064708</v>
          </cell>
          <cell r="Y962">
            <v>2457936.8199999998</v>
          </cell>
          <cell r="Z962">
            <v>2949524.1839999994</v>
          </cell>
          <cell r="AA962"/>
          <cell r="AB962">
            <v>3064708</v>
          </cell>
          <cell r="AC962">
            <v>2758237.2</v>
          </cell>
        </row>
        <row r="963">
          <cell r="F963" t="str">
            <v>MS: PAYMENTS - SHIFT ADD REMUNERATION</v>
          </cell>
          <cell r="G963" t="str">
            <v>P211040</v>
          </cell>
          <cell r="H963" t="str">
            <v>P211040</v>
          </cell>
          <cell r="I963" t="str">
            <v>501503</v>
          </cell>
          <cell r="J963">
            <v>50</v>
          </cell>
          <cell r="K963" t="str">
            <v>15</v>
          </cell>
          <cell r="L963" t="str">
            <v>03</v>
          </cell>
          <cell r="M963" t="str">
            <v>2</v>
          </cell>
          <cell r="N963" t="str">
            <v>11</v>
          </cell>
          <cell r="O963" t="str">
            <v>040</v>
          </cell>
          <cell r="P963" t="str">
            <v>0</v>
          </cell>
          <cell r="Q963">
            <v>18</v>
          </cell>
          <cell r="R963" t="str">
            <v>MRC</v>
          </cell>
          <cell r="S963" t="str">
            <v>ZZ</v>
          </cell>
          <cell r="T963">
            <v>11</v>
          </cell>
          <cell r="U963" t="str">
            <v>1503211040018MRCZZ11</v>
          </cell>
          <cell r="V963">
            <v>955</v>
          </cell>
          <cell r="W963" t="str">
            <v>MS: PAYMENTS - SHIFT ADD REMUNERATION</v>
          </cell>
          <cell r="X963">
            <v>2104061</v>
          </cell>
          <cell r="Y963">
            <v>1873988.28</v>
          </cell>
          <cell r="Z963">
            <v>2248785.9360000002</v>
          </cell>
          <cell r="AA963"/>
          <cell r="AB963">
            <v>2104061</v>
          </cell>
          <cell r="AC963">
            <v>1578045.75</v>
          </cell>
        </row>
        <row r="964">
          <cell r="F964" t="str">
            <v>MS: OVERTIME - NIGHT SHIFT</v>
          </cell>
          <cell r="G964" t="str">
            <v>P211042</v>
          </cell>
          <cell r="H964" t="str">
            <v>P211042</v>
          </cell>
          <cell r="I964" t="str">
            <v>501503</v>
          </cell>
          <cell r="J964">
            <v>50</v>
          </cell>
          <cell r="K964" t="str">
            <v>15</v>
          </cell>
          <cell r="L964" t="str">
            <v>03</v>
          </cell>
          <cell r="M964" t="str">
            <v>2</v>
          </cell>
          <cell r="N964" t="str">
            <v>11</v>
          </cell>
          <cell r="O964" t="str">
            <v>042</v>
          </cell>
          <cell r="P964" t="str">
            <v>0</v>
          </cell>
          <cell r="Q964">
            <v>18</v>
          </cell>
          <cell r="R964" t="str">
            <v>MRC</v>
          </cell>
          <cell r="S964" t="str">
            <v>ZZ</v>
          </cell>
          <cell r="T964">
            <v>11</v>
          </cell>
          <cell r="U964" t="str">
            <v>1503211042018MRCZZ11</v>
          </cell>
          <cell r="V964">
            <v>956</v>
          </cell>
          <cell r="W964" t="str">
            <v>MS: OVERTIME - NIGHT SHIFT</v>
          </cell>
          <cell r="X964">
            <v>0</v>
          </cell>
          <cell r="Y964">
            <v>387.7</v>
          </cell>
          <cell r="Z964">
            <v>465.23999999999995</v>
          </cell>
          <cell r="AA964"/>
          <cell r="AB964">
            <v>0</v>
          </cell>
          <cell r="AC964">
            <v>0</v>
          </cell>
        </row>
        <row r="965">
          <cell r="F965" t="str">
            <v>MS: SRB - ANNUAL BONUS</v>
          </cell>
          <cell r="G965" t="str">
            <v>P211046</v>
          </cell>
          <cell r="H965" t="str">
            <v>P211046</v>
          </cell>
          <cell r="I965" t="str">
            <v>501503</v>
          </cell>
          <cell r="J965">
            <v>50</v>
          </cell>
          <cell r="K965" t="str">
            <v>15</v>
          </cell>
          <cell r="L965" t="str">
            <v>03</v>
          </cell>
          <cell r="M965" t="str">
            <v>2</v>
          </cell>
          <cell r="N965" t="str">
            <v>11</v>
          </cell>
          <cell r="O965" t="str">
            <v>046</v>
          </cell>
          <cell r="P965" t="str">
            <v>0</v>
          </cell>
          <cell r="Q965">
            <v>18</v>
          </cell>
          <cell r="R965" t="str">
            <v>MRC</v>
          </cell>
          <cell r="S965" t="str">
            <v>ZZ</v>
          </cell>
          <cell r="T965">
            <v>11</v>
          </cell>
          <cell r="U965" t="str">
            <v>1503211046018MRCZZ11</v>
          </cell>
          <cell r="V965">
            <v>957</v>
          </cell>
          <cell r="W965" t="str">
            <v>MS: SRB - ANNUAL BONUS</v>
          </cell>
          <cell r="X965">
            <v>862618</v>
          </cell>
          <cell r="Y965">
            <v>723074.45</v>
          </cell>
          <cell r="Z965">
            <v>867689.33999999985</v>
          </cell>
          <cell r="AA965"/>
          <cell r="AB965">
            <v>862618</v>
          </cell>
          <cell r="AC965">
            <v>1191229.112</v>
          </cell>
        </row>
        <row r="966">
          <cell r="F966" t="str">
            <v>MS: SRB - STANDBY ALLOWANCE</v>
          </cell>
          <cell r="G966" t="str">
            <v>P211056</v>
          </cell>
          <cell r="H966" t="str">
            <v>P211056</v>
          </cell>
          <cell r="I966" t="str">
            <v>501503</v>
          </cell>
          <cell r="J966">
            <v>50</v>
          </cell>
          <cell r="K966" t="str">
            <v>15</v>
          </cell>
          <cell r="L966" t="str">
            <v>03</v>
          </cell>
          <cell r="M966" t="str">
            <v>2</v>
          </cell>
          <cell r="N966" t="str">
            <v>11</v>
          </cell>
          <cell r="O966" t="str">
            <v>056</v>
          </cell>
          <cell r="P966" t="str">
            <v>0</v>
          </cell>
          <cell r="Q966">
            <v>18</v>
          </cell>
          <cell r="R966" t="str">
            <v>MRC</v>
          </cell>
          <cell r="S966" t="str">
            <v>ZZ</v>
          </cell>
          <cell r="T966">
            <v>11</v>
          </cell>
          <cell r="U966" t="str">
            <v>1503211056018MRCZZ11</v>
          </cell>
          <cell r="V966">
            <v>958</v>
          </cell>
          <cell r="W966" t="str">
            <v>MS: SRB - STANDBY ALLOWANCE</v>
          </cell>
          <cell r="X966">
            <v>16768</v>
          </cell>
          <cell r="Y966">
            <v>0</v>
          </cell>
          <cell r="Z966">
            <v>0</v>
          </cell>
          <cell r="AA966"/>
          <cell r="AB966">
            <v>16768</v>
          </cell>
          <cell r="AC966">
            <v>15091.2</v>
          </cell>
        </row>
        <row r="967">
          <cell r="F967" t="str">
            <v>MS: SRB - TOOLS ALLOWANCE</v>
          </cell>
          <cell r="G967" t="str">
            <v>P211058</v>
          </cell>
          <cell r="H967" t="str">
            <v>P211058</v>
          </cell>
          <cell r="I967" t="str">
            <v>501503</v>
          </cell>
          <cell r="J967">
            <v>50</v>
          </cell>
          <cell r="K967" t="str">
            <v>15</v>
          </cell>
          <cell r="L967" t="str">
            <v>03</v>
          </cell>
          <cell r="M967" t="str">
            <v>2</v>
          </cell>
          <cell r="N967" t="str">
            <v>11</v>
          </cell>
          <cell r="O967" t="str">
            <v>058</v>
          </cell>
          <cell r="P967" t="str">
            <v>0</v>
          </cell>
          <cell r="Q967">
            <v>18</v>
          </cell>
          <cell r="R967" t="str">
            <v>MRC</v>
          </cell>
          <cell r="S967" t="str">
            <v>ZZ</v>
          </cell>
          <cell r="T967">
            <v>11</v>
          </cell>
          <cell r="U967" t="str">
            <v>1503211058018MRCZZ11</v>
          </cell>
          <cell r="V967">
            <v>959</v>
          </cell>
          <cell r="W967" t="str">
            <v>MS: SRB - TOOLS ALLOWANCE</v>
          </cell>
          <cell r="X967">
            <v>0</v>
          </cell>
          <cell r="Y967">
            <v>0</v>
          </cell>
          <cell r="Z967">
            <v>0</v>
          </cell>
          <cell r="AA967"/>
          <cell r="AB967">
            <v>0</v>
          </cell>
          <cell r="AC967">
            <v>0</v>
          </cell>
        </row>
        <row r="968">
          <cell r="F968" t="str">
            <v>MS: SOC CONTR - BARGAINING COUNCIL</v>
          </cell>
          <cell r="G968" t="str">
            <v>P213001</v>
          </cell>
          <cell r="H968" t="str">
            <v>P213001</v>
          </cell>
          <cell r="I968" t="str">
            <v>501503</v>
          </cell>
          <cell r="J968">
            <v>50</v>
          </cell>
          <cell r="K968" t="str">
            <v>15</v>
          </cell>
          <cell r="L968" t="str">
            <v>03</v>
          </cell>
          <cell r="M968" t="str">
            <v>2</v>
          </cell>
          <cell r="N968" t="str">
            <v>13</v>
          </cell>
          <cell r="O968" t="str">
            <v>001</v>
          </cell>
          <cell r="P968" t="str">
            <v>0</v>
          </cell>
          <cell r="Q968">
            <v>18</v>
          </cell>
          <cell r="R968" t="str">
            <v>MRC</v>
          </cell>
          <cell r="S968" t="str">
            <v>ZZ</v>
          </cell>
          <cell r="T968">
            <v>11</v>
          </cell>
          <cell r="U968" t="str">
            <v>1503213001018MRCZZ11</v>
          </cell>
          <cell r="V968">
            <v>960</v>
          </cell>
          <cell r="W968" t="str">
            <v>MS: SOC CONTR - BARGAINING COUNCIL</v>
          </cell>
          <cell r="X968">
            <v>4790</v>
          </cell>
          <cell r="Y968">
            <v>4305.3999999999996</v>
          </cell>
          <cell r="Z968">
            <v>5166.4799999999996</v>
          </cell>
          <cell r="AA968"/>
          <cell r="AB968">
            <v>4790</v>
          </cell>
          <cell r="AC968">
            <v>7771.968000000008</v>
          </cell>
        </row>
        <row r="969">
          <cell r="F969" t="str">
            <v>MS: SOC CONTR - GROUP LIFE INSURANCE</v>
          </cell>
          <cell r="G969" t="str">
            <v>P213010</v>
          </cell>
          <cell r="H969" t="str">
            <v>P213010</v>
          </cell>
          <cell r="I969" t="str">
            <v>501503</v>
          </cell>
          <cell r="J969">
            <v>50</v>
          </cell>
          <cell r="K969" t="str">
            <v>15</v>
          </cell>
          <cell r="L969" t="str">
            <v>03</v>
          </cell>
          <cell r="M969" t="str">
            <v>2</v>
          </cell>
          <cell r="N969" t="str">
            <v>13</v>
          </cell>
          <cell r="O969" t="str">
            <v>010</v>
          </cell>
          <cell r="P969" t="str">
            <v>0</v>
          </cell>
          <cell r="Q969">
            <v>18</v>
          </cell>
          <cell r="R969" t="str">
            <v>MRC</v>
          </cell>
          <cell r="S969" t="str">
            <v>ZZ</v>
          </cell>
          <cell r="T969">
            <v>11</v>
          </cell>
          <cell r="U969" t="str">
            <v>1503213010018MRCZZ11</v>
          </cell>
          <cell r="V969">
            <v>961</v>
          </cell>
          <cell r="W969" t="str">
            <v>MS: SOC CONTR - GROUP LIFE INSURANCE</v>
          </cell>
          <cell r="X969">
            <v>129618</v>
          </cell>
          <cell r="Y969">
            <v>110214.71</v>
          </cell>
          <cell r="Z969">
            <v>132257.652</v>
          </cell>
          <cell r="AA969"/>
          <cell r="AB969">
            <v>129618</v>
          </cell>
          <cell r="AC969">
            <v>243010.73884799986</v>
          </cell>
        </row>
        <row r="970">
          <cell r="F970" t="str">
            <v>MS: SOC CONTR - MEDICAL</v>
          </cell>
          <cell r="G970" t="str">
            <v>P213020</v>
          </cell>
          <cell r="H970" t="str">
            <v>P213020</v>
          </cell>
          <cell r="I970" t="str">
            <v>501503</v>
          </cell>
          <cell r="J970">
            <v>50</v>
          </cell>
          <cell r="K970" t="str">
            <v>15</v>
          </cell>
          <cell r="L970" t="str">
            <v>03</v>
          </cell>
          <cell r="M970" t="str">
            <v>2</v>
          </cell>
          <cell r="N970" t="str">
            <v>13</v>
          </cell>
          <cell r="O970" t="str">
            <v>020</v>
          </cell>
          <cell r="P970" t="str">
            <v>0</v>
          </cell>
          <cell r="Q970">
            <v>18</v>
          </cell>
          <cell r="R970" t="str">
            <v>MRC</v>
          </cell>
          <cell r="S970" t="str">
            <v>ZZ</v>
          </cell>
          <cell r="T970">
            <v>11</v>
          </cell>
          <cell r="U970" t="str">
            <v>1503213020018MRCZZ11</v>
          </cell>
          <cell r="V970">
            <v>962</v>
          </cell>
          <cell r="W970" t="str">
            <v>MS: SOC CONTR - MEDICAL</v>
          </cell>
          <cell r="X970">
            <v>1318725</v>
          </cell>
          <cell r="Y970">
            <v>1299705.8400000001</v>
          </cell>
          <cell r="Z970">
            <v>1559647.0079999999</v>
          </cell>
          <cell r="AA970"/>
          <cell r="AB970">
            <v>1318725</v>
          </cell>
          <cell r="AC970">
            <v>3601605.4271999975</v>
          </cell>
        </row>
        <row r="971">
          <cell r="F971" t="str">
            <v>MS: SOC CONTR - PENSION</v>
          </cell>
          <cell r="G971" t="str">
            <v>P213030</v>
          </cell>
          <cell r="H971" t="str">
            <v>P213030</v>
          </cell>
          <cell r="I971" t="str">
            <v>501503</v>
          </cell>
          <cell r="J971">
            <v>50</v>
          </cell>
          <cell r="K971" t="str">
            <v>15</v>
          </cell>
          <cell r="L971" t="str">
            <v>03</v>
          </cell>
          <cell r="M971" t="str">
            <v>2</v>
          </cell>
          <cell r="N971" t="str">
            <v>13</v>
          </cell>
          <cell r="O971" t="str">
            <v>030</v>
          </cell>
          <cell r="P971" t="str">
            <v>0</v>
          </cell>
          <cell r="Q971">
            <v>18</v>
          </cell>
          <cell r="R971" t="str">
            <v>MRC</v>
          </cell>
          <cell r="S971" t="str">
            <v>ZZ</v>
          </cell>
          <cell r="T971">
            <v>11</v>
          </cell>
          <cell r="U971" t="str">
            <v>1503213030018MRCZZ11</v>
          </cell>
          <cell r="V971">
            <v>963</v>
          </cell>
          <cell r="W971" t="str">
            <v>MS: SOC CONTR - PENSION</v>
          </cell>
          <cell r="X971">
            <v>1482395</v>
          </cell>
          <cell r="Y971">
            <v>1424262.29</v>
          </cell>
          <cell r="Z971">
            <v>1709114.7479999999</v>
          </cell>
          <cell r="AA971"/>
          <cell r="AB971">
            <v>1482395</v>
          </cell>
          <cell r="AC971">
            <v>2583061.206460801</v>
          </cell>
        </row>
        <row r="972">
          <cell r="F972" t="str">
            <v>MS: SOC CONTR - UNEMPLOYMENT INSUR FUND</v>
          </cell>
          <cell r="G972" t="str">
            <v>P213040</v>
          </cell>
          <cell r="H972" t="str">
            <v>P213040</v>
          </cell>
          <cell r="I972" t="str">
            <v>501503</v>
          </cell>
          <cell r="J972">
            <v>50</v>
          </cell>
          <cell r="K972" t="str">
            <v>15</v>
          </cell>
          <cell r="L972" t="str">
            <v>03</v>
          </cell>
          <cell r="M972" t="str">
            <v>2</v>
          </cell>
          <cell r="N972" t="str">
            <v>13</v>
          </cell>
          <cell r="O972" t="str">
            <v>040</v>
          </cell>
          <cell r="P972" t="str">
            <v>0</v>
          </cell>
          <cell r="Q972">
            <v>18</v>
          </cell>
          <cell r="R972" t="str">
            <v>MRC</v>
          </cell>
          <cell r="S972" t="str">
            <v>ZZ</v>
          </cell>
          <cell r="T972">
            <v>11</v>
          </cell>
          <cell r="U972" t="str">
            <v>1503213040018MRCZZ11</v>
          </cell>
          <cell r="V972">
            <v>964</v>
          </cell>
          <cell r="W972" t="str">
            <v>MS: SOC CONTR - UNEMPLOYMENT INSUR FUND</v>
          </cell>
          <cell r="X972">
            <v>71957</v>
          </cell>
          <cell r="Y972">
            <v>74036.160000000003</v>
          </cell>
          <cell r="Z972">
            <v>88843.391999999993</v>
          </cell>
          <cell r="AA972"/>
          <cell r="AB972">
            <v>71957</v>
          </cell>
          <cell r="AC972">
            <v>133647.66720000011</v>
          </cell>
        </row>
        <row r="973">
          <cell r="F973" t="str">
            <v>OS: CATERING SERVICES(REFRESHMENTS)</v>
          </cell>
          <cell r="G973" t="str">
            <v>P226060</v>
          </cell>
          <cell r="H973" t="str">
            <v>P226060</v>
          </cell>
          <cell r="I973"/>
          <cell r="J973"/>
          <cell r="K973" t="str">
            <v>15</v>
          </cell>
          <cell r="L973" t="str">
            <v>03</v>
          </cell>
          <cell r="M973" t="str">
            <v>2</v>
          </cell>
          <cell r="N973" t="str">
            <v>26</v>
          </cell>
          <cell r="O973" t="str">
            <v>060</v>
          </cell>
          <cell r="P973" t="str">
            <v>H</v>
          </cell>
          <cell r="Q973">
            <v>18</v>
          </cell>
          <cell r="R973" t="str">
            <v>MRC</v>
          </cell>
          <cell r="S973" t="str">
            <v>ZZ</v>
          </cell>
          <cell r="T973">
            <v>11</v>
          </cell>
          <cell r="U973" t="str">
            <v>1503226060H18MRCZZ11</v>
          </cell>
          <cell r="V973">
            <v>965</v>
          </cell>
          <cell r="W973" t="str">
            <v>OS: CATERING SERVICES(REFRESHMENTS)</v>
          </cell>
          <cell r="X973">
            <v>0</v>
          </cell>
          <cell r="Y973">
            <v>0</v>
          </cell>
          <cell r="Z973">
            <v>0</v>
          </cell>
          <cell r="AA973"/>
          <cell r="AB973">
            <v>0</v>
          </cell>
          <cell r="AC973">
            <v>2500</v>
          </cell>
        </row>
        <row r="974">
          <cell r="F974" t="str">
            <v>OS: SECURITY SERVICES</v>
          </cell>
          <cell r="G974" t="str">
            <v>P226060</v>
          </cell>
          <cell r="H974" t="str">
            <v>P226540</v>
          </cell>
          <cell r="I974"/>
          <cell r="J974"/>
          <cell r="K974" t="str">
            <v>15</v>
          </cell>
          <cell r="L974" t="str">
            <v>03</v>
          </cell>
          <cell r="M974" t="str">
            <v>2</v>
          </cell>
          <cell r="N974" t="str">
            <v>26</v>
          </cell>
          <cell r="O974" t="str">
            <v>540</v>
          </cell>
          <cell r="P974" t="str">
            <v>0</v>
          </cell>
          <cell r="Q974">
            <v>18</v>
          </cell>
          <cell r="R974" t="str">
            <v>MRC</v>
          </cell>
          <cell r="S974" t="str">
            <v>ZZ</v>
          </cell>
          <cell r="T974">
            <v>11</v>
          </cell>
          <cell r="U974" t="str">
            <v>1503226540018MRCZZ11</v>
          </cell>
          <cell r="V974">
            <v>966</v>
          </cell>
          <cell r="W974" t="str">
            <v>OS: SECURITY SERVICES</v>
          </cell>
          <cell r="X974">
            <v>6713871</v>
          </cell>
          <cell r="Y974">
            <v>6721914.8300000001</v>
          </cell>
          <cell r="Z974">
            <v>8066297.7960000001</v>
          </cell>
          <cell r="AA974">
            <v>6500000</v>
          </cell>
          <cell r="AB974">
            <v>13213871</v>
          </cell>
          <cell r="AC974">
            <v>8500000</v>
          </cell>
        </row>
        <row r="975">
          <cell r="F975" t="str">
            <v>CONTR:MAINTENANCE OF EQUIPMENT(TYRES&amp;TUB</v>
          </cell>
          <cell r="G975" t="str">
            <v>P228361</v>
          </cell>
          <cell r="H975" t="str">
            <v>P228361</v>
          </cell>
          <cell r="I975"/>
          <cell r="J975"/>
          <cell r="K975" t="str">
            <v>15</v>
          </cell>
          <cell r="L975" t="str">
            <v>03</v>
          </cell>
          <cell r="M975" t="str">
            <v>2</v>
          </cell>
          <cell r="N975" t="str">
            <v>28</v>
          </cell>
          <cell r="O975" t="str">
            <v>361</v>
          </cell>
          <cell r="P975" t="str">
            <v>0</v>
          </cell>
          <cell r="Q975">
            <v>18</v>
          </cell>
          <cell r="R975" t="str">
            <v>NSP</v>
          </cell>
          <cell r="S975" t="str">
            <v>ZZ</v>
          </cell>
          <cell r="T975">
            <v>11</v>
          </cell>
          <cell r="U975" t="str">
            <v>1503228361018NSPZZ11</v>
          </cell>
          <cell r="V975">
            <v>967</v>
          </cell>
          <cell r="W975" t="str">
            <v>CONTR:MAINTENANCE OF EQUIPMENT(TYRES&amp;TUB</v>
          </cell>
          <cell r="X975">
            <v>1219737</v>
          </cell>
          <cell r="Y975">
            <v>743575.57</v>
          </cell>
          <cell r="Z975">
            <v>892290.68400000001</v>
          </cell>
          <cell r="AA975"/>
          <cell r="AB975">
            <v>1219737</v>
          </cell>
          <cell r="AC975">
            <v>1535603</v>
          </cell>
        </row>
        <row r="976">
          <cell r="F976" t="str">
            <v>CONTR:MAINTENANCE OF EQUIPMENT(VEHICLES)</v>
          </cell>
          <cell r="G976" t="str">
            <v>P228361</v>
          </cell>
          <cell r="H976" t="str">
            <v>P228361</v>
          </cell>
          <cell r="I976"/>
          <cell r="J976"/>
          <cell r="K976" t="str">
            <v>15</v>
          </cell>
          <cell r="L976" t="str">
            <v>03</v>
          </cell>
          <cell r="M976" t="str">
            <v>2</v>
          </cell>
          <cell r="N976" t="str">
            <v>28</v>
          </cell>
          <cell r="O976" t="str">
            <v>361</v>
          </cell>
          <cell r="P976" t="str">
            <v>0</v>
          </cell>
          <cell r="Q976">
            <v>18</v>
          </cell>
          <cell r="R976" t="str">
            <v>NSQ</v>
          </cell>
          <cell r="S976" t="str">
            <v>ZZ</v>
          </cell>
          <cell r="T976">
            <v>11</v>
          </cell>
          <cell r="U976" t="str">
            <v>1503228361018NSQZZ11</v>
          </cell>
          <cell r="V976">
            <v>968</v>
          </cell>
          <cell r="W976" t="str">
            <v>CONTR:MAINTENANCE OF EQUIPMENT(VEHICLES)</v>
          </cell>
          <cell r="X976">
            <v>6612157</v>
          </cell>
          <cell r="Y976">
            <v>6581998.3399999999</v>
          </cell>
          <cell r="Z976">
            <v>7898398.0080000004</v>
          </cell>
          <cell r="AA976">
            <v>4690850.8600000003</v>
          </cell>
          <cell r="AB976">
            <v>11303007.859999999</v>
          </cell>
          <cell r="AC976">
            <v>11761693</v>
          </cell>
        </row>
        <row r="977">
          <cell r="F977" t="str">
            <v>OC: LIC - VEHICLE LIC &amp; REGISTRATIONS</v>
          </cell>
          <cell r="G977" t="str">
            <v>P230452</v>
          </cell>
          <cell r="H977" t="str">
            <v>P230333</v>
          </cell>
          <cell r="I977"/>
          <cell r="J977"/>
          <cell r="K977" t="str">
            <v>15</v>
          </cell>
          <cell r="L977" t="str">
            <v>03</v>
          </cell>
          <cell r="M977" t="str">
            <v>2</v>
          </cell>
          <cell r="N977" t="str">
            <v>30</v>
          </cell>
          <cell r="O977" t="str">
            <v>333</v>
          </cell>
          <cell r="P977" t="str">
            <v>0</v>
          </cell>
          <cell r="Q977">
            <v>18</v>
          </cell>
          <cell r="R977" t="str">
            <v>MRC</v>
          </cell>
          <cell r="S977" t="str">
            <v>ZZ</v>
          </cell>
          <cell r="T977">
            <v>11</v>
          </cell>
          <cell r="U977" t="str">
            <v>1503230333018MRCZZ11</v>
          </cell>
          <cell r="V977">
            <v>969</v>
          </cell>
          <cell r="W977" t="str">
            <v>OC: LIC - VEHICLE LIC &amp; REGISTRATIONS</v>
          </cell>
          <cell r="X977">
            <v>791569</v>
          </cell>
          <cell r="Y977">
            <v>468480.2</v>
          </cell>
          <cell r="Z977">
            <v>562176.24</v>
          </cell>
          <cell r="AA977"/>
          <cell r="AB977">
            <v>791569</v>
          </cell>
          <cell r="AC977">
            <v>965514</v>
          </cell>
        </row>
        <row r="978">
          <cell r="F978" t="str">
            <v>OC: SKILLS DEVELOPMENT FUND LEVY</v>
          </cell>
          <cell r="G978" t="str">
            <v>P230452</v>
          </cell>
          <cell r="H978" t="str">
            <v>P230541</v>
          </cell>
          <cell r="I978"/>
          <cell r="J978"/>
          <cell r="K978" t="str">
            <v>15</v>
          </cell>
          <cell r="L978" t="str">
            <v>03</v>
          </cell>
          <cell r="M978" t="str">
            <v>2</v>
          </cell>
          <cell r="N978" t="str">
            <v>30</v>
          </cell>
          <cell r="O978" t="str">
            <v>541</v>
          </cell>
          <cell r="P978" t="str">
            <v>0</v>
          </cell>
          <cell r="Q978">
            <v>18</v>
          </cell>
          <cell r="R978" t="str">
            <v>MRC</v>
          </cell>
          <cell r="S978" t="str">
            <v>ZZ</v>
          </cell>
          <cell r="T978">
            <v>11</v>
          </cell>
          <cell r="U978" t="str">
            <v>1503230541018MRCZZ11</v>
          </cell>
          <cell r="V978">
            <v>970</v>
          </cell>
          <cell r="W978" t="str">
            <v>OC: SKILLS DEVELOPMENT FUND LEVY</v>
          </cell>
          <cell r="X978">
            <v>0</v>
          </cell>
          <cell r="Y978">
            <v>0</v>
          </cell>
          <cell r="Z978">
            <v>0</v>
          </cell>
          <cell r="AA978"/>
          <cell r="AB978">
            <v>0</v>
          </cell>
          <cell r="AC978">
            <v>0</v>
          </cell>
        </row>
        <row r="979">
          <cell r="F979" t="str">
            <v>OC: UNIFORM &amp; PROTECTIVE CLOTHING</v>
          </cell>
          <cell r="G979" t="str">
            <v>P230452</v>
          </cell>
          <cell r="H979" t="str">
            <v>P230610</v>
          </cell>
          <cell r="I979"/>
          <cell r="J979"/>
          <cell r="K979" t="str">
            <v>15</v>
          </cell>
          <cell r="L979" t="str">
            <v>03</v>
          </cell>
          <cell r="M979" t="str">
            <v>2</v>
          </cell>
          <cell r="N979" t="str">
            <v>30</v>
          </cell>
          <cell r="O979" t="str">
            <v>610</v>
          </cell>
          <cell r="P979" t="str">
            <v>0</v>
          </cell>
          <cell r="Q979">
            <v>18</v>
          </cell>
          <cell r="R979" t="str">
            <v>MRC</v>
          </cell>
          <cell r="S979" t="str">
            <v>ZZ</v>
          </cell>
          <cell r="T979">
            <v>11</v>
          </cell>
          <cell r="U979" t="str">
            <v>1503230610018MRCZZ11</v>
          </cell>
          <cell r="V979">
            <v>971</v>
          </cell>
          <cell r="W979" t="str">
            <v>OC: UNIFORM &amp; PROTECTIVE CLOTHING</v>
          </cell>
          <cell r="X979">
            <v>293116</v>
          </cell>
          <cell r="Y979">
            <v>133528.95000000001</v>
          </cell>
          <cell r="Z979">
            <v>160234.74</v>
          </cell>
          <cell r="AA979"/>
          <cell r="AB979">
            <v>293116</v>
          </cell>
          <cell r="AC979">
            <v>850000</v>
          </cell>
        </row>
        <row r="980">
          <cell r="F980" t="str">
            <v>OC: VEHICLE TRACKING</v>
          </cell>
          <cell r="G980" t="str">
            <v>P230452</v>
          </cell>
          <cell r="H980" t="str">
            <v>P230630</v>
          </cell>
          <cell r="I980"/>
          <cell r="J980"/>
          <cell r="K980" t="str">
            <v>15</v>
          </cell>
          <cell r="L980" t="str">
            <v>03</v>
          </cell>
          <cell r="M980" t="str">
            <v>2</v>
          </cell>
          <cell r="N980" t="str">
            <v>30</v>
          </cell>
          <cell r="O980" t="str">
            <v>630</v>
          </cell>
          <cell r="P980" t="str">
            <v>0</v>
          </cell>
          <cell r="Q980">
            <v>18</v>
          </cell>
          <cell r="R980" t="str">
            <v>MRC</v>
          </cell>
          <cell r="S980" t="str">
            <v>ZZ</v>
          </cell>
          <cell r="T980">
            <v>11</v>
          </cell>
          <cell r="U980" t="str">
            <v>1503230630018MRCZZ11</v>
          </cell>
          <cell r="V980">
            <v>972</v>
          </cell>
          <cell r="W980" t="str">
            <v>OC: VEHICLE TRACKING</v>
          </cell>
          <cell r="X980">
            <v>512925</v>
          </cell>
          <cell r="Y980">
            <v>436862.2</v>
          </cell>
          <cell r="Z980">
            <v>524234.64</v>
          </cell>
          <cell r="AA980">
            <v>100766.39999999999</v>
          </cell>
          <cell r="AB980">
            <v>613691.4</v>
          </cell>
          <cell r="AC980">
            <v>800000</v>
          </cell>
        </row>
        <row r="981">
          <cell r="F981" t="str">
            <v>INVENTORY - MATERIALS &amp; SUPPLIES(FUEL CO</v>
          </cell>
          <cell r="G981" t="str">
            <v>P232360</v>
          </cell>
          <cell r="H981" t="str">
            <v>P232360</v>
          </cell>
          <cell r="I981"/>
          <cell r="J981"/>
          <cell r="K981" t="str">
            <v>15</v>
          </cell>
          <cell r="L981" t="str">
            <v>03</v>
          </cell>
          <cell r="M981" t="str">
            <v>2</v>
          </cell>
          <cell r="N981" t="str">
            <v>32</v>
          </cell>
          <cell r="O981" t="str">
            <v>360</v>
          </cell>
          <cell r="P981" t="str">
            <v>1</v>
          </cell>
          <cell r="Q981">
            <v>18</v>
          </cell>
          <cell r="R981" t="str">
            <v>MRC</v>
          </cell>
          <cell r="S981" t="str">
            <v>ZZ</v>
          </cell>
          <cell r="T981">
            <v>11</v>
          </cell>
          <cell r="U981" t="str">
            <v>1503232360118MRCZZ11</v>
          </cell>
          <cell r="V981">
            <v>973</v>
          </cell>
          <cell r="W981" t="str">
            <v>INVENTORY - MATERIALS &amp; SUPPLIES(FUEL CO</v>
          </cell>
          <cell r="X981">
            <v>6423139</v>
          </cell>
          <cell r="Y981">
            <v>7870234.3300000001</v>
          </cell>
          <cell r="Z981">
            <v>9444281.1959999986</v>
          </cell>
          <cell r="AA981">
            <v>3289558.84</v>
          </cell>
          <cell r="AB981">
            <v>9712697.8399999999</v>
          </cell>
          <cell r="AC981">
            <v>12600000</v>
          </cell>
        </row>
        <row r="982">
          <cell r="F982" t="str">
            <v>INVENTORY - MATERIALS &amp; SUPPLIES(PRINT&amp;</v>
          </cell>
          <cell r="G982" t="str">
            <v>P232360</v>
          </cell>
          <cell r="H982" t="str">
            <v>P232360</v>
          </cell>
          <cell r="I982"/>
          <cell r="J982"/>
          <cell r="K982" t="str">
            <v>15</v>
          </cell>
          <cell r="L982" t="str">
            <v>03</v>
          </cell>
          <cell r="M982" t="str">
            <v>2</v>
          </cell>
          <cell r="N982" t="str">
            <v>32</v>
          </cell>
          <cell r="O982" t="str">
            <v>360</v>
          </cell>
          <cell r="P982" t="str">
            <v>D</v>
          </cell>
          <cell r="Q982">
            <v>18</v>
          </cell>
          <cell r="R982" t="str">
            <v>MRC</v>
          </cell>
          <cell r="S982" t="str">
            <v>ZZ</v>
          </cell>
          <cell r="T982">
            <v>11</v>
          </cell>
          <cell r="U982" t="str">
            <v>1503232360D18MRCZZ11</v>
          </cell>
          <cell r="V982">
            <v>974</v>
          </cell>
          <cell r="W982" t="str">
            <v>INVENTORY - MATERIALS &amp; SUPPLIES(PRINT&amp;</v>
          </cell>
          <cell r="X982">
            <v>47965</v>
          </cell>
          <cell r="Y982">
            <v>83728.53</v>
          </cell>
          <cell r="Z982">
            <v>100474.23599999999</v>
          </cell>
          <cell r="AA982"/>
          <cell r="AB982">
            <v>47965</v>
          </cell>
          <cell r="AC982">
            <v>147965</v>
          </cell>
        </row>
        <row r="983">
          <cell r="F983" t="str">
            <v>INVENTORY - MATERIALS &amp; SUPPLIES(STOCK &amp;</v>
          </cell>
          <cell r="G983" t="str">
            <v>P232360</v>
          </cell>
          <cell r="H983" t="str">
            <v>P232360</v>
          </cell>
          <cell r="I983"/>
          <cell r="J983"/>
          <cell r="K983" t="str">
            <v>15</v>
          </cell>
          <cell r="L983" t="str">
            <v>03</v>
          </cell>
          <cell r="M983" t="str">
            <v>2</v>
          </cell>
          <cell r="N983" t="str">
            <v>32</v>
          </cell>
          <cell r="O983" t="str">
            <v>360</v>
          </cell>
          <cell r="P983" t="str">
            <v>R</v>
          </cell>
          <cell r="Q983">
            <v>18</v>
          </cell>
          <cell r="R983" t="str">
            <v>MRC</v>
          </cell>
          <cell r="S983" t="str">
            <v>ZZ</v>
          </cell>
          <cell r="T983">
            <v>11</v>
          </cell>
          <cell r="U983" t="str">
            <v>1503232360R18MRCZZ11</v>
          </cell>
          <cell r="V983">
            <v>975</v>
          </cell>
          <cell r="W983" t="str">
            <v>INVENTORY - MATERIALS &amp; SUPPLIES(STOCK &amp;</v>
          </cell>
          <cell r="X983">
            <v>0</v>
          </cell>
          <cell r="Y983">
            <v>0</v>
          </cell>
          <cell r="Z983">
            <v>0</v>
          </cell>
          <cell r="AA983"/>
          <cell r="AB983">
            <v>0</v>
          </cell>
          <cell r="AC983">
            <v>0</v>
          </cell>
        </row>
        <row r="984">
          <cell r="F984" t="str">
            <v>DEPRECIATION FURNITURE &amp; OFFICE EQUIPM</v>
          </cell>
          <cell r="G984" t="str">
            <v>P272150</v>
          </cell>
          <cell r="H984" t="str">
            <v>P272150</v>
          </cell>
          <cell r="I984"/>
          <cell r="J984"/>
          <cell r="K984" t="str">
            <v>15</v>
          </cell>
          <cell r="L984" t="str">
            <v>03</v>
          </cell>
          <cell r="M984" t="str">
            <v>2</v>
          </cell>
          <cell r="N984" t="str">
            <v>72</v>
          </cell>
          <cell r="O984" t="str">
            <v>150</v>
          </cell>
          <cell r="P984" t="str">
            <v>0</v>
          </cell>
          <cell r="Q984">
            <v>18</v>
          </cell>
          <cell r="R984" t="str">
            <v>MRC</v>
          </cell>
          <cell r="S984" t="str">
            <v>ZZ</v>
          </cell>
          <cell r="T984">
            <v>11</v>
          </cell>
          <cell r="U984" t="str">
            <v>1503272150018MRCZZ11</v>
          </cell>
          <cell r="V984">
            <v>976</v>
          </cell>
          <cell r="W984" t="str">
            <v>DEPRECIATION FURNITURE &amp; OFFICE EQUIPM</v>
          </cell>
          <cell r="X984">
            <v>0</v>
          </cell>
          <cell r="Y984">
            <v>0</v>
          </cell>
          <cell r="Z984">
            <v>0</v>
          </cell>
          <cell r="AA984"/>
          <cell r="AB984">
            <v>0</v>
          </cell>
          <cell r="AC984">
            <v>0</v>
          </cell>
        </row>
        <row r="985">
          <cell r="F985" t="str">
            <v>DEPRECIATION  TRANSPORT ASSETS</v>
          </cell>
          <cell r="G985" t="str">
            <v>P272150</v>
          </cell>
          <cell r="H985" t="str">
            <v>P272570</v>
          </cell>
          <cell r="I985"/>
          <cell r="J985"/>
          <cell r="K985" t="str">
            <v>15</v>
          </cell>
          <cell r="L985" t="str">
            <v>03</v>
          </cell>
          <cell r="M985" t="str">
            <v>2</v>
          </cell>
          <cell r="N985" t="str">
            <v>72</v>
          </cell>
          <cell r="O985" t="str">
            <v>570</v>
          </cell>
          <cell r="P985" t="str">
            <v>0</v>
          </cell>
          <cell r="Q985">
            <v>18</v>
          </cell>
          <cell r="R985" t="str">
            <v>MRC</v>
          </cell>
          <cell r="S985" t="str">
            <v>ZZ</v>
          </cell>
          <cell r="T985">
            <v>11</v>
          </cell>
          <cell r="U985" t="str">
            <v>1503272570018MRCZZ11</v>
          </cell>
          <cell r="V985">
            <v>977</v>
          </cell>
          <cell r="W985" t="str">
            <v>DEPRECIATION  TRANSPORT ASSETS</v>
          </cell>
          <cell r="X985">
            <v>0</v>
          </cell>
          <cell r="Y985">
            <v>0</v>
          </cell>
          <cell r="Z985">
            <v>0</v>
          </cell>
          <cell r="AA985"/>
          <cell r="AB985">
            <v>0</v>
          </cell>
          <cell r="AC985">
            <v>0</v>
          </cell>
        </row>
        <row r="986">
          <cell r="F986" t="str">
            <v xml:space="preserve">PPE TRANSPORT ASSETS - GAINS                      </v>
          </cell>
          <cell r="G986" t="str">
            <v>P320085</v>
          </cell>
          <cell r="H986" t="str">
            <v>P320175</v>
          </cell>
          <cell r="I986"/>
          <cell r="J986"/>
          <cell r="K986" t="str">
            <v>14</v>
          </cell>
          <cell r="L986" t="str">
            <v>45</v>
          </cell>
          <cell r="M986" t="str">
            <v>3</v>
          </cell>
          <cell r="N986" t="str">
            <v>20</v>
          </cell>
          <cell r="O986" t="str">
            <v>175</v>
          </cell>
          <cell r="P986" t="str">
            <v>0</v>
          </cell>
          <cell r="Q986" t="str">
            <v>18</v>
          </cell>
          <cell r="R986" t="str">
            <v>MRC</v>
          </cell>
          <cell r="S986" t="str">
            <v>ZZ</v>
          </cell>
          <cell r="T986" t="str">
            <v>11</v>
          </cell>
          <cell r="U986" t="str">
            <v>1445320175018MRCZZ11</v>
          </cell>
          <cell r="V986">
            <v>978</v>
          </cell>
          <cell r="W986" t="str">
            <v xml:space="preserve">PPE TRANSPORT ASSETS - GAINS                      </v>
          </cell>
          <cell r="X986">
            <v>0</v>
          </cell>
          <cell r="Y986">
            <v>0</v>
          </cell>
          <cell r="Z986">
            <v>0</v>
          </cell>
          <cell r="AA986"/>
          <cell r="AB986">
            <v>0</v>
          </cell>
          <cell r="AC986">
            <v>-2300000</v>
          </cell>
        </row>
        <row r="987">
          <cell r="F987" t="str">
            <v>PPE TRANSPORT ASSETS - LOSSES</v>
          </cell>
          <cell r="G987" t="str">
            <v>P370020</v>
          </cell>
          <cell r="H987" t="str">
            <v>P320180</v>
          </cell>
          <cell r="I987"/>
          <cell r="J987"/>
          <cell r="K987" t="str">
            <v>15</v>
          </cell>
          <cell r="L987" t="str">
            <v>03</v>
          </cell>
          <cell r="M987" t="str">
            <v>3</v>
          </cell>
          <cell r="N987" t="str">
            <v>20</v>
          </cell>
          <cell r="O987" t="str">
            <v>180</v>
          </cell>
          <cell r="P987" t="str">
            <v>0</v>
          </cell>
          <cell r="Q987">
            <v>18</v>
          </cell>
          <cell r="R987" t="str">
            <v>MRC</v>
          </cell>
          <cell r="S987" t="str">
            <v>ZZ</v>
          </cell>
          <cell r="T987">
            <v>11</v>
          </cell>
          <cell r="U987" t="str">
            <v>1503320180018MRCZZ11</v>
          </cell>
          <cell r="V987">
            <v>978</v>
          </cell>
          <cell r="W987" t="str">
            <v>PPE TRANSPORT ASSETS - LOSSES</v>
          </cell>
          <cell r="X987">
            <v>0</v>
          </cell>
          <cell r="Y987">
            <v>0</v>
          </cell>
          <cell r="Z987">
            <v>0</v>
          </cell>
          <cell r="AA987"/>
          <cell r="AB987">
            <v>0</v>
          </cell>
          <cell r="AC987">
            <v>0</v>
          </cell>
        </row>
        <row r="988">
          <cell r="F988" t="str">
            <v>IL PPE: TRANSPORT ASSETS</v>
          </cell>
          <cell r="G988" t="str">
            <v>P350090</v>
          </cell>
          <cell r="H988" t="str">
            <v>P350090</v>
          </cell>
          <cell r="I988"/>
          <cell r="J988"/>
          <cell r="K988" t="str">
            <v>15</v>
          </cell>
          <cell r="L988" t="str">
            <v>03</v>
          </cell>
          <cell r="M988" t="str">
            <v>3</v>
          </cell>
          <cell r="N988" t="str">
            <v>50</v>
          </cell>
          <cell r="O988" t="str">
            <v>090</v>
          </cell>
          <cell r="P988" t="str">
            <v>0</v>
          </cell>
          <cell r="Q988">
            <v>18</v>
          </cell>
          <cell r="R988" t="str">
            <v>MRC</v>
          </cell>
          <cell r="S988" t="str">
            <v>ZZ</v>
          </cell>
          <cell r="T988">
            <v>11</v>
          </cell>
          <cell r="U988" t="str">
            <v>1503350090018MRCZZ11</v>
          </cell>
          <cell r="V988">
            <v>979</v>
          </cell>
          <cell r="W988" t="str">
            <v>IL PPE: TRANSPORT ASSETS</v>
          </cell>
          <cell r="X988">
            <v>0</v>
          </cell>
          <cell r="Y988">
            <v>0</v>
          </cell>
          <cell r="Z988">
            <v>0</v>
          </cell>
          <cell r="AA988"/>
          <cell r="AB988">
            <v>0</v>
          </cell>
          <cell r="AC988">
            <v>0</v>
          </cell>
        </row>
        <row r="989">
          <cell r="F989" t="str">
            <v>VEHICLES</v>
          </cell>
          <cell r="G989" t="str">
            <v>P642142QX8</v>
          </cell>
          <cell r="H989" t="str">
            <v>P642142QX8</v>
          </cell>
          <cell r="I989"/>
          <cell r="J989"/>
          <cell r="K989" t="str">
            <v>15</v>
          </cell>
          <cell r="L989" t="str">
            <v>03</v>
          </cell>
          <cell r="M989" t="str">
            <v>6</v>
          </cell>
          <cell r="N989" t="str">
            <v>42</v>
          </cell>
          <cell r="O989" t="str">
            <v>142</v>
          </cell>
          <cell r="P989" t="str">
            <v>0</v>
          </cell>
          <cell r="Q989" t="str">
            <v>CF</v>
          </cell>
          <cell r="R989" t="str">
            <v>QX8</v>
          </cell>
          <cell r="S989" t="str">
            <v>ZZ</v>
          </cell>
          <cell r="T989">
            <v>11</v>
          </cell>
          <cell r="U989" t="str">
            <v>15036421420CFQX8ZZ11</v>
          </cell>
          <cell r="V989">
            <v>980</v>
          </cell>
          <cell r="W989" t="str">
            <v>VEHICLES</v>
          </cell>
          <cell r="X989">
            <v>30000000</v>
          </cell>
          <cell r="Y989">
            <v>22212646.370000001</v>
          </cell>
          <cell r="Z989">
            <v>26655175.644000001</v>
          </cell>
          <cell r="AA989">
            <v>34498158</v>
          </cell>
          <cell r="AB989">
            <v>64498158</v>
          </cell>
          <cell r="AC989">
            <v>17950000</v>
          </cell>
        </row>
        <row r="990">
          <cell r="F990" t="str">
            <v>SECURITY EQUIPMENT</v>
          </cell>
          <cell r="G990" t="str">
            <v>P652042P08</v>
          </cell>
          <cell r="H990" t="str">
            <v>P652042P08</v>
          </cell>
          <cell r="I990"/>
          <cell r="J990"/>
          <cell r="K990" t="str">
            <v>15</v>
          </cell>
          <cell r="L990" t="str">
            <v>03</v>
          </cell>
          <cell r="M990" t="str">
            <v>6</v>
          </cell>
          <cell r="N990" t="str">
            <v>52</v>
          </cell>
          <cell r="O990" t="str">
            <v>042</v>
          </cell>
          <cell r="P990" t="str">
            <v>0</v>
          </cell>
          <cell r="Q990" t="str">
            <v>CF</v>
          </cell>
          <cell r="R990" t="str">
            <v>P08</v>
          </cell>
          <cell r="S990" t="str">
            <v>ZZ</v>
          </cell>
          <cell r="T990">
            <v>11</v>
          </cell>
          <cell r="U990" t="str">
            <v>15036520420CFP08ZZ11</v>
          </cell>
          <cell r="V990">
            <v>981</v>
          </cell>
          <cell r="W990" t="str">
            <v>SECURITY EQUIPMENT</v>
          </cell>
          <cell r="X990">
            <v>1034488</v>
          </cell>
          <cell r="Y990">
            <v>738186.1</v>
          </cell>
          <cell r="Z990">
            <v>885823.32000000007</v>
          </cell>
          <cell r="AA990">
            <v>2500000</v>
          </cell>
          <cell r="AB990">
            <v>3534488</v>
          </cell>
          <cell r="AC990">
            <v>2250000</v>
          </cell>
        </row>
        <row r="991">
          <cell r="F991" t="str">
            <v>MS: SAL &amp; ALL: BASIC SALARY &amp; WAGES</v>
          </cell>
          <cell r="G991" t="str">
            <v>P211001</v>
          </cell>
          <cell r="H991" t="str">
            <v>P211001</v>
          </cell>
          <cell r="I991" t="str">
            <v>501504</v>
          </cell>
          <cell r="J991">
            <v>50</v>
          </cell>
          <cell r="K991" t="str">
            <v>15</v>
          </cell>
          <cell r="L991" t="str">
            <v>04</v>
          </cell>
          <cell r="M991" t="str">
            <v>2</v>
          </cell>
          <cell r="N991" t="str">
            <v>11</v>
          </cell>
          <cell r="O991" t="str">
            <v>001</v>
          </cell>
          <cell r="P991" t="str">
            <v>0</v>
          </cell>
          <cell r="Q991">
            <v>18</v>
          </cell>
          <cell r="R991" t="str">
            <v>MRC</v>
          </cell>
          <cell r="S991" t="str">
            <v>ZZ</v>
          </cell>
          <cell r="T991">
            <v>11</v>
          </cell>
          <cell r="U991" t="str">
            <v>1504211001018MRCZZ11</v>
          </cell>
          <cell r="V991">
            <v>982</v>
          </cell>
          <cell r="W991" t="str">
            <v>MS: SAL &amp; ALL: BASIC SALARY &amp; WAGES</v>
          </cell>
          <cell r="X991">
            <v>0</v>
          </cell>
          <cell r="Y991">
            <v>0</v>
          </cell>
          <cell r="Z991">
            <v>0</v>
          </cell>
          <cell r="AA991"/>
          <cell r="AB991">
            <v>0</v>
          </cell>
          <cell r="AC991">
            <v>0</v>
          </cell>
        </row>
        <row r="992">
          <cell r="F992" t="str">
            <v>MS: ALL - CELLULAR &amp; TELEPHONE</v>
          </cell>
          <cell r="G992" t="str">
            <v>P211022</v>
          </cell>
          <cell r="H992" t="str">
            <v>P211022</v>
          </cell>
          <cell r="I992" t="str">
            <v>501504</v>
          </cell>
          <cell r="J992">
            <v>50</v>
          </cell>
          <cell r="K992" t="str">
            <v>15</v>
          </cell>
          <cell r="L992" t="str">
            <v>04</v>
          </cell>
          <cell r="M992" t="str">
            <v>2</v>
          </cell>
          <cell r="N992" t="str">
            <v>11</v>
          </cell>
          <cell r="O992" t="str">
            <v>022</v>
          </cell>
          <cell r="P992" t="str">
            <v>0</v>
          </cell>
          <cell r="Q992">
            <v>18</v>
          </cell>
          <cell r="R992" t="str">
            <v>MRC</v>
          </cell>
          <cell r="S992" t="str">
            <v>ZZ</v>
          </cell>
          <cell r="T992">
            <v>11</v>
          </cell>
          <cell r="U992" t="str">
            <v>1504211022018MRCZZ11</v>
          </cell>
          <cell r="V992">
            <v>983</v>
          </cell>
          <cell r="W992" t="str">
            <v>MS: ALL - CELLULAR &amp; TELEPHONE</v>
          </cell>
          <cell r="X992">
            <v>0</v>
          </cell>
          <cell r="Y992">
            <v>0</v>
          </cell>
          <cell r="Z992">
            <v>0</v>
          </cell>
          <cell r="AA992"/>
          <cell r="AB992">
            <v>0</v>
          </cell>
          <cell r="AC992">
            <v>0</v>
          </cell>
        </row>
        <row r="993">
          <cell r="F993" t="str">
            <v>MS: HB &amp; INC: HOUSING BENEFITS</v>
          </cell>
          <cell r="G993" t="str">
            <v>P211026</v>
          </cell>
          <cell r="H993" t="str">
            <v>P211026</v>
          </cell>
          <cell r="I993" t="str">
            <v>501504</v>
          </cell>
          <cell r="J993">
            <v>50</v>
          </cell>
          <cell r="K993" t="str">
            <v>15</v>
          </cell>
          <cell r="L993" t="str">
            <v>04</v>
          </cell>
          <cell r="M993" t="str">
            <v>2</v>
          </cell>
          <cell r="N993" t="str">
            <v>11</v>
          </cell>
          <cell r="O993" t="str">
            <v>026</v>
          </cell>
          <cell r="P993" t="str">
            <v>0</v>
          </cell>
          <cell r="Q993">
            <v>18</v>
          </cell>
          <cell r="R993" t="str">
            <v>MRC</v>
          </cell>
          <cell r="S993" t="str">
            <v>ZZ</v>
          </cell>
          <cell r="T993">
            <v>11</v>
          </cell>
          <cell r="U993" t="str">
            <v>1504211026018MRCZZ11</v>
          </cell>
          <cell r="V993">
            <v>984</v>
          </cell>
          <cell r="W993" t="str">
            <v>MS: HB &amp; INC: HOUSING BENEFITS</v>
          </cell>
          <cell r="X993">
            <v>0</v>
          </cell>
          <cell r="Y993">
            <v>0</v>
          </cell>
          <cell r="Z993">
            <v>0</v>
          </cell>
          <cell r="AA993"/>
          <cell r="AB993">
            <v>0</v>
          </cell>
          <cell r="AC993">
            <v>0</v>
          </cell>
        </row>
        <row r="994">
          <cell r="F994" t="str">
            <v>MS: ALL - TRAVEL OR MOTOR VEHICLE (SUBS</v>
          </cell>
          <cell r="G994" t="str">
            <v>P211034</v>
          </cell>
          <cell r="H994" t="str">
            <v>P211034</v>
          </cell>
          <cell r="I994" t="str">
            <v>501504</v>
          </cell>
          <cell r="J994">
            <v>50</v>
          </cell>
          <cell r="K994" t="str">
            <v>15</v>
          </cell>
          <cell r="L994" t="str">
            <v>04</v>
          </cell>
          <cell r="M994" t="str">
            <v>2</v>
          </cell>
          <cell r="N994" t="str">
            <v>11</v>
          </cell>
          <cell r="O994" t="str">
            <v>034</v>
          </cell>
          <cell r="P994" t="str">
            <v>1</v>
          </cell>
          <cell r="Q994">
            <v>18</v>
          </cell>
          <cell r="R994" t="str">
            <v>MRC</v>
          </cell>
          <cell r="S994" t="str">
            <v>ZZ</v>
          </cell>
          <cell r="T994">
            <v>11</v>
          </cell>
          <cell r="U994" t="str">
            <v>1504211034118MRCZZ11</v>
          </cell>
          <cell r="V994">
            <v>985</v>
          </cell>
          <cell r="W994" t="str">
            <v>MS: ALL - TRAVEL OR MOTOR VEHICLE (SUBS</v>
          </cell>
          <cell r="X994">
            <v>0</v>
          </cell>
          <cell r="Y994">
            <v>0</v>
          </cell>
          <cell r="Z994">
            <v>0</v>
          </cell>
          <cell r="AA994"/>
          <cell r="AB994">
            <v>0</v>
          </cell>
          <cell r="AC994">
            <v>0</v>
          </cell>
        </row>
        <row r="995">
          <cell r="F995" t="str">
            <v>MS: OVERTIME - STRUCTURED</v>
          </cell>
          <cell r="G995" t="str">
            <v>P211038</v>
          </cell>
          <cell r="H995" t="str">
            <v>P211038</v>
          </cell>
          <cell r="I995" t="str">
            <v>501504</v>
          </cell>
          <cell r="J995">
            <v>50</v>
          </cell>
          <cell r="K995" t="str">
            <v>15</v>
          </cell>
          <cell r="L995" t="str">
            <v>04</v>
          </cell>
          <cell r="M995" t="str">
            <v>2</v>
          </cell>
          <cell r="N995" t="str">
            <v>11</v>
          </cell>
          <cell r="O995" t="str">
            <v>038</v>
          </cell>
          <cell r="P995" t="str">
            <v>0</v>
          </cell>
          <cell r="Q995">
            <v>18</v>
          </cell>
          <cell r="R995" t="str">
            <v>MRC</v>
          </cell>
          <cell r="S995" t="str">
            <v>ZZ</v>
          </cell>
          <cell r="T995">
            <v>11</v>
          </cell>
          <cell r="U995" t="str">
            <v>1504211038018MRCZZ11</v>
          </cell>
          <cell r="V995">
            <v>986</v>
          </cell>
          <cell r="W995" t="str">
            <v>MS: OVERTIME - STRUCTURED</v>
          </cell>
          <cell r="X995">
            <v>0</v>
          </cell>
          <cell r="Y995">
            <v>0</v>
          </cell>
          <cell r="Z995">
            <v>0</v>
          </cell>
          <cell r="AA995"/>
          <cell r="AB995">
            <v>0</v>
          </cell>
          <cell r="AC995">
            <v>0</v>
          </cell>
        </row>
        <row r="996">
          <cell r="F996" t="str">
            <v>MS: SOC CONTR - BARGAINING COUNCIL</v>
          </cell>
          <cell r="G996" t="str">
            <v>P213001</v>
          </cell>
          <cell r="H996" t="str">
            <v>P213001</v>
          </cell>
          <cell r="I996" t="str">
            <v>501504</v>
          </cell>
          <cell r="J996">
            <v>50</v>
          </cell>
          <cell r="K996" t="str">
            <v>15</v>
          </cell>
          <cell r="L996" t="str">
            <v>04</v>
          </cell>
          <cell r="M996" t="str">
            <v>2</v>
          </cell>
          <cell r="N996" t="str">
            <v>13</v>
          </cell>
          <cell r="O996" t="str">
            <v>001</v>
          </cell>
          <cell r="P996" t="str">
            <v>0</v>
          </cell>
          <cell r="Q996">
            <v>18</v>
          </cell>
          <cell r="R996" t="str">
            <v>MRC</v>
          </cell>
          <cell r="S996" t="str">
            <v>ZZ</v>
          </cell>
          <cell r="T996">
            <v>11</v>
          </cell>
          <cell r="U996" t="str">
            <v>1504213001018MRCZZ11</v>
          </cell>
          <cell r="V996">
            <v>987</v>
          </cell>
          <cell r="W996" t="str">
            <v>MS: SOC CONTR - BARGAINING COUNCIL</v>
          </cell>
          <cell r="X996">
            <v>0</v>
          </cell>
          <cell r="Y996">
            <v>0</v>
          </cell>
          <cell r="Z996">
            <v>0</v>
          </cell>
          <cell r="AA996"/>
          <cell r="AB996">
            <v>0</v>
          </cell>
          <cell r="AC996">
            <v>0</v>
          </cell>
        </row>
        <row r="997">
          <cell r="F997" t="str">
            <v>MS: SOC CONTR - GROUP LIFE INSURANCE</v>
          </cell>
          <cell r="G997" t="str">
            <v>P213010</v>
          </cell>
          <cell r="H997" t="str">
            <v>P213010</v>
          </cell>
          <cell r="I997" t="str">
            <v>501504</v>
          </cell>
          <cell r="J997">
            <v>50</v>
          </cell>
          <cell r="K997" t="str">
            <v>15</v>
          </cell>
          <cell r="L997" t="str">
            <v>04</v>
          </cell>
          <cell r="M997" t="str">
            <v>2</v>
          </cell>
          <cell r="N997" t="str">
            <v>13</v>
          </cell>
          <cell r="O997" t="str">
            <v>010</v>
          </cell>
          <cell r="P997" t="str">
            <v>0</v>
          </cell>
          <cell r="Q997">
            <v>18</v>
          </cell>
          <cell r="R997" t="str">
            <v>MRC</v>
          </cell>
          <cell r="S997" t="str">
            <v>ZZ</v>
          </cell>
          <cell r="T997">
            <v>11</v>
          </cell>
          <cell r="U997" t="str">
            <v>1504213010018MRCZZ11</v>
          </cell>
          <cell r="V997">
            <v>988</v>
          </cell>
          <cell r="W997" t="str">
            <v>MS: SOC CONTR - GROUP LIFE INSURANCE</v>
          </cell>
          <cell r="X997">
            <v>0</v>
          </cell>
          <cell r="Y997">
            <v>0</v>
          </cell>
          <cell r="Z997">
            <v>0</v>
          </cell>
          <cell r="AA997"/>
          <cell r="AB997">
            <v>0</v>
          </cell>
          <cell r="AC997">
            <v>0</v>
          </cell>
        </row>
        <row r="998">
          <cell r="F998" t="str">
            <v>MS: SOC CONTR - MEDICAL</v>
          </cell>
          <cell r="G998" t="str">
            <v>P213020</v>
          </cell>
          <cell r="H998" t="str">
            <v>P213020</v>
          </cell>
          <cell r="I998" t="str">
            <v>501504</v>
          </cell>
          <cell r="J998">
            <v>50</v>
          </cell>
          <cell r="K998" t="str">
            <v>15</v>
          </cell>
          <cell r="L998" t="str">
            <v>04</v>
          </cell>
          <cell r="M998" t="str">
            <v>2</v>
          </cell>
          <cell r="N998" t="str">
            <v>13</v>
          </cell>
          <cell r="O998" t="str">
            <v>020</v>
          </cell>
          <cell r="P998" t="str">
            <v>0</v>
          </cell>
          <cell r="Q998">
            <v>18</v>
          </cell>
          <cell r="R998" t="str">
            <v>MRC</v>
          </cell>
          <cell r="S998" t="str">
            <v>ZZ</v>
          </cell>
          <cell r="T998">
            <v>11</v>
          </cell>
          <cell r="U998" t="str">
            <v>1504213020018MRCZZ11</v>
          </cell>
          <cell r="V998">
            <v>989</v>
          </cell>
          <cell r="W998" t="str">
            <v>MS: SOC CONTR - MEDICAL</v>
          </cell>
          <cell r="X998">
            <v>0</v>
          </cell>
          <cell r="Y998">
            <v>0</v>
          </cell>
          <cell r="Z998">
            <v>0</v>
          </cell>
          <cell r="AA998"/>
          <cell r="AB998">
            <v>0</v>
          </cell>
          <cell r="AC998">
            <v>0</v>
          </cell>
        </row>
        <row r="999">
          <cell r="F999" t="str">
            <v>MS: SOC CONTR - PENSION</v>
          </cell>
          <cell r="G999" t="str">
            <v>P213030</v>
          </cell>
          <cell r="H999" t="str">
            <v>P213030</v>
          </cell>
          <cell r="I999" t="str">
            <v>501504</v>
          </cell>
          <cell r="J999">
            <v>50</v>
          </cell>
          <cell r="K999" t="str">
            <v>15</v>
          </cell>
          <cell r="L999" t="str">
            <v>04</v>
          </cell>
          <cell r="M999" t="str">
            <v>2</v>
          </cell>
          <cell r="N999" t="str">
            <v>13</v>
          </cell>
          <cell r="O999" t="str">
            <v>030</v>
          </cell>
          <cell r="P999" t="str">
            <v>0</v>
          </cell>
          <cell r="Q999">
            <v>18</v>
          </cell>
          <cell r="R999" t="str">
            <v>MRC</v>
          </cell>
          <cell r="S999" t="str">
            <v>ZZ</v>
          </cell>
          <cell r="T999">
            <v>11</v>
          </cell>
          <cell r="U999" t="str">
            <v>1504213030018MRCZZ11</v>
          </cell>
          <cell r="V999">
            <v>990</v>
          </cell>
          <cell r="W999" t="str">
            <v>MS: SOC CONTR - PENSION</v>
          </cell>
          <cell r="X999">
            <v>0</v>
          </cell>
          <cell r="Y999">
            <v>0</v>
          </cell>
          <cell r="Z999">
            <v>0</v>
          </cell>
          <cell r="AA999"/>
          <cell r="AB999">
            <v>0</v>
          </cell>
          <cell r="AC999">
            <v>0</v>
          </cell>
        </row>
        <row r="1000">
          <cell r="F1000" t="str">
            <v>MS: SOC CONTR - UNEMPLOYMENT INSUR FUND</v>
          </cell>
          <cell r="G1000" t="str">
            <v>P213040</v>
          </cell>
          <cell r="H1000" t="str">
            <v>P213040</v>
          </cell>
          <cell r="I1000" t="str">
            <v>501504</v>
          </cell>
          <cell r="J1000">
            <v>50</v>
          </cell>
          <cell r="K1000" t="str">
            <v>15</v>
          </cell>
          <cell r="L1000" t="str">
            <v>04</v>
          </cell>
          <cell r="M1000" t="str">
            <v>2</v>
          </cell>
          <cell r="N1000" t="str">
            <v>13</v>
          </cell>
          <cell r="O1000" t="str">
            <v>040</v>
          </cell>
          <cell r="P1000" t="str">
            <v>0</v>
          </cell>
          <cell r="Q1000">
            <v>18</v>
          </cell>
          <cell r="R1000" t="str">
            <v>MRC</v>
          </cell>
          <cell r="S1000" t="str">
            <v>ZZ</v>
          </cell>
          <cell r="T1000">
            <v>11</v>
          </cell>
          <cell r="U1000" t="str">
            <v>1504213040018MRCZZ11</v>
          </cell>
          <cell r="V1000">
            <v>991</v>
          </cell>
          <cell r="W1000" t="str">
            <v>MS: SOC CONTR - UNEMPLOYMENT INSUR FUND</v>
          </cell>
          <cell r="X1000">
            <v>0</v>
          </cell>
          <cell r="Y1000">
            <v>0</v>
          </cell>
          <cell r="Z1000">
            <v>0</v>
          </cell>
          <cell r="AA1000"/>
          <cell r="AB1000">
            <v>0</v>
          </cell>
          <cell r="AC1000">
            <v>0</v>
          </cell>
        </row>
        <row r="1001">
          <cell r="F1001" t="str">
            <v>MS: SAL &amp; ALL: BASIC SALARY &amp; WAGES</v>
          </cell>
          <cell r="G1001" t="str">
            <v>P211001</v>
          </cell>
          <cell r="H1001" t="str">
            <v>P211001</v>
          </cell>
          <cell r="I1001" t="str">
            <v>501505</v>
          </cell>
          <cell r="J1001">
            <v>50</v>
          </cell>
          <cell r="K1001" t="str">
            <v>15</v>
          </cell>
          <cell r="L1001" t="str">
            <v>05</v>
          </cell>
          <cell r="M1001" t="str">
            <v>2</v>
          </cell>
          <cell r="N1001" t="str">
            <v>11</v>
          </cell>
          <cell r="O1001" t="str">
            <v>001</v>
          </cell>
          <cell r="P1001" t="str">
            <v>0</v>
          </cell>
          <cell r="Q1001">
            <v>18</v>
          </cell>
          <cell r="R1001" t="str">
            <v>P32</v>
          </cell>
          <cell r="S1001" t="str">
            <v>ZZ</v>
          </cell>
          <cell r="T1001">
            <v>11</v>
          </cell>
          <cell r="U1001" t="str">
            <v>1505211001018P32ZZ11</v>
          </cell>
          <cell r="V1001">
            <v>992</v>
          </cell>
          <cell r="W1001" t="str">
            <v>MS: SAL &amp; ALL: BASIC SALARY &amp; WAGES</v>
          </cell>
          <cell r="X1001">
            <v>2139104</v>
          </cell>
          <cell r="Y1001">
            <v>2812628.5</v>
          </cell>
          <cell r="Z1001">
            <v>3375154.1999999997</v>
          </cell>
          <cell r="AA1001"/>
          <cell r="AB1001">
            <v>2139104</v>
          </cell>
          <cell r="AC1001">
            <v>2889210.24</v>
          </cell>
        </row>
        <row r="1002">
          <cell r="F1002" t="str">
            <v>MS: ALL - CELLULAR &amp; TELEPHONE</v>
          </cell>
          <cell r="G1002" t="str">
            <v>P211022</v>
          </cell>
          <cell r="H1002" t="str">
            <v>P211022</v>
          </cell>
          <cell r="I1002" t="str">
            <v>501505</v>
          </cell>
          <cell r="J1002">
            <v>50</v>
          </cell>
          <cell r="K1002" t="str">
            <v>15</v>
          </cell>
          <cell r="L1002" t="str">
            <v>05</v>
          </cell>
          <cell r="M1002" t="str">
            <v>2</v>
          </cell>
          <cell r="N1002" t="str">
            <v>11</v>
          </cell>
          <cell r="O1002" t="str">
            <v>022</v>
          </cell>
          <cell r="P1002" t="str">
            <v>0</v>
          </cell>
          <cell r="Q1002">
            <v>18</v>
          </cell>
          <cell r="R1002" t="str">
            <v>P32</v>
          </cell>
          <cell r="S1002" t="str">
            <v>ZZ</v>
          </cell>
          <cell r="T1002">
            <v>11</v>
          </cell>
          <cell r="U1002" t="str">
            <v>1505211022018P32ZZ11</v>
          </cell>
          <cell r="V1002">
            <v>993</v>
          </cell>
          <cell r="W1002" t="str">
            <v>MS: ALL - CELLULAR &amp; TELEPHONE</v>
          </cell>
          <cell r="X1002">
            <v>0</v>
          </cell>
          <cell r="Y1002">
            <v>0</v>
          </cell>
          <cell r="Z1002">
            <v>0</v>
          </cell>
          <cell r="AA1002"/>
          <cell r="AB1002">
            <v>0</v>
          </cell>
          <cell r="AC1002">
            <v>0</v>
          </cell>
        </row>
        <row r="1003">
          <cell r="F1003" t="str">
            <v>MS: HB &amp; INC: HOUSING BENEFITS</v>
          </cell>
          <cell r="G1003" t="str">
            <v>P211026</v>
          </cell>
          <cell r="H1003" t="str">
            <v>P211026</v>
          </cell>
          <cell r="I1003" t="str">
            <v>501505</v>
          </cell>
          <cell r="J1003">
            <v>50</v>
          </cell>
          <cell r="K1003" t="str">
            <v>15</v>
          </cell>
          <cell r="L1003" t="str">
            <v>05</v>
          </cell>
          <cell r="M1003" t="str">
            <v>2</v>
          </cell>
          <cell r="N1003" t="str">
            <v>11</v>
          </cell>
          <cell r="O1003" t="str">
            <v>026</v>
          </cell>
          <cell r="P1003" t="str">
            <v>0</v>
          </cell>
          <cell r="Q1003">
            <v>18</v>
          </cell>
          <cell r="R1003" t="str">
            <v>P32</v>
          </cell>
          <cell r="S1003" t="str">
            <v>ZZ</v>
          </cell>
          <cell r="T1003">
            <v>11</v>
          </cell>
          <cell r="U1003" t="str">
            <v>1505211026018P32ZZ11</v>
          </cell>
          <cell r="V1003">
            <v>994</v>
          </cell>
          <cell r="W1003" t="str">
            <v>MS: HB &amp; INC: HOUSING BENEFITS</v>
          </cell>
          <cell r="X1003">
            <v>11898</v>
          </cell>
          <cell r="Y1003">
            <v>10609.61</v>
          </cell>
          <cell r="Z1003">
            <v>12731.531999999999</v>
          </cell>
          <cell r="AA1003"/>
          <cell r="AB1003">
            <v>11898</v>
          </cell>
          <cell r="AC1003">
            <v>121296.77759999997</v>
          </cell>
        </row>
        <row r="1004">
          <cell r="F1004" t="str">
            <v>MS: ALL - LEAVE PAY</v>
          </cell>
          <cell r="G1004" t="str">
            <v>P211032</v>
          </cell>
          <cell r="H1004" t="str">
            <v>P211032</v>
          </cell>
          <cell r="I1004" t="str">
            <v>501505</v>
          </cell>
          <cell r="J1004">
            <v>50</v>
          </cell>
          <cell r="K1004" t="str">
            <v>15</v>
          </cell>
          <cell r="L1004" t="str">
            <v>05</v>
          </cell>
          <cell r="M1004" t="str">
            <v>2</v>
          </cell>
          <cell r="N1004" t="str">
            <v>11</v>
          </cell>
          <cell r="O1004" t="str">
            <v>032</v>
          </cell>
          <cell r="P1004" t="str">
            <v>0</v>
          </cell>
          <cell r="Q1004">
            <v>18</v>
          </cell>
          <cell r="R1004" t="str">
            <v>P32</v>
          </cell>
          <cell r="S1004" t="str">
            <v>ZZ</v>
          </cell>
          <cell r="T1004">
            <v>11</v>
          </cell>
          <cell r="U1004" t="str">
            <v>1505211032018P32ZZ11</v>
          </cell>
          <cell r="V1004">
            <v>995</v>
          </cell>
          <cell r="W1004" t="str">
            <v>MS: ALL - LEAVE PAY</v>
          </cell>
          <cell r="X1004">
            <v>0</v>
          </cell>
          <cell r="Y1004">
            <v>0</v>
          </cell>
          <cell r="Z1004">
            <v>0</v>
          </cell>
          <cell r="AA1004"/>
          <cell r="AB1004">
            <v>0</v>
          </cell>
          <cell r="AC1004">
            <v>0</v>
          </cell>
        </row>
        <row r="1005">
          <cell r="F1005" t="str">
            <v>MS: ALL - TRAVEL OR MOTOR VEHICLE (SUBS</v>
          </cell>
          <cell r="G1005" t="str">
            <v>P211034</v>
          </cell>
          <cell r="H1005" t="str">
            <v>P211034</v>
          </cell>
          <cell r="I1005" t="str">
            <v>501505</v>
          </cell>
          <cell r="J1005">
            <v>50</v>
          </cell>
          <cell r="K1005" t="str">
            <v>15</v>
          </cell>
          <cell r="L1005" t="str">
            <v>05</v>
          </cell>
          <cell r="M1005" t="str">
            <v>2</v>
          </cell>
          <cell r="N1005" t="str">
            <v>11</v>
          </cell>
          <cell r="O1005" t="str">
            <v>034</v>
          </cell>
          <cell r="P1005" t="str">
            <v>1</v>
          </cell>
          <cell r="Q1005">
            <v>18</v>
          </cell>
          <cell r="R1005" t="str">
            <v>MRC</v>
          </cell>
          <cell r="S1005" t="str">
            <v>ZZ</v>
          </cell>
          <cell r="T1005">
            <v>11</v>
          </cell>
          <cell r="U1005" t="str">
            <v>1505211034118MRCZZ11</v>
          </cell>
          <cell r="V1005">
            <v>996</v>
          </cell>
          <cell r="W1005" t="str">
            <v>MS: ALL - TRAVEL OR MOTOR VEHICLE (SUBS</v>
          </cell>
          <cell r="X1005">
            <v>0</v>
          </cell>
          <cell r="Y1005">
            <v>0</v>
          </cell>
          <cell r="Z1005">
            <v>0</v>
          </cell>
          <cell r="AA1005"/>
          <cell r="AB1005">
            <v>0</v>
          </cell>
          <cell r="AC1005">
            <v>0</v>
          </cell>
        </row>
        <row r="1006">
          <cell r="F1006" t="str">
            <v>MS: OVERTIME - STRUCTURED</v>
          </cell>
          <cell r="G1006" t="str">
            <v>P211038</v>
          </cell>
          <cell r="H1006" t="str">
            <v>P211038</v>
          </cell>
          <cell r="I1006" t="str">
            <v>501505</v>
          </cell>
          <cell r="J1006">
            <v>50</v>
          </cell>
          <cell r="K1006" t="str">
            <v>15</v>
          </cell>
          <cell r="L1006" t="str">
            <v>05</v>
          </cell>
          <cell r="M1006" t="str">
            <v>2</v>
          </cell>
          <cell r="N1006" t="str">
            <v>11</v>
          </cell>
          <cell r="O1006" t="str">
            <v>038</v>
          </cell>
          <cell r="P1006" t="str">
            <v>0</v>
          </cell>
          <cell r="Q1006">
            <v>18</v>
          </cell>
          <cell r="R1006" t="str">
            <v>P32</v>
          </cell>
          <cell r="S1006" t="str">
            <v>ZZ</v>
          </cell>
          <cell r="T1006">
            <v>11</v>
          </cell>
          <cell r="U1006" t="str">
            <v>1505211038018P32ZZ11</v>
          </cell>
          <cell r="V1006">
            <v>997</v>
          </cell>
          <cell r="W1006" t="str">
            <v>MS: OVERTIME - STRUCTURED</v>
          </cell>
          <cell r="X1006">
            <v>77718</v>
          </cell>
          <cell r="Y1006">
            <v>138117.84</v>
          </cell>
          <cell r="Z1006">
            <v>165741.408</v>
          </cell>
          <cell r="AA1006"/>
          <cell r="AB1006">
            <v>77718</v>
          </cell>
          <cell r="AC1006">
            <v>69946.2</v>
          </cell>
        </row>
        <row r="1007">
          <cell r="F1007" t="str">
            <v>MS: PAYMENTS - SHIFT ADD REMUNERATION</v>
          </cell>
          <cell r="G1007" t="str">
            <v>P211040</v>
          </cell>
          <cell r="H1007" t="str">
            <v>P211040</v>
          </cell>
          <cell r="I1007" t="str">
            <v>501505</v>
          </cell>
          <cell r="J1007">
            <v>50</v>
          </cell>
          <cell r="K1007" t="str">
            <v>15</v>
          </cell>
          <cell r="L1007" t="str">
            <v>05</v>
          </cell>
          <cell r="M1007" t="str">
            <v>2</v>
          </cell>
          <cell r="N1007" t="str">
            <v>11</v>
          </cell>
          <cell r="O1007" t="str">
            <v>040</v>
          </cell>
          <cell r="P1007" t="str">
            <v>0</v>
          </cell>
          <cell r="Q1007">
            <v>18</v>
          </cell>
          <cell r="R1007" t="str">
            <v>P32</v>
          </cell>
          <cell r="S1007" t="str">
            <v>ZZ</v>
          </cell>
          <cell r="T1007">
            <v>11</v>
          </cell>
          <cell r="U1007" t="str">
            <v>1505211040018P32ZZ11</v>
          </cell>
          <cell r="V1007">
            <v>998</v>
          </cell>
          <cell r="W1007" t="str">
            <v>MS: PAYMENTS - SHIFT ADD REMUNERATION</v>
          </cell>
          <cell r="X1007">
            <v>115190</v>
          </cell>
          <cell r="Y1007">
            <v>106302.98</v>
          </cell>
          <cell r="Z1007">
            <v>127563.57599999999</v>
          </cell>
          <cell r="AA1007"/>
          <cell r="AB1007">
            <v>115190</v>
          </cell>
          <cell r="AC1007">
            <v>86392.5</v>
          </cell>
        </row>
        <row r="1008">
          <cell r="F1008" t="str">
            <v>MS: OVERTIME - NIGHT SHIFT</v>
          </cell>
          <cell r="G1008" t="str">
            <v>P211042</v>
          </cell>
          <cell r="H1008" t="str">
            <v>P211042</v>
          </cell>
          <cell r="I1008" t="str">
            <v>501505</v>
          </cell>
          <cell r="J1008">
            <v>50</v>
          </cell>
          <cell r="K1008" t="str">
            <v>15</v>
          </cell>
          <cell r="L1008" t="str">
            <v>05</v>
          </cell>
          <cell r="M1008" t="str">
            <v>2</v>
          </cell>
          <cell r="N1008" t="str">
            <v>11</v>
          </cell>
          <cell r="O1008" t="str">
            <v>042</v>
          </cell>
          <cell r="P1008" t="str">
            <v>0</v>
          </cell>
          <cell r="Q1008">
            <v>18</v>
          </cell>
          <cell r="R1008" t="str">
            <v>P32</v>
          </cell>
          <cell r="S1008" t="str">
            <v>ZZ</v>
          </cell>
          <cell r="T1008">
            <v>11</v>
          </cell>
          <cell r="U1008" t="str">
            <v>1505211042018P32ZZ11</v>
          </cell>
          <cell r="V1008">
            <v>999</v>
          </cell>
          <cell r="W1008" t="str">
            <v>MS: OVERTIME - NIGHT SHIFT</v>
          </cell>
          <cell r="X1008">
            <v>260680</v>
          </cell>
          <cell r="Y1008">
            <v>261269.91</v>
          </cell>
          <cell r="Z1008">
            <v>313523.89199999999</v>
          </cell>
          <cell r="AA1008"/>
          <cell r="AB1008">
            <v>260680</v>
          </cell>
          <cell r="AC1008">
            <v>234612</v>
          </cell>
        </row>
        <row r="1009">
          <cell r="F1009" t="str">
            <v>MS: SRB - ANNUAL BONUS</v>
          </cell>
          <cell r="G1009" t="str">
            <v>P211046</v>
          </cell>
          <cell r="H1009" t="str">
            <v>P211046</v>
          </cell>
          <cell r="I1009" t="str">
            <v>501505</v>
          </cell>
          <cell r="J1009">
            <v>50</v>
          </cell>
          <cell r="K1009" t="str">
            <v>15</v>
          </cell>
          <cell r="L1009" t="str">
            <v>05</v>
          </cell>
          <cell r="M1009" t="str">
            <v>2</v>
          </cell>
          <cell r="N1009" t="str">
            <v>11</v>
          </cell>
          <cell r="O1009" t="str">
            <v>046</v>
          </cell>
          <cell r="P1009" t="str">
            <v>0</v>
          </cell>
          <cell r="Q1009">
            <v>18</v>
          </cell>
          <cell r="R1009" t="str">
            <v>P32</v>
          </cell>
          <cell r="S1009" t="str">
            <v>ZZ</v>
          </cell>
          <cell r="T1009">
            <v>11</v>
          </cell>
          <cell r="U1009" t="str">
            <v>1505211046018P32ZZ11</v>
          </cell>
          <cell r="V1009">
            <v>1000</v>
          </cell>
          <cell r="W1009" t="str">
            <v>MS: SRB - ANNUAL BONUS</v>
          </cell>
          <cell r="X1009">
            <v>212530</v>
          </cell>
          <cell r="Y1009">
            <v>146227.16</v>
          </cell>
          <cell r="Z1009">
            <v>175472.592</v>
          </cell>
          <cell r="AA1009"/>
          <cell r="AB1009">
            <v>212530</v>
          </cell>
          <cell r="AC1009">
            <v>240767.52000000002</v>
          </cell>
        </row>
        <row r="1010">
          <cell r="F1010" t="str">
            <v>MS: SRB - STANDBY ALLOWANCE</v>
          </cell>
          <cell r="G1010" t="str">
            <v>P211056</v>
          </cell>
          <cell r="H1010" t="str">
            <v>P211056</v>
          </cell>
          <cell r="I1010" t="str">
            <v>501505</v>
          </cell>
          <cell r="J1010">
            <v>50</v>
          </cell>
          <cell r="K1010" t="str">
            <v>15</v>
          </cell>
          <cell r="L1010" t="str">
            <v>05</v>
          </cell>
          <cell r="M1010" t="str">
            <v>2</v>
          </cell>
          <cell r="N1010" t="str">
            <v>11</v>
          </cell>
          <cell r="O1010" t="str">
            <v>056</v>
          </cell>
          <cell r="P1010" t="str">
            <v>0</v>
          </cell>
          <cell r="Q1010">
            <v>18</v>
          </cell>
          <cell r="R1010" t="str">
            <v>P32</v>
          </cell>
          <cell r="S1010" t="str">
            <v>ZZ</v>
          </cell>
          <cell r="T1010">
            <v>11</v>
          </cell>
          <cell r="U1010" t="str">
            <v>1505211056018P32ZZ11</v>
          </cell>
          <cell r="V1010">
            <v>1001</v>
          </cell>
          <cell r="W1010" t="str">
            <v>MS: SRB - STANDBY ALLOWANCE</v>
          </cell>
          <cell r="X1010">
            <v>62993</v>
          </cell>
          <cell r="Y1010">
            <v>71332.98</v>
          </cell>
          <cell r="Z1010">
            <v>85599.576000000001</v>
          </cell>
          <cell r="AA1010"/>
          <cell r="AB1010">
            <v>62993</v>
          </cell>
          <cell r="AC1010">
            <v>56693.700000000004</v>
          </cell>
        </row>
        <row r="1011">
          <cell r="F1011" t="str">
            <v>MS: SOC CONTR - BARGAINING COUNCIL</v>
          </cell>
          <cell r="G1011" t="str">
            <v>P213001</v>
          </cell>
          <cell r="H1011" t="str">
            <v>P213001</v>
          </cell>
          <cell r="I1011" t="str">
            <v>501505</v>
          </cell>
          <cell r="J1011">
            <v>50</v>
          </cell>
          <cell r="K1011" t="str">
            <v>15</v>
          </cell>
          <cell r="L1011" t="str">
            <v>05</v>
          </cell>
          <cell r="M1011" t="str">
            <v>2</v>
          </cell>
          <cell r="N1011" t="str">
            <v>13</v>
          </cell>
          <cell r="O1011" t="str">
            <v>001</v>
          </cell>
          <cell r="P1011" t="str">
            <v>0</v>
          </cell>
          <cell r="Q1011">
            <v>18</v>
          </cell>
          <cell r="R1011" t="str">
            <v>P32</v>
          </cell>
          <cell r="S1011" t="str">
            <v>ZZ</v>
          </cell>
          <cell r="T1011">
            <v>11</v>
          </cell>
          <cell r="U1011" t="str">
            <v>1505213001018P32ZZ11</v>
          </cell>
          <cell r="V1011">
            <v>1002</v>
          </cell>
          <cell r="W1011" t="str">
            <v>MS: SOC CONTR - BARGAINING COUNCIL</v>
          </cell>
          <cell r="X1011">
            <v>1194</v>
          </cell>
          <cell r="Y1011">
            <v>1236</v>
          </cell>
          <cell r="Z1011">
            <v>1483.1999999999998</v>
          </cell>
          <cell r="AA1011"/>
          <cell r="AB1011">
            <v>1194</v>
          </cell>
          <cell r="AC1011">
            <v>1295.328</v>
          </cell>
        </row>
        <row r="1012">
          <cell r="F1012" t="str">
            <v>MS: SOC CONTR - GROUP LIFE INSURANCE</v>
          </cell>
          <cell r="G1012" t="str">
            <v>P213010</v>
          </cell>
          <cell r="H1012" t="str">
            <v>P213010</v>
          </cell>
          <cell r="I1012" t="str">
            <v>501505</v>
          </cell>
          <cell r="J1012">
            <v>50</v>
          </cell>
          <cell r="K1012" t="str">
            <v>15</v>
          </cell>
          <cell r="L1012" t="str">
            <v>05</v>
          </cell>
          <cell r="M1012" t="str">
            <v>2</v>
          </cell>
          <cell r="N1012" t="str">
            <v>13</v>
          </cell>
          <cell r="O1012" t="str">
            <v>010</v>
          </cell>
          <cell r="P1012" t="str">
            <v>0</v>
          </cell>
          <cell r="Q1012">
            <v>18</v>
          </cell>
          <cell r="R1012" t="str">
            <v>P32</v>
          </cell>
          <cell r="S1012" t="str">
            <v>ZZ</v>
          </cell>
          <cell r="T1012">
            <v>11</v>
          </cell>
          <cell r="U1012" t="str">
            <v>1505213010018P32ZZ11</v>
          </cell>
          <cell r="V1012">
            <v>1003</v>
          </cell>
          <cell r="W1012" t="str">
            <v>MS: SOC CONTR - GROUP LIFE INSURANCE</v>
          </cell>
          <cell r="X1012">
            <v>15537</v>
          </cell>
          <cell r="Y1012">
            <v>17550.07</v>
          </cell>
          <cell r="Z1012">
            <v>21060.084000000003</v>
          </cell>
          <cell r="AA1012"/>
          <cell r="AB1012">
            <v>15537</v>
          </cell>
          <cell r="AC1012">
            <v>49116.574080000006</v>
          </cell>
        </row>
        <row r="1013">
          <cell r="F1013" t="str">
            <v>MS: SOC CONTR - MEDICAL</v>
          </cell>
          <cell r="G1013" t="str">
            <v>P213020</v>
          </cell>
          <cell r="H1013" t="str">
            <v>P213020</v>
          </cell>
          <cell r="I1013" t="str">
            <v>501505</v>
          </cell>
          <cell r="J1013">
            <v>50</v>
          </cell>
          <cell r="K1013" t="str">
            <v>15</v>
          </cell>
          <cell r="L1013" t="str">
            <v>05</v>
          </cell>
          <cell r="M1013" t="str">
            <v>2</v>
          </cell>
          <cell r="N1013" t="str">
            <v>13</v>
          </cell>
          <cell r="O1013" t="str">
            <v>020</v>
          </cell>
          <cell r="P1013" t="str">
            <v>0</v>
          </cell>
          <cell r="Q1013">
            <v>18</v>
          </cell>
          <cell r="R1013" t="str">
            <v>P32</v>
          </cell>
          <cell r="S1013" t="str">
            <v>ZZ</v>
          </cell>
          <cell r="T1013">
            <v>11</v>
          </cell>
          <cell r="U1013" t="str">
            <v>1505213020018P32ZZ11</v>
          </cell>
          <cell r="V1013">
            <v>1004</v>
          </cell>
          <cell r="W1013" t="str">
            <v>MS: SOC CONTR - MEDICAL</v>
          </cell>
          <cell r="X1013">
            <v>336984</v>
          </cell>
          <cell r="Y1013">
            <v>288946.44</v>
          </cell>
          <cell r="Z1013">
            <v>346735.728</v>
          </cell>
          <cell r="AA1013"/>
          <cell r="AB1013">
            <v>336984</v>
          </cell>
          <cell r="AC1013">
            <v>600267.57120000001</v>
          </cell>
        </row>
        <row r="1014">
          <cell r="F1014" t="str">
            <v>MS: SOC CONTR - PENSION</v>
          </cell>
          <cell r="G1014" t="str">
            <v>P213030</v>
          </cell>
          <cell r="H1014" t="str">
            <v>P213030</v>
          </cell>
          <cell r="I1014" t="str">
            <v>501505</v>
          </cell>
          <cell r="J1014">
            <v>50</v>
          </cell>
          <cell r="K1014" t="str">
            <v>15</v>
          </cell>
          <cell r="L1014" t="str">
            <v>05</v>
          </cell>
          <cell r="M1014" t="str">
            <v>2</v>
          </cell>
          <cell r="N1014" t="str">
            <v>13</v>
          </cell>
          <cell r="O1014" t="str">
            <v>030</v>
          </cell>
          <cell r="P1014" t="str">
            <v>0</v>
          </cell>
          <cell r="Q1014">
            <v>18</v>
          </cell>
          <cell r="R1014" t="str">
            <v>P32</v>
          </cell>
          <cell r="S1014" t="str">
            <v>ZZ</v>
          </cell>
          <cell r="T1014">
            <v>11</v>
          </cell>
          <cell r="U1014" t="str">
            <v>1505213030018P32ZZ11</v>
          </cell>
          <cell r="V1014">
            <v>1005</v>
          </cell>
          <cell r="W1014" t="str">
            <v>MS: SOC CONTR - PENSION</v>
          </cell>
          <cell r="X1014">
            <v>493257</v>
          </cell>
          <cell r="Y1014">
            <v>488703.25</v>
          </cell>
          <cell r="Z1014">
            <v>586443.89999999991</v>
          </cell>
          <cell r="AA1014"/>
          <cell r="AB1014">
            <v>493257</v>
          </cell>
          <cell r="AC1014">
            <v>522080.29036800005</v>
          </cell>
        </row>
        <row r="1015">
          <cell r="F1015" t="str">
            <v>MS: SOC CONTR - UNEMPLOYMENT INSUR FUND</v>
          </cell>
          <cell r="G1015" t="str">
            <v>P213040</v>
          </cell>
          <cell r="H1015" t="str">
            <v>P213040</v>
          </cell>
          <cell r="I1015" t="str">
            <v>501505</v>
          </cell>
          <cell r="J1015">
            <v>50</v>
          </cell>
          <cell r="K1015" t="str">
            <v>15</v>
          </cell>
          <cell r="L1015" t="str">
            <v>05</v>
          </cell>
          <cell r="M1015" t="str">
            <v>2</v>
          </cell>
          <cell r="N1015" t="str">
            <v>13</v>
          </cell>
          <cell r="O1015" t="str">
            <v>040</v>
          </cell>
          <cell r="P1015" t="str">
            <v>0</v>
          </cell>
          <cell r="Q1015">
            <v>18</v>
          </cell>
          <cell r="R1015" t="str">
            <v>P32</v>
          </cell>
          <cell r="S1015" t="str">
            <v>ZZ</v>
          </cell>
          <cell r="T1015">
            <v>11</v>
          </cell>
          <cell r="U1015" t="str">
            <v>1505213040018P32ZZ11</v>
          </cell>
          <cell r="V1015">
            <v>1006</v>
          </cell>
          <cell r="W1015" t="str">
            <v>MS: SOC CONTR - UNEMPLOYMENT INSUR FUND</v>
          </cell>
          <cell r="X1015">
            <v>17349</v>
          </cell>
          <cell r="Y1015">
            <v>20702.900000000001</v>
          </cell>
          <cell r="Z1015">
            <v>24843.48</v>
          </cell>
          <cell r="AA1015"/>
          <cell r="AB1015">
            <v>17349</v>
          </cell>
          <cell r="AC1015">
            <v>22274.611199999999</v>
          </cell>
        </row>
        <row r="1016">
          <cell r="F1016" t="str">
            <v>OC: SKILLS DEVELOPMENT FUND LEVY</v>
          </cell>
          <cell r="G1016" t="str">
            <v>P230452</v>
          </cell>
          <cell r="H1016" t="str">
            <v>P230541</v>
          </cell>
          <cell r="I1016"/>
          <cell r="J1016"/>
          <cell r="K1016" t="str">
            <v>15</v>
          </cell>
          <cell r="L1016" t="str">
            <v>05</v>
          </cell>
          <cell r="M1016" t="str">
            <v>2</v>
          </cell>
          <cell r="N1016" t="str">
            <v>30</v>
          </cell>
          <cell r="O1016" t="str">
            <v>541</v>
          </cell>
          <cell r="P1016" t="str">
            <v>0</v>
          </cell>
          <cell r="Q1016">
            <v>18</v>
          </cell>
          <cell r="R1016" t="str">
            <v>MRC</v>
          </cell>
          <cell r="S1016" t="str">
            <v>ZZ</v>
          </cell>
          <cell r="T1016">
            <v>11</v>
          </cell>
          <cell r="U1016" t="str">
            <v>1505230541018MRCZZ11</v>
          </cell>
          <cell r="V1016">
            <v>1007</v>
          </cell>
          <cell r="W1016" t="str">
            <v>OC: SKILLS DEVELOPMENT FUND LEVY</v>
          </cell>
          <cell r="X1016">
            <v>38567</v>
          </cell>
          <cell r="Y1016">
            <v>33025.5</v>
          </cell>
          <cell r="Z1016">
            <v>39630.600000000006</v>
          </cell>
          <cell r="AA1016"/>
          <cell r="AB1016">
            <v>38567</v>
          </cell>
          <cell r="AC1016">
            <v>0</v>
          </cell>
        </row>
        <row r="1017">
          <cell r="F1017" t="str">
            <v>PPE FURNITURE &amp; OFF EQUIPMENT - LOSSES</v>
          </cell>
          <cell r="G1017" t="str">
            <v>P370020</v>
          </cell>
          <cell r="H1017" t="str">
            <v>P320070</v>
          </cell>
          <cell r="I1017"/>
          <cell r="J1017"/>
          <cell r="K1017" t="str">
            <v>15</v>
          </cell>
          <cell r="L1017" t="str">
            <v>05</v>
          </cell>
          <cell r="M1017" t="str">
            <v>3</v>
          </cell>
          <cell r="N1017" t="str">
            <v>20</v>
          </cell>
          <cell r="O1017" t="str">
            <v>070</v>
          </cell>
          <cell r="P1017" t="str">
            <v>0</v>
          </cell>
          <cell r="Q1017">
            <v>18</v>
          </cell>
          <cell r="R1017" t="str">
            <v>MRC</v>
          </cell>
          <cell r="S1017" t="str">
            <v>ZZ</v>
          </cell>
          <cell r="T1017">
            <v>11</v>
          </cell>
          <cell r="U1017" t="str">
            <v>1505320070018MRCZZ11</v>
          </cell>
          <cell r="V1017">
            <v>1008</v>
          </cell>
          <cell r="W1017" t="str">
            <v>PPE FURNITURE &amp; OFF EQUIPMENT - LOSSES</v>
          </cell>
          <cell r="X1017">
            <v>0</v>
          </cell>
          <cell r="Y1017">
            <v>0</v>
          </cell>
          <cell r="Z1017">
            <v>0</v>
          </cell>
          <cell r="AA1017"/>
          <cell r="AB1017">
            <v>0</v>
          </cell>
          <cell r="AC1017">
            <v>0</v>
          </cell>
        </row>
        <row r="1018">
          <cell r="F1018" t="str">
            <v>IL PPE: FURNITURE &amp; OFFICE EQUIPMENT</v>
          </cell>
          <cell r="G1018" t="str">
            <v>P350035</v>
          </cell>
          <cell r="H1018" t="str">
            <v>P350035</v>
          </cell>
          <cell r="I1018"/>
          <cell r="J1018"/>
          <cell r="K1018" t="str">
            <v>15</v>
          </cell>
          <cell r="L1018" t="str">
            <v>05</v>
          </cell>
          <cell r="M1018" t="str">
            <v>3</v>
          </cell>
          <cell r="N1018" t="str">
            <v>50</v>
          </cell>
          <cell r="O1018" t="str">
            <v>035</v>
          </cell>
          <cell r="P1018" t="str">
            <v>0</v>
          </cell>
          <cell r="Q1018">
            <v>18</v>
          </cell>
          <cell r="R1018" t="str">
            <v>MRC</v>
          </cell>
          <cell r="S1018" t="str">
            <v>ZZ</v>
          </cell>
          <cell r="T1018">
            <v>11</v>
          </cell>
          <cell r="U1018" t="str">
            <v>1505350035018MRCZZ11</v>
          </cell>
          <cell r="V1018">
            <v>1009</v>
          </cell>
          <cell r="W1018" t="str">
            <v>IL PPE: FURNITURE &amp; OFFICE EQUIPMENT</v>
          </cell>
          <cell r="X1018">
            <v>0</v>
          </cell>
          <cell r="Y1018">
            <v>0</v>
          </cell>
          <cell r="Z1018">
            <v>0</v>
          </cell>
          <cell r="AA1018"/>
          <cell r="AB1018">
            <v>0</v>
          </cell>
          <cell r="AC1018">
            <v>0</v>
          </cell>
        </row>
        <row r="1019">
          <cell r="F1019" t="str">
            <v>FURNITURE AND OFFICE EQUIPMENT</v>
          </cell>
          <cell r="G1019" t="str">
            <v>P646002QX1</v>
          </cell>
          <cell r="H1019" t="str">
            <v>P646002QX1</v>
          </cell>
          <cell r="I1019"/>
          <cell r="J1019"/>
          <cell r="K1019" t="str">
            <v>15</v>
          </cell>
          <cell r="L1019" t="str">
            <v>05</v>
          </cell>
          <cell r="M1019" t="str">
            <v>6</v>
          </cell>
          <cell r="N1019" t="str">
            <v>46</v>
          </cell>
          <cell r="O1019" t="str">
            <v>002</v>
          </cell>
          <cell r="P1019" t="str">
            <v>0</v>
          </cell>
          <cell r="Q1019" t="str">
            <v>CF</v>
          </cell>
          <cell r="R1019" t="str">
            <v>QX1</v>
          </cell>
          <cell r="S1019" t="str">
            <v>ZZ</v>
          </cell>
          <cell r="T1019">
            <v>11</v>
          </cell>
          <cell r="U1019" t="str">
            <v>15056460020CFQX1ZZ11</v>
          </cell>
          <cell r="V1019">
            <v>1010</v>
          </cell>
          <cell r="W1019" t="str">
            <v>FURNITURE AND OFFICE EQUIPMENT</v>
          </cell>
          <cell r="X1019">
            <v>515100</v>
          </cell>
          <cell r="Y1019">
            <v>59350</v>
          </cell>
          <cell r="Z1019">
            <v>71220</v>
          </cell>
          <cell r="AA1019"/>
          <cell r="AB1019">
            <v>515100</v>
          </cell>
          <cell r="AC1019">
            <v>2250000</v>
          </cell>
        </row>
        <row r="1020">
          <cell r="F1020" t="str">
            <v>SOLAR FARM GENERATION PLANT</v>
          </cell>
          <cell r="G1020">
            <v>0</v>
          </cell>
          <cell r="H1020">
            <v>0</v>
          </cell>
          <cell r="I1020"/>
          <cell r="J1020"/>
          <cell r="K1020" t="str">
            <v>15</v>
          </cell>
          <cell r="L1020" t="str">
            <v>05</v>
          </cell>
          <cell r="M1020" t="str">
            <v>6</v>
          </cell>
          <cell r="N1020" t="str">
            <v>52</v>
          </cell>
          <cell r="O1020" t="str">
            <v>342</v>
          </cell>
          <cell r="P1020" t="str">
            <v>0</v>
          </cell>
          <cell r="Q1020">
            <v>81</v>
          </cell>
          <cell r="R1020" t="str">
            <v>P70</v>
          </cell>
          <cell r="S1020" t="str">
            <v>ZZ</v>
          </cell>
          <cell r="T1020">
            <v>11</v>
          </cell>
          <cell r="U1020" t="str">
            <v>1505652342081P70ZZ11</v>
          </cell>
          <cell r="V1020">
            <v>1011</v>
          </cell>
          <cell r="W1020" t="str">
            <v>SOLAR FARM GENERATION PLANT</v>
          </cell>
          <cell r="X1020">
            <v>0</v>
          </cell>
          <cell r="Y1020">
            <v>0</v>
          </cell>
          <cell r="Z1020">
            <v>0</v>
          </cell>
          <cell r="AA1020"/>
          <cell r="AB1020">
            <v>0</v>
          </cell>
          <cell r="AC1020">
            <v>0</v>
          </cell>
        </row>
        <row r="1021">
          <cell r="F1021" t="str">
            <v>SOLAR FARM GENERATION PLANT</v>
          </cell>
          <cell r="G1021" t="str">
            <v>P652342P70</v>
          </cell>
          <cell r="H1021" t="str">
            <v>P652342P70</v>
          </cell>
          <cell r="I1021"/>
          <cell r="J1021"/>
          <cell r="K1021" t="str">
            <v>15</v>
          </cell>
          <cell r="L1021" t="str">
            <v>05</v>
          </cell>
          <cell r="M1021" t="str">
            <v>6</v>
          </cell>
          <cell r="N1021" t="str">
            <v>52</v>
          </cell>
          <cell r="O1021" t="str">
            <v>342</v>
          </cell>
          <cell r="P1021" t="str">
            <v>0</v>
          </cell>
          <cell r="Q1021" t="str">
            <v>CF</v>
          </cell>
          <cell r="R1021" t="str">
            <v>P70</v>
          </cell>
          <cell r="S1021" t="str">
            <v>ZZ</v>
          </cell>
          <cell r="T1021">
            <v>11</v>
          </cell>
          <cell r="U1021" t="str">
            <v>15056523420CFP70ZZ11</v>
          </cell>
          <cell r="V1021">
            <v>1012</v>
          </cell>
          <cell r="W1021" t="str">
            <v>SOLAR FARM GENERATION PLANT</v>
          </cell>
          <cell r="X1021">
            <v>0</v>
          </cell>
          <cell r="Y1021">
            <v>0</v>
          </cell>
          <cell r="Z1021">
            <v>0</v>
          </cell>
          <cell r="AA1021"/>
          <cell r="AB1021">
            <v>0</v>
          </cell>
          <cell r="AC1021">
            <v>0</v>
          </cell>
        </row>
        <row r="1022">
          <cell r="F1022" t="str">
            <v>MS: SAL &amp; ALL: BASIC SALARY &amp; WAGES</v>
          </cell>
          <cell r="G1022" t="str">
            <v>P211001</v>
          </cell>
          <cell r="H1022" t="str">
            <v>P211001</v>
          </cell>
          <cell r="I1022" t="str">
            <v>501506</v>
          </cell>
          <cell r="J1022">
            <v>50</v>
          </cell>
          <cell r="K1022" t="str">
            <v>15</v>
          </cell>
          <cell r="L1022" t="str">
            <v>06</v>
          </cell>
          <cell r="M1022" t="str">
            <v>2</v>
          </cell>
          <cell r="N1022" t="str">
            <v>11</v>
          </cell>
          <cell r="O1022" t="str">
            <v>001</v>
          </cell>
          <cell r="P1022" t="str">
            <v>0</v>
          </cell>
          <cell r="Q1022">
            <v>18</v>
          </cell>
          <cell r="R1022" t="str">
            <v>NHC</v>
          </cell>
          <cell r="S1022" t="str">
            <v>ZZ</v>
          </cell>
          <cell r="T1022">
            <v>11</v>
          </cell>
          <cell r="U1022" t="str">
            <v>1506211001018NHCZZ11</v>
          </cell>
          <cell r="V1022">
            <v>1013</v>
          </cell>
          <cell r="W1022" t="str">
            <v>MS: SAL &amp; ALL: BASIC SALARY &amp; WAGES</v>
          </cell>
          <cell r="X1022">
            <v>2430001</v>
          </cell>
          <cell r="Y1022">
            <v>3253717.94</v>
          </cell>
          <cell r="Z1022">
            <v>3904461.5279999999</v>
          </cell>
          <cell r="AA1022"/>
          <cell r="AB1022">
            <v>2430001</v>
          </cell>
          <cell r="AC1022">
            <v>9291915.9360000007</v>
          </cell>
        </row>
        <row r="1023">
          <cell r="F1023" t="str">
            <v>MS: ALL - CELLULAR &amp; TELEPHONE</v>
          </cell>
          <cell r="G1023" t="str">
            <v>P211022</v>
          </cell>
          <cell r="H1023" t="str">
            <v>P211022</v>
          </cell>
          <cell r="I1023"/>
          <cell r="J1023">
            <v>50</v>
          </cell>
          <cell r="K1023" t="str">
            <v>15</v>
          </cell>
          <cell r="L1023" t="str">
            <v>06</v>
          </cell>
          <cell r="M1023" t="str">
            <v>2</v>
          </cell>
          <cell r="N1023" t="str">
            <v>11</v>
          </cell>
          <cell r="O1023" t="str">
            <v>022</v>
          </cell>
          <cell r="P1023" t="str">
            <v>0</v>
          </cell>
          <cell r="Q1023">
            <v>18</v>
          </cell>
          <cell r="R1023" t="str">
            <v>MRC</v>
          </cell>
          <cell r="S1023" t="str">
            <v>ZZ</v>
          </cell>
          <cell r="T1023">
            <v>11</v>
          </cell>
          <cell r="U1023" t="str">
            <v>1506211022018MRCZZ11</v>
          </cell>
          <cell r="V1023">
            <v>1014</v>
          </cell>
          <cell r="W1023" t="str">
            <v>MS: ALL - CELLULAR &amp; TELEPHONE</v>
          </cell>
          <cell r="X1023">
            <v>0</v>
          </cell>
          <cell r="Y1023">
            <v>0</v>
          </cell>
          <cell r="Z1023">
            <v>0</v>
          </cell>
          <cell r="AA1023"/>
          <cell r="AB1023">
            <v>0</v>
          </cell>
          <cell r="AC1023">
            <v>0</v>
          </cell>
        </row>
        <row r="1024">
          <cell r="F1024" t="str">
            <v>MS: ALL - CELLULAR &amp; TELEPHONE</v>
          </cell>
          <cell r="G1024" t="str">
            <v>P211022</v>
          </cell>
          <cell r="H1024" t="str">
            <v>P211022</v>
          </cell>
          <cell r="I1024" t="str">
            <v>501506</v>
          </cell>
          <cell r="J1024">
            <v>50</v>
          </cell>
          <cell r="K1024" t="str">
            <v>15</v>
          </cell>
          <cell r="L1024" t="str">
            <v>06</v>
          </cell>
          <cell r="M1024" t="str">
            <v>2</v>
          </cell>
          <cell r="N1024" t="str">
            <v>11</v>
          </cell>
          <cell r="O1024" t="str">
            <v>022</v>
          </cell>
          <cell r="P1024" t="str">
            <v>0</v>
          </cell>
          <cell r="Q1024">
            <v>18</v>
          </cell>
          <cell r="R1024" t="str">
            <v>NHC</v>
          </cell>
          <cell r="S1024" t="str">
            <v>ZZ</v>
          </cell>
          <cell r="T1024">
            <v>11</v>
          </cell>
          <cell r="U1024" t="str">
            <v>1506211022018NHCZZ11</v>
          </cell>
          <cell r="V1024">
            <v>1015</v>
          </cell>
          <cell r="W1024" t="str">
            <v>MS: ALL - CELLULAR &amp; TELEPHONE</v>
          </cell>
          <cell r="X1024">
            <v>9869</v>
          </cell>
          <cell r="Y1024">
            <v>6400</v>
          </cell>
          <cell r="Z1024">
            <v>7680</v>
          </cell>
          <cell r="AA1024"/>
          <cell r="AB1024">
            <v>9869</v>
          </cell>
          <cell r="AC1024">
            <v>10060.800000000001</v>
          </cell>
        </row>
        <row r="1025">
          <cell r="F1025" t="str">
            <v>MS: HB &amp; INC: HOUSING BENEFITS</v>
          </cell>
          <cell r="G1025" t="str">
            <v>P211026</v>
          </cell>
          <cell r="H1025" t="str">
            <v>P211026</v>
          </cell>
          <cell r="I1025" t="str">
            <v>501506</v>
          </cell>
          <cell r="J1025">
            <v>50</v>
          </cell>
          <cell r="K1025" t="str">
            <v>15</v>
          </cell>
          <cell r="L1025" t="str">
            <v>06</v>
          </cell>
          <cell r="M1025" t="str">
            <v>2</v>
          </cell>
          <cell r="N1025" t="str">
            <v>11</v>
          </cell>
          <cell r="O1025" t="str">
            <v>026</v>
          </cell>
          <cell r="P1025" t="str">
            <v>0</v>
          </cell>
          <cell r="Q1025">
            <v>18</v>
          </cell>
          <cell r="R1025" t="str">
            <v>NHC</v>
          </cell>
          <cell r="S1025" t="str">
            <v>ZZ</v>
          </cell>
          <cell r="T1025">
            <v>11</v>
          </cell>
          <cell r="U1025" t="str">
            <v>1506211026018NHCZZ11</v>
          </cell>
          <cell r="V1025">
            <v>1016</v>
          </cell>
          <cell r="W1025" t="str">
            <v>MS: HB &amp; INC: HOUSING BENEFITS</v>
          </cell>
          <cell r="X1025">
            <v>21152</v>
          </cell>
          <cell r="Y1025">
            <v>0</v>
          </cell>
          <cell r="Z1025">
            <v>0</v>
          </cell>
          <cell r="AA1025"/>
          <cell r="AB1025">
            <v>21152</v>
          </cell>
          <cell r="AC1025">
            <v>509446.46591999987</v>
          </cell>
        </row>
        <row r="1026">
          <cell r="F1026" t="str">
            <v>MS: ALL - LEAVE PAY</v>
          </cell>
          <cell r="G1026" t="str">
            <v>P211032</v>
          </cell>
          <cell r="H1026" t="str">
            <v>P211032</v>
          </cell>
          <cell r="I1026" t="str">
            <v>501506</v>
          </cell>
          <cell r="J1026">
            <v>50</v>
          </cell>
          <cell r="K1026" t="str">
            <v>15</v>
          </cell>
          <cell r="L1026" t="str">
            <v>06</v>
          </cell>
          <cell r="M1026" t="str">
            <v>2</v>
          </cell>
          <cell r="N1026" t="str">
            <v>11</v>
          </cell>
          <cell r="O1026" t="str">
            <v>032</v>
          </cell>
          <cell r="P1026" t="str">
            <v>0</v>
          </cell>
          <cell r="Q1026">
            <v>18</v>
          </cell>
          <cell r="R1026" t="str">
            <v>NHC</v>
          </cell>
          <cell r="S1026" t="str">
            <v>ZZ</v>
          </cell>
          <cell r="T1026">
            <v>11</v>
          </cell>
          <cell r="U1026" t="str">
            <v>1506211032018NHCZZ11</v>
          </cell>
          <cell r="V1026">
            <v>1017</v>
          </cell>
          <cell r="W1026" t="str">
            <v>MS: ALL - LEAVE PAY</v>
          </cell>
          <cell r="X1026">
            <v>0</v>
          </cell>
          <cell r="Y1026">
            <v>0</v>
          </cell>
          <cell r="Z1026">
            <v>0</v>
          </cell>
          <cell r="AA1026"/>
          <cell r="AB1026">
            <v>0</v>
          </cell>
          <cell r="AC1026">
            <v>0</v>
          </cell>
        </row>
        <row r="1027">
          <cell r="F1027" t="str">
            <v>MS: ALL - TRAVEL OR MOTOR VEHICLE (SUBS</v>
          </cell>
          <cell r="G1027" t="str">
            <v>P211034</v>
          </cell>
          <cell r="H1027" t="str">
            <v>P211034</v>
          </cell>
          <cell r="I1027" t="str">
            <v>501506</v>
          </cell>
          <cell r="J1027">
            <v>50</v>
          </cell>
          <cell r="K1027" t="str">
            <v>15</v>
          </cell>
          <cell r="L1027" t="str">
            <v>06</v>
          </cell>
          <cell r="M1027" t="str">
            <v>2</v>
          </cell>
          <cell r="N1027" t="str">
            <v>11</v>
          </cell>
          <cell r="O1027" t="str">
            <v>034</v>
          </cell>
          <cell r="P1027" t="str">
            <v>1</v>
          </cell>
          <cell r="Q1027">
            <v>18</v>
          </cell>
          <cell r="R1027" t="str">
            <v>NHC</v>
          </cell>
          <cell r="S1027" t="str">
            <v>ZZ</v>
          </cell>
          <cell r="T1027">
            <v>11</v>
          </cell>
          <cell r="U1027" t="str">
            <v>1506211034118NHCZZ11</v>
          </cell>
          <cell r="V1027">
            <v>1018</v>
          </cell>
          <cell r="W1027" t="str">
            <v>MS: ALL - TRAVEL OR MOTOR VEHICLE (SUBS</v>
          </cell>
          <cell r="X1027">
            <v>510537</v>
          </cell>
          <cell r="Y1027">
            <v>366001.18</v>
          </cell>
          <cell r="Z1027">
            <v>439201.41600000003</v>
          </cell>
          <cell r="AA1027"/>
          <cell r="AB1027">
            <v>510537</v>
          </cell>
          <cell r="AC1027">
            <v>40682.050000000003</v>
          </cell>
        </row>
        <row r="1028">
          <cell r="F1028" t="str">
            <v>MS: OVERTIME - STRUCTURED</v>
          </cell>
          <cell r="G1028" t="str">
            <v>P211038</v>
          </cell>
          <cell r="H1028" t="str">
            <v>P211038</v>
          </cell>
          <cell r="I1028" t="str">
            <v>501506</v>
          </cell>
          <cell r="J1028">
            <v>50</v>
          </cell>
          <cell r="K1028" t="str">
            <v>15</v>
          </cell>
          <cell r="L1028" t="str">
            <v>06</v>
          </cell>
          <cell r="M1028" t="str">
            <v>2</v>
          </cell>
          <cell r="N1028" t="str">
            <v>11</v>
          </cell>
          <cell r="O1028" t="str">
            <v>038</v>
          </cell>
          <cell r="P1028" t="str">
            <v>0</v>
          </cell>
          <cell r="Q1028">
            <v>18</v>
          </cell>
          <cell r="R1028" t="str">
            <v>NHC</v>
          </cell>
          <cell r="S1028" t="str">
            <v>ZZ</v>
          </cell>
          <cell r="T1028">
            <v>11</v>
          </cell>
          <cell r="U1028" t="str">
            <v>1506211038018NHCZZ11</v>
          </cell>
          <cell r="V1028">
            <v>1019</v>
          </cell>
          <cell r="W1028" t="str">
            <v>MS: OVERTIME - STRUCTURED</v>
          </cell>
          <cell r="X1028">
            <v>142400</v>
          </cell>
          <cell r="Y1028">
            <v>120761.07</v>
          </cell>
          <cell r="Z1028">
            <v>144913.28399999999</v>
          </cell>
          <cell r="AA1028"/>
          <cell r="AB1028">
            <v>142400</v>
          </cell>
          <cell r="AC1028">
            <v>128160</v>
          </cell>
        </row>
        <row r="1029">
          <cell r="F1029" t="str">
            <v>MS: OVERTIME - NIGHT SHIFT</v>
          </cell>
          <cell r="G1029" t="str">
            <v>P211042</v>
          </cell>
          <cell r="H1029" t="str">
            <v>P211042</v>
          </cell>
          <cell r="I1029" t="str">
            <v>501506</v>
          </cell>
          <cell r="J1029">
            <v>50</v>
          </cell>
          <cell r="K1029" t="str">
            <v>15</v>
          </cell>
          <cell r="L1029" t="str">
            <v>06</v>
          </cell>
          <cell r="M1029" t="str">
            <v>2</v>
          </cell>
          <cell r="N1029" t="str">
            <v>11</v>
          </cell>
          <cell r="O1029" t="str">
            <v>042</v>
          </cell>
          <cell r="P1029" t="str">
            <v>0</v>
          </cell>
          <cell r="Q1029">
            <v>18</v>
          </cell>
          <cell r="R1029" t="str">
            <v>NHC</v>
          </cell>
          <cell r="S1029" t="str">
            <v>ZZ</v>
          </cell>
          <cell r="T1029">
            <v>11</v>
          </cell>
          <cell r="U1029" t="str">
            <v>1506211042018NHCZZ11</v>
          </cell>
          <cell r="V1029">
            <v>1020</v>
          </cell>
          <cell r="W1029" t="str">
            <v>MS: OVERTIME - NIGHT SHIFT</v>
          </cell>
          <cell r="X1029">
            <v>9078</v>
          </cell>
          <cell r="Y1029">
            <v>7825.92</v>
          </cell>
          <cell r="Z1029">
            <v>9391.1039999999994</v>
          </cell>
          <cell r="AA1029"/>
          <cell r="AB1029">
            <v>9078</v>
          </cell>
          <cell r="AC1029">
            <v>8170.2</v>
          </cell>
        </row>
        <row r="1030">
          <cell r="F1030" t="str">
            <v>MS: SRB - ACTING ALLOWANCE</v>
          </cell>
          <cell r="G1030" t="str">
            <v>P211044</v>
          </cell>
          <cell r="H1030" t="str">
            <v>P211044</v>
          </cell>
          <cell r="I1030" t="str">
            <v>501506</v>
          </cell>
          <cell r="J1030">
            <v>50</v>
          </cell>
          <cell r="K1030" t="str">
            <v>15</v>
          </cell>
          <cell r="L1030" t="str">
            <v>06</v>
          </cell>
          <cell r="M1030" t="str">
            <v>2</v>
          </cell>
          <cell r="N1030" t="str">
            <v>11</v>
          </cell>
          <cell r="O1030" t="str">
            <v>044</v>
          </cell>
          <cell r="P1030" t="str">
            <v>0</v>
          </cell>
          <cell r="Q1030">
            <v>18</v>
          </cell>
          <cell r="R1030" t="str">
            <v>NHC</v>
          </cell>
          <cell r="S1030" t="str">
            <v>ZZ</v>
          </cell>
          <cell r="T1030">
            <v>11</v>
          </cell>
          <cell r="U1030" t="str">
            <v>1506211044018NHCZZ11</v>
          </cell>
          <cell r="V1030">
            <v>1021</v>
          </cell>
          <cell r="W1030" t="str">
            <v>MS: SRB - ACTING ALLOWANCE</v>
          </cell>
          <cell r="X1030">
            <v>44648</v>
          </cell>
          <cell r="Y1030">
            <v>60479</v>
          </cell>
          <cell r="Z1030">
            <v>72574.799999999988</v>
          </cell>
          <cell r="AA1030"/>
          <cell r="AB1030">
            <v>44648</v>
          </cell>
          <cell r="AC1030">
            <v>0</v>
          </cell>
        </row>
        <row r="1031">
          <cell r="F1031" t="str">
            <v>MS: SRB - ANNUAL BONUS</v>
          </cell>
          <cell r="G1031" t="str">
            <v>P211046</v>
          </cell>
          <cell r="H1031" t="str">
            <v>P211046</v>
          </cell>
          <cell r="I1031" t="str">
            <v>501506</v>
          </cell>
          <cell r="J1031">
            <v>50</v>
          </cell>
          <cell r="K1031" t="str">
            <v>15</v>
          </cell>
          <cell r="L1031" t="str">
            <v>06</v>
          </cell>
          <cell r="M1031" t="str">
            <v>2</v>
          </cell>
          <cell r="N1031" t="str">
            <v>11</v>
          </cell>
          <cell r="O1031" t="str">
            <v>046</v>
          </cell>
          <cell r="P1031" t="str">
            <v>0</v>
          </cell>
          <cell r="Q1031">
            <v>18</v>
          </cell>
          <cell r="R1031" t="str">
            <v>NHC</v>
          </cell>
          <cell r="S1031" t="str">
            <v>ZZ</v>
          </cell>
          <cell r="T1031">
            <v>11</v>
          </cell>
          <cell r="U1031" t="str">
            <v>1506211046018NHCZZ11</v>
          </cell>
          <cell r="V1031">
            <v>1022</v>
          </cell>
          <cell r="W1031" t="str">
            <v>MS: SRB - ANNUAL BONUS</v>
          </cell>
          <cell r="X1031">
            <v>368379</v>
          </cell>
          <cell r="Y1031">
            <v>246784</v>
          </cell>
          <cell r="Z1031">
            <v>296140.80000000005</v>
          </cell>
          <cell r="AA1031"/>
          <cell r="AB1031">
            <v>368379</v>
          </cell>
          <cell r="AC1031">
            <v>774326.32799999998</v>
          </cell>
        </row>
        <row r="1032">
          <cell r="F1032" t="str">
            <v>MS: SRB - UNIFORM/SPEC/PROTEC CLOTHING</v>
          </cell>
          <cell r="G1032" t="str">
            <v>P211060</v>
          </cell>
          <cell r="H1032" t="str">
            <v>P211060</v>
          </cell>
          <cell r="I1032" t="str">
            <v>501506</v>
          </cell>
          <cell r="J1032">
            <v>50</v>
          </cell>
          <cell r="K1032" t="str">
            <v>15</v>
          </cell>
          <cell r="L1032" t="str">
            <v>06</v>
          </cell>
          <cell r="M1032" t="str">
            <v>2</v>
          </cell>
          <cell r="N1032" t="str">
            <v>11</v>
          </cell>
          <cell r="O1032" t="str">
            <v>060</v>
          </cell>
          <cell r="P1032" t="str">
            <v>0</v>
          </cell>
          <cell r="Q1032">
            <v>18</v>
          </cell>
          <cell r="R1032" t="str">
            <v>NHC</v>
          </cell>
          <cell r="S1032" t="str">
            <v>ZZ</v>
          </cell>
          <cell r="T1032">
            <v>11</v>
          </cell>
          <cell r="U1032" t="str">
            <v>1506211060018NHCZZ11</v>
          </cell>
          <cell r="V1032">
            <v>1023</v>
          </cell>
          <cell r="W1032" t="str">
            <v>MS: SRB - UNIFORM/SPEC/PROTEC CLOTHING</v>
          </cell>
          <cell r="X1032">
            <v>601</v>
          </cell>
          <cell r="Y1032">
            <v>0</v>
          </cell>
          <cell r="Z1032">
            <v>0</v>
          </cell>
          <cell r="AA1032"/>
          <cell r="AB1032">
            <v>601</v>
          </cell>
          <cell r="AC1032">
            <v>0</v>
          </cell>
        </row>
        <row r="1033">
          <cell r="F1033" t="str">
            <v>MS: SOC CONTR - BARGAINING COUNCIL</v>
          </cell>
          <cell r="G1033" t="str">
            <v>P213001</v>
          </cell>
          <cell r="H1033" t="str">
            <v>P213001</v>
          </cell>
          <cell r="I1033" t="str">
            <v>501506</v>
          </cell>
          <cell r="J1033">
            <v>50</v>
          </cell>
          <cell r="K1033" t="str">
            <v>15</v>
          </cell>
          <cell r="L1033" t="str">
            <v>06</v>
          </cell>
          <cell r="M1033" t="str">
            <v>2</v>
          </cell>
          <cell r="N1033" t="str">
            <v>13</v>
          </cell>
          <cell r="O1033" t="str">
            <v>001</v>
          </cell>
          <cell r="P1033" t="str">
            <v>0</v>
          </cell>
          <cell r="Q1033">
            <v>18</v>
          </cell>
          <cell r="R1033" t="str">
            <v>NHC</v>
          </cell>
          <cell r="S1033" t="str">
            <v>ZZ</v>
          </cell>
          <cell r="T1033">
            <v>11</v>
          </cell>
          <cell r="U1033" t="str">
            <v>1506213001018NHCZZ11</v>
          </cell>
          <cell r="V1033">
            <v>1024</v>
          </cell>
          <cell r="W1033" t="str">
            <v>MS: SOC CONTR - BARGAINING COUNCIL</v>
          </cell>
          <cell r="X1033">
            <v>1343</v>
          </cell>
          <cell r="Y1033">
            <v>1637.7</v>
          </cell>
          <cell r="Z1033">
            <v>1965.2400000000002</v>
          </cell>
          <cell r="AA1033"/>
          <cell r="AB1033">
            <v>1343</v>
          </cell>
          <cell r="AC1033">
            <v>5440.3776000000007</v>
          </cell>
        </row>
        <row r="1034">
          <cell r="F1034" t="str">
            <v>MS: SOC CONTR - GROUP LIFE INSURANCE</v>
          </cell>
          <cell r="G1034" t="str">
            <v>P213010</v>
          </cell>
          <cell r="H1034" t="str">
            <v>P213010</v>
          </cell>
          <cell r="I1034" t="str">
            <v>501506</v>
          </cell>
          <cell r="J1034">
            <v>50</v>
          </cell>
          <cell r="K1034" t="str">
            <v>15</v>
          </cell>
          <cell r="L1034" t="str">
            <v>06</v>
          </cell>
          <cell r="M1034" t="str">
            <v>2</v>
          </cell>
          <cell r="N1034" t="str">
            <v>13</v>
          </cell>
          <cell r="O1034" t="str">
            <v>010</v>
          </cell>
          <cell r="P1034" t="str">
            <v>0</v>
          </cell>
          <cell r="Q1034">
            <v>18</v>
          </cell>
          <cell r="R1034" t="str">
            <v>NHC</v>
          </cell>
          <cell r="S1034" t="str">
            <v>ZZ</v>
          </cell>
          <cell r="T1034">
            <v>11</v>
          </cell>
          <cell r="U1034" t="str">
            <v>1506213010018NHCZZ11</v>
          </cell>
          <cell r="V1034">
            <v>1025</v>
          </cell>
          <cell r="W1034" t="str">
            <v>MS: SOC CONTR - GROUP LIFE INSURANCE</v>
          </cell>
          <cell r="X1034">
            <v>20931</v>
          </cell>
          <cell r="Y1034">
            <v>14869.86</v>
          </cell>
          <cell r="Z1034">
            <v>17843.832000000002</v>
          </cell>
          <cell r="AA1034"/>
          <cell r="AB1034">
            <v>20931</v>
          </cell>
          <cell r="AC1034">
            <v>157962.57091199997</v>
          </cell>
        </row>
        <row r="1035">
          <cell r="F1035" t="str">
            <v>MS: SOC CONTR - MEDICAL</v>
          </cell>
          <cell r="G1035" t="str">
            <v>P213020</v>
          </cell>
          <cell r="H1035" t="str">
            <v>P213020</v>
          </cell>
          <cell r="I1035" t="str">
            <v>501506</v>
          </cell>
          <cell r="J1035">
            <v>50</v>
          </cell>
          <cell r="K1035" t="str">
            <v>15</v>
          </cell>
          <cell r="L1035" t="str">
            <v>06</v>
          </cell>
          <cell r="M1035" t="str">
            <v>2</v>
          </cell>
          <cell r="N1035" t="str">
            <v>13</v>
          </cell>
          <cell r="O1035" t="str">
            <v>020</v>
          </cell>
          <cell r="P1035" t="str">
            <v>0</v>
          </cell>
          <cell r="Q1035">
            <v>18</v>
          </cell>
          <cell r="R1035" t="str">
            <v>NHC</v>
          </cell>
          <cell r="S1035" t="str">
            <v>ZZ</v>
          </cell>
          <cell r="T1035">
            <v>11</v>
          </cell>
          <cell r="U1035" t="str">
            <v>1506213020018NHCZZ11</v>
          </cell>
          <cell r="V1035">
            <v>1026</v>
          </cell>
          <cell r="W1035" t="str">
            <v>MS: SOC CONTR - MEDICAL</v>
          </cell>
          <cell r="X1035">
            <v>420272</v>
          </cell>
          <cell r="Y1035">
            <v>409450.2</v>
          </cell>
          <cell r="Z1035">
            <v>491340.24000000005</v>
          </cell>
          <cell r="AA1035"/>
          <cell r="AB1035">
            <v>420272</v>
          </cell>
          <cell r="AC1035">
            <v>2521123.7990399986</v>
          </cell>
        </row>
        <row r="1036">
          <cell r="F1036" t="str">
            <v>MS: SOC CONTR - PENSION</v>
          </cell>
          <cell r="G1036" t="str">
            <v>P213030</v>
          </cell>
          <cell r="H1036" t="str">
            <v>P213030</v>
          </cell>
          <cell r="I1036" t="str">
            <v>501506</v>
          </cell>
          <cell r="J1036">
            <v>50</v>
          </cell>
          <cell r="K1036" t="str">
            <v>15</v>
          </cell>
          <cell r="L1036" t="str">
            <v>06</v>
          </cell>
          <cell r="M1036" t="str">
            <v>2</v>
          </cell>
          <cell r="N1036" t="str">
            <v>13</v>
          </cell>
          <cell r="O1036" t="str">
            <v>030</v>
          </cell>
          <cell r="P1036" t="str">
            <v>0</v>
          </cell>
          <cell r="Q1036">
            <v>18</v>
          </cell>
          <cell r="R1036" t="str">
            <v>NHC</v>
          </cell>
          <cell r="S1036" t="str">
            <v>ZZ</v>
          </cell>
          <cell r="T1036">
            <v>11</v>
          </cell>
          <cell r="U1036" t="str">
            <v>1506213030018NHCZZ11</v>
          </cell>
          <cell r="V1036">
            <v>1027</v>
          </cell>
          <cell r="W1036" t="str">
            <v>MS: SOC CONTR - PENSION</v>
          </cell>
          <cell r="X1036">
            <v>632129</v>
          </cell>
          <cell r="Y1036">
            <v>619350.84</v>
          </cell>
          <cell r="Z1036">
            <v>743221.00799999991</v>
          </cell>
          <cell r="AA1036"/>
          <cell r="AB1036">
            <v>632129</v>
          </cell>
          <cell r="AC1036">
            <v>1679049.2096352004</v>
          </cell>
        </row>
        <row r="1037">
          <cell r="F1037" t="str">
            <v>MS: SOC CONTR - UNEMPLOYMENT INSUR FUND</v>
          </cell>
          <cell r="G1037" t="str">
            <v>P213040</v>
          </cell>
          <cell r="H1037" t="str">
            <v>P213040</v>
          </cell>
          <cell r="I1037" t="str">
            <v>501506</v>
          </cell>
          <cell r="J1037">
            <v>50</v>
          </cell>
          <cell r="K1037" t="str">
            <v>15</v>
          </cell>
          <cell r="L1037" t="str">
            <v>06</v>
          </cell>
          <cell r="M1037" t="str">
            <v>2</v>
          </cell>
          <cell r="N1037" t="str">
            <v>13</v>
          </cell>
          <cell r="O1037" t="str">
            <v>040</v>
          </cell>
          <cell r="P1037" t="str">
            <v>0</v>
          </cell>
          <cell r="Q1037">
            <v>18</v>
          </cell>
          <cell r="R1037" t="str">
            <v>NHC</v>
          </cell>
          <cell r="S1037" t="str">
            <v>ZZ</v>
          </cell>
          <cell r="T1037">
            <v>11</v>
          </cell>
          <cell r="U1037" t="str">
            <v>1506213040018NHCZZ11</v>
          </cell>
          <cell r="V1037">
            <v>1028</v>
          </cell>
          <cell r="W1037" t="str">
            <v>MS: SOC CONTR - UNEMPLOYMENT INSUR FUND</v>
          </cell>
          <cell r="X1037">
            <v>20181</v>
          </cell>
          <cell r="Y1037">
            <v>26492.18</v>
          </cell>
          <cell r="Z1037">
            <v>31790.615999999998</v>
          </cell>
          <cell r="AA1037"/>
          <cell r="AB1037">
            <v>20181</v>
          </cell>
          <cell r="AC1037">
            <v>93553.367040000056</v>
          </cell>
        </row>
        <row r="1038">
          <cell r="F1038" t="str">
            <v>CONTR: ELECTRICAL</v>
          </cell>
          <cell r="G1038" t="str">
            <v>P228361</v>
          </cell>
          <cell r="H1038" t="str">
            <v>P228120</v>
          </cell>
          <cell r="I1038"/>
          <cell r="J1038"/>
          <cell r="K1038" t="str">
            <v>15</v>
          </cell>
          <cell r="L1038" t="str">
            <v>06</v>
          </cell>
          <cell r="M1038" t="str">
            <v>2</v>
          </cell>
          <cell r="N1038" t="str">
            <v>28</v>
          </cell>
          <cell r="O1038" t="str">
            <v>120</v>
          </cell>
          <cell r="P1038" t="str">
            <v>0</v>
          </cell>
          <cell r="Q1038">
            <v>18</v>
          </cell>
          <cell r="R1038" t="str">
            <v>MRC</v>
          </cell>
          <cell r="S1038" t="str">
            <v>ZZ</v>
          </cell>
          <cell r="T1038">
            <v>11</v>
          </cell>
          <cell r="U1038" t="str">
            <v>1506228120018MRCZZ11</v>
          </cell>
          <cell r="V1038">
            <v>1029</v>
          </cell>
          <cell r="W1038" t="str">
            <v>CONTR: ELECTRICAL</v>
          </cell>
          <cell r="X1038">
            <v>0</v>
          </cell>
          <cell r="Y1038">
            <v>0</v>
          </cell>
          <cell r="Z1038">
            <v>0</v>
          </cell>
          <cell r="AA1038"/>
          <cell r="AB1038">
            <v>0</v>
          </cell>
          <cell r="AC1038">
            <v>1500000</v>
          </cell>
        </row>
        <row r="1039">
          <cell r="F1039" t="str">
            <v>CONTR:  MAINT OF BUILDINGS &amp; FACILITIES</v>
          </cell>
          <cell r="G1039" t="str">
            <v>P228361</v>
          </cell>
          <cell r="H1039" t="str">
            <v>P228360</v>
          </cell>
          <cell r="I1039"/>
          <cell r="J1039"/>
          <cell r="K1039" t="str">
            <v>15</v>
          </cell>
          <cell r="L1039" t="str">
            <v>06</v>
          </cell>
          <cell r="M1039" t="str">
            <v>2</v>
          </cell>
          <cell r="N1039" t="str">
            <v>28</v>
          </cell>
          <cell r="O1039" t="str">
            <v>360</v>
          </cell>
          <cell r="P1039" t="str">
            <v>0</v>
          </cell>
          <cell r="Q1039">
            <v>18</v>
          </cell>
          <cell r="R1039" t="str">
            <v>NHC</v>
          </cell>
          <cell r="S1039" t="str">
            <v>ZZ</v>
          </cell>
          <cell r="T1039">
            <v>11</v>
          </cell>
          <cell r="U1039" t="str">
            <v>1506228360018NHCZZ11</v>
          </cell>
          <cell r="V1039">
            <v>1030</v>
          </cell>
          <cell r="W1039" t="str">
            <v>CONTR:  MAINT OF BUILDINGS &amp; FACILITIES</v>
          </cell>
          <cell r="X1039">
            <v>4918773</v>
          </cell>
          <cell r="Y1039">
            <v>1921276.29</v>
          </cell>
          <cell r="Z1039">
            <v>2305531.5480000004</v>
          </cell>
          <cell r="AA1039"/>
          <cell r="AB1039">
            <v>4918773</v>
          </cell>
          <cell r="AC1039">
            <v>6900000</v>
          </cell>
        </row>
        <row r="1040">
          <cell r="F1040" t="str">
            <v>CONTR: PEST CONT &amp; FUMIGATION (COVID-19)</v>
          </cell>
          <cell r="G1040" t="str">
            <v>P228361</v>
          </cell>
          <cell r="H1040" t="str">
            <v>P22845CV5</v>
          </cell>
          <cell r="I1040"/>
          <cell r="J1040"/>
          <cell r="K1040" t="str">
            <v>15</v>
          </cell>
          <cell r="L1040" t="str">
            <v>06</v>
          </cell>
          <cell r="M1040" t="str">
            <v>2</v>
          </cell>
          <cell r="N1040" t="str">
            <v>28</v>
          </cell>
          <cell r="O1040" t="str">
            <v>450</v>
          </cell>
          <cell r="P1040" t="str">
            <v>C</v>
          </cell>
          <cell r="Q1040">
            <v>18</v>
          </cell>
          <cell r="R1040" t="str">
            <v>CV5</v>
          </cell>
          <cell r="S1040" t="str">
            <v>ZZ</v>
          </cell>
          <cell r="T1040">
            <v>11</v>
          </cell>
          <cell r="U1040" t="str">
            <v>1506228450C18CV5ZZ11</v>
          </cell>
          <cell r="V1040">
            <v>1031</v>
          </cell>
          <cell r="W1040" t="str">
            <v>CONTR: PEST CONT &amp; FUMIGATION (COVID-19)</v>
          </cell>
          <cell r="X1040">
            <v>1024560</v>
          </cell>
          <cell r="Y1040">
            <v>1011541.76</v>
          </cell>
          <cell r="Z1040">
            <v>1213850.1120000002</v>
          </cell>
          <cell r="AA1040"/>
          <cell r="AB1040">
            <v>1024560</v>
          </cell>
          <cell r="AC1040">
            <v>3000000</v>
          </cell>
        </row>
        <row r="1041">
          <cell r="F1041" t="str">
            <v>CONTR: PEST CONT &amp; FUMIGATION (COVID-19)</v>
          </cell>
          <cell r="G1041">
            <v>0</v>
          </cell>
          <cell r="H1041">
            <v>0</v>
          </cell>
          <cell r="I1041"/>
          <cell r="J1041"/>
          <cell r="K1041" t="str">
            <v>15</v>
          </cell>
          <cell r="L1041" t="str">
            <v>06</v>
          </cell>
          <cell r="M1041" t="str">
            <v>2</v>
          </cell>
          <cell r="N1041" t="str">
            <v>28</v>
          </cell>
          <cell r="O1041" t="str">
            <v>450</v>
          </cell>
          <cell r="P1041" t="str">
            <v>C</v>
          </cell>
          <cell r="Q1041">
            <v>18</v>
          </cell>
          <cell r="R1041" t="str">
            <v>CVJ</v>
          </cell>
          <cell r="S1041" t="str">
            <v>CV</v>
          </cell>
          <cell r="T1041">
            <v>11</v>
          </cell>
          <cell r="U1041" t="str">
            <v>1506228450C18CVJCV11</v>
          </cell>
          <cell r="V1041">
            <v>1032</v>
          </cell>
          <cell r="W1041" t="str">
            <v>CONTR: PEST CONT &amp; FUMIGATION (COVID-19)</v>
          </cell>
          <cell r="X1041">
            <v>0</v>
          </cell>
          <cell r="Y1041">
            <v>0</v>
          </cell>
          <cell r="Z1041">
            <v>0</v>
          </cell>
          <cell r="AA1041"/>
          <cell r="AB1041">
            <v>0</v>
          </cell>
          <cell r="AC1041">
            <v>0</v>
          </cell>
        </row>
        <row r="1042">
          <cell r="F1042" t="str">
            <v>OC: ASSETS LESS  CAP THRESHOLD(FURN OFF</v>
          </cell>
          <cell r="G1042" t="str">
            <v>P230452</v>
          </cell>
          <cell r="H1042" t="str">
            <v>P230019</v>
          </cell>
          <cell r="I1042"/>
          <cell r="J1042"/>
          <cell r="K1042" t="str">
            <v>15</v>
          </cell>
          <cell r="L1042" t="str">
            <v>06</v>
          </cell>
          <cell r="M1042" t="str">
            <v>2</v>
          </cell>
          <cell r="N1042" t="str">
            <v>30</v>
          </cell>
          <cell r="O1042" t="str">
            <v>019</v>
          </cell>
          <cell r="P1042" t="str">
            <v>1</v>
          </cell>
          <cell r="Q1042">
            <v>18</v>
          </cell>
          <cell r="R1042" t="str">
            <v>MRC</v>
          </cell>
          <cell r="S1042" t="str">
            <v>ZZ</v>
          </cell>
          <cell r="T1042">
            <v>11</v>
          </cell>
          <cell r="U1042" t="str">
            <v>1506230019118MRCZZ11</v>
          </cell>
          <cell r="V1042">
            <v>1033</v>
          </cell>
          <cell r="W1042" t="str">
            <v>OC: ASSETS LESS  CAP THRESHOLD(FURN OFF</v>
          </cell>
          <cell r="X1042">
            <v>8534</v>
          </cell>
          <cell r="Y1042">
            <v>4500</v>
          </cell>
          <cell r="Z1042">
            <v>5400</v>
          </cell>
          <cell r="AA1042"/>
          <cell r="AB1042">
            <v>8534</v>
          </cell>
          <cell r="AC1042">
            <v>0</v>
          </cell>
        </row>
        <row r="1043">
          <cell r="F1043" t="str">
            <v>OC: COMM - POSTAGE/STAMPS/FRANKING MACH</v>
          </cell>
          <cell r="G1043" t="str">
            <v>P230452</v>
          </cell>
          <cell r="H1043" t="str">
            <v>P230112</v>
          </cell>
          <cell r="I1043"/>
          <cell r="J1043"/>
          <cell r="K1043" t="str">
            <v>15</v>
          </cell>
          <cell r="L1043" t="str">
            <v>06</v>
          </cell>
          <cell r="M1043" t="str">
            <v>2</v>
          </cell>
          <cell r="N1043" t="str">
            <v>30</v>
          </cell>
          <cell r="O1043" t="str">
            <v>112</v>
          </cell>
          <cell r="P1043" t="str">
            <v>0</v>
          </cell>
          <cell r="Q1043">
            <v>18</v>
          </cell>
          <cell r="R1043" t="str">
            <v>MRC</v>
          </cell>
          <cell r="S1043" t="str">
            <v>ZZ</v>
          </cell>
          <cell r="T1043">
            <v>11</v>
          </cell>
          <cell r="U1043" t="str">
            <v>1506230112018MRCZZ11</v>
          </cell>
          <cell r="V1043">
            <v>1034</v>
          </cell>
          <cell r="W1043" t="str">
            <v>OC: COMM - POSTAGE/STAMPS/FRANKING MACH</v>
          </cell>
          <cell r="X1043">
            <v>0</v>
          </cell>
          <cell r="Y1043">
            <v>2491</v>
          </cell>
          <cell r="Z1043">
            <v>2989.2</v>
          </cell>
          <cell r="AA1043"/>
          <cell r="AB1043">
            <v>0</v>
          </cell>
          <cell r="AC1043">
            <v>0</v>
          </cell>
        </row>
        <row r="1044">
          <cell r="F1044" t="str">
            <v>OC: MUNICIPAL SERVICES(WATER)</v>
          </cell>
          <cell r="G1044" t="str">
            <v>P230452</v>
          </cell>
          <cell r="H1044" t="str">
            <v>P230361</v>
          </cell>
          <cell r="I1044"/>
          <cell r="J1044"/>
          <cell r="K1044" t="str">
            <v>15</v>
          </cell>
          <cell r="L1044" t="str">
            <v>06</v>
          </cell>
          <cell r="M1044" t="str">
            <v>2</v>
          </cell>
          <cell r="N1044" t="str">
            <v>30</v>
          </cell>
          <cell r="O1044" t="str">
            <v>361</v>
          </cell>
          <cell r="P1044" t="str">
            <v>3</v>
          </cell>
          <cell r="Q1044">
            <v>18</v>
          </cell>
          <cell r="R1044" t="str">
            <v>MRC</v>
          </cell>
          <cell r="S1044" t="str">
            <v>ZZ</v>
          </cell>
          <cell r="T1044">
            <v>11</v>
          </cell>
          <cell r="U1044" t="str">
            <v>1506230361318MRCZZ11</v>
          </cell>
          <cell r="V1044">
            <v>1035</v>
          </cell>
          <cell r="W1044" t="str">
            <v>OC: MUNICIPAL SERVICES(WATER)</v>
          </cell>
          <cell r="X1044">
            <v>0</v>
          </cell>
          <cell r="Y1044">
            <v>0</v>
          </cell>
          <cell r="Z1044">
            <v>0</v>
          </cell>
          <cell r="AA1044"/>
          <cell r="AB1044">
            <v>0</v>
          </cell>
          <cell r="AC1044">
            <v>0</v>
          </cell>
        </row>
        <row r="1045">
          <cell r="F1045" t="str">
            <v>OC: SKILLS DEVELOPMENT FUND LEVY</v>
          </cell>
          <cell r="G1045" t="str">
            <v>P230452</v>
          </cell>
          <cell r="H1045" t="str">
            <v>P230541</v>
          </cell>
          <cell r="I1045"/>
          <cell r="J1045"/>
          <cell r="K1045" t="str">
            <v>15</v>
          </cell>
          <cell r="L1045" t="str">
            <v>06</v>
          </cell>
          <cell r="M1045" t="str">
            <v>2</v>
          </cell>
          <cell r="N1045" t="str">
            <v>30</v>
          </cell>
          <cell r="O1045" t="str">
            <v>541</v>
          </cell>
          <cell r="P1045" t="str">
            <v>0</v>
          </cell>
          <cell r="Q1045">
            <v>18</v>
          </cell>
          <cell r="R1045" t="str">
            <v>MRC</v>
          </cell>
          <cell r="S1045" t="str">
            <v>ZZ</v>
          </cell>
          <cell r="T1045">
            <v>11</v>
          </cell>
          <cell r="U1045" t="str">
            <v>1506230541018MRCZZ11</v>
          </cell>
          <cell r="V1045">
            <v>1036</v>
          </cell>
          <cell r="W1045" t="str">
            <v>OC: SKILLS DEVELOPMENT FUND LEVY</v>
          </cell>
          <cell r="X1045">
            <v>48920</v>
          </cell>
          <cell r="Y1045">
            <v>39063.19</v>
          </cell>
          <cell r="Z1045">
            <v>46875.828000000009</v>
          </cell>
          <cell r="AA1045"/>
          <cell r="AB1045">
            <v>48920</v>
          </cell>
          <cell r="AC1045">
            <v>0</v>
          </cell>
        </row>
        <row r="1046">
          <cell r="F1046" t="str">
            <v>OC: UNIFORM &amp; PROTECTIVE CLOTHING</v>
          </cell>
          <cell r="G1046" t="str">
            <v>P230452</v>
          </cell>
          <cell r="H1046" t="str">
            <v>P230610</v>
          </cell>
          <cell r="I1046"/>
          <cell r="J1046"/>
          <cell r="K1046" t="str">
            <v>15</v>
          </cell>
          <cell r="L1046" t="str">
            <v>06</v>
          </cell>
          <cell r="M1046" t="str">
            <v>2</v>
          </cell>
          <cell r="N1046" t="str">
            <v>30</v>
          </cell>
          <cell r="O1046" t="str">
            <v>610</v>
          </cell>
          <cell r="P1046" t="str">
            <v>0</v>
          </cell>
          <cell r="Q1046">
            <v>18</v>
          </cell>
          <cell r="R1046" t="str">
            <v>MRC</v>
          </cell>
          <cell r="S1046" t="str">
            <v>ZZ</v>
          </cell>
          <cell r="T1046">
            <v>11</v>
          </cell>
          <cell r="U1046" t="str">
            <v>1506230610018MRCZZ11</v>
          </cell>
          <cell r="V1046">
            <v>1037</v>
          </cell>
          <cell r="W1046" t="str">
            <v>OC: UNIFORM &amp; PROTECTIVE CLOTHING</v>
          </cell>
          <cell r="X1046">
            <v>2250</v>
          </cell>
          <cell r="Y1046">
            <v>101340.49</v>
          </cell>
          <cell r="Z1046">
            <v>121608.58800000002</v>
          </cell>
          <cell r="AA1046"/>
          <cell r="AB1046">
            <v>2250</v>
          </cell>
          <cell r="AC1046">
            <v>302000</v>
          </cell>
        </row>
        <row r="1047">
          <cell r="F1047" t="str">
            <v>INVENTORY - MATERIALS &amp; SUPPLIES(PRINT&amp;</v>
          </cell>
          <cell r="G1047" t="str">
            <v>P232360</v>
          </cell>
          <cell r="H1047" t="str">
            <v>P232360</v>
          </cell>
          <cell r="I1047"/>
          <cell r="J1047"/>
          <cell r="K1047" t="str">
            <v>15</v>
          </cell>
          <cell r="L1047" t="str">
            <v>06</v>
          </cell>
          <cell r="M1047" t="str">
            <v>2</v>
          </cell>
          <cell r="N1047" t="str">
            <v>32</v>
          </cell>
          <cell r="O1047" t="str">
            <v>360</v>
          </cell>
          <cell r="P1047" t="str">
            <v>D</v>
          </cell>
          <cell r="Q1047">
            <v>18</v>
          </cell>
          <cell r="R1047" t="str">
            <v>MRC</v>
          </cell>
          <cell r="S1047" t="str">
            <v>ZZ</v>
          </cell>
          <cell r="T1047">
            <v>11</v>
          </cell>
          <cell r="U1047" t="str">
            <v>1506232360D18MRCZZ11</v>
          </cell>
          <cell r="V1047">
            <v>1038</v>
          </cell>
          <cell r="W1047" t="str">
            <v>INVENTORY - MATERIALS &amp; SUPPLIES(PRINT&amp;</v>
          </cell>
          <cell r="X1047">
            <v>122676</v>
          </cell>
          <cell r="Y1047">
            <v>19841.22</v>
          </cell>
          <cell r="Z1047">
            <v>23809.464</v>
          </cell>
          <cell r="AA1047"/>
          <cell r="AB1047">
            <v>122676</v>
          </cell>
          <cell r="AC1047">
            <v>120000</v>
          </cell>
        </row>
        <row r="1048">
          <cell r="F1048" t="str">
            <v>INVENTORY - MATERIALS &amp; SUPPLIES(PRINT&amp;</v>
          </cell>
          <cell r="G1048" t="str">
            <v>P232360</v>
          </cell>
          <cell r="H1048" t="str">
            <v>P232360</v>
          </cell>
          <cell r="I1048"/>
          <cell r="J1048"/>
          <cell r="K1048" t="str">
            <v>15</v>
          </cell>
          <cell r="L1048" t="str">
            <v>06</v>
          </cell>
          <cell r="M1048" t="str">
            <v>2</v>
          </cell>
          <cell r="N1048" t="str">
            <v>32</v>
          </cell>
          <cell r="O1048" t="str">
            <v>360</v>
          </cell>
          <cell r="P1048" t="str">
            <v>F</v>
          </cell>
          <cell r="Q1048">
            <v>18</v>
          </cell>
          <cell r="R1048" t="str">
            <v>MRC</v>
          </cell>
          <cell r="S1048" t="str">
            <v>ZZ</v>
          </cell>
          <cell r="T1048">
            <v>11</v>
          </cell>
          <cell r="U1048" t="str">
            <v>1506232360F18MRCZZ11</v>
          </cell>
          <cell r="V1048">
            <v>1039</v>
          </cell>
          <cell r="W1048" t="str">
            <v>INVENTORY - MATERIALS &amp; SUPPLIES(PRINT&amp;</v>
          </cell>
          <cell r="X1048">
            <v>0</v>
          </cell>
          <cell r="Y1048">
            <v>0</v>
          </cell>
          <cell r="Z1048">
            <v>0</v>
          </cell>
          <cell r="AA1048"/>
          <cell r="AB1048">
            <v>0</v>
          </cell>
          <cell r="AC1048">
            <v>0</v>
          </cell>
        </row>
        <row r="1049">
          <cell r="F1049" t="str">
            <v>INVENTORY - MATERIALS &amp; SUPPLIES(R&amp;M)</v>
          </cell>
          <cell r="G1049" t="str">
            <v>P232360</v>
          </cell>
          <cell r="H1049" t="str">
            <v>P232360</v>
          </cell>
          <cell r="I1049"/>
          <cell r="J1049"/>
          <cell r="K1049" t="str">
            <v>15</v>
          </cell>
          <cell r="L1049" t="str">
            <v>06</v>
          </cell>
          <cell r="M1049" t="str">
            <v>2</v>
          </cell>
          <cell r="N1049" t="str">
            <v>32</v>
          </cell>
          <cell r="O1049" t="str">
            <v>360</v>
          </cell>
          <cell r="P1049" t="str">
            <v>G</v>
          </cell>
          <cell r="Q1049">
            <v>18</v>
          </cell>
          <cell r="R1049" t="str">
            <v>MRC</v>
          </cell>
          <cell r="S1049" t="str">
            <v>ZZ</v>
          </cell>
          <cell r="T1049">
            <v>11</v>
          </cell>
          <cell r="U1049" t="str">
            <v>1506232360G18MRCZZ11</v>
          </cell>
          <cell r="V1049">
            <v>1040</v>
          </cell>
          <cell r="W1049" t="str">
            <v>INVENTORY - MATERIALS &amp; SUPPLIES(R&amp;M)</v>
          </cell>
          <cell r="X1049">
            <v>230825</v>
          </cell>
          <cell r="Y1049">
            <v>7019.14</v>
          </cell>
          <cell r="Z1049">
            <v>8422.9680000000008</v>
          </cell>
          <cell r="AA1049"/>
          <cell r="AB1049">
            <v>230825</v>
          </cell>
          <cell r="AC1049">
            <v>241904.6</v>
          </cell>
        </row>
        <row r="1050">
          <cell r="F1050" t="str">
            <v>INVENTORY - MATERIALS &amp; SUPPLIES(STOCK &amp;</v>
          </cell>
          <cell r="G1050" t="str">
            <v>P232360</v>
          </cell>
          <cell r="H1050" t="str">
            <v>P232360</v>
          </cell>
          <cell r="I1050"/>
          <cell r="J1050"/>
          <cell r="K1050" t="str">
            <v>15</v>
          </cell>
          <cell r="L1050" t="str">
            <v>06</v>
          </cell>
          <cell r="M1050" t="str">
            <v>2</v>
          </cell>
          <cell r="N1050" t="str">
            <v>32</v>
          </cell>
          <cell r="O1050" t="str">
            <v>360</v>
          </cell>
          <cell r="P1050" t="str">
            <v>R</v>
          </cell>
          <cell r="Q1050">
            <v>18</v>
          </cell>
          <cell r="R1050" t="str">
            <v>MRC</v>
          </cell>
          <cell r="S1050" t="str">
            <v>ZZ</v>
          </cell>
          <cell r="T1050">
            <v>11</v>
          </cell>
          <cell r="U1050" t="str">
            <v>1506232360R18MRCZZ11</v>
          </cell>
          <cell r="V1050">
            <v>1041</v>
          </cell>
          <cell r="W1050" t="str">
            <v>INVENTORY - MATERIALS &amp; SUPPLIES(STOCK &amp;</v>
          </cell>
          <cell r="X1050">
            <v>386503</v>
          </cell>
          <cell r="Y1050">
            <v>200570.13</v>
          </cell>
          <cell r="Z1050">
            <v>240684.15599999999</v>
          </cell>
          <cell r="AA1050"/>
          <cell r="AB1050">
            <v>386503</v>
          </cell>
          <cell r="AC1050">
            <v>405055.14400000003</v>
          </cell>
        </row>
        <row r="1051">
          <cell r="F1051" t="str">
            <v>OPR LEASES: FURNITURE &amp; OFFICE EQUIPMENT</v>
          </cell>
          <cell r="G1051" t="str">
            <v>P238150</v>
          </cell>
          <cell r="H1051" t="str">
            <v>P238150</v>
          </cell>
          <cell r="I1051"/>
          <cell r="J1051"/>
          <cell r="K1051" t="str">
            <v>15</v>
          </cell>
          <cell r="L1051" t="str">
            <v>06</v>
          </cell>
          <cell r="M1051" t="str">
            <v>2</v>
          </cell>
          <cell r="N1051" t="str">
            <v>38</v>
          </cell>
          <cell r="O1051" t="str">
            <v>150</v>
          </cell>
          <cell r="P1051" t="str">
            <v>0</v>
          </cell>
          <cell r="Q1051">
            <v>18</v>
          </cell>
          <cell r="R1051" t="str">
            <v>MRC</v>
          </cell>
          <cell r="S1051" t="str">
            <v>ZZ</v>
          </cell>
          <cell r="T1051">
            <v>11</v>
          </cell>
          <cell r="U1051" t="str">
            <v>1506238150018MRCZZ11</v>
          </cell>
          <cell r="V1051">
            <v>1042</v>
          </cell>
          <cell r="W1051" t="str">
            <v>OPR LEASES: FURNITURE &amp; OFFICE EQUIPMENT</v>
          </cell>
          <cell r="X1051">
            <v>522742</v>
          </cell>
          <cell r="Y1051">
            <v>46295.199999999997</v>
          </cell>
          <cell r="Z1051">
            <v>55554.239999999991</v>
          </cell>
          <cell r="AA1051"/>
          <cell r="AB1051">
            <v>522742</v>
          </cell>
          <cell r="AC1051">
            <v>500000</v>
          </cell>
        </row>
        <row r="1052">
          <cell r="F1052" t="str">
            <v>OPR LEASES: COMMUNITY ASSETS(OFFICES)</v>
          </cell>
          <cell r="G1052" t="str">
            <v>P238364</v>
          </cell>
          <cell r="H1052" t="str">
            <v>P238364</v>
          </cell>
          <cell r="I1052"/>
          <cell r="J1052"/>
          <cell r="K1052" t="str">
            <v>15</v>
          </cell>
          <cell r="L1052" t="str">
            <v>06</v>
          </cell>
          <cell r="M1052" t="str">
            <v>2</v>
          </cell>
          <cell r="N1052" t="str">
            <v>38</v>
          </cell>
          <cell r="O1052" t="str">
            <v>364</v>
          </cell>
          <cell r="P1052" t="str">
            <v>5</v>
          </cell>
          <cell r="Q1052">
            <v>18</v>
          </cell>
          <cell r="R1052" t="str">
            <v>MRC</v>
          </cell>
          <cell r="S1052" t="str">
            <v>ZZ</v>
          </cell>
          <cell r="T1052">
            <v>11</v>
          </cell>
          <cell r="U1052" t="str">
            <v>1506238364518MRCZZ11</v>
          </cell>
          <cell r="V1052">
            <v>1043</v>
          </cell>
          <cell r="W1052" t="str">
            <v>OPR LEASES: COMMUNITY ASSETS(OFFICES)</v>
          </cell>
          <cell r="X1052">
            <v>0</v>
          </cell>
          <cell r="Y1052">
            <v>0</v>
          </cell>
          <cell r="Z1052">
            <v>0</v>
          </cell>
          <cell r="AA1052"/>
          <cell r="AB1052">
            <v>0</v>
          </cell>
          <cell r="AC1052">
            <v>0</v>
          </cell>
        </row>
        <row r="1053">
          <cell r="F1053" t="str">
            <v>DEPRECIATION FURNITURE &amp; OFFICE EQUIPM</v>
          </cell>
          <cell r="G1053" t="str">
            <v>P272150</v>
          </cell>
          <cell r="H1053" t="str">
            <v>P272150</v>
          </cell>
          <cell r="I1053"/>
          <cell r="J1053"/>
          <cell r="K1053" t="str">
            <v>15</v>
          </cell>
          <cell r="L1053" t="str">
            <v>06</v>
          </cell>
          <cell r="M1053" t="str">
            <v>2</v>
          </cell>
          <cell r="N1053" t="str">
            <v>72</v>
          </cell>
          <cell r="O1053" t="str">
            <v>150</v>
          </cell>
          <cell r="P1053" t="str">
            <v>0</v>
          </cell>
          <cell r="Q1053">
            <v>18</v>
          </cell>
          <cell r="R1053" t="str">
            <v>MRC</v>
          </cell>
          <cell r="S1053" t="str">
            <v>ZZ</v>
          </cell>
          <cell r="T1053">
            <v>11</v>
          </cell>
          <cell r="U1053" t="str">
            <v>1506272150018MRCZZ11</v>
          </cell>
          <cell r="V1053">
            <v>1044</v>
          </cell>
          <cell r="W1053" t="str">
            <v>DEPRECIATION FURNITURE &amp; OFFICE EQUIPM</v>
          </cell>
          <cell r="X1053">
            <v>0</v>
          </cell>
          <cell r="Y1053">
            <v>0</v>
          </cell>
          <cell r="Z1053">
            <v>0</v>
          </cell>
          <cell r="AA1053"/>
          <cell r="AB1053">
            <v>0</v>
          </cell>
          <cell r="AC1053">
            <v>0</v>
          </cell>
        </row>
        <row r="1054">
          <cell r="F1054" t="str">
            <v>DEPRECIATION ELEC LV NETWORKS</v>
          </cell>
          <cell r="G1054" t="str">
            <v>P272150</v>
          </cell>
          <cell r="H1054" t="str">
            <v>P272249</v>
          </cell>
          <cell r="I1054"/>
          <cell r="J1054"/>
          <cell r="K1054" t="str">
            <v>15</v>
          </cell>
          <cell r="L1054" t="str">
            <v>06</v>
          </cell>
          <cell r="M1054" t="str">
            <v>2</v>
          </cell>
          <cell r="N1054" t="str">
            <v>72</v>
          </cell>
          <cell r="O1054" t="str">
            <v>249</v>
          </cell>
          <cell r="P1054" t="str">
            <v>0</v>
          </cell>
          <cell r="Q1054">
            <v>18</v>
          </cell>
          <cell r="R1054" t="str">
            <v>MRC</v>
          </cell>
          <cell r="S1054" t="str">
            <v>ZZ</v>
          </cell>
          <cell r="T1054">
            <v>11</v>
          </cell>
          <cell r="U1054" t="str">
            <v>1506272249018MRCZZ11</v>
          </cell>
          <cell r="V1054">
            <v>1045</v>
          </cell>
          <cell r="W1054" t="str">
            <v>DEPRECIATION ELEC LV NETWORKS</v>
          </cell>
          <cell r="X1054">
            <v>51910292</v>
          </cell>
          <cell r="Y1054">
            <v>167955195.80000001</v>
          </cell>
          <cell r="Z1054">
            <v>201546234.96000004</v>
          </cell>
          <cell r="AA1054"/>
          <cell r="AB1054">
            <v>51910292</v>
          </cell>
          <cell r="AC1054">
            <v>54401986.016000003</v>
          </cell>
        </row>
        <row r="1055">
          <cell r="F1055" t="str">
            <v>DEPRECIATION  TRANSPORT ASSETS</v>
          </cell>
          <cell r="G1055" t="str">
            <v>P272150</v>
          </cell>
          <cell r="H1055" t="str">
            <v>P272570</v>
          </cell>
          <cell r="I1055"/>
          <cell r="J1055"/>
          <cell r="K1055" t="str">
            <v>15</v>
          </cell>
          <cell r="L1055" t="str">
            <v>06</v>
          </cell>
          <cell r="M1055" t="str">
            <v>2</v>
          </cell>
          <cell r="N1055" t="str">
            <v>72</v>
          </cell>
          <cell r="O1055" t="str">
            <v>570</v>
          </cell>
          <cell r="P1055" t="str">
            <v>0</v>
          </cell>
          <cell r="Q1055">
            <v>18</v>
          </cell>
          <cell r="R1055" t="str">
            <v>MRC</v>
          </cell>
          <cell r="S1055" t="str">
            <v>ZZ</v>
          </cell>
          <cell r="T1055">
            <v>11</v>
          </cell>
          <cell r="U1055" t="str">
            <v>1506272570018MRCZZ11</v>
          </cell>
          <cell r="V1055">
            <v>1046</v>
          </cell>
          <cell r="W1055" t="str">
            <v>DEPRECIATION  TRANSPORT ASSETS</v>
          </cell>
          <cell r="X1055">
            <v>0</v>
          </cell>
          <cell r="Y1055">
            <v>0</v>
          </cell>
          <cell r="Z1055">
            <v>0</v>
          </cell>
          <cell r="AA1055"/>
          <cell r="AB1055">
            <v>0</v>
          </cell>
          <cell r="AC1055">
            <v>0</v>
          </cell>
        </row>
        <row r="1056">
          <cell r="F1056" t="str">
            <v>DEPRECIATION COMMUNITY HALLS</v>
          </cell>
          <cell r="G1056" t="str">
            <v>P272150</v>
          </cell>
          <cell r="H1056" t="str">
            <v>P272880</v>
          </cell>
          <cell r="I1056"/>
          <cell r="J1056"/>
          <cell r="K1056" t="str">
            <v>15</v>
          </cell>
          <cell r="L1056" t="str">
            <v>06</v>
          </cell>
          <cell r="M1056" t="str">
            <v>2</v>
          </cell>
          <cell r="N1056" t="str">
            <v>72</v>
          </cell>
          <cell r="O1056" t="str">
            <v>880</v>
          </cell>
          <cell r="P1056" t="str">
            <v>0</v>
          </cell>
          <cell r="Q1056">
            <v>18</v>
          </cell>
          <cell r="R1056" t="str">
            <v>MRC</v>
          </cell>
          <cell r="S1056" t="str">
            <v>ZZ</v>
          </cell>
          <cell r="T1056">
            <v>11</v>
          </cell>
          <cell r="U1056" t="str">
            <v>1506272880018MRCZZ11</v>
          </cell>
          <cell r="V1056">
            <v>1047</v>
          </cell>
          <cell r="W1056" t="str">
            <v>DEPRECIATION COMMUNITY HALLS</v>
          </cell>
          <cell r="X1056">
            <v>0</v>
          </cell>
          <cell r="Y1056">
            <v>0</v>
          </cell>
          <cell r="Z1056">
            <v>0</v>
          </cell>
          <cell r="AA1056"/>
          <cell r="AB1056">
            <v>0</v>
          </cell>
          <cell r="AC1056">
            <v>0</v>
          </cell>
        </row>
        <row r="1057">
          <cell r="F1057" t="str">
            <v>OFFICE BUILDING</v>
          </cell>
          <cell r="G1057" t="str">
            <v>P656352QY2</v>
          </cell>
          <cell r="H1057" t="str">
            <v>P656352QY2</v>
          </cell>
          <cell r="I1057"/>
          <cell r="J1057"/>
          <cell r="K1057" t="str">
            <v>15</v>
          </cell>
          <cell r="L1057" t="str">
            <v>06</v>
          </cell>
          <cell r="M1057" t="str">
            <v>6</v>
          </cell>
          <cell r="N1057" t="str">
            <v>56</v>
          </cell>
          <cell r="O1057" t="str">
            <v>352</v>
          </cell>
          <cell r="P1057" t="str">
            <v>0</v>
          </cell>
          <cell r="Q1057" t="str">
            <v>CF</v>
          </cell>
          <cell r="R1057" t="str">
            <v>QY2</v>
          </cell>
          <cell r="S1057" t="str">
            <v>ZZ</v>
          </cell>
          <cell r="T1057">
            <v>11</v>
          </cell>
          <cell r="U1057" t="str">
            <v>15066563520CFQY2ZZ11</v>
          </cell>
          <cell r="V1057">
            <v>1048</v>
          </cell>
          <cell r="W1057" t="str">
            <v>OFFICE BUILDING</v>
          </cell>
          <cell r="X1057">
            <v>2718850</v>
          </cell>
          <cell r="Y1057">
            <v>785350.59</v>
          </cell>
          <cell r="Z1057">
            <v>942420.70799999987</v>
          </cell>
          <cell r="AA1057"/>
          <cell r="AB1057">
            <v>2718850</v>
          </cell>
          <cell r="AC1057">
            <v>8418850</v>
          </cell>
        </row>
        <row r="1058">
          <cell r="F1058" t="str">
            <v>PRIV ENT: OTH TRF -DEVELOPERS CONTRIB</v>
          </cell>
          <cell r="G1058" t="str">
            <v>P125940</v>
          </cell>
          <cell r="H1058" t="str">
            <v>P125940</v>
          </cell>
          <cell r="I1058"/>
          <cell r="J1058"/>
          <cell r="K1058" t="str">
            <v>16</v>
          </cell>
          <cell r="L1058" t="str">
            <v>01</v>
          </cell>
          <cell r="M1058" t="str">
            <v>1</v>
          </cell>
          <cell r="N1058" t="str">
            <v>25</v>
          </cell>
          <cell r="O1058" t="str">
            <v>940</v>
          </cell>
          <cell r="P1058" t="str">
            <v>0</v>
          </cell>
          <cell r="Q1058">
            <v>17</v>
          </cell>
          <cell r="R1058" t="str">
            <v>ZZZ</v>
          </cell>
          <cell r="S1058" t="str">
            <v>ZZ</v>
          </cell>
          <cell r="T1058">
            <v>11</v>
          </cell>
          <cell r="U1058" t="str">
            <v>1601125940017ZZZZZ11</v>
          </cell>
          <cell r="V1058">
            <v>1049</v>
          </cell>
          <cell r="W1058" t="str">
            <v>PRIV ENT: OTH TRF -DEVELOPERS CONTRIB</v>
          </cell>
          <cell r="X1058">
            <v>0</v>
          </cell>
          <cell r="Y1058">
            <v>0</v>
          </cell>
          <cell r="Z1058">
            <v>0</v>
          </cell>
          <cell r="AA1058"/>
          <cell r="AB1058">
            <v>0</v>
          </cell>
          <cell r="AC1058">
            <v>0</v>
          </cell>
        </row>
        <row r="1059">
          <cell r="F1059" t="str">
            <v>PUBLIC CONNECTIONS</v>
          </cell>
          <cell r="G1059" t="str">
            <v>P125940</v>
          </cell>
          <cell r="H1059" t="str">
            <v>P125940</v>
          </cell>
          <cell r="I1059"/>
          <cell r="J1059"/>
          <cell r="K1059" t="str">
            <v>16</v>
          </cell>
          <cell r="L1059" t="str">
            <v>01</v>
          </cell>
          <cell r="M1059" t="str">
            <v>1</v>
          </cell>
          <cell r="N1059" t="str">
            <v>25</v>
          </cell>
          <cell r="O1059" t="str">
            <v>940</v>
          </cell>
          <cell r="P1059" t="str">
            <v>1</v>
          </cell>
          <cell r="Q1059">
            <v>53</v>
          </cell>
          <cell r="R1059" t="str">
            <v>ZZZ</v>
          </cell>
          <cell r="S1059" t="str">
            <v>ZZ</v>
          </cell>
          <cell r="T1059">
            <v>11</v>
          </cell>
          <cell r="U1059" t="str">
            <v>1601125940153ZZZZZ11</v>
          </cell>
          <cell r="V1059">
            <v>1050</v>
          </cell>
          <cell r="W1059" t="str">
            <v>PUBLIC CONNECTIONS</v>
          </cell>
          <cell r="X1059">
            <v>0</v>
          </cell>
          <cell r="Y1059">
            <v>0</v>
          </cell>
          <cell r="Z1059">
            <v>0</v>
          </cell>
          <cell r="AA1059"/>
          <cell r="AB1059">
            <v>0</v>
          </cell>
          <cell r="AC1059">
            <v>0</v>
          </cell>
        </row>
        <row r="1060">
          <cell r="F1060" t="str">
            <v>ELEC SALES: AGRICULTURAL LOW</v>
          </cell>
          <cell r="G1060" t="str">
            <v>P132124</v>
          </cell>
          <cell r="H1060" t="str">
            <v>P132124</v>
          </cell>
          <cell r="I1060"/>
          <cell r="J1060"/>
          <cell r="K1060" t="str">
            <v>16</v>
          </cell>
          <cell r="L1060" t="str">
            <v>01</v>
          </cell>
          <cell r="M1060" t="str">
            <v>1</v>
          </cell>
          <cell r="N1060" t="str">
            <v>32</v>
          </cell>
          <cell r="O1060" t="str">
            <v>124</v>
          </cell>
          <cell r="P1060" t="str">
            <v>T</v>
          </cell>
          <cell r="Q1060">
            <v>18</v>
          </cell>
          <cell r="R1060" t="str">
            <v>ZZZ</v>
          </cell>
          <cell r="S1060" t="str">
            <v>ZZ</v>
          </cell>
          <cell r="T1060">
            <v>11</v>
          </cell>
          <cell r="U1060" t="str">
            <v>1601132124T18ZZZZZ11</v>
          </cell>
          <cell r="V1060">
            <v>1051</v>
          </cell>
          <cell r="W1060" t="str">
            <v>ELEC SALES: AGRICULTURAL LOW</v>
          </cell>
          <cell r="X1060">
            <v>0</v>
          </cell>
          <cell r="Y1060">
            <v>0</v>
          </cell>
          <cell r="Z1060">
            <v>0</v>
          </cell>
          <cell r="AA1060"/>
          <cell r="AB1060">
            <v>0</v>
          </cell>
          <cell r="AC1060">
            <v>0</v>
          </cell>
        </row>
        <row r="1061">
          <cell r="F1061" t="str">
            <v>INTER: RECEIV - ELECTRICITY</v>
          </cell>
          <cell r="G1061" t="str">
            <v>P134101</v>
          </cell>
          <cell r="H1061" t="str">
            <v>P134101</v>
          </cell>
          <cell r="I1061"/>
          <cell r="J1061"/>
          <cell r="K1061" t="str">
            <v>16</v>
          </cell>
          <cell r="L1061" t="str">
            <v>01</v>
          </cell>
          <cell r="M1061" t="str">
            <v>1</v>
          </cell>
          <cell r="N1061" t="str">
            <v>34</v>
          </cell>
          <cell r="O1061" t="str">
            <v>101</v>
          </cell>
          <cell r="P1061" t="str">
            <v>0</v>
          </cell>
          <cell r="Q1061">
            <v>11</v>
          </cell>
          <cell r="R1061" t="str">
            <v>ZZZ</v>
          </cell>
          <cell r="S1061" t="str">
            <v>ZZ</v>
          </cell>
          <cell r="T1061">
            <v>11</v>
          </cell>
          <cell r="U1061" t="str">
            <v>1601134101011ZZZZZ11</v>
          </cell>
          <cell r="V1061">
            <v>1052</v>
          </cell>
          <cell r="W1061" t="str">
            <v>INTER: RECEIV - ELECTRICITY</v>
          </cell>
          <cell r="X1061">
            <v>0</v>
          </cell>
          <cell r="Y1061">
            <v>0</v>
          </cell>
          <cell r="Z1061">
            <v>0</v>
          </cell>
          <cell r="AA1061"/>
          <cell r="AB1061">
            <v>0</v>
          </cell>
          <cell r="AC1061">
            <v>0</v>
          </cell>
        </row>
        <row r="1062">
          <cell r="F1062" t="str">
            <v>INTER: RECEIV - ELECTRICITY(SFS)</v>
          </cell>
          <cell r="G1062" t="str">
            <v>P134101</v>
          </cell>
          <cell r="H1062" t="str">
            <v>P134101</v>
          </cell>
          <cell r="I1062"/>
          <cell r="J1062"/>
          <cell r="K1062" t="str">
            <v>16</v>
          </cell>
          <cell r="L1062" t="str">
            <v>01</v>
          </cell>
          <cell r="M1062" t="str">
            <v>1</v>
          </cell>
          <cell r="N1062" t="str">
            <v>34</v>
          </cell>
          <cell r="O1062" t="str">
            <v>101</v>
          </cell>
          <cell r="P1062" t="str">
            <v>7</v>
          </cell>
          <cell r="Q1062">
            <v>11</v>
          </cell>
          <cell r="R1062" t="str">
            <v>ZZZ</v>
          </cell>
          <cell r="S1062" t="str">
            <v>ZZ</v>
          </cell>
          <cell r="T1062">
            <v>11</v>
          </cell>
          <cell r="U1062" t="str">
            <v>1601134101711ZZZZZ11</v>
          </cell>
          <cell r="V1062">
            <v>1053</v>
          </cell>
          <cell r="W1062" t="str">
            <v>INTER: RECEIV - ELECTRICITY(SFS)</v>
          </cell>
          <cell r="X1062">
            <v>0</v>
          </cell>
          <cell r="Y1062">
            <v>0</v>
          </cell>
          <cell r="Z1062">
            <v>0</v>
          </cell>
          <cell r="AA1062"/>
          <cell r="AB1062">
            <v>0</v>
          </cell>
          <cell r="AC1062">
            <v>0</v>
          </cell>
        </row>
        <row r="1063">
          <cell r="F1063" t="str">
            <v>CONTR: MAINTENANCE OF EQUIPMENT</v>
          </cell>
          <cell r="G1063" t="str">
            <v>P228361</v>
          </cell>
          <cell r="H1063" t="str">
            <v>P228361</v>
          </cell>
          <cell r="I1063"/>
          <cell r="J1063"/>
          <cell r="K1063" t="str">
            <v>16</v>
          </cell>
          <cell r="L1063" t="str">
            <v>01</v>
          </cell>
          <cell r="M1063" t="str">
            <v>2</v>
          </cell>
          <cell r="N1063" t="str">
            <v>28</v>
          </cell>
          <cell r="O1063" t="str">
            <v>361</v>
          </cell>
          <cell r="P1063" t="str">
            <v>0</v>
          </cell>
          <cell r="Q1063">
            <v>18</v>
          </cell>
          <cell r="R1063" t="str">
            <v>P05</v>
          </cell>
          <cell r="S1063" t="str">
            <v>ZZ</v>
          </cell>
          <cell r="T1063">
            <v>11</v>
          </cell>
          <cell r="U1063" t="str">
            <v>1601228361018P05ZZ11</v>
          </cell>
          <cell r="V1063">
            <v>1054</v>
          </cell>
          <cell r="W1063" t="str">
            <v>CONTR: MAINTENANCE OF EQUIPMENT</v>
          </cell>
          <cell r="X1063">
            <v>0</v>
          </cell>
          <cell r="Y1063">
            <v>0</v>
          </cell>
          <cell r="Z1063">
            <v>0</v>
          </cell>
          <cell r="AA1063"/>
          <cell r="AB1063">
            <v>0</v>
          </cell>
          <cell r="AC1063">
            <v>0</v>
          </cell>
        </row>
        <row r="1064">
          <cell r="F1064" t="str">
            <v>OC: COMMISSION - THIRD PARTY VENDORS</v>
          </cell>
          <cell r="G1064" t="str">
            <v>P230452</v>
          </cell>
          <cell r="H1064" t="str">
            <v>P230090</v>
          </cell>
          <cell r="I1064"/>
          <cell r="J1064"/>
          <cell r="K1064" t="str">
            <v>16</v>
          </cell>
          <cell r="L1064" t="str">
            <v>01</v>
          </cell>
          <cell r="M1064" t="str">
            <v>2</v>
          </cell>
          <cell r="N1064" t="str">
            <v>30</v>
          </cell>
          <cell r="O1064" t="str">
            <v>090</v>
          </cell>
          <cell r="P1064" t="str">
            <v>0</v>
          </cell>
          <cell r="Q1064">
            <v>18</v>
          </cell>
          <cell r="R1064" t="str">
            <v>MRC</v>
          </cell>
          <cell r="S1064" t="str">
            <v>ZZ</v>
          </cell>
          <cell r="T1064">
            <v>11</v>
          </cell>
          <cell r="U1064" t="str">
            <v>1601230090018MRCZZ11</v>
          </cell>
          <cell r="V1064">
            <v>1055</v>
          </cell>
          <cell r="W1064" t="str">
            <v>OC: COMMISSION - THIRD PARTY VENDORS</v>
          </cell>
          <cell r="X1064">
            <v>0</v>
          </cell>
          <cell r="Y1064">
            <v>0</v>
          </cell>
          <cell r="Z1064">
            <v>0</v>
          </cell>
          <cell r="AA1064"/>
          <cell r="AB1064">
            <v>0</v>
          </cell>
          <cell r="AC1064">
            <v>0</v>
          </cell>
        </row>
        <row r="1065">
          <cell r="F1065" t="str">
            <v>OC: EXT COM SERV PROV - S/WARE LICENCES(</v>
          </cell>
          <cell r="G1065" t="str">
            <v>P230452</v>
          </cell>
          <cell r="H1065" t="str">
            <v>P230178</v>
          </cell>
          <cell r="I1065"/>
          <cell r="J1065"/>
          <cell r="K1065" t="str">
            <v>16</v>
          </cell>
          <cell r="L1065" t="str">
            <v>01</v>
          </cell>
          <cell r="M1065" t="str">
            <v>2</v>
          </cell>
          <cell r="N1065" t="str">
            <v>30</v>
          </cell>
          <cell r="O1065" t="str">
            <v>178</v>
          </cell>
          <cell r="P1065" t="str">
            <v>6</v>
          </cell>
          <cell r="Q1065">
            <v>18</v>
          </cell>
          <cell r="R1065" t="str">
            <v>MRC</v>
          </cell>
          <cell r="S1065" t="str">
            <v>ZZ</v>
          </cell>
          <cell r="T1065">
            <v>11</v>
          </cell>
          <cell r="U1065" t="str">
            <v>1601230178618MRCZZ11</v>
          </cell>
          <cell r="V1065">
            <v>1056</v>
          </cell>
          <cell r="W1065" t="str">
            <v>OC: EXT COM SERV PROV - S/WARE LICENCES(</v>
          </cell>
          <cell r="X1065">
            <v>0</v>
          </cell>
          <cell r="Y1065">
            <v>0</v>
          </cell>
          <cell r="Z1065">
            <v>0</v>
          </cell>
          <cell r="AA1065"/>
          <cell r="AB1065">
            <v>0</v>
          </cell>
          <cell r="AC1065">
            <v>0</v>
          </cell>
        </row>
        <row r="1066">
          <cell r="F1066" t="str">
            <v>INVENTORY - MATERIALS &amp; SUPPLIES(FUEL CO</v>
          </cell>
          <cell r="G1066" t="str">
            <v>P232360</v>
          </cell>
          <cell r="H1066" t="str">
            <v>P232360</v>
          </cell>
          <cell r="I1066"/>
          <cell r="J1066"/>
          <cell r="K1066" t="str">
            <v>16</v>
          </cell>
          <cell r="L1066" t="str">
            <v>01</v>
          </cell>
          <cell r="M1066" t="str">
            <v>2</v>
          </cell>
          <cell r="N1066" t="str">
            <v>32</v>
          </cell>
          <cell r="O1066" t="str">
            <v>360</v>
          </cell>
          <cell r="P1066" t="str">
            <v>1</v>
          </cell>
          <cell r="Q1066">
            <v>18</v>
          </cell>
          <cell r="R1066" t="str">
            <v>MRC</v>
          </cell>
          <cell r="S1066" t="str">
            <v>ZZ</v>
          </cell>
          <cell r="T1066">
            <v>11</v>
          </cell>
          <cell r="U1066" t="str">
            <v>1601232360118MRCZZ11</v>
          </cell>
          <cell r="V1066">
            <v>1057</v>
          </cell>
          <cell r="W1066" t="str">
            <v>INVENTORY - MATERIALS &amp; SUPPLIES(FUEL CO</v>
          </cell>
          <cell r="X1066">
            <v>0</v>
          </cell>
          <cell r="Y1066">
            <v>0</v>
          </cell>
          <cell r="Z1066">
            <v>0</v>
          </cell>
          <cell r="AA1066"/>
          <cell r="AB1066">
            <v>0</v>
          </cell>
          <cell r="AC1066">
            <v>0</v>
          </cell>
        </row>
        <row r="1067">
          <cell r="F1067" t="str">
            <v>INVENTORY - MATERIALS &amp; SUPPLIES(PRINT&amp;</v>
          </cell>
          <cell r="G1067" t="str">
            <v>P232360</v>
          </cell>
          <cell r="H1067" t="str">
            <v>P232360</v>
          </cell>
          <cell r="I1067"/>
          <cell r="J1067"/>
          <cell r="K1067" t="str">
            <v>16</v>
          </cell>
          <cell r="L1067" t="str">
            <v>01</v>
          </cell>
          <cell r="M1067" t="str">
            <v>2</v>
          </cell>
          <cell r="N1067" t="str">
            <v>32</v>
          </cell>
          <cell r="O1067" t="str">
            <v>360</v>
          </cell>
          <cell r="P1067" t="str">
            <v>D</v>
          </cell>
          <cell r="Q1067">
            <v>18</v>
          </cell>
          <cell r="R1067" t="str">
            <v>MRC</v>
          </cell>
          <cell r="S1067" t="str">
            <v>ZZ</v>
          </cell>
          <cell r="T1067">
            <v>11</v>
          </cell>
          <cell r="U1067" t="str">
            <v>1601232360D18MRCZZ11</v>
          </cell>
          <cell r="V1067">
            <v>1058</v>
          </cell>
          <cell r="W1067" t="str">
            <v>INVENTORY - MATERIALS &amp; SUPPLIES(PRINT&amp;</v>
          </cell>
          <cell r="X1067">
            <v>0</v>
          </cell>
          <cell r="Y1067">
            <v>0</v>
          </cell>
          <cell r="Z1067">
            <v>0</v>
          </cell>
          <cell r="AA1067"/>
          <cell r="AB1067">
            <v>0</v>
          </cell>
          <cell r="AC1067">
            <v>0</v>
          </cell>
        </row>
        <row r="1068">
          <cell r="F1068" t="str">
            <v>INVENTORY - MATERIALS &amp; SUPPLIES(STOCK &amp;</v>
          </cell>
          <cell r="G1068" t="str">
            <v>P232360</v>
          </cell>
          <cell r="H1068" t="str">
            <v>P232360</v>
          </cell>
          <cell r="I1068"/>
          <cell r="J1068"/>
          <cell r="K1068" t="str">
            <v>16</v>
          </cell>
          <cell r="L1068" t="str">
            <v>01</v>
          </cell>
          <cell r="M1068" t="str">
            <v>2</v>
          </cell>
          <cell r="N1068" t="str">
            <v>32</v>
          </cell>
          <cell r="O1068" t="str">
            <v>360</v>
          </cell>
          <cell r="P1068" t="str">
            <v>R</v>
          </cell>
          <cell r="Q1068">
            <v>18</v>
          </cell>
          <cell r="R1068" t="str">
            <v>MRC</v>
          </cell>
          <cell r="S1068" t="str">
            <v>ZZ</v>
          </cell>
          <cell r="T1068">
            <v>11</v>
          </cell>
          <cell r="U1068" t="str">
            <v>1601232360R18MRCZZ11</v>
          </cell>
          <cell r="V1068">
            <v>1059</v>
          </cell>
          <cell r="W1068" t="str">
            <v>INVENTORY - MATERIALS &amp; SUPPLIES(STOCK &amp;</v>
          </cell>
          <cell r="X1068">
            <v>0</v>
          </cell>
          <cell r="Y1068">
            <v>0</v>
          </cell>
          <cell r="Z1068">
            <v>0</v>
          </cell>
          <cell r="AA1068"/>
          <cell r="AB1068">
            <v>0</v>
          </cell>
          <cell r="AC1068">
            <v>0</v>
          </cell>
        </row>
        <row r="1069">
          <cell r="F1069" t="str">
            <v>ESKOM</v>
          </cell>
          <cell r="G1069" t="str">
            <v>P234001</v>
          </cell>
          <cell r="H1069" t="str">
            <v>P234001</v>
          </cell>
          <cell r="I1069"/>
          <cell r="J1069"/>
          <cell r="K1069" t="str">
            <v>16</v>
          </cell>
          <cell r="L1069" t="str">
            <v>01</v>
          </cell>
          <cell r="M1069" t="str">
            <v>2</v>
          </cell>
          <cell r="N1069" t="str">
            <v>34</v>
          </cell>
          <cell r="O1069" t="str">
            <v>001</v>
          </cell>
          <cell r="P1069" t="str">
            <v>0</v>
          </cell>
          <cell r="Q1069">
            <v>18</v>
          </cell>
          <cell r="R1069" t="str">
            <v>MRC</v>
          </cell>
          <cell r="S1069" t="str">
            <v>ZZ</v>
          </cell>
          <cell r="T1069">
            <v>11</v>
          </cell>
          <cell r="U1069" t="str">
            <v>1601234001018MRCZZ11</v>
          </cell>
          <cell r="V1069">
            <v>1060</v>
          </cell>
          <cell r="W1069" t="str">
            <v>ESKOM</v>
          </cell>
          <cell r="X1069">
            <v>0</v>
          </cell>
          <cell r="Y1069">
            <v>0</v>
          </cell>
          <cell r="Z1069">
            <v>0</v>
          </cell>
          <cell r="AA1069"/>
          <cell r="AB1069">
            <v>0</v>
          </cell>
          <cell r="AC1069">
            <v>0</v>
          </cell>
        </row>
        <row r="1070">
          <cell r="F1070" t="str">
            <v>TOTAL</v>
          </cell>
          <cell r="I1070" t="str">
            <v/>
          </cell>
          <cell r="T1070"/>
          <cell r="U1070"/>
          <cell r="V1070"/>
          <cell r="W1070"/>
          <cell r="X1070"/>
          <cell r="Y1070"/>
          <cell r="Z1070"/>
          <cell r="AA1070"/>
          <cell r="AB1070"/>
          <cell r="AC1070">
            <v>-160049791.51912755</v>
          </cell>
        </row>
        <row r="1071">
          <cell r="I1071" t="str">
            <v/>
          </cell>
          <cell r="X1071"/>
          <cell r="Y1071"/>
          <cell r="AC1071">
            <v>1.9073486328125E-6</v>
          </cell>
        </row>
        <row r="1072">
          <cell r="I1072" t="str">
            <v/>
          </cell>
          <cell r="Z1072"/>
        </row>
        <row r="1073">
          <cell r="I1073" t="str">
            <v/>
          </cell>
        </row>
        <row r="1074">
          <cell r="I1074" t="str">
            <v/>
          </cell>
        </row>
        <row r="1075">
          <cell r="I1075" t="str">
            <v/>
          </cell>
        </row>
        <row r="1076">
          <cell r="I1076" t="str">
            <v/>
          </cell>
        </row>
        <row r="1077">
          <cell r="I1077" t="str">
            <v/>
          </cell>
        </row>
        <row r="1078">
          <cell r="I1078" t="str">
            <v/>
          </cell>
        </row>
        <row r="1079">
          <cell r="I1079" t="str">
            <v/>
          </cell>
        </row>
        <row r="1080">
          <cell r="I1080" t="str">
            <v/>
          </cell>
          <cell r="AC1080">
            <v>-627721780.6289345</v>
          </cell>
        </row>
        <row r="1081">
          <cell r="I1081" t="str">
            <v/>
          </cell>
        </row>
        <row r="1082">
          <cell r="AC1082">
            <v>-627721780.6289345</v>
          </cell>
        </row>
        <row r="1083">
          <cell r="AC1083">
            <v>2194359628.8159995</v>
          </cell>
        </row>
        <row r="1084">
          <cell r="AC1084">
            <v>2822081409.4449339</v>
          </cell>
        </row>
        <row r="1086">
          <cell r="AC1086">
            <v>95.2</v>
          </cell>
        </row>
        <row r="1089">
          <cell r="AC1089">
            <v>3000000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F1-Sum"/>
      <sheetName val="F2-FinPerf"/>
      <sheetName val="F3-Capex"/>
      <sheetName val="F4-FinPos"/>
      <sheetName val="F5-CFlow"/>
      <sheetName val="SF1"/>
      <sheetName val="SF2"/>
      <sheetName val="SF3"/>
      <sheetName val="SF4"/>
      <sheetName val="SF5"/>
      <sheetName val="SF6"/>
      <sheetName val="SF7"/>
      <sheetName val="SF8a"/>
      <sheetName val="SF8b"/>
      <sheetName val="SF8c"/>
    </sheetNames>
    <sheetDataSet>
      <sheetData sheetId="0"/>
      <sheetData sheetId="1">
        <row r="11">
          <cell r="X11" t="str">
            <v>M06 December</v>
          </cell>
        </row>
      </sheetData>
      <sheetData sheetId="2">
        <row r="46">
          <cell r="B46" t="str">
            <v>Monthly actual</v>
          </cell>
        </row>
        <row r="47">
          <cell r="B47" t="str">
            <v>YearTD actual</v>
          </cell>
        </row>
        <row r="48">
          <cell r="B48" t="str">
            <v>YearTD budget</v>
          </cell>
        </row>
        <row r="49">
          <cell r="B49" t="str">
            <v>YTD variance</v>
          </cell>
        </row>
        <row r="80">
          <cell r="B80" t="str">
            <v>Centlec (Soc) Ltd - Table F2 Monthly Budget Statement - Financial Performance (revenue and expenditure)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F1-Sum"/>
      <sheetName val="F2-FinPerf"/>
      <sheetName val="F3-Capex"/>
      <sheetName val="F4-FinPos"/>
      <sheetName val="F5-CFlow"/>
      <sheetName val="SF1"/>
      <sheetName val="SF2"/>
      <sheetName val="SF3"/>
      <sheetName val="SF4"/>
      <sheetName val="SF5"/>
      <sheetName val="SF6"/>
      <sheetName val="SF7"/>
      <sheetName val="SF8a"/>
      <sheetName val="SF8b"/>
      <sheetName val="SF8c"/>
      <sheetName val="SF8d"/>
      <sheetName val="SF8e"/>
    </sheetNames>
    <sheetDataSet>
      <sheetData sheetId="0"/>
      <sheetData sheetId="1"/>
      <sheetData sheetId="2"/>
      <sheetData sheetId="3"/>
      <sheetData sheetId="4"/>
      <sheetData sheetId="5">
        <row r="25">
          <cell r="D25">
            <v>379701890</v>
          </cell>
        </row>
        <row r="26">
          <cell r="D26">
            <v>982439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  <sheetName val="Sherq"/>
      <sheetName val="Legal and Contract Service"/>
      <sheetName val="Information Management"/>
      <sheetName val="Internal Aud"/>
      <sheetName val="Sheet2"/>
      <sheetName val="Marketing and Com"/>
      <sheetName val="Stragetic Support"/>
      <sheetName val="CEO OFFICE"/>
    </sheetNames>
    <sheetDataSet>
      <sheetData sheetId="0"/>
      <sheetData sheetId="1">
        <row r="1">
          <cell r="A1" t="str">
            <v>Votenumber</v>
          </cell>
          <cell r="B1" t="str">
            <v>Vo</v>
          </cell>
          <cell r="C1" t="str">
            <v>te</v>
          </cell>
          <cell r="D1" t="str">
            <v>n</v>
          </cell>
          <cell r="E1" t="str">
            <v>um</v>
          </cell>
          <cell r="F1" t="str">
            <v>ber</v>
          </cell>
          <cell r="G1"/>
          <cell r="H1"/>
          <cell r="I1"/>
          <cell r="J1"/>
          <cell r="K1"/>
          <cell r="L1" t="str">
            <v>Description</v>
          </cell>
          <cell r="M1" t="str">
            <v>Budget</v>
          </cell>
          <cell r="N1" t="str">
            <v>Curr Mth Exp</v>
          </cell>
          <cell r="O1" t="str">
            <v>Commitment</v>
          </cell>
          <cell r="P1" t="str">
            <v>YTD Movement</v>
          </cell>
          <cell r="Q1" t="str">
            <v>Unspend Bud</v>
          </cell>
          <cell r="R1" t="str">
            <v>Perc</v>
          </cell>
          <cell r="S1" t="str">
            <v>MTREF 2023-24</v>
          </cell>
        </row>
        <row r="2">
          <cell r="A2" t="str">
            <v>1101203005018MRCZZ11</v>
          </cell>
          <cell r="B2" t="str">
            <v>11</v>
          </cell>
          <cell r="C2" t="str">
            <v>01</v>
          </cell>
          <cell r="D2" t="str">
            <v>2</v>
          </cell>
          <cell r="E2" t="str">
            <v>03</v>
          </cell>
          <cell r="F2" t="str">
            <v>005</v>
          </cell>
          <cell r="G2" t="str">
            <v>0</v>
          </cell>
          <cell r="H2">
            <v>18</v>
          </cell>
          <cell r="I2" t="str">
            <v>MRC</v>
          </cell>
          <cell r="J2" t="str">
            <v>ZZ</v>
          </cell>
          <cell r="K2">
            <v>11</v>
          </cell>
          <cell r="L2" t="str">
            <v>SM MM: SAL &amp; ALL -  BASIC SALARY</v>
          </cell>
          <cell r="M2">
            <v>2571832</v>
          </cell>
          <cell r="N2">
            <v>0</v>
          </cell>
          <cell r="O2">
            <v>0</v>
          </cell>
          <cell r="P2">
            <v>1366729.56</v>
          </cell>
          <cell r="Q2">
            <v>1205102.44</v>
          </cell>
          <cell r="R2">
            <v>53.14</v>
          </cell>
        </row>
        <row r="3">
          <cell r="A3" t="str">
            <v>1101203007018MRCZZ11</v>
          </cell>
          <cell r="B3" t="str">
            <v>11</v>
          </cell>
          <cell r="C3" t="str">
            <v>01</v>
          </cell>
          <cell r="D3" t="str">
            <v>2</v>
          </cell>
          <cell r="E3" t="str">
            <v>03</v>
          </cell>
          <cell r="F3" t="str">
            <v>007</v>
          </cell>
          <cell r="G3" t="str">
            <v>0</v>
          </cell>
          <cell r="H3">
            <v>18</v>
          </cell>
          <cell r="I3" t="str">
            <v>MRC</v>
          </cell>
          <cell r="J3" t="str">
            <v>ZZ</v>
          </cell>
          <cell r="K3">
            <v>11</v>
          </cell>
          <cell r="L3" t="str">
            <v>SM MM: ALLOW - CELLULAR &amp; TELEPHONE</v>
          </cell>
          <cell r="M3">
            <v>25152</v>
          </cell>
          <cell r="N3">
            <v>0</v>
          </cell>
          <cell r="O3">
            <v>0</v>
          </cell>
          <cell r="P3">
            <v>14000</v>
          </cell>
          <cell r="Q3">
            <v>11152</v>
          </cell>
          <cell r="R3">
            <v>55.66</v>
          </cell>
        </row>
        <row r="4">
          <cell r="A4" t="str">
            <v>1101205021018MRCZZ11</v>
          </cell>
          <cell r="B4" t="str">
            <v>11</v>
          </cell>
          <cell r="C4" t="str">
            <v>01</v>
          </cell>
          <cell r="D4" t="str">
            <v>2</v>
          </cell>
          <cell r="E4" t="str">
            <v>05</v>
          </cell>
          <cell r="F4" t="str">
            <v>021</v>
          </cell>
          <cell r="G4" t="str">
            <v>0</v>
          </cell>
          <cell r="H4">
            <v>18</v>
          </cell>
          <cell r="I4" t="str">
            <v>MRC</v>
          </cell>
          <cell r="J4" t="str">
            <v>ZZ</v>
          </cell>
          <cell r="K4">
            <v>11</v>
          </cell>
          <cell r="L4" t="str">
            <v>SM MM: SOC CONTR: MEDICAL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1101205022018MRCZZ11</v>
          </cell>
          <cell r="B5" t="str">
            <v>11</v>
          </cell>
          <cell r="C5" t="str">
            <v>01</v>
          </cell>
          <cell r="D5" t="str">
            <v>2</v>
          </cell>
          <cell r="E5" t="str">
            <v>05</v>
          </cell>
          <cell r="F5" t="str">
            <v>022</v>
          </cell>
          <cell r="G5" t="str">
            <v>0</v>
          </cell>
          <cell r="H5">
            <v>18</v>
          </cell>
          <cell r="I5" t="str">
            <v>MRC</v>
          </cell>
          <cell r="J5" t="str">
            <v>ZZ</v>
          </cell>
          <cell r="K5">
            <v>11</v>
          </cell>
          <cell r="L5" t="str">
            <v>SM MM: SOC CONTR: PENSION FUNDS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1101205023018MRCZZ11</v>
          </cell>
          <cell r="B6" t="str">
            <v>11</v>
          </cell>
          <cell r="C6" t="str">
            <v>01</v>
          </cell>
          <cell r="D6" t="str">
            <v>2</v>
          </cell>
          <cell r="E6" t="str">
            <v>05</v>
          </cell>
          <cell r="F6" t="str">
            <v>023</v>
          </cell>
          <cell r="G6" t="str">
            <v>0</v>
          </cell>
          <cell r="H6">
            <v>18</v>
          </cell>
          <cell r="I6" t="str">
            <v>MRC</v>
          </cell>
          <cell r="J6" t="str">
            <v>ZZ</v>
          </cell>
          <cell r="K6">
            <v>11</v>
          </cell>
          <cell r="L6" t="str">
            <v>SM MM: SOC CONTR: UIF</v>
          </cell>
          <cell r="M6">
            <v>0</v>
          </cell>
          <cell r="N6">
            <v>0</v>
          </cell>
          <cell r="O6">
            <v>0</v>
          </cell>
          <cell r="P6">
            <v>1239.8399999999999</v>
          </cell>
          <cell r="Q6">
            <v>-1239.8399999999999</v>
          </cell>
          <cell r="R6">
            <v>0</v>
          </cell>
        </row>
        <row r="7">
          <cell r="A7" t="str">
            <v>1101205024018MRCZZ11</v>
          </cell>
          <cell r="B7" t="str">
            <v>11</v>
          </cell>
          <cell r="C7" t="str">
            <v>01</v>
          </cell>
          <cell r="D7" t="str">
            <v>2</v>
          </cell>
          <cell r="E7" t="str">
            <v>05</v>
          </cell>
          <cell r="F7" t="str">
            <v>024</v>
          </cell>
          <cell r="G7" t="str">
            <v>0</v>
          </cell>
          <cell r="H7">
            <v>18</v>
          </cell>
          <cell r="I7" t="str">
            <v>MRC</v>
          </cell>
          <cell r="J7" t="str">
            <v>ZZ</v>
          </cell>
          <cell r="K7">
            <v>11</v>
          </cell>
          <cell r="L7" t="str">
            <v>SM MM: SOC CONTR: BARGAINING COUNCIL</v>
          </cell>
          <cell r="M7">
            <v>0</v>
          </cell>
          <cell r="N7">
            <v>0</v>
          </cell>
          <cell r="O7">
            <v>0</v>
          </cell>
          <cell r="P7">
            <v>75.599999999999994</v>
          </cell>
          <cell r="Q7">
            <v>-75.599999999999994</v>
          </cell>
          <cell r="R7">
            <v>0</v>
          </cell>
        </row>
        <row r="8">
          <cell r="A8" t="str">
            <v>1101211001018MRCZZ11</v>
          </cell>
          <cell r="B8" t="str">
            <v>11</v>
          </cell>
          <cell r="C8" t="str">
            <v>01</v>
          </cell>
          <cell r="D8" t="str">
            <v>2</v>
          </cell>
          <cell r="E8" t="str">
            <v>11</v>
          </cell>
          <cell r="F8" t="str">
            <v>001</v>
          </cell>
          <cell r="G8" t="str">
            <v>0</v>
          </cell>
          <cell r="H8">
            <v>18</v>
          </cell>
          <cell r="I8" t="str">
            <v>MRC</v>
          </cell>
          <cell r="J8" t="str">
            <v>ZZ</v>
          </cell>
          <cell r="K8">
            <v>11</v>
          </cell>
          <cell r="L8" t="str">
            <v>MS: SAL &amp; ALL: BASIC SALARY &amp; WAGES</v>
          </cell>
          <cell r="M8">
            <v>6911759</v>
          </cell>
          <cell r="N8">
            <v>0</v>
          </cell>
          <cell r="O8">
            <v>0</v>
          </cell>
          <cell r="P8">
            <v>6419846.75</v>
          </cell>
          <cell r="Q8">
            <v>491912.25</v>
          </cell>
          <cell r="R8">
            <v>92.88</v>
          </cell>
        </row>
        <row r="9">
          <cell r="A9" t="str">
            <v>1101211022018MRCZZ11</v>
          </cell>
          <cell r="B9" t="str">
            <v>11</v>
          </cell>
          <cell r="C9" t="str">
            <v>01</v>
          </cell>
          <cell r="D9" t="str">
            <v>2</v>
          </cell>
          <cell r="E9" t="str">
            <v>11</v>
          </cell>
          <cell r="F9" t="str">
            <v>022</v>
          </cell>
          <cell r="G9" t="str">
            <v>0</v>
          </cell>
          <cell r="H9">
            <v>18</v>
          </cell>
          <cell r="I9" t="str">
            <v>MRC</v>
          </cell>
          <cell r="J9" t="str">
            <v>ZZ</v>
          </cell>
          <cell r="K9">
            <v>11</v>
          </cell>
          <cell r="L9" t="str">
            <v>MS: ALL - CELLULAR &amp; TELEPHONE</v>
          </cell>
          <cell r="M9">
            <v>58072</v>
          </cell>
          <cell r="N9">
            <v>0</v>
          </cell>
          <cell r="O9">
            <v>0</v>
          </cell>
          <cell r="P9">
            <v>15600</v>
          </cell>
          <cell r="Q9">
            <v>42472</v>
          </cell>
          <cell r="R9">
            <v>26.86</v>
          </cell>
        </row>
        <row r="10">
          <cell r="A10" t="str">
            <v>1101211026018MRCZZ11</v>
          </cell>
          <cell r="B10" t="str">
            <v>11</v>
          </cell>
          <cell r="C10" t="str">
            <v>01</v>
          </cell>
          <cell r="D10" t="str">
            <v>2</v>
          </cell>
          <cell r="E10" t="str">
            <v>11</v>
          </cell>
          <cell r="F10" t="str">
            <v>026</v>
          </cell>
          <cell r="G10" t="str">
            <v>0</v>
          </cell>
          <cell r="H10">
            <v>18</v>
          </cell>
          <cell r="I10" t="str">
            <v>MRC</v>
          </cell>
          <cell r="J10" t="str">
            <v>ZZ</v>
          </cell>
          <cell r="K10">
            <v>11</v>
          </cell>
          <cell r="L10" t="str">
            <v>MS: HB &amp; INC: HOUSING BENEFITS</v>
          </cell>
          <cell r="M10">
            <v>230464</v>
          </cell>
          <cell r="N10">
            <v>0</v>
          </cell>
          <cell r="O10">
            <v>0</v>
          </cell>
          <cell r="P10">
            <v>0</v>
          </cell>
          <cell r="Q10">
            <v>230464</v>
          </cell>
          <cell r="R10">
            <v>0</v>
          </cell>
        </row>
        <row r="11">
          <cell r="A11" t="str">
            <v>1101211032018MRCZZ11</v>
          </cell>
          <cell r="B11" t="str">
            <v>11</v>
          </cell>
          <cell r="C11" t="str">
            <v>01</v>
          </cell>
          <cell r="D11" t="str">
            <v>2</v>
          </cell>
          <cell r="E11" t="str">
            <v>11</v>
          </cell>
          <cell r="F11" t="str">
            <v>032</v>
          </cell>
          <cell r="G11" t="str">
            <v>0</v>
          </cell>
          <cell r="H11">
            <v>18</v>
          </cell>
          <cell r="I11" t="str">
            <v>MRC</v>
          </cell>
          <cell r="J11" t="str">
            <v>ZZ</v>
          </cell>
          <cell r="K11">
            <v>11</v>
          </cell>
          <cell r="L11" t="str">
            <v>MS: ALL - LEAVE PAY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1101211034118MRCZZ11</v>
          </cell>
          <cell r="B12" t="str">
            <v>11</v>
          </cell>
          <cell r="C12" t="str">
            <v>01</v>
          </cell>
          <cell r="D12" t="str">
            <v>2</v>
          </cell>
          <cell r="E12" t="str">
            <v>11</v>
          </cell>
          <cell r="F12" t="str">
            <v>034</v>
          </cell>
          <cell r="G12" t="str">
            <v>1</v>
          </cell>
          <cell r="H12">
            <v>18</v>
          </cell>
          <cell r="I12" t="str">
            <v>MRC</v>
          </cell>
          <cell r="J12" t="str">
            <v>ZZ</v>
          </cell>
          <cell r="K12">
            <v>11</v>
          </cell>
          <cell r="L12" t="str">
            <v>MS: ALL - TRAVEL OR MOTOR VEHICLE (SUBS</v>
          </cell>
          <cell r="M12">
            <v>43274</v>
          </cell>
          <cell r="N12">
            <v>0</v>
          </cell>
          <cell r="O12">
            <v>0</v>
          </cell>
          <cell r="P12">
            <v>580624.15</v>
          </cell>
          <cell r="Q12">
            <v>-537350.15</v>
          </cell>
          <cell r="R12">
            <v>999.99</v>
          </cell>
        </row>
        <row r="13">
          <cell r="A13" t="str">
            <v>1101211038018MRCZZ11</v>
          </cell>
          <cell r="B13" t="str">
            <v>11</v>
          </cell>
          <cell r="C13" t="str">
            <v>01</v>
          </cell>
          <cell r="D13" t="str">
            <v>2</v>
          </cell>
          <cell r="E13" t="str">
            <v>11</v>
          </cell>
          <cell r="F13" t="str">
            <v>038</v>
          </cell>
          <cell r="G13" t="str">
            <v>0</v>
          </cell>
          <cell r="H13">
            <v>18</v>
          </cell>
          <cell r="I13" t="str">
            <v>MRC</v>
          </cell>
          <cell r="J13" t="str">
            <v>ZZ</v>
          </cell>
          <cell r="K13">
            <v>11</v>
          </cell>
          <cell r="L13" t="str">
            <v>MS: OVERTIME - STRUCTURED</v>
          </cell>
          <cell r="M13">
            <v>1848632</v>
          </cell>
          <cell r="N13">
            <v>0</v>
          </cell>
          <cell r="O13">
            <v>0</v>
          </cell>
          <cell r="P13">
            <v>879031.19</v>
          </cell>
          <cell r="Q13">
            <v>969600.81</v>
          </cell>
          <cell r="R13">
            <v>47.55</v>
          </cell>
        </row>
        <row r="14">
          <cell r="A14" t="str">
            <v>1101211042018MRCZZ11</v>
          </cell>
          <cell r="B14" t="str">
            <v>11</v>
          </cell>
          <cell r="C14" t="str">
            <v>01</v>
          </cell>
          <cell r="D14" t="str">
            <v>2</v>
          </cell>
          <cell r="E14" t="str">
            <v>11</v>
          </cell>
          <cell r="F14" t="str">
            <v>042</v>
          </cell>
          <cell r="G14" t="str">
            <v>0</v>
          </cell>
          <cell r="H14">
            <v>18</v>
          </cell>
          <cell r="I14" t="str">
            <v>MRC</v>
          </cell>
          <cell r="J14" t="str">
            <v>ZZ</v>
          </cell>
          <cell r="K14">
            <v>11</v>
          </cell>
          <cell r="L14" t="str">
            <v>MS: OVERTIME - NIGHT SHIFT</v>
          </cell>
          <cell r="M14">
            <v>117652</v>
          </cell>
          <cell r="N14">
            <v>0</v>
          </cell>
          <cell r="O14">
            <v>0</v>
          </cell>
          <cell r="P14">
            <v>55986.07</v>
          </cell>
          <cell r="Q14">
            <v>61665.93</v>
          </cell>
          <cell r="R14">
            <v>47.58</v>
          </cell>
        </row>
        <row r="15">
          <cell r="A15" t="str">
            <v>1101211044018MRCZZ11</v>
          </cell>
          <cell r="B15" t="str">
            <v>11</v>
          </cell>
          <cell r="C15" t="str">
            <v>01</v>
          </cell>
          <cell r="D15" t="str">
            <v>2</v>
          </cell>
          <cell r="E15" t="str">
            <v>11</v>
          </cell>
          <cell r="F15" t="str">
            <v>044</v>
          </cell>
          <cell r="G15" t="str">
            <v>0</v>
          </cell>
          <cell r="H15">
            <v>18</v>
          </cell>
          <cell r="I15" t="str">
            <v>MRC</v>
          </cell>
          <cell r="J15" t="str">
            <v>ZZ</v>
          </cell>
          <cell r="K15">
            <v>11</v>
          </cell>
          <cell r="L15" t="str">
            <v>MS: SRB - ACTING ALLOWANCE</v>
          </cell>
          <cell r="M15">
            <v>0</v>
          </cell>
          <cell r="N15">
            <v>0</v>
          </cell>
          <cell r="O15">
            <v>0</v>
          </cell>
          <cell r="P15">
            <v>182232</v>
          </cell>
          <cell r="Q15">
            <v>-182232</v>
          </cell>
          <cell r="R15">
            <v>0</v>
          </cell>
        </row>
        <row r="16">
          <cell r="A16" t="str">
            <v>1101211046018MRCZZ11</v>
          </cell>
          <cell r="B16" t="str">
            <v>11</v>
          </cell>
          <cell r="C16" t="str">
            <v>01</v>
          </cell>
          <cell r="D16" t="str">
            <v>2</v>
          </cell>
          <cell r="E16" t="str">
            <v>11</v>
          </cell>
          <cell r="F16" t="str">
            <v>046</v>
          </cell>
          <cell r="G16" t="str">
            <v>0</v>
          </cell>
          <cell r="H16">
            <v>18</v>
          </cell>
          <cell r="I16" t="str">
            <v>MRC</v>
          </cell>
          <cell r="J16" t="str">
            <v>ZZ</v>
          </cell>
          <cell r="K16">
            <v>11</v>
          </cell>
          <cell r="L16" t="str">
            <v>MS: SRB - ANNUAL BONUS</v>
          </cell>
          <cell r="M16">
            <v>405875</v>
          </cell>
          <cell r="N16">
            <v>0</v>
          </cell>
          <cell r="O16">
            <v>0</v>
          </cell>
          <cell r="P16">
            <v>162839.47</v>
          </cell>
          <cell r="Q16">
            <v>243035.53</v>
          </cell>
          <cell r="R16">
            <v>40.119999999999997</v>
          </cell>
        </row>
        <row r="17">
          <cell r="A17" t="str">
            <v>1101211056018MRCZZ11</v>
          </cell>
          <cell r="B17" t="str">
            <v>11</v>
          </cell>
          <cell r="C17" t="str">
            <v>01</v>
          </cell>
          <cell r="D17" t="str">
            <v>2</v>
          </cell>
          <cell r="E17" t="str">
            <v>11</v>
          </cell>
          <cell r="F17" t="str">
            <v>056</v>
          </cell>
          <cell r="G17" t="str">
            <v>0</v>
          </cell>
          <cell r="H17">
            <v>18</v>
          </cell>
          <cell r="I17" t="str">
            <v>MRC</v>
          </cell>
          <cell r="J17" t="str">
            <v>ZZ</v>
          </cell>
          <cell r="K17">
            <v>11</v>
          </cell>
          <cell r="L17" t="str">
            <v>MS: SRB - STANDBY ALLOWANCE</v>
          </cell>
          <cell r="M17">
            <v>641450</v>
          </cell>
          <cell r="N17">
            <v>0</v>
          </cell>
          <cell r="O17">
            <v>0</v>
          </cell>
          <cell r="P17">
            <v>369965.11</v>
          </cell>
          <cell r="Q17">
            <v>271484.89</v>
          </cell>
          <cell r="R17">
            <v>57.67</v>
          </cell>
        </row>
        <row r="18">
          <cell r="A18" t="str">
            <v>1101211058018MRCZZ11</v>
          </cell>
          <cell r="B18" t="str">
            <v>11</v>
          </cell>
          <cell r="C18" t="str">
            <v>01</v>
          </cell>
          <cell r="D18" t="str">
            <v>2</v>
          </cell>
          <cell r="E18" t="str">
            <v>11</v>
          </cell>
          <cell r="F18" t="str">
            <v>058</v>
          </cell>
          <cell r="G18" t="str">
            <v>0</v>
          </cell>
          <cell r="H18">
            <v>18</v>
          </cell>
          <cell r="I18" t="str">
            <v>MRC</v>
          </cell>
          <cell r="J18" t="str">
            <v>ZZ</v>
          </cell>
          <cell r="K18">
            <v>11</v>
          </cell>
          <cell r="L18" t="str">
            <v>MS: SRB - TOOLS ALLOWANCE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1101213001018MRCZZ11</v>
          </cell>
          <cell r="B19" t="str">
            <v>11</v>
          </cell>
          <cell r="C19" t="str">
            <v>01</v>
          </cell>
          <cell r="D19" t="str">
            <v>2</v>
          </cell>
          <cell r="E19" t="str">
            <v>13</v>
          </cell>
          <cell r="F19" t="str">
            <v>001</v>
          </cell>
          <cell r="G19" t="str">
            <v>0</v>
          </cell>
          <cell r="H19">
            <v>18</v>
          </cell>
          <cell r="I19" t="str">
            <v>MRC</v>
          </cell>
          <cell r="J19" t="str">
            <v>ZZ</v>
          </cell>
          <cell r="K19">
            <v>11</v>
          </cell>
          <cell r="L19" t="str">
            <v>MS: SOC CONTR - BARGAINING COUNCIL</v>
          </cell>
          <cell r="M19">
            <v>2461</v>
          </cell>
          <cell r="N19">
            <v>0</v>
          </cell>
          <cell r="O19">
            <v>0</v>
          </cell>
          <cell r="P19">
            <v>3002.4</v>
          </cell>
          <cell r="Q19">
            <v>-541.4</v>
          </cell>
          <cell r="R19">
            <v>121.99</v>
          </cell>
        </row>
        <row r="20">
          <cell r="A20" t="str">
            <v>1101213010018MRCZZ11</v>
          </cell>
          <cell r="B20" t="str">
            <v>11</v>
          </cell>
          <cell r="C20" t="str">
            <v>01</v>
          </cell>
          <cell r="D20" t="str">
            <v>2</v>
          </cell>
          <cell r="E20" t="str">
            <v>13</v>
          </cell>
          <cell r="F20" t="str">
            <v>010</v>
          </cell>
          <cell r="G20" t="str">
            <v>0</v>
          </cell>
          <cell r="H20">
            <v>18</v>
          </cell>
          <cell r="I20" t="str">
            <v>MRC</v>
          </cell>
          <cell r="J20" t="str">
            <v>ZZ</v>
          </cell>
          <cell r="K20">
            <v>11</v>
          </cell>
          <cell r="L20" t="str">
            <v>MS: SOC CONTR - GROUP LIFE INSURANCE</v>
          </cell>
          <cell r="M20">
            <v>117500</v>
          </cell>
          <cell r="N20">
            <v>0</v>
          </cell>
          <cell r="O20">
            <v>0</v>
          </cell>
          <cell r="P20">
            <v>63037.57</v>
          </cell>
          <cell r="Q20">
            <v>54462.43</v>
          </cell>
          <cell r="R20">
            <v>53.64</v>
          </cell>
        </row>
        <row r="21">
          <cell r="A21" t="str">
            <v>1101213020018MRCZZ11</v>
          </cell>
          <cell r="B21" t="str">
            <v>11</v>
          </cell>
          <cell r="C21" t="str">
            <v>01</v>
          </cell>
          <cell r="D21" t="str">
            <v>2</v>
          </cell>
          <cell r="E21" t="str">
            <v>13</v>
          </cell>
          <cell r="F21" t="str">
            <v>020</v>
          </cell>
          <cell r="G21" t="str">
            <v>0</v>
          </cell>
          <cell r="H21">
            <v>18</v>
          </cell>
          <cell r="I21" t="str">
            <v>MRC</v>
          </cell>
          <cell r="J21" t="str">
            <v>ZZ</v>
          </cell>
          <cell r="K21">
            <v>11</v>
          </cell>
          <cell r="L21" t="str">
            <v>MS: SOC CONTR - MEDICAL</v>
          </cell>
          <cell r="M21">
            <v>1200535</v>
          </cell>
          <cell r="N21">
            <v>0</v>
          </cell>
          <cell r="O21">
            <v>0</v>
          </cell>
          <cell r="P21">
            <v>790575.2</v>
          </cell>
          <cell r="Q21">
            <v>409959.8</v>
          </cell>
          <cell r="R21">
            <v>65.849999999999994</v>
          </cell>
        </row>
        <row r="22">
          <cell r="A22" t="str">
            <v>1101213030018MRCZZ11</v>
          </cell>
          <cell r="B22" t="str">
            <v>11</v>
          </cell>
          <cell r="C22" t="str">
            <v>01</v>
          </cell>
          <cell r="D22" t="str">
            <v>2</v>
          </cell>
          <cell r="E22" t="str">
            <v>13</v>
          </cell>
          <cell r="F22" t="str">
            <v>030</v>
          </cell>
          <cell r="G22" t="str">
            <v>0</v>
          </cell>
          <cell r="H22">
            <v>18</v>
          </cell>
          <cell r="I22" t="str">
            <v>MRC</v>
          </cell>
          <cell r="J22" t="str">
            <v>ZZ</v>
          </cell>
          <cell r="K22">
            <v>11</v>
          </cell>
          <cell r="L22" t="str">
            <v>MS: SOC CONTR - PENSION</v>
          </cell>
          <cell r="M22">
            <v>1248955</v>
          </cell>
          <cell r="N22">
            <v>0</v>
          </cell>
          <cell r="O22">
            <v>0</v>
          </cell>
          <cell r="P22">
            <v>1117618.97</v>
          </cell>
          <cell r="Q22">
            <v>131336.03</v>
          </cell>
          <cell r="R22">
            <v>89.48</v>
          </cell>
        </row>
        <row r="23">
          <cell r="A23" t="str">
            <v>1101213040018MRCZZ11</v>
          </cell>
          <cell r="B23" t="str">
            <v>11</v>
          </cell>
          <cell r="C23" t="str">
            <v>01</v>
          </cell>
          <cell r="D23" t="str">
            <v>2</v>
          </cell>
          <cell r="E23" t="str">
            <v>13</v>
          </cell>
          <cell r="F23" t="str">
            <v>040</v>
          </cell>
          <cell r="G23" t="str">
            <v>0</v>
          </cell>
          <cell r="H23">
            <v>18</v>
          </cell>
          <cell r="I23" t="str">
            <v>MRC</v>
          </cell>
          <cell r="J23" t="str">
            <v>ZZ</v>
          </cell>
          <cell r="K23">
            <v>11</v>
          </cell>
          <cell r="L23" t="str">
            <v>MS: SOC CONTR - UNEMPLOYMENT INSUR FUND</v>
          </cell>
          <cell r="M23">
            <v>44549</v>
          </cell>
          <cell r="N23">
            <v>0</v>
          </cell>
          <cell r="O23">
            <v>0</v>
          </cell>
          <cell r="P23">
            <v>49142.97</v>
          </cell>
          <cell r="Q23">
            <v>-4593.97</v>
          </cell>
          <cell r="R23">
            <v>110.31</v>
          </cell>
        </row>
        <row r="24">
          <cell r="A24" t="str">
            <v>1101226060H18MRCZZ11</v>
          </cell>
          <cell r="B24" t="str">
            <v>11</v>
          </cell>
          <cell r="C24" t="str">
            <v>01</v>
          </cell>
          <cell r="D24" t="str">
            <v>2</v>
          </cell>
          <cell r="E24" t="str">
            <v>26</v>
          </cell>
          <cell r="F24" t="str">
            <v>060</v>
          </cell>
          <cell r="G24" t="str">
            <v>H</v>
          </cell>
          <cell r="H24">
            <v>18</v>
          </cell>
          <cell r="I24" t="str">
            <v>MRC</v>
          </cell>
          <cell r="J24" t="str">
            <v>ZZ</v>
          </cell>
          <cell r="K24">
            <v>11</v>
          </cell>
          <cell r="L24" t="str">
            <v>OS: CATERING SERVICES(REFRESHMENTS)</v>
          </cell>
          <cell r="M24">
            <v>10000</v>
          </cell>
          <cell r="N24">
            <v>0</v>
          </cell>
          <cell r="O24">
            <v>0</v>
          </cell>
          <cell r="P24">
            <v>5428.5</v>
          </cell>
          <cell r="Q24">
            <v>4571.5</v>
          </cell>
          <cell r="R24">
            <v>54.28</v>
          </cell>
        </row>
        <row r="25">
          <cell r="A25" t="str">
            <v>1101227041018MRCZZ11</v>
          </cell>
          <cell r="B25" t="str">
            <v>11</v>
          </cell>
          <cell r="C25" t="str">
            <v>01</v>
          </cell>
          <cell r="D25" t="str">
            <v>2</v>
          </cell>
          <cell r="E25" t="str">
            <v>27</v>
          </cell>
          <cell r="F25" t="str">
            <v>041</v>
          </cell>
          <cell r="G25" t="str">
            <v>0</v>
          </cell>
          <cell r="H25">
            <v>18</v>
          </cell>
          <cell r="I25" t="str">
            <v>MRC</v>
          </cell>
          <cell r="J25" t="str">
            <v>ZZ</v>
          </cell>
          <cell r="K25">
            <v>11</v>
          </cell>
          <cell r="L25" t="str">
            <v>C&amp;PS: B&amp;A PROJECT MANAGEMENT</v>
          </cell>
          <cell r="M25">
            <v>1500000</v>
          </cell>
          <cell r="N25">
            <v>0</v>
          </cell>
          <cell r="O25">
            <v>0</v>
          </cell>
          <cell r="P25">
            <v>170752.8</v>
          </cell>
          <cell r="Q25">
            <v>1329247.2</v>
          </cell>
          <cell r="R25">
            <v>11.38</v>
          </cell>
        </row>
        <row r="26">
          <cell r="A26" t="str">
            <v>1101230012018MRCZZ11</v>
          </cell>
          <cell r="B26" t="str">
            <v>11</v>
          </cell>
          <cell r="C26" t="str">
            <v>01</v>
          </cell>
          <cell r="D26" t="str">
            <v>2</v>
          </cell>
          <cell r="E26" t="str">
            <v>30</v>
          </cell>
          <cell r="F26" t="str">
            <v>012</v>
          </cell>
          <cell r="G26" t="str">
            <v>0</v>
          </cell>
          <cell r="H26">
            <v>18</v>
          </cell>
          <cell r="I26" t="str">
            <v>MRC</v>
          </cell>
          <cell r="J26" t="str">
            <v>ZZ</v>
          </cell>
          <cell r="K26">
            <v>11</v>
          </cell>
          <cell r="L26" t="str">
            <v>OC: ADV/PUB/MARK - CORP &amp; MUN ACTIVITIES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1101230511018MRCZZ11</v>
          </cell>
          <cell r="B27" t="str">
            <v>11</v>
          </cell>
          <cell r="C27" t="str">
            <v>01</v>
          </cell>
          <cell r="D27" t="str">
            <v>2</v>
          </cell>
          <cell r="E27" t="str">
            <v>30</v>
          </cell>
          <cell r="F27" t="str">
            <v>511</v>
          </cell>
          <cell r="G27" t="str">
            <v>0</v>
          </cell>
          <cell r="H27">
            <v>18</v>
          </cell>
          <cell r="I27" t="str">
            <v>MRC</v>
          </cell>
          <cell r="J27" t="str">
            <v>ZZ</v>
          </cell>
          <cell r="K27">
            <v>11</v>
          </cell>
          <cell r="L27" t="str">
            <v>OC: REG FEES NATIONAL</v>
          </cell>
          <cell r="M27">
            <v>10000</v>
          </cell>
          <cell r="N27">
            <v>0</v>
          </cell>
          <cell r="O27">
            <v>0</v>
          </cell>
          <cell r="P27">
            <v>5565.22</v>
          </cell>
          <cell r="Q27">
            <v>4434.78</v>
          </cell>
          <cell r="R27">
            <v>55.65</v>
          </cell>
        </row>
        <row r="28">
          <cell r="A28" t="str">
            <v>1101230541018MRCZZ11</v>
          </cell>
          <cell r="B28" t="str">
            <v>11</v>
          </cell>
          <cell r="C28" t="str">
            <v>01</v>
          </cell>
          <cell r="D28" t="str">
            <v>2</v>
          </cell>
          <cell r="E28" t="str">
            <v>30</v>
          </cell>
          <cell r="F28" t="str">
            <v>541</v>
          </cell>
          <cell r="G28" t="str">
            <v>0</v>
          </cell>
          <cell r="H28">
            <v>18</v>
          </cell>
          <cell r="I28" t="str">
            <v>MRC</v>
          </cell>
          <cell r="J28" t="str">
            <v>ZZ</v>
          </cell>
          <cell r="K28">
            <v>11</v>
          </cell>
          <cell r="L28" t="str">
            <v>OC: SKILLS DEVELOPMENT FUND LEVY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1101230576018MRCZZ11</v>
          </cell>
          <cell r="B29" t="str">
            <v>11</v>
          </cell>
          <cell r="C29" t="str">
            <v>01</v>
          </cell>
          <cell r="D29" t="str">
            <v>2</v>
          </cell>
          <cell r="E29" t="str">
            <v>30</v>
          </cell>
          <cell r="F29" t="str">
            <v>576</v>
          </cell>
          <cell r="G29" t="str">
            <v>0</v>
          </cell>
          <cell r="H29">
            <v>18</v>
          </cell>
          <cell r="I29" t="str">
            <v>MRC</v>
          </cell>
          <cell r="J29" t="str">
            <v>ZZ</v>
          </cell>
          <cell r="K29">
            <v>11</v>
          </cell>
          <cell r="L29" t="str">
            <v>OC: T&amp;S DOM - ACCOMMODATION</v>
          </cell>
          <cell r="M29">
            <v>75000</v>
          </cell>
          <cell r="N29">
            <v>0</v>
          </cell>
          <cell r="O29">
            <v>0</v>
          </cell>
          <cell r="P29">
            <v>74701.649999999994</v>
          </cell>
          <cell r="Q29">
            <v>298.35000000000002</v>
          </cell>
          <cell r="R29">
            <v>99.6</v>
          </cell>
        </row>
        <row r="30">
          <cell r="A30" t="str">
            <v>1101230577018MRCZZ11</v>
          </cell>
          <cell r="B30" t="str">
            <v>11</v>
          </cell>
          <cell r="C30" t="str">
            <v>01</v>
          </cell>
          <cell r="D30" t="str">
            <v>2</v>
          </cell>
          <cell r="E30" t="str">
            <v>30</v>
          </cell>
          <cell r="F30" t="str">
            <v>577</v>
          </cell>
          <cell r="G30" t="str">
            <v>0</v>
          </cell>
          <cell r="H30">
            <v>18</v>
          </cell>
          <cell r="I30" t="str">
            <v>MRC</v>
          </cell>
          <cell r="J30" t="str">
            <v>ZZ</v>
          </cell>
          <cell r="K30">
            <v>11</v>
          </cell>
          <cell r="L30" t="str">
            <v>OC: T&amp;S DOM - DAILY ALLOWANCE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1101230580018MRCZZ11</v>
          </cell>
          <cell r="B31" t="str">
            <v>11</v>
          </cell>
          <cell r="C31" t="str">
            <v>01</v>
          </cell>
          <cell r="D31" t="str">
            <v>2</v>
          </cell>
          <cell r="E31" t="str">
            <v>30</v>
          </cell>
          <cell r="F31" t="str">
            <v>580</v>
          </cell>
          <cell r="G31" t="str">
            <v>0</v>
          </cell>
          <cell r="H31">
            <v>18</v>
          </cell>
          <cell r="I31" t="str">
            <v>MRC</v>
          </cell>
          <cell r="J31" t="str">
            <v>ZZ</v>
          </cell>
          <cell r="K31">
            <v>11</v>
          </cell>
          <cell r="L31" t="str">
            <v>OC: T&amp;S DOM TRP - WITHOUT OPR CAR RENTAL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1101230583018MRCZZ11</v>
          </cell>
          <cell r="B32" t="str">
            <v>11</v>
          </cell>
          <cell r="C32" t="str">
            <v>01</v>
          </cell>
          <cell r="D32" t="str">
            <v>2</v>
          </cell>
          <cell r="E32" t="str">
            <v>30</v>
          </cell>
          <cell r="F32" t="str">
            <v>583</v>
          </cell>
          <cell r="G32" t="str">
            <v>0</v>
          </cell>
          <cell r="H32">
            <v>18</v>
          </cell>
          <cell r="I32" t="str">
            <v>MRC</v>
          </cell>
          <cell r="J32" t="str">
            <v>ZZ</v>
          </cell>
          <cell r="K32">
            <v>11</v>
          </cell>
          <cell r="L32" t="str">
            <v>OC: T&amp;S DOM PUB TRP - AIR TRANSPORT</v>
          </cell>
          <cell r="M32">
            <v>10000</v>
          </cell>
          <cell r="N32">
            <v>0</v>
          </cell>
          <cell r="O32">
            <v>0</v>
          </cell>
          <cell r="P32">
            <v>0</v>
          </cell>
          <cell r="Q32">
            <v>10000</v>
          </cell>
          <cell r="R32">
            <v>0</v>
          </cell>
        </row>
        <row r="33">
          <cell r="A33" t="str">
            <v>1101232360D18MRCZZ11</v>
          </cell>
          <cell r="B33" t="str">
            <v>11</v>
          </cell>
          <cell r="C33" t="str">
            <v>01</v>
          </cell>
          <cell r="D33" t="str">
            <v>2</v>
          </cell>
          <cell r="E33" t="str">
            <v>32</v>
          </cell>
          <cell r="F33" t="str">
            <v>360</v>
          </cell>
          <cell r="G33" t="str">
            <v>D</v>
          </cell>
          <cell r="H33">
            <v>18</v>
          </cell>
          <cell r="I33" t="str">
            <v>MRC</v>
          </cell>
          <cell r="J33" t="str">
            <v>ZZ</v>
          </cell>
          <cell r="K33">
            <v>11</v>
          </cell>
          <cell r="L33" t="str">
            <v>INVENTORY - MATERIALS &amp; SUPPLIES(PRINT&amp;</v>
          </cell>
          <cell r="M33">
            <v>35000</v>
          </cell>
          <cell r="N33">
            <v>0</v>
          </cell>
          <cell r="O33">
            <v>0</v>
          </cell>
          <cell r="P33">
            <v>1725.35</v>
          </cell>
          <cell r="Q33">
            <v>33274.65</v>
          </cell>
          <cell r="R33">
            <v>4.92</v>
          </cell>
        </row>
        <row r="34">
          <cell r="A34" t="str">
            <v>1101272150018MRCZZ11</v>
          </cell>
          <cell r="B34" t="str">
            <v>11</v>
          </cell>
          <cell r="C34" t="str">
            <v>01</v>
          </cell>
          <cell r="D34" t="str">
            <v>2</v>
          </cell>
          <cell r="E34" t="str">
            <v>72</v>
          </cell>
          <cell r="F34" t="str">
            <v>150</v>
          </cell>
          <cell r="G34" t="str">
            <v>0</v>
          </cell>
          <cell r="H34">
            <v>18</v>
          </cell>
          <cell r="I34" t="str">
            <v>MRC</v>
          </cell>
          <cell r="J34" t="str">
            <v>ZZ</v>
          </cell>
          <cell r="K34">
            <v>11</v>
          </cell>
          <cell r="L34" t="str">
            <v>DEPRECIATION FURNITURE &amp; OFFICE EQUIPM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1103211001018MRCZZ11</v>
          </cell>
          <cell r="B35" t="str">
            <v>11</v>
          </cell>
          <cell r="C35" t="str">
            <v>03</v>
          </cell>
          <cell r="D35" t="str">
            <v>2</v>
          </cell>
          <cell r="E35" t="str">
            <v>11</v>
          </cell>
          <cell r="F35" t="str">
            <v>001</v>
          </cell>
          <cell r="G35" t="str">
            <v>0</v>
          </cell>
          <cell r="H35">
            <v>18</v>
          </cell>
          <cell r="I35" t="str">
            <v>MRC</v>
          </cell>
          <cell r="J35" t="str">
            <v>ZZ</v>
          </cell>
          <cell r="K35">
            <v>11</v>
          </cell>
          <cell r="L35" t="str">
            <v>MS: SAL &amp; ALL: BASIC SALARY &amp; WAGES</v>
          </cell>
          <cell r="M35">
            <v>1890525</v>
          </cell>
          <cell r="N35">
            <v>0</v>
          </cell>
          <cell r="O35">
            <v>0</v>
          </cell>
          <cell r="P35">
            <v>1196621.21</v>
          </cell>
          <cell r="Q35">
            <v>693903.79</v>
          </cell>
          <cell r="R35">
            <v>63.29</v>
          </cell>
        </row>
        <row r="36">
          <cell r="A36" t="str">
            <v>1103211022018MRCZZ11</v>
          </cell>
          <cell r="B36" t="str">
            <v>11</v>
          </cell>
          <cell r="C36" t="str">
            <v>03</v>
          </cell>
          <cell r="D36" t="str">
            <v>2</v>
          </cell>
          <cell r="E36" t="str">
            <v>11</v>
          </cell>
          <cell r="F36" t="str">
            <v>022</v>
          </cell>
          <cell r="G36" t="str">
            <v>0</v>
          </cell>
          <cell r="H36">
            <v>18</v>
          </cell>
          <cell r="I36" t="str">
            <v>MRC</v>
          </cell>
          <cell r="J36" t="str">
            <v>ZZ</v>
          </cell>
          <cell r="K36">
            <v>11</v>
          </cell>
          <cell r="L36" t="str">
            <v>MS: ALL - CELLULAR &amp; TELEPHONE</v>
          </cell>
          <cell r="M36">
            <v>18864</v>
          </cell>
          <cell r="N36">
            <v>0</v>
          </cell>
          <cell r="O36">
            <v>0</v>
          </cell>
          <cell r="P36">
            <v>10500</v>
          </cell>
          <cell r="Q36">
            <v>8364</v>
          </cell>
          <cell r="R36">
            <v>55.66</v>
          </cell>
        </row>
        <row r="37">
          <cell r="A37" t="str">
            <v>1103211026018MRCZZ11</v>
          </cell>
          <cell r="B37" t="str">
            <v>11</v>
          </cell>
          <cell r="C37" t="str">
            <v>03</v>
          </cell>
          <cell r="D37" t="str">
            <v>2</v>
          </cell>
          <cell r="E37" t="str">
            <v>11</v>
          </cell>
          <cell r="F37" t="str">
            <v>026</v>
          </cell>
          <cell r="G37" t="str">
            <v>0</v>
          </cell>
          <cell r="H37">
            <v>18</v>
          </cell>
          <cell r="I37" t="str">
            <v>MRC</v>
          </cell>
          <cell r="J37" t="str">
            <v>ZZ</v>
          </cell>
          <cell r="K37">
            <v>11</v>
          </cell>
          <cell r="L37" t="str">
            <v>MS: HB &amp; INC: HOUSING BENEFITS</v>
          </cell>
          <cell r="M37">
            <v>48519</v>
          </cell>
          <cell r="N37">
            <v>0</v>
          </cell>
          <cell r="O37">
            <v>0</v>
          </cell>
          <cell r="P37">
            <v>18211.86</v>
          </cell>
          <cell r="Q37">
            <v>30307.14</v>
          </cell>
          <cell r="R37">
            <v>37.53</v>
          </cell>
        </row>
        <row r="38">
          <cell r="A38" t="str">
            <v>1103211032018MRCZZ11</v>
          </cell>
          <cell r="B38" t="str">
            <v>11</v>
          </cell>
          <cell r="C38" t="str">
            <v>03</v>
          </cell>
          <cell r="D38" t="str">
            <v>2</v>
          </cell>
          <cell r="E38" t="str">
            <v>11</v>
          </cell>
          <cell r="F38" t="str">
            <v>032</v>
          </cell>
          <cell r="G38" t="str">
            <v>0</v>
          </cell>
          <cell r="H38">
            <v>18</v>
          </cell>
          <cell r="I38" t="str">
            <v>MRC</v>
          </cell>
          <cell r="J38" t="str">
            <v>ZZ</v>
          </cell>
          <cell r="K38">
            <v>11</v>
          </cell>
          <cell r="L38" t="str">
            <v>MS: ALL - LEAVE PAY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1103211034018MRCZZ11</v>
          </cell>
          <cell r="B39" t="str">
            <v>11</v>
          </cell>
          <cell r="C39" t="str">
            <v>03</v>
          </cell>
          <cell r="D39" t="str">
            <v>2</v>
          </cell>
          <cell r="E39" t="str">
            <v>11</v>
          </cell>
          <cell r="F39" t="str">
            <v>034</v>
          </cell>
          <cell r="G39" t="str">
            <v>0</v>
          </cell>
          <cell r="H39">
            <v>18</v>
          </cell>
          <cell r="I39" t="str">
            <v>MRC</v>
          </cell>
          <cell r="J39" t="str">
            <v>ZZ</v>
          </cell>
          <cell r="K39">
            <v>11</v>
          </cell>
          <cell r="L39" t="str">
            <v>MS: ALL - TRAVEL OR MOTOR VEHICLE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1103211034118MRCZZ11</v>
          </cell>
          <cell r="B40" t="str">
            <v>11</v>
          </cell>
          <cell r="C40" t="str">
            <v>03</v>
          </cell>
          <cell r="D40" t="str">
            <v>2</v>
          </cell>
          <cell r="E40" t="str">
            <v>11</v>
          </cell>
          <cell r="F40" t="str">
            <v>034</v>
          </cell>
          <cell r="G40" t="str">
            <v>1</v>
          </cell>
          <cell r="H40">
            <v>18</v>
          </cell>
          <cell r="I40" t="str">
            <v>MRC</v>
          </cell>
          <cell r="J40" t="str">
            <v>ZZ</v>
          </cell>
          <cell r="K40">
            <v>11</v>
          </cell>
          <cell r="L40" t="str">
            <v>MS: ALL - TRAVEL OR MOTOR VEHICLE (SUBS</v>
          </cell>
          <cell r="M40">
            <v>31354</v>
          </cell>
          <cell r="N40">
            <v>0</v>
          </cell>
          <cell r="O40">
            <v>0</v>
          </cell>
          <cell r="P40">
            <v>422072.13</v>
          </cell>
          <cell r="Q40">
            <v>-390718.13</v>
          </cell>
          <cell r="R40">
            <v>999.99</v>
          </cell>
        </row>
        <row r="41">
          <cell r="A41" t="str">
            <v>1103211038018MRCZZ11</v>
          </cell>
          <cell r="B41" t="str">
            <v>11</v>
          </cell>
          <cell r="C41" t="str">
            <v>03</v>
          </cell>
          <cell r="D41" t="str">
            <v>2</v>
          </cell>
          <cell r="E41" t="str">
            <v>11</v>
          </cell>
          <cell r="F41" t="str">
            <v>038</v>
          </cell>
          <cell r="G41" t="str">
            <v>0</v>
          </cell>
          <cell r="H41">
            <v>18</v>
          </cell>
          <cell r="I41" t="str">
            <v>MRC</v>
          </cell>
          <cell r="J41" t="str">
            <v>ZZ</v>
          </cell>
          <cell r="K41">
            <v>11</v>
          </cell>
          <cell r="L41" t="str">
            <v>MS: OVERTIME - STRUCTURED</v>
          </cell>
          <cell r="M41">
            <v>5051</v>
          </cell>
          <cell r="N41">
            <v>0</v>
          </cell>
          <cell r="O41">
            <v>0</v>
          </cell>
          <cell r="P41">
            <v>5583.58</v>
          </cell>
          <cell r="Q41">
            <v>-532.58000000000004</v>
          </cell>
          <cell r="R41">
            <v>110.54</v>
          </cell>
        </row>
        <row r="42">
          <cell r="A42" t="str">
            <v>1103211042018MRCZZ11</v>
          </cell>
          <cell r="B42" t="str">
            <v>11</v>
          </cell>
          <cell r="C42" t="str">
            <v>03</v>
          </cell>
          <cell r="D42" t="str">
            <v>2</v>
          </cell>
          <cell r="E42" t="str">
            <v>11</v>
          </cell>
          <cell r="F42" t="str">
            <v>042</v>
          </cell>
          <cell r="G42" t="str">
            <v>0</v>
          </cell>
          <cell r="H42">
            <v>18</v>
          </cell>
          <cell r="I42" t="str">
            <v>MRC</v>
          </cell>
          <cell r="J42" t="str">
            <v>ZZ</v>
          </cell>
          <cell r="K42">
            <v>11</v>
          </cell>
          <cell r="L42" t="str">
            <v>MS: OVERTIME - NIGHT SHIFT</v>
          </cell>
          <cell r="M42">
            <v>0</v>
          </cell>
          <cell r="N42">
            <v>0</v>
          </cell>
          <cell r="O42">
            <v>0</v>
          </cell>
          <cell r="P42">
            <v>206.92</v>
          </cell>
          <cell r="Q42">
            <v>-206.92</v>
          </cell>
          <cell r="R42">
            <v>0</v>
          </cell>
        </row>
        <row r="43">
          <cell r="A43" t="str">
            <v>1103211044018MRCZZ11</v>
          </cell>
          <cell r="B43" t="str">
            <v>11</v>
          </cell>
          <cell r="C43" t="str">
            <v>03</v>
          </cell>
          <cell r="D43" t="str">
            <v>2</v>
          </cell>
          <cell r="E43" t="str">
            <v>11</v>
          </cell>
          <cell r="F43" t="str">
            <v>044</v>
          </cell>
          <cell r="G43" t="str">
            <v>0</v>
          </cell>
          <cell r="H43">
            <v>18</v>
          </cell>
          <cell r="I43" t="str">
            <v>MRC</v>
          </cell>
          <cell r="J43" t="str">
            <v>ZZ</v>
          </cell>
          <cell r="K43">
            <v>11</v>
          </cell>
          <cell r="L43" t="str">
            <v>MS: SRB - ACTING ALLOWANCE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1103211046018MRCZZ11</v>
          </cell>
          <cell r="B44" t="str">
            <v>11</v>
          </cell>
          <cell r="C44" t="str">
            <v>03</v>
          </cell>
          <cell r="D44" t="str">
            <v>2</v>
          </cell>
          <cell r="E44" t="str">
            <v>11</v>
          </cell>
          <cell r="F44" t="str">
            <v>046</v>
          </cell>
          <cell r="G44" t="str">
            <v>0</v>
          </cell>
          <cell r="H44">
            <v>18</v>
          </cell>
          <cell r="I44" t="str">
            <v>MRC</v>
          </cell>
          <cell r="J44" t="str">
            <v>ZZ</v>
          </cell>
          <cell r="K44">
            <v>11</v>
          </cell>
          <cell r="L44" t="str">
            <v>MS: SRB - ANNUAL BONUS</v>
          </cell>
          <cell r="M44">
            <v>157544</v>
          </cell>
          <cell r="N44">
            <v>0</v>
          </cell>
          <cell r="O44">
            <v>0</v>
          </cell>
          <cell r="P44">
            <v>134870</v>
          </cell>
          <cell r="Q44">
            <v>22674</v>
          </cell>
          <cell r="R44">
            <v>85.6</v>
          </cell>
        </row>
        <row r="45">
          <cell r="A45" t="str">
            <v>1103211056018MRCZZ11</v>
          </cell>
          <cell r="B45" t="str">
            <v>11</v>
          </cell>
          <cell r="C45" t="str">
            <v>03</v>
          </cell>
          <cell r="D45" t="str">
            <v>2</v>
          </cell>
          <cell r="E45" t="str">
            <v>11</v>
          </cell>
          <cell r="F45" t="str">
            <v>056</v>
          </cell>
          <cell r="G45" t="str">
            <v>0</v>
          </cell>
          <cell r="H45">
            <v>18</v>
          </cell>
          <cell r="I45" t="str">
            <v>MRC</v>
          </cell>
          <cell r="J45" t="str">
            <v>ZZ</v>
          </cell>
          <cell r="K45">
            <v>11</v>
          </cell>
          <cell r="L45" t="str">
            <v>MS: SRB - STANDBY ALLOWANCE</v>
          </cell>
          <cell r="M45">
            <v>204606</v>
          </cell>
          <cell r="N45">
            <v>0</v>
          </cell>
          <cell r="O45">
            <v>0</v>
          </cell>
          <cell r="P45">
            <v>129034.96</v>
          </cell>
          <cell r="Q45">
            <v>75571.039999999994</v>
          </cell>
          <cell r="R45">
            <v>63.06</v>
          </cell>
        </row>
        <row r="46">
          <cell r="A46" t="str">
            <v>1103213001018MRCZZ11</v>
          </cell>
          <cell r="B46" t="str">
            <v>11</v>
          </cell>
          <cell r="C46" t="str">
            <v>03</v>
          </cell>
          <cell r="D46" t="str">
            <v>2</v>
          </cell>
          <cell r="E46" t="str">
            <v>13</v>
          </cell>
          <cell r="F46" t="str">
            <v>001</v>
          </cell>
          <cell r="G46" t="str">
            <v>0</v>
          </cell>
          <cell r="H46">
            <v>18</v>
          </cell>
          <cell r="I46" t="str">
            <v>MRC</v>
          </cell>
          <cell r="J46" t="str">
            <v>ZZ</v>
          </cell>
          <cell r="K46">
            <v>11</v>
          </cell>
          <cell r="L46" t="str">
            <v>MS: SOC CONTR - BARGAINING COUNCIL</v>
          </cell>
          <cell r="M46">
            <v>518</v>
          </cell>
          <cell r="N46">
            <v>0</v>
          </cell>
          <cell r="O46">
            <v>0</v>
          </cell>
          <cell r="P46">
            <v>302.39999999999998</v>
          </cell>
          <cell r="Q46">
            <v>215.6</v>
          </cell>
          <cell r="R46">
            <v>58.37</v>
          </cell>
        </row>
        <row r="47">
          <cell r="A47" t="str">
            <v>1103213010018MRCZZ11</v>
          </cell>
          <cell r="B47" t="str">
            <v>11</v>
          </cell>
          <cell r="C47" t="str">
            <v>03</v>
          </cell>
          <cell r="D47" t="str">
            <v>2</v>
          </cell>
          <cell r="E47" t="str">
            <v>13</v>
          </cell>
          <cell r="F47" t="str">
            <v>010</v>
          </cell>
          <cell r="G47" t="str">
            <v>0</v>
          </cell>
          <cell r="H47">
            <v>18</v>
          </cell>
          <cell r="I47" t="str">
            <v>MRC</v>
          </cell>
          <cell r="J47" t="str">
            <v>ZZ</v>
          </cell>
          <cell r="K47">
            <v>11</v>
          </cell>
          <cell r="L47" t="str">
            <v>MS: SOC CONTR - GROUP LIFE INSURANCE</v>
          </cell>
          <cell r="M47">
            <v>32139</v>
          </cell>
          <cell r="N47">
            <v>0</v>
          </cell>
          <cell r="O47">
            <v>0</v>
          </cell>
          <cell r="P47">
            <v>14292.1</v>
          </cell>
          <cell r="Q47">
            <v>17846.900000000001</v>
          </cell>
          <cell r="R47">
            <v>44.46</v>
          </cell>
        </row>
        <row r="48">
          <cell r="A48" t="str">
            <v>1103213020018MRCZZ11</v>
          </cell>
          <cell r="B48" t="str">
            <v>11</v>
          </cell>
          <cell r="C48" t="str">
            <v>03</v>
          </cell>
          <cell r="D48" t="str">
            <v>2</v>
          </cell>
          <cell r="E48" t="str">
            <v>13</v>
          </cell>
          <cell r="F48" t="str">
            <v>020</v>
          </cell>
          <cell r="G48" t="str">
            <v>0</v>
          </cell>
          <cell r="H48">
            <v>18</v>
          </cell>
          <cell r="I48" t="str">
            <v>MRC</v>
          </cell>
          <cell r="J48" t="str">
            <v>ZZ</v>
          </cell>
          <cell r="K48">
            <v>11</v>
          </cell>
          <cell r="L48" t="str">
            <v>MS: SOC CONTR - MEDICAL</v>
          </cell>
          <cell r="M48">
            <v>240107</v>
          </cell>
          <cell r="N48">
            <v>0</v>
          </cell>
          <cell r="O48">
            <v>0</v>
          </cell>
          <cell r="P48">
            <v>99787.8</v>
          </cell>
          <cell r="Q48">
            <v>140319.20000000001</v>
          </cell>
          <cell r="R48">
            <v>41.55</v>
          </cell>
        </row>
        <row r="49">
          <cell r="A49" t="str">
            <v>1103213030018MRCZZ11</v>
          </cell>
          <cell r="B49" t="str">
            <v>11</v>
          </cell>
          <cell r="C49" t="str">
            <v>03</v>
          </cell>
          <cell r="D49" t="str">
            <v>2</v>
          </cell>
          <cell r="E49" t="str">
            <v>13</v>
          </cell>
          <cell r="F49" t="str">
            <v>030</v>
          </cell>
          <cell r="G49" t="str">
            <v>0</v>
          </cell>
          <cell r="H49">
            <v>18</v>
          </cell>
          <cell r="I49" t="str">
            <v>MRC</v>
          </cell>
          <cell r="J49" t="str">
            <v>ZZ</v>
          </cell>
          <cell r="K49">
            <v>11</v>
          </cell>
          <cell r="L49" t="str">
            <v>MS: SOC CONTR - PENSION</v>
          </cell>
          <cell r="M49">
            <v>341618</v>
          </cell>
          <cell r="N49">
            <v>0</v>
          </cell>
          <cell r="O49">
            <v>0</v>
          </cell>
          <cell r="P49">
            <v>230669.8</v>
          </cell>
          <cell r="Q49">
            <v>110948.2</v>
          </cell>
          <cell r="R49">
            <v>67.52</v>
          </cell>
        </row>
        <row r="50">
          <cell r="A50" t="str">
            <v>1103213040018MRCZZ11</v>
          </cell>
          <cell r="B50" t="str">
            <v>11</v>
          </cell>
          <cell r="C50" t="str">
            <v>03</v>
          </cell>
          <cell r="D50" t="str">
            <v>2</v>
          </cell>
          <cell r="E50" t="str">
            <v>13</v>
          </cell>
          <cell r="F50" t="str">
            <v>040</v>
          </cell>
          <cell r="G50" t="str">
            <v>0</v>
          </cell>
          <cell r="H50">
            <v>18</v>
          </cell>
          <cell r="I50" t="str">
            <v>MRC</v>
          </cell>
          <cell r="J50" t="str">
            <v>ZZ</v>
          </cell>
          <cell r="K50">
            <v>11</v>
          </cell>
          <cell r="L50" t="str">
            <v>MS: SOC CONTR - UNEMPLOYMENT INSUR FUND</v>
          </cell>
          <cell r="M50">
            <v>8910</v>
          </cell>
          <cell r="N50">
            <v>0</v>
          </cell>
          <cell r="O50">
            <v>0</v>
          </cell>
          <cell r="P50">
            <v>4959.3599999999997</v>
          </cell>
          <cell r="Q50">
            <v>3950.64</v>
          </cell>
          <cell r="R50">
            <v>55.66</v>
          </cell>
        </row>
        <row r="51">
          <cell r="A51" t="str">
            <v>1103227041018MRCZZ11</v>
          </cell>
          <cell r="B51" t="str">
            <v>11</v>
          </cell>
          <cell r="C51" t="str">
            <v>03</v>
          </cell>
          <cell r="D51" t="str">
            <v>2</v>
          </cell>
          <cell r="E51" t="str">
            <v>27</v>
          </cell>
          <cell r="F51" t="str">
            <v>041</v>
          </cell>
          <cell r="G51" t="str">
            <v>0</v>
          </cell>
          <cell r="H51">
            <v>18</v>
          </cell>
          <cell r="I51" t="str">
            <v>MRC</v>
          </cell>
          <cell r="J51" t="str">
            <v>ZZ</v>
          </cell>
          <cell r="K51">
            <v>11</v>
          </cell>
          <cell r="L51" t="str">
            <v>C&amp;PS: B&amp;A PROJECT MANAGEMENT</v>
          </cell>
          <cell r="M51">
            <v>1142721</v>
          </cell>
          <cell r="N51">
            <v>0</v>
          </cell>
          <cell r="O51">
            <v>0</v>
          </cell>
          <cell r="P51">
            <v>160726.20000000001</v>
          </cell>
          <cell r="Q51">
            <v>981994.8</v>
          </cell>
          <cell r="R51">
            <v>14.06</v>
          </cell>
        </row>
        <row r="52">
          <cell r="A52" t="str">
            <v>1103230511018MRCZZ11</v>
          </cell>
          <cell r="B52" t="str">
            <v>11</v>
          </cell>
          <cell r="C52" t="str">
            <v>03</v>
          </cell>
          <cell r="D52" t="str">
            <v>2</v>
          </cell>
          <cell r="E52" t="str">
            <v>30</v>
          </cell>
          <cell r="F52" t="str">
            <v>511</v>
          </cell>
          <cell r="G52" t="str">
            <v>0</v>
          </cell>
          <cell r="H52">
            <v>18</v>
          </cell>
          <cell r="I52" t="str">
            <v>MRC</v>
          </cell>
          <cell r="J52" t="str">
            <v>ZZ</v>
          </cell>
          <cell r="K52">
            <v>11</v>
          </cell>
          <cell r="L52" t="str">
            <v>OC: REG FEES NATIONAL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1103230541018MRCZZ11</v>
          </cell>
          <cell r="B53" t="str">
            <v>11</v>
          </cell>
          <cell r="C53" t="str">
            <v>03</v>
          </cell>
          <cell r="D53" t="str">
            <v>2</v>
          </cell>
          <cell r="E53" t="str">
            <v>30</v>
          </cell>
          <cell r="F53" t="str">
            <v>541</v>
          </cell>
          <cell r="G53" t="str">
            <v>0</v>
          </cell>
          <cell r="H53">
            <v>18</v>
          </cell>
          <cell r="I53" t="str">
            <v>MRC</v>
          </cell>
          <cell r="J53" t="str">
            <v>ZZ</v>
          </cell>
          <cell r="K53">
            <v>11</v>
          </cell>
          <cell r="L53" t="str">
            <v>OC: SKILLS DEVELOPMENT FUND LEVY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1103230610018MRCZZ11</v>
          </cell>
          <cell r="B54" t="str">
            <v>11</v>
          </cell>
          <cell r="C54" t="str">
            <v>03</v>
          </cell>
          <cell r="D54" t="str">
            <v>2</v>
          </cell>
          <cell r="E54" t="str">
            <v>30</v>
          </cell>
          <cell r="F54" t="str">
            <v>610</v>
          </cell>
          <cell r="G54" t="str">
            <v>0</v>
          </cell>
          <cell r="H54">
            <v>18</v>
          </cell>
          <cell r="I54" t="str">
            <v>MRC</v>
          </cell>
          <cell r="J54" t="str">
            <v>ZZ</v>
          </cell>
          <cell r="K54">
            <v>11</v>
          </cell>
          <cell r="L54" t="str">
            <v>OC: UNIFORM &amp; PROTECTIVE CLOTHING</v>
          </cell>
          <cell r="M54">
            <v>160000</v>
          </cell>
          <cell r="N54">
            <v>0</v>
          </cell>
          <cell r="O54">
            <v>0</v>
          </cell>
          <cell r="P54">
            <v>0</v>
          </cell>
          <cell r="Q54">
            <v>160000</v>
          </cell>
          <cell r="R54">
            <v>0</v>
          </cell>
        </row>
        <row r="55">
          <cell r="A55" t="str">
            <v>1103230662018MRCZZ11</v>
          </cell>
          <cell r="B55" t="str">
            <v>11</v>
          </cell>
          <cell r="C55" t="str">
            <v>03</v>
          </cell>
          <cell r="D55" t="str">
            <v>2</v>
          </cell>
          <cell r="E55" t="str">
            <v>30</v>
          </cell>
          <cell r="F55" t="str">
            <v>662</v>
          </cell>
          <cell r="G55" t="str">
            <v>0</v>
          </cell>
          <cell r="H55">
            <v>18</v>
          </cell>
          <cell r="I55" t="str">
            <v>MRC</v>
          </cell>
          <cell r="J55" t="str">
            <v>ZZ</v>
          </cell>
          <cell r="K55">
            <v>11</v>
          </cell>
          <cell r="L55" t="str">
            <v>OC: WORKMEN'S COMPENSATION FUND</v>
          </cell>
          <cell r="M55">
            <v>6116315</v>
          </cell>
          <cell r="N55">
            <v>0</v>
          </cell>
          <cell r="O55">
            <v>0</v>
          </cell>
          <cell r="P55">
            <v>0</v>
          </cell>
          <cell r="Q55">
            <v>6116315</v>
          </cell>
          <cell r="R55">
            <v>0</v>
          </cell>
        </row>
        <row r="56">
          <cell r="A56" t="str">
            <v>1103232360D18MRCZZ11</v>
          </cell>
          <cell r="B56" t="str">
            <v>11</v>
          </cell>
          <cell r="C56" t="str">
            <v>03</v>
          </cell>
          <cell r="D56" t="str">
            <v>2</v>
          </cell>
          <cell r="E56" t="str">
            <v>32</v>
          </cell>
          <cell r="F56" t="str">
            <v>360</v>
          </cell>
          <cell r="G56" t="str">
            <v>D</v>
          </cell>
          <cell r="H56">
            <v>18</v>
          </cell>
          <cell r="I56" t="str">
            <v>MRC</v>
          </cell>
          <cell r="J56" t="str">
            <v>ZZ</v>
          </cell>
          <cell r="K56">
            <v>11</v>
          </cell>
          <cell r="L56" t="str">
            <v>INVENTORY - MATERIALS &amp; SUPPLIES(PRINT&amp;</v>
          </cell>
          <cell r="M56">
            <v>10000</v>
          </cell>
          <cell r="N56">
            <v>0</v>
          </cell>
          <cell r="O56">
            <v>9504</v>
          </cell>
          <cell r="P56">
            <v>0</v>
          </cell>
          <cell r="Q56">
            <v>10000</v>
          </cell>
          <cell r="R56">
            <v>0</v>
          </cell>
        </row>
        <row r="57">
          <cell r="A57" t="str">
            <v>1103232360R18MRCZZ11</v>
          </cell>
          <cell r="B57" t="str">
            <v>11</v>
          </cell>
          <cell r="C57" t="str">
            <v>03</v>
          </cell>
          <cell r="D57" t="str">
            <v>2</v>
          </cell>
          <cell r="E57" t="str">
            <v>32</v>
          </cell>
          <cell r="F57" t="str">
            <v>360</v>
          </cell>
          <cell r="G57" t="str">
            <v>R</v>
          </cell>
          <cell r="H57">
            <v>18</v>
          </cell>
          <cell r="I57" t="str">
            <v>MRC</v>
          </cell>
          <cell r="J57" t="str">
            <v>ZZ</v>
          </cell>
          <cell r="K57">
            <v>11</v>
          </cell>
          <cell r="L57" t="str">
            <v>INVENTORY - MATERIALS &amp; SUPPLIES(STOCK &amp;</v>
          </cell>
          <cell r="M57">
            <v>30000</v>
          </cell>
          <cell r="N57">
            <v>0</v>
          </cell>
          <cell r="O57">
            <v>0</v>
          </cell>
          <cell r="P57">
            <v>0</v>
          </cell>
          <cell r="Q57">
            <v>30000</v>
          </cell>
          <cell r="R57">
            <v>0</v>
          </cell>
        </row>
        <row r="58">
          <cell r="A58" t="str">
            <v>1103272150018MRCZZ11</v>
          </cell>
          <cell r="B58" t="str">
            <v>11</v>
          </cell>
          <cell r="C58" t="str">
            <v>03</v>
          </cell>
          <cell r="D58" t="str">
            <v>2</v>
          </cell>
          <cell r="E58" t="str">
            <v>72</v>
          </cell>
          <cell r="F58" t="str">
            <v>150</v>
          </cell>
          <cell r="G58" t="str">
            <v>0</v>
          </cell>
          <cell r="H58">
            <v>18</v>
          </cell>
          <cell r="I58" t="str">
            <v>MRC</v>
          </cell>
          <cell r="J58" t="str">
            <v>ZZ</v>
          </cell>
          <cell r="K58">
            <v>11</v>
          </cell>
          <cell r="L58" t="str">
            <v>DEPRECIATION FURNITURE &amp; OFFICE EQUIPM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1104211001018MRCZZ11</v>
          </cell>
          <cell r="B59" t="str">
            <v>11</v>
          </cell>
          <cell r="C59" t="str">
            <v>04</v>
          </cell>
          <cell r="D59" t="str">
            <v>2</v>
          </cell>
          <cell r="E59" t="str">
            <v>11</v>
          </cell>
          <cell r="F59" t="str">
            <v>001</v>
          </cell>
          <cell r="G59" t="str">
            <v>0</v>
          </cell>
          <cell r="H59">
            <v>18</v>
          </cell>
          <cell r="I59" t="str">
            <v>MRC</v>
          </cell>
          <cell r="J59" t="str">
            <v>ZZ</v>
          </cell>
          <cell r="K59">
            <v>11</v>
          </cell>
          <cell r="L59" t="str">
            <v>MS: SAL &amp; ALL: BASIC SALARY &amp; WAGES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>1104211022018MRCZZ11</v>
          </cell>
          <cell r="B60" t="str">
            <v>11</v>
          </cell>
          <cell r="C60" t="str">
            <v>04</v>
          </cell>
          <cell r="D60" t="str">
            <v>2</v>
          </cell>
          <cell r="E60" t="str">
            <v>11</v>
          </cell>
          <cell r="F60" t="str">
            <v>022</v>
          </cell>
          <cell r="G60" t="str">
            <v>0</v>
          </cell>
          <cell r="H60">
            <v>18</v>
          </cell>
          <cell r="I60" t="str">
            <v>MRC</v>
          </cell>
          <cell r="J60" t="str">
            <v>ZZ</v>
          </cell>
          <cell r="K60">
            <v>11</v>
          </cell>
          <cell r="L60" t="str">
            <v>MS: ALL - CELLULAR &amp; TELEPHONE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1104211026018MRCZZ11</v>
          </cell>
          <cell r="B61" t="str">
            <v>11</v>
          </cell>
          <cell r="C61" t="str">
            <v>04</v>
          </cell>
          <cell r="D61" t="str">
            <v>2</v>
          </cell>
          <cell r="E61" t="str">
            <v>11</v>
          </cell>
          <cell r="F61" t="str">
            <v>026</v>
          </cell>
          <cell r="G61" t="str">
            <v>0</v>
          </cell>
          <cell r="H61">
            <v>18</v>
          </cell>
          <cell r="I61" t="str">
            <v>MRC</v>
          </cell>
          <cell r="J61" t="str">
            <v>ZZ</v>
          </cell>
          <cell r="K61">
            <v>11</v>
          </cell>
          <cell r="L61" t="str">
            <v>MS: HB &amp; INC: HOUSING BENEFITS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1104211034118MRCZZ11</v>
          </cell>
          <cell r="B62" t="str">
            <v>11</v>
          </cell>
          <cell r="C62" t="str">
            <v>04</v>
          </cell>
          <cell r="D62" t="str">
            <v>2</v>
          </cell>
          <cell r="E62" t="str">
            <v>11</v>
          </cell>
          <cell r="F62" t="str">
            <v>034</v>
          </cell>
          <cell r="G62" t="str">
            <v>1</v>
          </cell>
          <cell r="H62">
            <v>18</v>
          </cell>
          <cell r="I62" t="str">
            <v>MRC</v>
          </cell>
          <cell r="J62" t="str">
            <v>ZZ</v>
          </cell>
          <cell r="K62">
            <v>11</v>
          </cell>
          <cell r="L62" t="str">
            <v>MS: ALL - TRAVEL OR MOTOR VEHICLE (SUBS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1104211046018MRCZZ11</v>
          </cell>
          <cell r="B63" t="str">
            <v>11</v>
          </cell>
          <cell r="C63" t="str">
            <v>04</v>
          </cell>
          <cell r="D63" t="str">
            <v>2</v>
          </cell>
          <cell r="E63" t="str">
            <v>11</v>
          </cell>
          <cell r="F63" t="str">
            <v>046</v>
          </cell>
          <cell r="G63" t="str">
            <v>0</v>
          </cell>
          <cell r="H63">
            <v>18</v>
          </cell>
          <cell r="I63" t="str">
            <v>MRC</v>
          </cell>
          <cell r="J63" t="str">
            <v>ZZ</v>
          </cell>
          <cell r="K63">
            <v>11</v>
          </cell>
          <cell r="L63" t="str">
            <v>MS: SRB - ANNUAL BONUS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 t="str">
            <v>1104213001018MRCZZ11</v>
          </cell>
          <cell r="B64" t="str">
            <v>11</v>
          </cell>
          <cell r="C64" t="str">
            <v>04</v>
          </cell>
          <cell r="D64" t="str">
            <v>2</v>
          </cell>
          <cell r="E64" t="str">
            <v>13</v>
          </cell>
          <cell r="F64" t="str">
            <v>001</v>
          </cell>
          <cell r="G64" t="str">
            <v>0</v>
          </cell>
          <cell r="H64">
            <v>18</v>
          </cell>
          <cell r="I64" t="str">
            <v>MRC</v>
          </cell>
          <cell r="J64" t="str">
            <v>ZZ</v>
          </cell>
          <cell r="K64">
            <v>11</v>
          </cell>
          <cell r="L64" t="str">
            <v>MS: SOC CONTR - BARGAINING COUNCIL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 t="str">
            <v>1104213020018MRCZZ11</v>
          </cell>
          <cell r="B65" t="str">
            <v>11</v>
          </cell>
          <cell r="C65" t="str">
            <v>04</v>
          </cell>
          <cell r="D65" t="str">
            <v>2</v>
          </cell>
          <cell r="E65" t="str">
            <v>13</v>
          </cell>
          <cell r="F65" t="str">
            <v>020</v>
          </cell>
          <cell r="G65" t="str">
            <v>0</v>
          </cell>
          <cell r="H65">
            <v>18</v>
          </cell>
          <cell r="I65" t="str">
            <v>MRC</v>
          </cell>
          <cell r="J65" t="str">
            <v>ZZ</v>
          </cell>
          <cell r="K65">
            <v>11</v>
          </cell>
          <cell r="L65" t="str">
            <v>MS: SOC CONTR - MEDICAL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 t="str">
            <v>1104213030018MRCZZ11</v>
          </cell>
          <cell r="B66" t="str">
            <v>11</v>
          </cell>
          <cell r="C66" t="str">
            <v>04</v>
          </cell>
          <cell r="D66" t="str">
            <v>2</v>
          </cell>
          <cell r="E66" t="str">
            <v>13</v>
          </cell>
          <cell r="F66" t="str">
            <v>030</v>
          </cell>
          <cell r="G66" t="str">
            <v>0</v>
          </cell>
          <cell r="H66">
            <v>18</v>
          </cell>
          <cell r="I66" t="str">
            <v>MRC</v>
          </cell>
          <cell r="J66" t="str">
            <v>ZZ</v>
          </cell>
          <cell r="K66">
            <v>11</v>
          </cell>
          <cell r="L66" t="str">
            <v>MS: SOC CONTR - PENSION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>1104213040018MRCZZ11</v>
          </cell>
          <cell r="B67" t="str">
            <v>11</v>
          </cell>
          <cell r="C67" t="str">
            <v>04</v>
          </cell>
          <cell r="D67" t="str">
            <v>2</v>
          </cell>
          <cell r="E67" t="str">
            <v>13</v>
          </cell>
          <cell r="F67" t="str">
            <v>040</v>
          </cell>
          <cell r="G67" t="str">
            <v>0</v>
          </cell>
          <cell r="H67">
            <v>18</v>
          </cell>
          <cell r="I67" t="str">
            <v>MRC</v>
          </cell>
          <cell r="J67" t="str">
            <v>ZZ</v>
          </cell>
          <cell r="K67">
            <v>11</v>
          </cell>
          <cell r="L67" t="str">
            <v>MS: SOC CONTR - UNEMPLOYMENT INSUR FUND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 t="str">
            <v>1104230541018MRCZZ11</v>
          </cell>
          <cell r="B68" t="str">
            <v>11</v>
          </cell>
          <cell r="C68" t="str">
            <v>04</v>
          </cell>
          <cell r="D68" t="str">
            <v>2</v>
          </cell>
          <cell r="E68" t="str">
            <v>30</v>
          </cell>
          <cell r="F68" t="str">
            <v>541</v>
          </cell>
          <cell r="G68" t="str">
            <v>0</v>
          </cell>
          <cell r="H68">
            <v>18</v>
          </cell>
          <cell r="I68" t="str">
            <v>MRC</v>
          </cell>
          <cell r="J68" t="str">
            <v>ZZ</v>
          </cell>
          <cell r="K68">
            <v>11</v>
          </cell>
          <cell r="L68" t="str">
            <v>OC: SKILLS DEVELOPMENT FUND LEVY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1105142008029ZZZZZ11</v>
          </cell>
          <cell r="B69" t="str">
            <v>11</v>
          </cell>
          <cell r="C69" t="str">
            <v>05</v>
          </cell>
          <cell r="D69" t="str">
            <v>1</v>
          </cell>
          <cell r="E69" t="str">
            <v>42</v>
          </cell>
          <cell r="F69" t="str">
            <v>008</v>
          </cell>
          <cell r="G69" t="str">
            <v>0</v>
          </cell>
          <cell r="H69">
            <v>29</v>
          </cell>
          <cell r="I69" t="str">
            <v>ZZZ</v>
          </cell>
          <cell r="J69" t="str">
            <v>ZZ</v>
          </cell>
          <cell r="K69">
            <v>11</v>
          </cell>
          <cell r="L69" t="str">
            <v>ADVERTISEMENTS</v>
          </cell>
          <cell r="M69">
            <v>-34237</v>
          </cell>
          <cell r="N69">
            <v>0</v>
          </cell>
          <cell r="O69">
            <v>0</v>
          </cell>
          <cell r="P69">
            <v>0</v>
          </cell>
          <cell r="Q69">
            <v>-34237</v>
          </cell>
          <cell r="R69">
            <v>0</v>
          </cell>
        </row>
        <row r="70">
          <cell r="A70" t="str">
            <v>1105211001018MRCZZ11</v>
          </cell>
          <cell r="B70" t="str">
            <v>11</v>
          </cell>
          <cell r="C70" t="str">
            <v>05</v>
          </cell>
          <cell r="D70" t="str">
            <v>2</v>
          </cell>
          <cell r="E70" t="str">
            <v>11</v>
          </cell>
          <cell r="F70" t="str">
            <v>001</v>
          </cell>
          <cell r="G70" t="str">
            <v>0</v>
          </cell>
          <cell r="H70">
            <v>18</v>
          </cell>
          <cell r="I70" t="str">
            <v>MRC</v>
          </cell>
          <cell r="J70" t="str">
            <v>ZZ</v>
          </cell>
          <cell r="K70">
            <v>11</v>
          </cell>
          <cell r="L70" t="str">
            <v>MS: SAL &amp; ALL: BASIC SALARY &amp; WAGES</v>
          </cell>
          <cell r="M70">
            <v>1893367</v>
          </cell>
          <cell r="N70">
            <v>0</v>
          </cell>
          <cell r="O70">
            <v>0</v>
          </cell>
          <cell r="P70">
            <v>724034.82</v>
          </cell>
          <cell r="Q70">
            <v>1169332.18</v>
          </cell>
          <cell r="R70">
            <v>38.24</v>
          </cell>
        </row>
        <row r="71">
          <cell r="A71" t="str">
            <v>1105211022018MRCZZ11</v>
          </cell>
          <cell r="B71" t="str">
            <v>11</v>
          </cell>
          <cell r="C71" t="str">
            <v>05</v>
          </cell>
          <cell r="D71" t="str">
            <v>2</v>
          </cell>
          <cell r="E71" t="str">
            <v>11</v>
          </cell>
          <cell r="F71" t="str">
            <v>022</v>
          </cell>
          <cell r="G71" t="str">
            <v>0</v>
          </cell>
          <cell r="H71">
            <v>18</v>
          </cell>
          <cell r="I71" t="str">
            <v>MRC</v>
          </cell>
          <cell r="J71" t="str">
            <v>ZZ</v>
          </cell>
          <cell r="K71">
            <v>11</v>
          </cell>
          <cell r="L71" t="str">
            <v>MS: ALL - CELLULAR &amp; TELEPHONE</v>
          </cell>
          <cell r="M71">
            <v>13834</v>
          </cell>
          <cell r="N71">
            <v>0</v>
          </cell>
          <cell r="O71">
            <v>0</v>
          </cell>
          <cell r="P71">
            <v>3950</v>
          </cell>
          <cell r="Q71">
            <v>9884</v>
          </cell>
          <cell r="R71">
            <v>28.55</v>
          </cell>
        </row>
        <row r="72">
          <cell r="A72" t="str">
            <v>1105211026018MRCZZ11</v>
          </cell>
          <cell r="B72" t="str">
            <v>11</v>
          </cell>
          <cell r="C72" t="str">
            <v>05</v>
          </cell>
          <cell r="D72" t="str">
            <v>2</v>
          </cell>
          <cell r="E72" t="str">
            <v>11</v>
          </cell>
          <cell r="F72" t="str">
            <v>026</v>
          </cell>
          <cell r="G72" t="str">
            <v>0</v>
          </cell>
          <cell r="H72">
            <v>18</v>
          </cell>
          <cell r="I72" t="str">
            <v>MRC</v>
          </cell>
          <cell r="J72" t="str">
            <v>ZZ</v>
          </cell>
          <cell r="K72">
            <v>11</v>
          </cell>
          <cell r="L72" t="str">
            <v>MS: HB &amp; INC: HOUSING BENEFITS</v>
          </cell>
          <cell r="M72">
            <v>48519</v>
          </cell>
          <cell r="N72">
            <v>0</v>
          </cell>
          <cell r="O72">
            <v>0</v>
          </cell>
          <cell r="P72">
            <v>9105.93</v>
          </cell>
          <cell r="Q72">
            <v>39413.07</v>
          </cell>
          <cell r="R72">
            <v>18.760000000000002</v>
          </cell>
        </row>
        <row r="73">
          <cell r="A73" t="str">
            <v>1105211034018MRCZZ11</v>
          </cell>
          <cell r="B73" t="str">
            <v>11</v>
          </cell>
          <cell r="C73" t="str">
            <v>05</v>
          </cell>
          <cell r="D73" t="str">
            <v>2</v>
          </cell>
          <cell r="E73" t="str">
            <v>11</v>
          </cell>
          <cell r="F73" t="str">
            <v>034</v>
          </cell>
          <cell r="G73" t="str">
            <v>0</v>
          </cell>
          <cell r="H73">
            <v>18</v>
          </cell>
          <cell r="I73" t="str">
            <v>MRC</v>
          </cell>
          <cell r="J73" t="str">
            <v>ZZ</v>
          </cell>
          <cell r="K73">
            <v>11</v>
          </cell>
          <cell r="L73" t="str">
            <v>MS: ALL - TRAVEL OR MOTOR VEHICLE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1105211034118MRCZZ11</v>
          </cell>
          <cell r="B74" t="str">
            <v>11</v>
          </cell>
          <cell r="C74" t="str">
            <v>05</v>
          </cell>
          <cell r="D74" t="str">
            <v>2</v>
          </cell>
          <cell r="E74" t="str">
            <v>11</v>
          </cell>
          <cell r="F74" t="str">
            <v>034</v>
          </cell>
          <cell r="G74" t="str">
            <v>1</v>
          </cell>
          <cell r="H74">
            <v>18</v>
          </cell>
          <cell r="I74" t="str">
            <v>MRC</v>
          </cell>
          <cell r="J74" t="str">
            <v>ZZ</v>
          </cell>
          <cell r="K74">
            <v>11</v>
          </cell>
          <cell r="L74" t="str">
            <v>MS: ALL - TRAVEL OR MOTOR VEHICLE (SUBS</v>
          </cell>
          <cell r="M74">
            <v>27729</v>
          </cell>
          <cell r="N74">
            <v>0</v>
          </cell>
          <cell r="O74">
            <v>0</v>
          </cell>
          <cell r="P74">
            <v>116684</v>
          </cell>
          <cell r="Q74">
            <v>-88955</v>
          </cell>
          <cell r="R74">
            <v>420.8</v>
          </cell>
        </row>
        <row r="75">
          <cell r="A75" t="str">
            <v>1105211044018MRCZZ11</v>
          </cell>
          <cell r="B75" t="str">
            <v>11</v>
          </cell>
          <cell r="C75" t="str">
            <v>05</v>
          </cell>
          <cell r="D75" t="str">
            <v>2</v>
          </cell>
          <cell r="E75" t="str">
            <v>11</v>
          </cell>
          <cell r="F75" t="str">
            <v>044</v>
          </cell>
          <cell r="G75" t="str">
            <v>0</v>
          </cell>
          <cell r="H75">
            <v>18</v>
          </cell>
          <cell r="I75" t="str">
            <v>MRC</v>
          </cell>
          <cell r="J75" t="str">
            <v>ZZ</v>
          </cell>
          <cell r="K75">
            <v>11</v>
          </cell>
          <cell r="L75" t="str">
            <v>MS: SRB - ACTING ALLOWANCE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1105211046018MRCZZ11</v>
          </cell>
          <cell r="B76" t="str">
            <v>11</v>
          </cell>
          <cell r="C76" t="str">
            <v>05</v>
          </cell>
          <cell r="D76" t="str">
            <v>2</v>
          </cell>
          <cell r="E76" t="str">
            <v>11</v>
          </cell>
          <cell r="F76" t="str">
            <v>046</v>
          </cell>
          <cell r="G76" t="str">
            <v>0</v>
          </cell>
          <cell r="H76">
            <v>18</v>
          </cell>
          <cell r="I76" t="str">
            <v>MRC</v>
          </cell>
          <cell r="J76" t="str">
            <v>ZZ</v>
          </cell>
          <cell r="K76">
            <v>11</v>
          </cell>
          <cell r="L76" t="str">
            <v>MS: SRB - ANNUAL BONUS</v>
          </cell>
          <cell r="M76">
            <v>157781</v>
          </cell>
          <cell r="N76">
            <v>0</v>
          </cell>
          <cell r="O76">
            <v>0</v>
          </cell>
          <cell r="P76">
            <v>49576.03</v>
          </cell>
          <cell r="Q76">
            <v>108204.97</v>
          </cell>
          <cell r="R76">
            <v>31.42</v>
          </cell>
        </row>
        <row r="77">
          <cell r="A77" t="str">
            <v>1105213001018MRCZZ11</v>
          </cell>
          <cell r="B77" t="str">
            <v>11</v>
          </cell>
          <cell r="C77" t="str">
            <v>05</v>
          </cell>
          <cell r="D77" t="str">
            <v>2</v>
          </cell>
          <cell r="E77" t="str">
            <v>13</v>
          </cell>
          <cell r="F77" t="str">
            <v>001</v>
          </cell>
          <cell r="G77" t="str">
            <v>0</v>
          </cell>
          <cell r="H77">
            <v>18</v>
          </cell>
          <cell r="I77" t="str">
            <v>MRC</v>
          </cell>
          <cell r="J77" t="str">
            <v>ZZ</v>
          </cell>
          <cell r="K77">
            <v>11</v>
          </cell>
          <cell r="L77" t="str">
            <v>MS: SOC CONTR - BARGAINING COUNCIL</v>
          </cell>
          <cell r="M77">
            <v>518</v>
          </cell>
          <cell r="N77">
            <v>0</v>
          </cell>
          <cell r="O77">
            <v>0</v>
          </cell>
          <cell r="P77">
            <v>172.8</v>
          </cell>
          <cell r="Q77">
            <v>345.2</v>
          </cell>
          <cell r="R77">
            <v>33.35</v>
          </cell>
        </row>
        <row r="78">
          <cell r="A78" t="str">
            <v>1105213010018MRCZZ11</v>
          </cell>
          <cell r="B78" t="str">
            <v>11</v>
          </cell>
          <cell r="C78" t="str">
            <v>05</v>
          </cell>
          <cell r="D78" t="str">
            <v>2</v>
          </cell>
          <cell r="E78" t="str">
            <v>13</v>
          </cell>
          <cell r="F78" t="str">
            <v>010</v>
          </cell>
          <cell r="G78" t="str">
            <v>0</v>
          </cell>
          <cell r="H78">
            <v>18</v>
          </cell>
          <cell r="I78" t="str">
            <v>MRC</v>
          </cell>
          <cell r="J78" t="str">
            <v>ZZ</v>
          </cell>
          <cell r="K78">
            <v>11</v>
          </cell>
          <cell r="L78" t="str">
            <v>MS: SOC CONTR - GROUP LIFE INSURANCE</v>
          </cell>
          <cell r="M78">
            <v>32187</v>
          </cell>
          <cell r="N78">
            <v>0</v>
          </cell>
          <cell r="O78">
            <v>0</v>
          </cell>
          <cell r="P78">
            <v>0</v>
          </cell>
          <cell r="Q78">
            <v>32187</v>
          </cell>
          <cell r="R78">
            <v>0</v>
          </cell>
        </row>
        <row r="79">
          <cell r="A79" t="str">
            <v>1105213020018MRCZZ11</v>
          </cell>
          <cell r="B79" t="str">
            <v>11</v>
          </cell>
          <cell r="C79" t="str">
            <v>05</v>
          </cell>
          <cell r="D79" t="str">
            <v>2</v>
          </cell>
          <cell r="E79" t="str">
            <v>13</v>
          </cell>
          <cell r="F79" t="str">
            <v>020</v>
          </cell>
          <cell r="G79" t="str">
            <v>0</v>
          </cell>
          <cell r="H79">
            <v>18</v>
          </cell>
          <cell r="I79" t="str">
            <v>MRC</v>
          </cell>
          <cell r="J79" t="str">
            <v>ZZ</v>
          </cell>
          <cell r="K79">
            <v>11</v>
          </cell>
          <cell r="L79" t="str">
            <v>MS: SOC CONTR - MEDICAL</v>
          </cell>
          <cell r="M79">
            <v>240107</v>
          </cell>
          <cell r="N79">
            <v>0</v>
          </cell>
          <cell r="O79">
            <v>0</v>
          </cell>
          <cell r="P79">
            <v>45063</v>
          </cell>
          <cell r="Q79">
            <v>195044</v>
          </cell>
          <cell r="R79">
            <v>18.760000000000002</v>
          </cell>
        </row>
        <row r="80">
          <cell r="A80" t="str">
            <v>1105213030018MRCZZ11</v>
          </cell>
          <cell r="B80" t="str">
            <v>11</v>
          </cell>
          <cell r="C80" t="str">
            <v>05</v>
          </cell>
          <cell r="D80" t="str">
            <v>2</v>
          </cell>
          <cell r="E80" t="str">
            <v>13</v>
          </cell>
          <cell r="F80" t="str">
            <v>030</v>
          </cell>
          <cell r="G80" t="str">
            <v>0</v>
          </cell>
          <cell r="H80">
            <v>18</v>
          </cell>
          <cell r="I80" t="str">
            <v>MRC</v>
          </cell>
          <cell r="J80" t="str">
            <v>ZZ</v>
          </cell>
          <cell r="K80">
            <v>11</v>
          </cell>
          <cell r="L80" t="str">
            <v>MS: SOC CONTR - PENSION</v>
          </cell>
          <cell r="M80">
            <v>342131</v>
          </cell>
          <cell r="N80">
            <v>0</v>
          </cell>
          <cell r="O80">
            <v>0</v>
          </cell>
          <cell r="P80">
            <v>83310.009999999995</v>
          </cell>
          <cell r="Q80">
            <v>258820.99</v>
          </cell>
          <cell r="R80">
            <v>24.35</v>
          </cell>
        </row>
        <row r="81">
          <cell r="A81" t="str">
            <v>1105213040018MRCZZ11</v>
          </cell>
          <cell r="B81" t="str">
            <v>11</v>
          </cell>
          <cell r="C81" t="str">
            <v>05</v>
          </cell>
          <cell r="D81" t="str">
            <v>2</v>
          </cell>
          <cell r="E81" t="str">
            <v>13</v>
          </cell>
          <cell r="F81" t="str">
            <v>040</v>
          </cell>
          <cell r="G81" t="str">
            <v>0</v>
          </cell>
          <cell r="H81">
            <v>18</v>
          </cell>
          <cell r="I81" t="str">
            <v>MRC</v>
          </cell>
          <cell r="J81" t="str">
            <v>ZZ</v>
          </cell>
          <cell r="K81">
            <v>11</v>
          </cell>
          <cell r="L81" t="str">
            <v>MS: SOC CONTR - UNEMPLOYMENT INSUR FUND</v>
          </cell>
          <cell r="M81">
            <v>8910</v>
          </cell>
          <cell r="N81">
            <v>0</v>
          </cell>
          <cell r="O81">
            <v>0</v>
          </cell>
          <cell r="P81">
            <v>2833.92</v>
          </cell>
          <cell r="Q81">
            <v>6076.08</v>
          </cell>
          <cell r="R81">
            <v>31.8</v>
          </cell>
        </row>
        <row r="82">
          <cell r="A82" t="str">
            <v>1105226060H18MRCZZ11</v>
          </cell>
          <cell r="B82" t="str">
            <v>11</v>
          </cell>
          <cell r="C82" t="str">
            <v>05</v>
          </cell>
          <cell r="D82" t="str">
            <v>2</v>
          </cell>
          <cell r="E82" t="str">
            <v>26</v>
          </cell>
          <cell r="F82" t="str">
            <v>060</v>
          </cell>
          <cell r="G82" t="str">
            <v>H</v>
          </cell>
          <cell r="H82">
            <v>18</v>
          </cell>
          <cell r="I82" t="str">
            <v>MRC</v>
          </cell>
          <cell r="J82" t="str">
            <v>ZZ</v>
          </cell>
          <cell r="K82">
            <v>11</v>
          </cell>
          <cell r="L82" t="str">
            <v>OS: CATERING SERVICES(REFRESHMENTS)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1105226570118MRCZZ11</v>
          </cell>
          <cell r="B83" t="str">
            <v>11</v>
          </cell>
          <cell r="C83" t="str">
            <v>05</v>
          </cell>
          <cell r="D83" t="str">
            <v>2</v>
          </cell>
          <cell r="E83" t="str">
            <v>26</v>
          </cell>
          <cell r="F83" t="str">
            <v>570</v>
          </cell>
          <cell r="G83" t="str">
            <v>1</v>
          </cell>
          <cell r="H83">
            <v>18</v>
          </cell>
          <cell r="I83" t="str">
            <v>MRC</v>
          </cell>
          <cell r="J83" t="str">
            <v>ZZ</v>
          </cell>
          <cell r="K83">
            <v>11</v>
          </cell>
          <cell r="L83" t="str">
            <v>OS: TRANSLATORS &amp; INTERPRETERS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1105230012118MRCZZ11</v>
          </cell>
          <cell r="B84" t="str">
            <v>11</v>
          </cell>
          <cell r="C84" t="str">
            <v>05</v>
          </cell>
          <cell r="D84" t="str">
            <v>2</v>
          </cell>
          <cell r="E84" t="str">
            <v>30</v>
          </cell>
          <cell r="F84" t="str">
            <v>012</v>
          </cell>
          <cell r="G84" t="str">
            <v>1</v>
          </cell>
          <cell r="H84">
            <v>18</v>
          </cell>
          <cell r="I84" t="str">
            <v>MRC</v>
          </cell>
          <cell r="J84" t="str">
            <v>ZZ</v>
          </cell>
          <cell r="K84">
            <v>11</v>
          </cell>
          <cell r="L84" t="str">
            <v>OC:ADV/PUB/MARK - CORP &amp; MUN ACT MARKETI</v>
          </cell>
          <cell r="M84">
            <v>500000</v>
          </cell>
          <cell r="N84">
            <v>0</v>
          </cell>
          <cell r="O84">
            <v>102600</v>
          </cell>
          <cell r="P84">
            <v>142780</v>
          </cell>
          <cell r="Q84">
            <v>357220</v>
          </cell>
          <cell r="R84">
            <v>28.55</v>
          </cell>
        </row>
        <row r="85">
          <cell r="A85" t="str">
            <v>1105230012218MRCZZ11</v>
          </cell>
          <cell r="B85" t="str">
            <v>11</v>
          </cell>
          <cell r="C85" t="str">
            <v>05</v>
          </cell>
          <cell r="D85" t="str">
            <v>2</v>
          </cell>
          <cell r="E85" t="str">
            <v>30</v>
          </cell>
          <cell r="F85" t="str">
            <v>012</v>
          </cell>
          <cell r="G85" t="str">
            <v>2</v>
          </cell>
          <cell r="H85">
            <v>18</v>
          </cell>
          <cell r="I85" t="str">
            <v>MRC</v>
          </cell>
          <cell r="J85" t="str">
            <v>ZZ</v>
          </cell>
          <cell r="K85">
            <v>11</v>
          </cell>
          <cell r="L85" t="str">
            <v>OC:ADV/PUB/MARK - CORP &amp; MUN ACT ADVERTI</v>
          </cell>
          <cell r="M85">
            <v>1200000</v>
          </cell>
          <cell r="N85">
            <v>0</v>
          </cell>
          <cell r="O85">
            <v>0</v>
          </cell>
          <cell r="P85">
            <v>1199993.8700000001</v>
          </cell>
          <cell r="Q85">
            <v>6.13</v>
          </cell>
          <cell r="R85">
            <v>99.99</v>
          </cell>
        </row>
        <row r="86">
          <cell r="A86" t="str">
            <v>1105230451318MRCZZ11</v>
          </cell>
          <cell r="B86" t="str">
            <v>11</v>
          </cell>
          <cell r="C86" t="str">
            <v>05</v>
          </cell>
          <cell r="D86" t="str">
            <v>2</v>
          </cell>
          <cell r="E86" t="str">
            <v>30</v>
          </cell>
          <cell r="F86" t="str">
            <v>451</v>
          </cell>
          <cell r="G86" t="str">
            <v>3</v>
          </cell>
          <cell r="H86">
            <v>18</v>
          </cell>
          <cell r="I86" t="str">
            <v>MRC</v>
          </cell>
          <cell r="J86" t="str">
            <v>ZZ</v>
          </cell>
          <cell r="K86">
            <v>11</v>
          </cell>
          <cell r="L86" t="str">
            <v>OC: PRINTING &amp; PUBLICATIONS (OTHER)</v>
          </cell>
          <cell r="M86">
            <v>900000</v>
          </cell>
          <cell r="N86">
            <v>0</v>
          </cell>
          <cell r="O86">
            <v>0</v>
          </cell>
          <cell r="P86">
            <v>503095.5</v>
          </cell>
          <cell r="Q86">
            <v>396904.5</v>
          </cell>
          <cell r="R86">
            <v>55.89</v>
          </cell>
        </row>
        <row r="87">
          <cell r="A87" t="str">
            <v>1105230541018MRCZZ11</v>
          </cell>
          <cell r="B87" t="str">
            <v>11</v>
          </cell>
          <cell r="C87" t="str">
            <v>05</v>
          </cell>
          <cell r="D87" t="str">
            <v>2</v>
          </cell>
          <cell r="E87" t="str">
            <v>30</v>
          </cell>
          <cell r="F87" t="str">
            <v>541</v>
          </cell>
          <cell r="G87" t="str">
            <v>0</v>
          </cell>
          <cell r="H87">
            <v>18</v>
          </cell>
          <cell r="I87" t="str">
            <v>MRC</v>
          </cell>
          <cell r="J87" t="str">
            <v>ZZ</v>
          </cell>
          <cell r="K87">
            <v>11</v>
          </cell>
          <cell r="L87" t="str">
            <v>OC: SKILLS DEVELOPMENT FUND LEVY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 t="str">
            <v>1105230610018MRCZZ11</v>
          </cell>
          <cell r="B88" t="str">
            <v>11</v>
          </cell>
          <cell r="C88" t="str">
            <v>05</v>
          </cell>
          <cell r="D88" t="str">
            <v>2</v>
          </cell>
          <cell r="E88" t="str">
            <v>30</v>
          </cell>
          <cell r="F88" t="str">
            <v>610</v>
          </cell>
          <cell r="G88" t="str">
            <v>0</v>
          </cell>
          <cell r="H88">
            <v>18</v>
          </cell>
          <cell r="I88" t="str">
            <v>MRC</v>
          </cell>
          <cell r="J88" t="str">
            <v>ZZ</v>
          </cell>
          <cell r="K88">
            <v>11</v>
          </cell>
          <cell r="L88" t="str">
            <v>OC: UNIFORM &amp; PROTECTIVE CLOTHING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1105232360D18MRCZZ11</v>
          </cell>
          <cell r="B89" t="str">
            <v>11</v>
          </cell>
          <cell r="C89" t="str">
            <v>05</v>
          </cell>
          <cell r="D89" t="str">
            <v>2</v>
          </cell>
          <cell r="E89" t="str">
            <v>32</v>
          </cell>
          <cell r="F89" t="str">
            <v>360</v>
          </cell>
          <cell r="G89" t="str">
            <v>D</v>
          </cell>
          <cell r="H89">
            <v>18</v>
          </cell>
          <cell r="I89" t="str">
            <v>MRC</v>
          </cell>
          <cell r="J89" t="str">
            <v>ZZ</v>
          </cell>
          <cell r="K89">
            <v>11</v>
          </cell>
          <cell r="L89" t="str">
            <v>INVENTORY - MATERIALS &amp; SUPPLIES(PRINT&amp;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1105232360R18MRCZZ11</v>
          </cell>
          <cell r="B90" t="str">
            <v>11</v>
          </cell>
          <cell r="C90" t="str">
            <v>05</v>
          </cell>
          <cell r="D90" t="str">
            <v>2</v>
          </cell>
          <cell r="E90" t="str">
            <v>32</v>
          </cell>
          <cell r="F90" t="str">
            <v>360</v>
          </cell>
          <cell r="G90" t="str">
            <v>R</v>
          </cell>
          <cell r="H90">
            <v>18</v>
          </cell>
          <cell r="I90" t="str">
            <v>MRC</v>
          </cell>
          <cell r="J90" t="str">
            <v>ZZ</v>
          </cell>
          <cell r="K90">
            <v>11</v>
          </cell>
          <cell r="L90" t="str">
            <v>INVENTORY - MATERIALS &amp; SUPPLIES(STOCK &amp;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 t="str">
            <v>1107211001018MRCZZ11</v>
          </cell>
          <cell r="B91" t="str">
            <v>11</v>
          </cell>
          <cell r="C91" t="str">
            <v>07</v>
          </cell>
          <cell r="D91" t="str">
            <v>2</v>
          </cell>
          <cell r="E91" t="str">
            <v>11</v>
          </cell>
          <cell r="F91" t="str">
            <v>001</v>
          </cell>
          <cell r="G91" t="str">
            <v>0</v>
          </cell>
          <cell r="H91">
            <v>18</v>
          </cell>
          <cell r="I91" t="str">
            <v>MRC</v>
          </cell>
          <cell r="J91" t="str">
            <v>ZZ</v>
          </cell>
          <cell r="K91">
            <v>11</v>
          </cell>
          <cell r="L91" t="str">
            <v>MS: SAL &amp; ALL: BASIC SALARY &amp; WAGES</v>
          </cell>
          <cell r="M91">
            <v>4709204</v>
          </cell>
          <cell r="N91">
            <v>0</v>
          </cell>
          <cell r="O91">
            <v>0</v>
          </cell>
          <cell r="P91">
            <v>2559344.29</v>
          </cell>
          <cell r="Q91">
            <v>2149859.71</v>
          </cell>
          <cell r="R91">
            <v>54.34</v>
          </cell>
        </row>
        <row r="92">
          <cell r="A92" t="str">
            <v>1107211022018MRCZZ11</v>
          </cell>
          <cell r="B92" t="str">
            <v>11</v>
          </cell>
          <cell r="C92" t="str">
            <v>07</v>
          </cell>
          <cell r="D92" t="str">
            <v>2</v>
          </cell>
          <cell r="E92" t="str">
            <v>11</v>
          </cell>
          <cell r="F92" t="str">
            <v>022</v>
          </cell>
          <cell r="G92" t="str">
            <v>0</v>
          </cell>
          <cell r="H92">
            <v>18</v>
          </cell>
          <cell r="I92" t="str">
            <v>MRC</v>
          </cell>
          <cell r="J92" t="str">
            <v>ZZ</v>
          </cell>
          <cell r="K92">
            <v>11</v>
          </cell>
          <cell r="L92" t="str">
            <v>MS: ALL - CELLULAR &amp; TELEPHONE</v>
          </cell>
          <cell r="M92">
            <v>12576</v>
          </cell>
          <cell r="N92">
            <v>0</v>
          </cell>
          <cell r="O92">
            <v>0</v>
          </cell>
          <cell r="P92">
            <v>7000</v>
          </cell>
          <cell r="Q92">
            <v>5576</v>
          </cell>
          <cell r="R92">
            <v>55.66</v>
          </cell>
        </row>
        <row r="93">
          <cell r="A93" t="str">
            <v>1107211026018MRCZZ11</v>
          </cell>
          <cell r="B93" t="str">
            <v>11</v>
          </cell>
          <cell r="C93" t="str">
            <v>07</v>
          </cell>
          <cell r="D93" t="str">
            <v>2</v>
          </cell>
          <cell r="E93" t="str">
            <v>11</v>
          </cell>
          <cell r="F93" t="str">
            <v>026</v>
          </cell>
          <cell r="G93" t="str">
            <v>0</v>
          </cell>
          <cell r="H93">
            <v>18</v>
          </cell>
          <cell r="I93" t="str">
            <v>MRC</v>
          </cell>
          <cell r="J93" t="str">
            <v>ZZ</v>
          </cell>
          <cell r="K93">
            <v>11</v>
          </cell>
          <cell r="L93" t="str">
            <v>MS: HB &amp; INC: HOUSING BENEFITS</v>
          </cell>
          <cell r="M93">
            <v>145556</v>
          </cell>
          <cell r="N93">
            <v>0</v>
          </cell>
          <cell r="O93">
            <v>0</v>
          </cell>
          <cell r="P93">
            <v>15176.55</v>
          </cell>
          <cell r="Q93">
            <v>130379.45</v>
          </cell>
          <cell r="R93">
            <v>10.42</v>
          </cell>
        </row>
        <row r="94">
          <cell r="A94" t="str">
            <v>1107211034118MRCZZ11</v>
          </cell>
          <cell r="B94" t="str">
            <v>11</v>
          </cell>
          <cell r="C94" t="str">
            <v>07</v>
          </cell>
          <cell r="D94" t="str">
            <v>2</v>
          </cell>
          <cell r="E94" t="str">
            <v>11</v>
          </cell>
          <cell r="F94" t="str">
            <v>034</v>
          </cell>
          <cell r="G94" t="str">
            <v>1</v>
          </cell>
          <cell r="H94">
            <v>18</v>
          </cell>
          <cell r="I94" t="str">
            <v>MRC</v>
          </cell>
          <cell r="J94" t="str">
            <v>ZZ</v>
          </cell>
          <cell r="K94">
            <v>11</v>
          </cell>
          <cell r="L94" t="str">
            <v>MS: ALL - TRAVEL OR MOTOR VEHICLE (SUBS</v>
          </cell>
          <cell r="M94">
            <v>14995</v>
          </cell>
          <cell r="N94">
            <v>0</v>
          </cell>
          <cell r="O94">
            <v>0</v>
          </cell>
          <cell r="P94">
            <v>122159.9</v>
          </cell>
          <cell r="Q94">
            <v>-107164.9</v>
          </cell>
          <cell r="R94">
            <v>814.67</v>
          </cell>
        </row>
        <row r="95">
          <cell r="A95" t="str">
            <v>1107211036018MRCZZ11</v>
          </cell>
          <cell r="B95" t="str">
            <v>11</v>
          </cell>
          <cell r="C95" t="str">
            <v>07</v>
          </cell>
          <cell r="D95" t="str">
            <v>2</v>
          </cell>
          <cell r="E95" t="str">
            <v>11</v>
          </cell>
          <cell r="F95" t="str">
            <v>036</v>
          </cell>
          <cell r="G95" t="str">
            <v>0</v>
          </cell>
          <cell r="H95">
            <v>18</v>
          </cell>
          <cell r="I95" t="str">
            <v>MRC</v>
          </cell>
          <cell r="J95" t="str">
            <v>ZZ</v>
          </cell>
          <cell r="K95">
            <v>11</v>
          </cell>
          <cell r="L95" t="str">
            <v>MS: OVERTIME - NON STRUCTURED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1107211046018MRCZZ11</v>
          </cell>
          <cell r="B96" t="str">
            <v>11</v>
          </cell>
          <cell r="C96" t="str">
            <v>07</v>
          </cell>
          <cell r="D96" t="str">
            <v>2</v>
          </cell>
          <cell r="E96" t="str">
            <v>11</v>
          </cell>
          <cell r="F96" t="str">
            <v>046</v>
          </cell>
          <cell r="G96" t="str">
            <v>0</v>
          </cell>
          <cell r="H96">
            <v>18</v>
          </cell>
          <cell r="I96" t="str">
            <v>MRC</v>
          </cell>
          <cell r="J96" t="str">
            <v>ZZ</v>
          </cell>
          <cell r="K96">
            <v>11</v>
          </cell>
          <cell r="L96" t="str">
            <v>MS: SRB - ANNUAL BONUS</v>
          </cell>
          <cell r="M96">
            <v>271348</v>
          </cell>
          <cell r="N96">
            <v>0</v>
          </cell>
          <cell r="O96">
            <v>0</v>
          </cell>
          <cell r="P96">
            <v>121583</v>
          </cell>
          <cell r="Q96">
            <v>149765</v>
          </cell>
          <cell r="R96">
            <v>44.8</v>
          </cell>
        </row>
        <row r="97">
          <cell r="A97" t="str">
            <v>1107213001018MRCZZ11</v>
          </cell>
          <cell r="B97" t="str">
            <v>11</v>
          </cell>
          <cell r="C97" t="str">
            <v>07</v>
          </cell>
          <cell r="D97" t="str">
            <v>2</v>
          </cell>
          <cell r="E97" t="str">
            <v>13</v>
          </cell>
          <cell r="F97" t="str">
            <v>001</v>
          </cell>
          <cell r="G97" t="str">
            <v>0</v>
          </cell>
          <cell r="H97">
            <v>18</v>
          </cell>
          <cell r="I97" t="str">
            <v>MRC</v>
          </cell>
          <cell r="J97" t="str">
            <v>ZZ</v>
          </cell>
          <cell r="K97">
            <v>11</v>
          </cell>
          <cell r="L97" t="str">
            <v>MS: SOC CONTR - BARGAINING COUNCIL</v>
          </cell>
          <cell r="M97">
            <v>1554</v>
          </cell>
          <cell r="N97">
            <v>0</v>
          </cell>
          <cell r="O97">
            <v>0</v>
          </cell>
          <cell r="P97">
            <v>842.4</v>
          </cell>
          <cell r="Q97">
            <v>711.6</v>
          </cell>
          <cell r="R97">
            <v>54.2</v>
          </cell>
        </row>
        <row r="98">
          <cell r="A98" t="str">
            <v>1107213010018MRCZZ11</v>
          </cell>
          <cell r="B98" t="str">
            <v>11</v>
          </cell>
          <cell r="C98" t="str">
            <v>07</v>
          </cell>
          <cell r="D98" t="str">
            <v>2</v>
          </cell>
          <cell r="E98" t="str">
            <v>13</v>
          </cell>
          <cell r="F98" t="str">
            <v>010</v>
          </cell>
          <cell r="G98" t="str">
            <v>0</v>
          </cell>
          <cell r="H98">
            <v>18</v>
          </cell>
          <cell r="I98" t="str">
            <v>MRC</v>
          </cell>
          <cell r="J98" t="str">
            <v>ZZ</v>
          </cell>
          <cell r="K98">
            <v>11</v>
          </cell>
          <cell r="L98" t="str">
            <v>MS: SOC CONTR - GROUP LIFE INSURANCE</v>
          </cell>
          <cell r="M98">
            <v>80056</v>
          </cell>
          <cell r="N98">
            <v>0</v>
          </cell>
          <cell r="O98">
            <v>0</v>
          </cell>
          <cell r="P98">
            <v>7770.7</v>
          </cell>
          <cell r="Q98">
            <v>72285.3</v>
          </cell>
          <cell r="R98">
            <v>9.6999999999999993</v>
          </cell>
        </row>
        <row r="99">
          <cell r="A99" t="str">
            <v>1107213020018MRCZZ11</v>
          </cell>
          <cell r="B99" t="str">
            <v>11</v>
          </cell>
          <cell r="C99" t="str">
            <v>07</v>
          </cell>
          <cell r="D99" t="str">
            <v>2</v>
          </cell>
          <cell r="E99" t="str">
            <v>13</v>
          </cell>
          <cell r="F99" t="str">
            <v>020</v>
          </cell>
          <cell r="G99" t="str">
            <v>0</v>
          </cell>
          <cell r="H99">
            <v>18</v>
          </cell>
          <cell r="I99" t="str">
            <v>MRC</v>
          </cell>
          <cell r="J99" t="str">
            <v>ZZ</v>
          </cell>
          <cell r="K99">
            <v>11</v>
          </cell>
          <cell r="L99" t="str">
            <v>MS: SOC CONTR - MEDICAL</v>
          </cell>
          <cell r="M99">
            <v>780348</v>
          </cell>
          <cell r="N99">
            <v>0</v>
          </cell>
          <cell r="O99">
            <v>0</v>
          </cell>
          <cell r="P99">
            <v>106722.6</v>
          </cell>
          <cell r="Q99">
            <v>673625.4</v>
          </cell>
          <cell r="R99">
            <v>13.67</v>
          </cell>
        </row>
        <row r="100">
          <cell r="A100" t="str">
            <v>1107213030018MRCZZ11</v>
          </cell>
          <cell r="B100" t="str">
            <v>11</v>
          </cell>
          <cell r="C100" t="str">
            <v>07</v>
          </cell>
          <cell r="D100" t="str">
            <v>2</v>
          </cell>
          <cell r="E100" t="str">
            <v>13</v>
          </cell>
          <cell r="F100" t="str">
            <v>030</v>
          </cell>
          <cell r="G100" t="str">
            <v>0</v>
          </cell>
          <cell r="H100">
            <v>18</v>
          </cell>
          <cell r="I100" t="str">
            <v>MRC</v>
          </cell>
          <cell r="J100" t="str">
            <v>ZZ</v>
          </cell>
          <cell r="K100">
            <v>11</v>
          </cell>
          <cell r="L100" t="str">
            <v>MS: SOC CONTR - PENSION</v>
          </cell>
          <cell r="M100">
            <v>850953</v>
          </cell>
          <cell r="N100">
            <v>0</v>
          </cell>
          <cell r="O100">
            <v>0</v>
          </cell>
          <cell r="P100">
            <v>404824.14</v>
          </cell>
          <cell r="Q100">
            <v>446128.86</v>
          </cell>
          <cell r="R100">
            <v>47.57</v>
          </cell>
        </row>
        <row r="101">
          <cell r="A101" t="str">
            <v>1107213040018MRCZZ11</v>
          </cell>
          <cell r="B101" t="str">
            <v>11</v>
          </cell>
          <cell r="C101" t="str">
            <v>07</v>
          </cell>
          <cell r="D101" t="str">
            <v>2</v>
          </cell>
          <cell r="E101" t="str">
            <v>13</v>
          </cell>
          <cell r="F101" t="str">
            <v>040</v>
          </cell>
          <cell r="G101" t="str">
            <v>0</v>
          </cell>
          <cell r="H101">
            <v>18</v>
          </cell>
          <cell r="I101" t="str">
            <v>MRC</v>
          </cell>
          <cell r="J101" t="str">
            <v>ZZ</v>
          </cell>
          <cell r="K101">
            <v>11</v>
          </cell>
          <cell r="L101" t="str">
            <v>MS: SOC CONTR - UNEMPLOYMENT INSUR FUND</v>
          </cell>
          <cell r="M101">
            <v>28957</v>
          </cell>
          <cell r="N101">
            <v>0</v>
          </cell>
          <cell r="O101">
            <v>0</v>
          </cell>
          <cell r="P101">
            <v>10271.52</v>
          </cell>
          <cell r="Q101">
            <v>18685.48</v>
          </cell>
          <cell r="R101">
            <v>35.47</v>
          </cell>
        </row>
        <row r="102">
          <cell r="A102" t="str">
            <v>1107226240018MRCZZ11</v>
          </cell>
          <cell r="B102" t="str">
            <v>11</v>
          </cell>
          <cell r="C102" t="str">
            <v>07</v>
          </cell>
          <cell r="D102" t="str">
            <v>2</v>
          </cell>
          <cell r="E102" t="str">
            <v>26</v>
          </cell>
          <cell r="F102" t="str">
            <v>240</v>
          </cell>
          <cell r="G102" t="str">
            <v>0</v>
          </cell>
          <cell r="H102">
            <v>18</v>
          </cell>
          <cell r="I102" t="str">
            <v>MRC</v>
          </cell>
          <cell r="J102" t="str">
            <v>ZZ</v>
          </cell>
          <cell r="K102">
            <v>11</v>
          </cell>
          <cell r="L102" t="str">
            <v>OS: INTERNAL AUDITORS</v>
          </cell>
          <cell r="M102">
            <v>2842267</v>
          </cell>
          <cell r="N102">
            <v>0</v>
          </cell>
          <cell r="O102">
            <v>0</v>
          </cell>
          <cell r="P102">
            <v>0</v>
          </cell>
          <cell r="Q102">
            <v>2842267</v>
          </cell>
          <cell r="R102">
            <v>0</v>
          </cell>
        </row>
        <row r="103">
          <cell r="A103" t="str">
            <v>1107230511018MRCZZ11</v>
          </cell>
          <cell r="B103" t="str">
            <v>11</v>
          </cell>
          <cell r="C103" t="str">
            <v>07</v>
          </cell>
          <cell r="D103" t="str">
            <v>2</v>
          </cell>
          <cell r="E103" t="str">
            <v>30</v>
          </cell>
          <cell r="F103" t="str">
            <v>511</v>
          </cell>
          <cell r="G103" t="str">
            <v>0</v>
          </cell>
          <cell r="H103">
            <v>18</v>
          </cell>
          <cell r="I103" t="str">
            <v>MRC</v>
          </cell>
          <cell r="J103" t="str">
            <v>ZZ</v>
          </cell>
          <cell r="K103">
            <v>11</v>
          </cell>
          <cell r="L103" t="str">
            <v>OC: REG FEES NATIONAL</v>
          </cell>
          <cell r="M103">
            <v>265000</v>
          </cell>
          <cell r="N103">
            <v>0</v>
          </cell>
          <cell r="O103">
            <v>58123.91</v>
          </cell>
          <cell r="P103">
            <v>202217.5</v>
          </cell>
          <cell r="Q103">
            <v>62782.5</v>
          </cell>
          <cell r="R103">
            <v>76.3</v>
          </cell>
        </row>
        <row r="104">
          <cell r="A104" t="str">
            <v>1107230541018MRCZZ11</v>
          </cell>
          <cell r="B104" t="str">
            <v>11</v>
          </cell>
          <cell r="C104" t="str">
            <v>07</v>
          </cell>
          <cell r="D104" t="str">
            <v>2</v>
          </cell>
          <cell r="E104" t="str">
            <v>30</v>
          </cell>
          <cell r="F104" t="str">
            <v>541</v>
          </cell>
          <cell r="G104" t="str">
            <v>0</v>
          </cell>
          <cell r="H104">
            <v>18</v>
          </cell>
          <cell r="I104" t="str">
            <v>MRC</v>
          </cell>
          <cell r="J104" t="str">
            <v>ZZ</v>
          </cell>
          <cell r="K104">
            <v>11</v>
          </cell>
          <cell r="L104" t="str">
            <v>OC: SKILLS DEVELOPMENT FUND LEVY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1107232360D18MRCZZ11</v>
          </cell>
          <cell r="B105" t="str">
            <v>11</v>
          </cell>
          <cell r="C105" t="str">
            <v>07</v>
          </cell>
          <cell r="D105" t="str">
            <v>2</v>
          </cell>
          <cell r="E105" t="str">
            <v>32</v>
          </cell>
          <cell r="F105" t="str">
            <v>360</v>
          </cell>
          <cell r="G105" t="str">
            <v>D</v>
          </cell>
          <cell r="H105">
            <v>18</v>
          </cell>
          <cell r="I105" t="str">
            <v>MRC</v>
          </cell>
          <cell r="J105" t="str">
            <v>ZZ</v>
          </cell>
          <cell r="K105">
            <v>11</v>
          </cell>
          <cell r="L105" t="str">
            <v>INVENTORY - MATERIALS &amp; SUPPLIES(PRINT&amp;</v>
          </cell>
          <cell r="M105">
            <v>50000</v>
          </cell>
          <cell r="N105">
            <v>0</v>
          </cell>
          <cell r="O105">
            <v>0</v>
          </cell>
          <cell r="P105">
            <v>964.65</v>
          </cell>
          <cell r="Q105">
            <v>49035.35</v>
          </cell>
          <cell r="R105">
            <v>1.92</v>
          </cell>
        </row>
        <row r="106">
          <cell r="A106" t="str">
            <v>1107232360R18MRCZZ11</v>
          </cell>
          <cell r="B106" t="str">
            <v>11</v>
          </cell>
          <cell r="C106" t="str">
            <v>07</v>
          </cell>
          <cell r="D106" t="str">
            <v>2</v>
          </cell>
          <cell r="E106" t="str">
            <v>32</v>
          </cell>
          <cell r="F106" t="str">
            <v>360</v>
          </cell>
          <cell r="G106" t="str">
            <v>R</v>
          </cell>
          <cell r="H106">
            <v>18</v>
          </cell>
          <cell r="I106" t="str">
            <v>MRC</v>
          </cell>
          <cell r="J106" t="str">
            <v>ZZ</v>
          </cell>
          <cell r="K106">
            <v>11</v>
          </cell>
          <cell r="L106" t="str">
            <v>INVENTORY - MATERIALS &amp; SUPPLIES(STOCK &amp;</v>
          </cell>
          <cell r="M106">
            <v>20000</v>
          </cell>
          <cell r="N106">
            <v>0</v>
          </cell>
          <cell r="O106">
            <v>0</v>
          </cell>
          <cell r="P106">
            <v>0</v>
          </cell>
          <cell r="Q106">
            <v>20000</v>
          </cell>
          <cell r="R106">
            <v>0</v>
          </cell>
        </row>
        <row r="107">
          <cell r="A107" t="str">
            <v>1108211001018MRCZZ11</v>
          </cell>
          <cell r="B107" t="str">
            <v>11</v>
          </cell>
          <cell r="C107" t="str">
            <v>08</v>
          </cell>
          <cell r="D107" t="str">
            <v>2</v>
          </cell>
          <cell r="E107" t="str">
            <v>11</v>
          </cell>
          <cell r="F107" t="str">
            <v>001</v>
          </cell>
          <cell r="G107" t="str">
            <v>0</v>
          </cell>
          <cell r="H107">
            <v>18</v>
          </cell>
          <cell r="I107" t="str">
            <v>MRC</v>
          </cell>
          <cell r="J107" t="str">
            <v>ZZ</v>
          </cell>
          <cell r="K107">
            <v>11</v>
          </cell>
          <cell r="L107" t="str">
            <v>MS: SAL &amp; ALL: BASIC SALARY &amp; WAGES</v>
          </cell>
          <cell r="M107">
            <v>3003275</v>
          </cell>
          <cell r="N107">
            <v>0</v>
          </cell>
          <cell r="O107">
            <v>0</v>
          </cell>
          <cell r="P107">
            <v>1365475.23</v>
          </cell>
          <cell r="Q107">
            <v>1637799.77</v>
          </cell>
          <cell r="R107">
            <v>45.46</v>
          </cell>
          <cell r="S107"/>
        </row>
        <row r="108">
          <cell r="A108" t="str">
            <v>1108211022018MRCZZ11</v>
          </cell>
          <cell r="B108" t="str">
            <v>11</v>
          </cell>
          <cell r="C108" t="str">
            <v>08</v>
          </cell>
          <cell r="D108" t="str">
            <v>2</v>
          </cell>
          <cell r="E108" t="str">
            <v>11</v>
          </cell>
          <cell r="F108" t="str">
            <v>022</v>
          </cell>
          <cell r="G108" t="str">
            <v>0</v>
          </cell>
          <cell r="H108">
            <v>18</v>
          </cell>
          <cell r="I108" t="str">
            <v>MRC</v>
          </cell>
          <cell r="J108" t="str">
            <v>ZZ</v>
          </cell>
          <cell r="K108">
            <v>11</v>
          </cell>
          <cell r="L108" t="str">
            <v>MS: ALL - CELLULAR &amp; TELEPHONE</v>
          </cell>
          <cell r="M108">
            <v>9432</v>
          </cell>
          <cell r="N108">
            <v>0</v>
          </cell>
          <cell r="O108">
            <v>0</v>
          </cell>
          <cell r="P108">
            <v>5250</v>
          </cell>
          <cell r="Q108">
            <v>4182</v>
          </cell>
          <cell r="R108">
            <v>55.66</v>
          </cell>
          <cell r="S108"/>
        </row>
        <row r="109">
          <cell r="A109" t="str">
            <v>1108211026018MRCZZ11</v>
          </cell>
          <cell r="B109" t="str">
            <v>11</v>
          </cell>
          <cell r="C109" t="str">
            <v>08</v>
          </cell>
          <cell r="D109" t="str">
            <v>2</v>
          </cell>
          <cell r="E109" t="str">
            <v>11</v>
          </cell>
          <cell r="F109" t="str">
            <v>026</v>
          </cell>
          <cell r="G109" t="str">
            <v>0</v>
          </cell>
          <cell r="H109">
            <v>18</v>
          </cell>
          <cell r="I109" t="str">
            <v>MRC</v>
          </cell>
          <cell r="J109" t="str">
            <v>ZZ</v>
          </cell>
          <cell r="K109">
            <v>11</v>
          </cell>
          <cell r="L109" t="str">
            <v>MS: HB &amp; INC: HOUSING BENEFITS</v>
          </cell>
          <cell r="M109">
            <v>72778</v>
          </cell>
          <cell r="N109">
            <v>0</v>
          </cell>
          <cell r="O109">
            <v>0</v>
          </cell>
          <cell r="P109">
            <v>14164.78</v>
          </cell>
          <cell r="Q109">
            <v>58613.22</v>
          </cell>
          <cell r="R109">
            <v>19.46</v>
          </cell>
          <cell r="S109"/>
        </row>
        <row r="110">
          <cell r="A110" t="str">
            <v>1108211032018MRCZZ11</v>
          </cell>
          <cell r="B110" t="str">
            <v>11</v>
          </cell>
          <cell r="C110" t="str">
            <v>08</v>
          </cell>
          <cell r="D110" t="str">
            <v>2</v>
          </cell>
          <cell r="E110" t="str">
            <v>11</v>
          </cell>
          <cell r="F110" t="str">
            <v>032</v>
          </cell>
          <cell r="G110" t="str">
            <v>0</v>
          </cell>
          <cell r="H110">
            <v>18</v>
          </cell>
          <cell r="I110" t="str">
            <v>MRC</v>
          </cell>
          <cell r="J110" t="str">
            <v>ZZ</v>
          </cell>
          <cell r="K110">
            <v>11</v>
          </cell>
          <cell r="L110" t="str">
            <v>MS: ALL - LEAVE PAY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/>
        </row>
        <row r="111">
          <cell r="A111" t="str">
            <v>1108211034018MRCZZ11</v>
          </cell>
          <cell r="B111" t="str">
            <v>11</v>
          </cell>
          <cell r="C111" t="str">
            <v>08</v>
          </cell>
          <cell r="D111" t="str">
            <v>2</v>
          </cell>
          <cell r="E111" t="str">
            <v>11</v>
          </cell>
          <cell r="F111" t="str">
            <v>034</v>
          </cell>
          <cell r="G111" t="str">
            <v>0</v>
          </cell>
          <cell r="H111">
            <v>18</v>
          </cell>
          <cell r="I111" t="str">
            <v>MRC</v>
          </cell>
          <cell r="J111" t="str">
            <v>ZZ</v>
          </cell>
          <cell r="K111">
            <v>11</v>
          </cell>
          <cell r="L111" t="str">
            <v>MS: ALL - TRAVEL OR MOTOR VEHICLE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/>
        </row>
        <row r="112">
          <cell r="A112" t="str">
            <v>1108211034118MRCZZ11</v>
          </cell>
          <cell r="B112" t="str">
            <v>11</v>
          </cell>
          <cell r="C112" t="str">
            <v>08</v>
          </cell>
          <cell r="D112" t="str">
            <v>2</v>
          </cell>
          <cell r="E112" t="str">
            <v>11</v>
          </cell>
          <cell r="F112" t="str">
            <v>034</v>
          </cell>
          <cell r="G112" t="str">
            <v>1</v>
          </cell>
          <cell r="H112">
            <v>18</v>
          </cell>
          <cell r="I112" t="str">
            <v>MRC</v>
          </cell>
          <cell r="J112" t="str">
            <v>ZZ</v>
          </cell>
          <cell r="K112">
            <v>11</v>
          </cell>
          <cell r="L112" t="str">
            <v>MS: ALL - TRAVEL OR MOTOR VEHICLE (SUBS</v>
          </cell>
          <cell r="M112">
            <v>36301</v>
          </cell>
          <cell r="N112">
            <v>0</v>
          </cell>
          <cell r="O112">
            <v>0</v>
          </cell>
          <cell r="P112">
            <v>263228.45</v>
          </cell>
          <cell r="Q112">
            <v>-226927.45</v>
          </cell>
          <cell r="R112">
            <v>725.12</v>
          </cell>
          <cell r="S112"/>
        </row>
        <row r="113">
          <cell r="A113" t="str">
            <v>1108211038018MRCZZ11</v>
          </cell>
          <cell r="B113" t="str">
            <v>11</v>
          </cell>
          <cell r="C113" t="str">
            <v>08</v>
          </cell>
          <cell r="D113" t="str">
            <v>2</v>
          </cell>
          <cell r="E113" t="str">
            <v>11</v>
          </cell>
          <cell r="F113" t="str">
            <v>038</v>
          </cell>
          <cell r="G113" t="str">
            <v>0</v>
          </cell>
          <cell r="H113">
            <v>18</v>
          </cell>
          <cell r="I113" t="str">
            <v>MRC</v>
          </cell>
          <cell r="J113" t="str">
            <v>ZZ</v>
          </cell>
          <cell r="K113">
            <v>11</v>
          </cell>
          <cell r="L113" t="str">
            <v>MS: OVERTIME - STRUCTURED</v>
          </cell>
          <cell r="M113">
            <v>18216</v>
          </cell>
          <cell r="N113">
            <v>0</v>
          </cell>
          <cell r="O113">
            <v>0</v>
          </cell>
          <cell r="P113">
            <v>52238.18</v>
          </cell>
          <cell r="Q113">
            <v>-34022.18</v>
          </cell>
          <cell r="R113">
            <v>286.77</v>
          </cell>
          <cell r="S113"/>
        </row>
        <row r="114">
          <cell r="A114" t="str">
            <v>1108211042018MRCZZ11</v>
          </cell>
          <cell r="B114" t="str">
            <v>11</v>
          </cell>
          <cell r="C114" t="str">
            <v>08</v>
          </cell>
          <cell r="D114" t="str">
            <v>2</v>
          </cell>
          <cell r="E114" t="str">
            <v>11</v>
          </cell>
          <cell r="F114" t="str">
            <v>042</v>
          </cell>
          <cell r="G114" t="str">
            <v>0</v>
          </cell>
          <cell r="H114">
            <v>18</v>
          </cell>
          <cell r="I114" t="str">
            <v>MRC</v>
          </cell>
          <cell r="J114" t="str">
            <v>ZZ</v>
          </cell>
          <cell r="K114">
            <v>11</v>
          </cell>
          <cell r="L114" t="str">
            <v>MS: OVERTIME - NIGHT SHIFT</v>
          </cell>
          <cell r="M114">
            <v>1196</v>
          </cell>
          <cell r="N114">
            <v>0</v>
          </cell>
          <cell r="O114">
            <v>0</v>
          </cell>
          <cell r="P114">
            <v>2026.84</v>
          </cell>
          <cell r="Q114">
            <v>-830.84</v>
          </cell>
          <cell r="R114">
            <v>169.46</v>
          </cell>
          <cell r="S114"/>
        </row>
        <row r="115">
          <cell r="A115" t="str">
            <v>1108211046018MRCZZ11</v>
          </cell>
          <cell r="B115" t="str">
            <v>11</v>
          </cell>
          <cell r="C115" t="str">
            <v>08</v>
          </cell>
          <cell r="D115" t="str">
            <v>2</v>
          </cell>
          <cell r="E115" t="str">
            <v>11</v>
          </cell>
          <cell r="F115" t="str">
            <v>046</v>
          </cell>
          <cell r="G115" t="str">
            <v>0</v>
          </cell>
          <cell r="H115">
            <v>18</v>
          </cell>
          <cell r="I115" t="str">
            <v>MRC</v>
          </cell>
          <cell r="J115" t="str">
            <v>ZZ</v>
          </cell>
          <cell r="K115">
            <v>11</v>
          </cell>
          <cell r="L115" t="str">
            <v>MS: SRB - ANNUAL BONUS</v>
          </cell>
          <cell r="M115">
            <v>250273</v>
          </cell>
          <cell r="N115">
            <v>0</v>
          </cell>
          <cell r="O115">
            <v>0</v>
          </cell>
          <cell r="P115">
            <v>108291</v>
          </cell>
          <cell r="Q115">
            <v>141982</v>
          </cell>
          <cell r="R115">
            <v>43.26</v>
          </cell>
          <cell r="S115"/>
        </row>
        <row r="116">
          <cell r="A116" t="str">
            <v>1108211056018MRCZZ11</v>
          </cell>
          <cell r="B116" t="str">
            <v>11</v>
          </cell>
          <cell r="C116" t="str">
            <v>08</v>
          </cell>
          <cell r="D116" t="str">
            <v>2</v>
          </cell>
          <cell r="E116" t="str">
            <v>11</v>
          </cell>
          <cell r="F116" t="str">
            <v>056</v>
          </cell>
          <cell r="G116" t="str">
            <v>0</v>
          </cell>
          <cell r="H116">
            <v>18</v>
          </cell>
          <cell r="I116" t="str">
            <v>MRC</v>
          </cell>
          <cell r="J116" t="str">
            <v>ZZ</v>
          </cell>
          <cell r="K116">
            <v>11</v>
          </cell>
          <cell r="L116" t="str">
            <v>MS: SRB - STANDBY ALLOWANCE</v>
          </cell>
          <cell r="M116">
            <v>31414</v>
          </cell>
          <cell r="N116">
            <v>0</v>
          </cell>
          <cell r="O116">
            <v>0</v>
          </cell>
          <cell r="P116">
            <v>23322.91</v>
          </cell>
          <cell r="Q116">
            <v>8091.09</v>
          </cell>
          <cell r="R116">
            <v>74.239999999999995</v>
          </cell>
          <cell r="S116"/>
        </row>
        <row r="117">
          <cell r="A117" t="str">
            <v>1108213001018MRCZZ11</v>
          </cell>
          <cell r="B117" t="str">
            <v>11</v>
          </cell>
          <cell r="C117" t="str">
            <v>08</v>
          </cell>
          <cell r="D117" t="str">
            <v>2</v>
          </cell>
          <cell r="E117" t="str">
            <v>13</v>
          </cell>
          <cell r="F117" t="str">
            <v>001</v>
          </cell>
          <cell r="G117" t="str">
            <v>0</v>
          </cell>
          <cell r="H117">
            <v>18</v>
          </cell>
          <cell r="I117" t="str">
            <v>MRC</v>
          </cell>
          <cell r="J117" t="str">
            <v>ZZ</v>
          </cell>
          <cell r="K117">
            <v>11</v>
          </cell>
          <cell r="L117" t="str">
            <v>MS: SOC CONTR - BARGAINING COUNCIL</v>
          </cell>
          <cell r="M117">
            <v>777</v>
          </cell>
          <cell r="N117">
            <v>0</v>
          </cell>
          <cell r="O117">
            <v>0</v>
          </cell>
          <cell r="P117">
            <v>291.60000000000002</v>
          </cell>
          <cell r="Q117">
            <v>485.4</v>
          </cell>
          <cell r="R117">
            <v>37.520000000000003</v>
          </cell>
          <cell r="S117"/>
        </row>
        <row r="118">
          <cell r="A118" t="str">
            <v>1108213010018MRCZZ11</v>
          </cell>
          <cell r="B118" t="str">
            <v>11</v>
          </cell>
          <cell r="C118" t="str">
            <v>08</v>
          </cell>
          <cell r="D118" t="str">
            <v>2</v>
          </cell>
          <cell r="E118" t="str">
            <v>13</v>
          </cell>
          <cell r="F118" t="str">
            <v>010</v>
          </cell>
          <cell r="G118" t="str">
            <v>0</v>
          </cell>
          <cell r="H118">
            <v>18</v>
          </cell>
          <cell r="I118" t="str">
            <v>MRC</v>
          </cell>
          <cell r="J118" t="str">
            <v>ZZ</v>
          </cell>
          <cell r="K118">
            <v>11</v>
          </cell>
          <cell r="L118" t="str">
            <v>MS: SOC CONTR - GROUP LIFE INSURANCE</v>
          </cell>
          <cell r="M118">
            <v>51056</v>
          </cell>
          <cell r="N118">
            <v>0</v>
          </cell>
          <cell r="O118">
            <v>0</v>
          </cell>
          <cell r="P118">
            <v>14129.08</v>
          </cell>
          <cell r="Q118">
            <v>36926.92</v>
          </cell>
          <cell r="R118">
            <v>27.67</v>
          </cell>
          <cell r="S118"/>
        </row>
        <row r="119">
          <cell r="A119" t="str">
            <v>1108213020018MRCZZ11</v>
          </cell>
          <cell r="B119" t="str">
            <v>11</v>
          </cell>
          <cell r="C119" t="str">
            <v>08</v>
          </cell>
          <cell r="D119" t="str">
            <v>2</v>
          </cell>
          <cell r="E119" t="str">
            <v>13</v>
          </cell>
          <cell r="F119" t="str">
            <v>020</v>
          </cell>
          <cell r="G119" t="str">
            <v>0</v>
          </cell>
          <cell r="H119">
            <v>18</v>
          </cell>
          <cell r="I119" t="str">
            <v>MRC</v>
          </cell>
          <cell r="J119" t="str">
            <v>ZZ</v>
          </cell>
          <cell r="K119">
            <v>11</v>
          </cell>
          <cell r="L119" t="str">
            <v>MS: SOC CONTR - MEDICAL</v>
          </cell>
          <cell r="M119">
            <v>360161</v>
          </cell>
          <cell r="N119">
            <v>0</v>
          </cell>
          <cell r="O119">
            <v>0</v>
          </cell>
          <cell r="P119">
            <v>99771.6</v>
          </cell>
          <cell r="Q119">
            <v>260389.4</v>
          </cell>
          <cell r="R119">
            <v>27.7</v>
          </cell>
          <cell r="S119"/>
        </row>
        <row r="120">
          <cell r="A120" t="str">
            <v>1108213030018MRCZZ11</v>
          </cell>
          <cell r="B120" t="str">
            <v>11</v>
          </cell>
          <cell r="C120" t="str">
            <v>08</v>
          </cell>
          <cell r="D120" t="str">
            <v>2</v>
          </cell>
          <cell r="E120" t="str">
            <v>13</v>
          </cell>
          <cell r="F120" t="str">
            <v>030</v>
          </cell>
          <cell r="G120" t="str">
            <v>0</v>
          </cell>
          <cell r="H120">
            <v>18</v>
          </cell>
          <cell r="I120" t="str">
            <v>MRC</v>
          </cell>
          <cell r="J120" t="str">
            <v>ZZ</v>
          </cell>
          <cell r="K120">
            <v>11</v>
          </cell>
          <cell r="L120" t="str">
            <v>MS: SOC CONTR - PENSION</v>
          </cell>
          <cell r="M120">
            <v>542692</v>
          </cell>
          <cell r="N120">
            <v>0</v>
          </cell>
          <cell r="O120">
            <v>0</v>
          </cell>
          <cell r="P120">
            <v>237222.02</v>
          </cell>
          <cell r="Q120">
            <v>305469.98</v>
          </cell>
          <cell r="R120">
            <v>43.71</v>
          </cell>
          <cell r="S120"/>
        </row>
        <row r="121">
          <cell r="A121" t="str">
            <v>1108213040018MRCZZ11</v>
          </cell>
          <cell r="B121" t="str">
            <v>11</v>
          </cell>
          <cell r="C121" t="str">
            <v>08</v>
          </cell>
          <cell r="D121" t="str">
            <v>2</v>
          </cell>
          <cell r="E121" t="str">
            <v>13</v>
          </cell>
          <cell r="F121" t="str">
            <v>040</v>
          </cell>
          <cell r="G121" t="str">
            <v>0</v>
          </cell>
          <cell r="H121">
            <v>18</v>
          </cell>
          <cell r="I121" t="str">
            <v>MRC</v>
          </cell>
          <cell r="J121" t="str">
            <v>ZZ</v>
          </cell>
          <cell r="K121">
            <v>11</v>
          </cell>
          <cell r="L121" t="str">
            <v>MS: SOC CONTR - UNEMPLOYMENT INSUR FUND</v>
          </cell>
          <cell r="M121">
            <v>13365</v>
          </cell>
          <cell r="N121">
            <v>0</v>
          </cell>
          <cell r="O121">
            <v>0</v>
          </cell>
          <cell r="P121">
            <v>4782.24</v>
          </cell>
          <cell r="Q121">
            <v>8582.76</v>
          </cell>
          <cell r="R121">
            <v>35.78</v>
          </cell>
          <cell r="S121"/>
        </row>
        <row r="122">
          <cell r="A122" t="str">
            <v>1108230117018MRCZZ11</v>
          </cell>
          <cell r="B122" t="str">
            <v>11</v>
          </cell>
          <cell r="C122" t="str">
            <v>08</v>
          </cell>
          <cell r="D122" t="str">
            <v>2</v>
          </cell>
          <cell r="E122" t="str">
            <v>30</v>
          </cell>
          <cell r="F122" t="str">
            <v>117</v>
          </cell>
          <cell r="G122" t="str">
            <v>0</v>
          </cell>
          <cell r="H122">
            <v>18</v>
          </cell>
          <cell r="I122" t="str">
            <v>MRC</v>
          </cell>
          <cell r="J122" t="str">
            <v>ZZ</v>
          </cell>
          <cell r="K122">
            <v>11</v>
          </cell>
          <cell r="L122" t="str">
            <v>OC: EXT COM SERV PROV  - TELEPHONE</v>
          </cell>
          <cell r="M122">
            <v>3491400</v>
          </cell>
          <cell r="N122">
            <v>0</v>
          </cell>
          <cell r="O122">
            <v>0</v>
          </cell>
          <cell r="P122">
            <v>3294234.99</v>
          </cell>
          <cell r="Q122">
            <v>197165.01</v>
          </cell>
          <cell r="R122">
            <v>94.35</v>
          </cell>
          <cell r="S122">
            <v>3800000</v>
          </cell>
        </row>
        <row r="123">
          <cell r="A123" t="str">
            <v>1108230173218MRCZZ11</v>
          </cell>
          <cell r="B123" t="str">
            <v>11</v>
          </cell>
          <cell r="C123" t="str">
            <v>08</v>
          </cell>
          <cell r="D123" t="str">
            <v>2</v>
          </cell>
          <cell r="E123" t="str">
            <v>30</v>
          </cell>
          <cell r="F123" t="str">
            <v>173</v>
          </cell>
          <cell r="G123" t="str">
            <v>2</v>
          </cell>
          <cell r="H123">
            <v>18</v>
          </cell>
          <cell r="I123" t="str">
            <v>MRC</v>
          </cell>
          <cell r="J123" t="str">
            <v>ZZ</v>
          </cell>
          <cell r="K123">
            <v>11</v>
          </cell>
          <cell r="L123" t="str">
            <v xml:space="preserve">OC: EXT COM SERV PROV - APN INTERNET </v>
          </cell>
          <cell r="M123">
            <v>7200000</v>
          </cell>
          <cell r="N123">
            <v>0</v>
          </cell>
          <cell r="O123">
            <v>0</v>
          </cell>
          <cell r="P123">
            <v>0</v>
          </cell>
          <cell r="Q123">
            <v>7200000</v>
          </cell>
          <cell r="R123">
            <v>0</v>
          </cell>
          <cell r="S123">
            <v>3800000</v>
          </cell>
        </row>
        <row r="124">
          <cell r="A124" t="str">
            <v>1108230178018MRCZZ11</v>
          </cell>
          <cell r="B124" t="str">
            <v>11</v>
          </cell>
          <cell r="C124" t="str">
            <v>08</v>
          </cell>
          <cell r="D124" t="str">
            <v>2</v>
          </cell>
          <cell r="E124" t="str">
            <v>30</v>
          </cell>
          <cell r="F124" t="str">
            <v>178</v>
          </cell>
          <cell r="G124" t="str">
            <v>0</v>
          </cell>
          <cell r="H124">
            <v>18</v>
          </cell>
          <cell r="I124" t="str">
            <v>MRC</v>
          </cell>
          <cell r="J124" t="str">
            <v>ZZ</v>
          </cell>
          <cell r="K124">
            <v>11</v>
          </cell>
          <cell r="L124" t="str">
            <v>OC: EXT COM SERV PROV - S/WARE LICENCES</v>
          </cell>
          <cell r="M124">
            <v>4966405</v>
          </cell>
          <cell r="N124">
            <v>0</v>
          </cell>
          <cell r="O124">
            <v>0</v>
          </cell>
          <cell r="P124">
            <v>0</v>
          </cell>
          <cell r="Q124">
            <v>4966405</v>
          </cell>
          <cell r="R124">
            <v>0</v>
          </cell>
          <cell r="S124" t="str">
            <v xml:space="preserve">Remove </v>
          </cell>
        </row>
        <row r="125">
          <cell r="A125" t="str">
            <v>1108230178118MRCZZ11</v>
          </cell>
          <cell r="B125" t="str">
            <v>11</v>
          </cell>
          <cell r="C125" t="str">
            <v>08</v>
          </cell>
          <cell r="D125" t="str">
            <v>2</v>
          </cell>
          <cell r="E125" t="str">
            <v>30</v>
          </cell>
          <cell r="F125" t="str">
            <v>178</v>
          </cell>
          <cell r="G125" t="str">
            <v>1</v>
          </cell>
          <cell r="H125">
            <v>18</v>
          </cell>
          <cell r="I125" t="str">
            <v>MRC</v>
          </cell>
          <cell r="J125" t="str">
            <v>ZZ</v>
          </cell>
          <cell r="K125">
            <v>11</v>
          </cell>
          <cell r="L125" t="str">
            <v>OC: EXT COM SERV PROV - S/WARE LICENCES</v>
          </cell>
          <cell r="M125">
            <v>12580511</v>
          </cell>
          <cell r="N125">
            <v>0</v>
          </cell>
          <cell r="O125">
            <v>111000</v>
          </cell>
          <cell r="P125">
            <v>7741457.1799999997</v>
          </cell>
          <cell r="Q125">
            <v>4839053.82</v>
          </cell>
          <cell r="R125">
            <v>61.53</v>
          </cell>
          <cell r="S125">
            <v>14000000</v>
          </cell>
        </row>
        <row r="126">
          <cell r="A126" t="str">
            <v>1108230541018MRCZZ11</v>
          </cell>
          <cell r="B126" t="str">
            <v>11</v>
          </cell>
          <cell r="C126" t="str">
            <v>08</v>
          </cell>
          <cell r="D126" t="str">
            <v>2</v>
          </cell>
          <cell r="E126" t="str">
            <v>30</v>
          </cell>
          <cell r="F126" t="str">
            <v>541</v>
          </cell>
          <cell r="G126" t="str">
            <v>0</v>
          </cell>
          <cell r="H126">
            <v>18</v>
          </cell>
          <cell r="I126" t="str">
            <v>MRC</v>
          </cell>
          <cell r="J126" t="str">
            <v>ZZ</v>
          </cell>
          <cell r="K126">
            <v>11</v>
          </cell>
          <cell r="L126" t="str">
            <v>OC: SKILLS DEVELOPMENT FUND LEVY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/>
        </row>
        <row r="127">
          <cell r="A127" t="str">
            <v>1108230576018MRCZZ11</v>
          </cell>
          <cell r="B127" t="str">
            <v>11</v>
          </cell>
          <cell r="C127" t="str">
            <v>08</v>
          </cell>
          <cell r="D127" t="str">
            <v>2</v>
          </cell>
          <cell r="E127" t="str">
            <v>30</v>
          </cell>
          <cell r="F127" t="str">
            <v>576</v>
          </cell>
          <cell r="G127" t="str">
            <v>0</v>
          </cell>
          <cell r="H127">
            <v>18</v>
          </cell>
          <cell r="I127" t="str">
            <v>MRC</v>
          </cell>
          <cell r="J127" t="str">
            <v>ZZ</v>
          </cell>
          <cell r="K127">
            <v>11</v>
          </cell>
          <cell r="L127" t="str">
            <v>OC: T&amp;S DOM - ACCOMMODATION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100000</v>
          </cell>
        </row>
        <row r="128">
          <cell r="A128" t="str">
            <v>1108230577018MRCZZ11</v>
          </cell>
          <cell r="B128" t="str">
            <v>11</v>
          </cell>
          <cell r="C128" t="str">
            <v>08</v>
          </cell>
          <cell r="D128" t="str">
            <v>2</v>
          </cell>
          <cell r="E128" t="str">
            <v>30</v>
          </cell>
          <cell r="F128" t="str">
            <v>577</v>
          </cell>
          <cell r="G128" t="str">
            <v>0</v>
          </cell>
          <cell r="H128">
            <v>18</v>
          </cell>
          <cell r="I128" t="str">
            <v>MRC</v>
          </cell>
          <cell r="J128" t="str">
            <v>ZZ</v>
          </cell>
          <cell r="K128">
            <v>11</v>
          </cell>
          <cell r="L128" t="str">
            <v>OC: T&amp;S DOM - DAILY ALLOWANCE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1108230580018MRCZZ11</v>
          </cell>
          <cell r="B129" t="str">
            <v>11</v>
          </cell>
          <cell r="C129" t="str">
            <v>08</v>
          </cell>
          <cell r="D129" t="str">
            <v>2</v>
          </cell>
          <cell r="E129" t="str">
            <v>30</v>
          </cell>
          <cell r="F129" t="str">
            <v>580</v>
          </cell>
          <cell r="G129" t="str">
            <v>0</v>
          </cell>
          <cell r="H129">
            <v>18</v>
          </cell>
          <cell r="I129" t="str">
            <v>MRC</v>
          </cell>
          <cell r="J129" t="str">
            <v>ZZ</v>
          </cell>
          <cell r="K129">
            <v>11</v>
          </cell>
          <cell r="L129" t="str">
            <v>OC: T&amp;S DOM TRP - WITHOUT OPR CAR RENTAL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100000</v>
          </cell>
        </row>
        <row r="130">
          <cell r="A130" t="str">
            <v>1108230583018MRCZZ11</v>
          </cell>
          <cell r="B130" t="str">
            <v>11</v>
          </cell>
          <cell r="C130" t="str">
            <v>08</v>
          </cell>
          <cell r="D130" t="str">
            <v>2</v>
          </cell>
          <cell r="E130" t="str">
            <v>30</v>
          </cell>
          <cell r="F130" t="str">
            <v>583</v>
          </cell>
          <cell r="G130" t="str">
            <v>0</v>
          </cell>
          <cell r="H130">
            <v>18</v>
          </cell>
          <cell r="I130" t="str">
            <v>MRC</v>
          </cell>
          <cell r="J130" t="str">
            <v>ZZ</v>
          </cell>
          <cell r="K130">
            <v>11</v>
          </cell>
          <cell r="L130" t="str">
            <v>OC: T&amp;S DOM PUB TRP - AIR TRANSPORT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100000</v>
          </cell>
        </row>
        <row r="131">
          <cell r="A131" t="str">
            <v xml:space="preserve">New Vote </v>
          </cell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 t="str">
            <v>ICT CONFERENCES AND SUMMIT</v>
          </cell>
          <cell r="M131"/>
          <cell r="N131"/>
          <cell r="O131"/>
          <cell r="P131"/>
          <cell r="Q131"/>
          <cell r="R131">
            <v>0</v>
          </cell>
          <cell r="S131">
            <v>150000</v>
          </cell>
        </row>
        <row r="132">
          <cell r="A132" t="str">
            <v xml:space="preserve">New Vote </v>
          </cell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 t="str">
            <v xml:space="preserve">ICT INFRASTRACTURE MAINTANANCE </v>
          </cell>
          <cell r="M132"/>
          <cell r="N132"/>
          <cell r="O132"/>
          <cell r="P132"/>
          <cell r="Q132"/>
          <cell r="R132">
            <v>0</v>
          </cell>
          <cell r="S132">
            <v>100000</v>
          </cell>
        </row>
        <row r="133">
          <cell r="A133" t="str">
            <v xml:space="preserve">New Vote </v>
          </cell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 t="str">
            <v xml:space="preserve">ICT MEETINGS (REFRESHMENT) </v>
          </cell>
          <cell r="M133"/>
          <cell r="N133"/>
          <cell r="O133"/>
          <cell r="P133"/>
          <cell r="Q133"/>
          <cell r="R133"/>
          <cell r="S133">
            <v>1000</v>
          </cell>
        </row>
        <row r="134">
          <cell r="A134" t="str">
            <v>1108238360018MRCZZ11</v>
          </cell>
          <cell r="B134" t="str">
            <v>11</v>
          </cell>
          <cell r="C134" t="str">
            <v>08</v>
          </cell>
          <cell r="D134" t="str">
            <v>2</v>
          </cell>
          <cell r="E134" t="str">
            <v>38</v>
          </cell>
          <cell r="F134" t="str">
            <v>360</v>
          </cell>
          <cell r="G134" t="str">
            <v>0</v>
          </cell>
          <cell r="H134">
            <v>18</v>
          </cell>
          <cell r="I134" t="str">
            <v>MRC</v>
          </cell>
          <cell r="J134" t="str">
            <v>ZZ</v>
          </cell>
          <cell r="K134">
            <v>11</v>
          </cell>
          <cell r="L134" t="str">
            <v>OPR LEASES: MACHINERY &amp; EQUIPMENT</v>
          </cell>
          <cell r="M134">
            <v>2229052</v>
          </cell>
          <cell r="N134">
            <v>0</v>
          </cell>
          <cell r="O134">
            <v>0</v>
          </cell>
          <cell r="P134">
            <v>1586563.27</v>
          </cell>
          <cell r="Q134">
            <v>642488.73</v>
          </cell>
          <cell r="R134">
            <v>71.17</v>
          </cell>
          <cell r="S134">
            <v>3500000</v>
          </cell>
        </row>
        <row r="135">
          <cell r="A135" t="str">
            <v>1109211001018MRCZZ11</v>
          </cell>
          <cell r="B135" t="str">
            <v>11</v>
          </cell>
          <cell r="C135" t="str">
            <v>09</v>
          </cell>
          <cell r="D135" t="str">
            <v>2</v>
          </cell>
          <cell r="E135" t="str">
            <v>11</v>
          </cell>
          <cell r="F135" t="str">
            <v>001</v>
          </cell>
          <cell r="G135" t="str">
            <v>0</v>
          </cell>
          <cell r="H135">
            <v>18</v>
          </cell>
          <cell r="I135" t="str">
            <v>MRC</v>
          </cell>
          <cell r="J135" t="str">
            <v>ZZ</v>
          </cell>
          <cell r="K135">
            <v>11</v>
          </cell>
          <cell r="L135" t="str">
            <v>MS: SAL &amp; ALL: BASIC SALARY &amp; WAGES</v>
          </cell>
          <cell r="M135">
            <v>518609</v>
          </cell>
          <cell r="N135">
            <v>0</v>
          </cell>
          <cell r="O135">
            <v>0</v>
          </cell>
          <cell r="P135">
            <v>315592.21999999997</v>
          </cell>
          <cell r="Q135">
            <v>203016.78</v>
          </cell>
          <cell r="R135">
            <v>60.85</v>
          </cell>
          <cell r="S135"/>
        </row>
        <row r="136">
          <cell r="A136" t="str">
            <v>1109211022018MRCZZ11</v>
          </cell>
          <cell r="B136" t="str">
            <v>11</v>
          </cell>
          <cell r="C136" t="str">
            <v>09</v>
          </cell>
          <cell r="D136" t="str">
            <v>2</v>
          </cell>
          <cell r="E136" t="str">
            <v>11</v>
          </cell>
          <cell r="F136" t="str">
            <v>022</v>
          </cell>
          <cell r="G136" t="str">
            <v>0</v>
          </cell>
          <cell r="H136">
            <v>18</v>
          </cell>
          <cell r="I136" t="str">
            <v>MRC</v>
          </cell>
          <cell r="J136" t="str">
            <v>ZZ</v>
          </cell>
          <cell r="K136">
            <v>11</v>
          </cell>
          <cell r="L136" t="str">
            <v>MS: ALL - CELLULAR &amp; TELEPHONE</v>
          </cell>
          <cell r="M136">
            <v>0</v>
          </cell>
          <cell r="N136">
            <v>0</v>
          </cell>
          <cell r="O136">
            <v>0</v>
          </cell>
          <cell r="P136">
            <v>3000</v>
          </cell>
          <cell r="Q136">
            <v>-3000</v>
          </cell>
          <cell r="R136">
            <v>0</v>
          </cell>
        </row>
        <row r="137">
          <cell r="A137" t="str">
            <v>1109211026018MRCZZ11</v>
          </cell>
          <cell r="B137" t="str">
            <v>11</v>
          </cell>
          <cell r="C137" t="str">
            <v>09</v>
          </cell>
          <cell r="D137" t="str">
            <v>2</v>
          </cell>
          <cell r="E137" t="str">
            <v>11</v>
          </cell>
          <cell r="F137" t="str">
            <v>026</v>
          </cell>
          <cell r="G137" t="str">
            <v>0</v>
          </cell>
          <cell r="H137">
            <v>18</v>
          </cell>
          <cell r="I137" t="str">
            <v>MRC</v>
          </cell>
          <cell r="J137" t="str">
            <v>ZZ</v>
          </cell>
          <cell r="K137">
            <v>11</v>
          </cell>
          <cell r="L137" t="str">
            <v>MS: HB &amp; INC: HOUSING BENEFITS</v>
          </cell>
          <cell r="M137">
            <v>12130</v>
          </cell>
          <cell r="N137">
            <v>0</v>
          </cell>
          <cell r="O137">
            <v>0</v>
          </cell>
          <cell r="P137">
            <v>7082.39</v>
          </cell>
          <cell r="Q137">
            <v>5047.6099999999997</v>
          </cell>
          <cell r="R137">
            <v>58.38</v>
          </cell>
        </row>
        <row r="138">
          <cell r="A138" t="str">
            <v>1109211034118MRCZZ11</v>
          </cell>
          <cell r="B138" t="str">
            <v>11</v>
          </cell>
          <cell r="C138" t="str">
            <v>09</v>
          </cell>
          <cell r="D138" t="str">
            <v>2</v>
          </cell>
          <cell r="E138" t="str">
            <v>11</v>
          </cell>
          <cell r="F138" t="str">
            <v>034</v>
          </cell>
          <cell r="G138" t="str">
            <v>1</v>
          </cell>
          <cell r="H138">
            <v>18</v>
          </cell>
          <cell r="I138" t="str">
            <v>MRC</v>
          </cell>
          <cell r="J138" t="str">
            <v>ZZ</v>
          </cell>
          <cell r="K138">
            <v>11</v>
          </cell>
          <cell r="L138" t="str">
            <v>MS: ALL - TRAVEL OR MOTOR VEHICLE (SUBS</v>
          </cell>
          <cell r="M138">
            <v>16158</v>
          </cell>
          <cell r="N138">
            <v>0</v>
          </cell>
          <cell r="O138">
            <v>0</v>
          </cell>
          <cell r="P138">
            <v>87103.65</v>
          </cell>
          <cell r="Q138">
            <v>-70945.649999999994</v>
          </cell>
          <cell r="R138">
            <v>539.07000000000005</v>
          </cell>
        </row>
        <row r="139">
          <cell r="A139" t="str">
            <v>1109211044018MRCZZ11</v>
          </cell>
          <cell r="B139" t="str">
            <v>11</v>
          </cell>
          <cell r="C139" t="str">
            <v>09</v>
          </cell>
          <cell r="D139" t="str">
            <v>2</v>
          </cell>
          <cell r="E139" t="str">
            <v>11</v>
          </cell>
          <cell r="F139" t="str">
            <v>044</v>
          </cell>
          <cell r="G139" t="str">
            <v>0</v>
          </cell>
          <cell r="H139">
            <v>18</v>
          </cell>
          <cell r="I139" t="str">
            <v>MRC</v>
          </cell>
          <cell r="J139" t="str">
            <v>ZZ</v>
          </cell>
          <cell r="K139">
            <v>11</v>
          </cell>
          <cell r="L139" t="str">
            <v>MS: SRB - ACTING ALLOWANCE</v>
          </cell>
          <cell r="M139">
            <v>0</v>
          </cell>
          <cell r="N139">
            <v>0</v>
          </cell>
          <cell r="O139">
            <v>0</v>
          </cell>
          <cell r="P139">
            <v>72515</v>
          </cell>
          <cell r="Q139">
            <v>-72515</v>
          </cell>
          <cell r="R139">
            <v>0</v>
          </cell>
        </row>
        <row r="140">
          <cell r="A140" t="str">
            <v>1109211046018MRCZZ11</v>
          </cell>
          <cell r="B140" t="str">
            <v>11</v>
          </cell>
          <cell r="C140" t="str">
            <v>09</v>
          </cell>
          <cell r="D140" t="str">
            <v>2</v>
          </cell>
          <cell r="E140" t="str">
            <v>11</v>
          </cell>
          <cell r="F140" t="str">
            <v>046</v>
          </cell>
          <cell r="G140" t="str">
            <v>0</v>
          </cell>
          <cell r="H140">
            <v>18</v>
          </cell>
          <cell r="I140" t="str">
            <v>MRC</v>
          </cell>
          <cell r="J140" t="str">
            <v>ZZ</v>
          </cell>
          <cell r="K140">
            <v>11</v>
          </cell>
          <cell r="L140" t="str">
            <v>MS: SRB - ANNUAL BONUS</v>
          </cell>
          <cell r="M140">
            <v>43217</v>
          </cell>
          <cell r="N140">
            <v>0</v>
          </cell>
          <cell r="O140">
            <v>0</v>
          </cell>
          <cell r="P140">
            <v>43259</v>
          </cell>
          <cell r="Q140">
            <v>-42</v>
          </cell>
          <cell r="R140">
            <v>100.09</v>
          </cell>
        </row>
        <row r="141">
          <cell r="A141" t="str">
            <v>1109213001018MRCZZ11</v>
          </cell>
          <cell r="B141" t="str">
            <v>11</v>
          </cell>
          <cell r="C141" t="str">
            <v>09</v>
          </cell>
          <cell r="D141" t="str">
            <v>2</v>
          </cell>
          <cell r="E141" t="str">
            <v>13</v>
          </cell>
          <cell r="F141" t="str">
            <v>001</v>
          </cell>
          <cell r="G141" t="str">
            <v>0</v>
          </cell>
          <cell r="H141">
            <v>18</v>
          </cell>
          <cell r="I141" t="str">
            <v>MRC</v>
          </cell>
          <cell r="J141" t="str">
            <v>ZZ</v>
          </cell>
          <cell r="K141">
            <v>11</v>
          </cell>
          <cell r="L141" t="str">
            <v>MS: SOC CONTR - BARGAINING COUNCIL</v>
          </cell>
          <cell r="M141">
            <v>130</v>
          </cell>
          <cell r="N141">
            <v>0</v>
          </cell>
          <cell r="O141">
            <v>0</v>
          </cell>
          <cell r="P141">
            <v>75.599999999999994</v>
          </cell>
          <cell r="Q141">
            <v>54.4</v>
          </cell>
          <cell r="R141">
            <v>58.15</v>
          </cell>
        </row>
        <row r="142">
          <cell r="A142" t="str">
            <v>1109213010018MRCZZ11</v>
          </cell>
          <cell r="B142" t="str">
            <v>11</v>
          </cell>
          <cell r="C142" t="str">
            <v>09</v>
          </cell>
          <cell r="D142" t="str">
            <v>2</v>
          </cell>
          <cell r="E142" t="str">
            <v>13</v>
          </cell>
          <cell r="F142" t="str">
            <v>010</v>
          </cell>
          <cell r="G142" t="str">
            <v>0</v>
          </cell>
          <cell r="H142">
            <v>18</v>
          </cell>
          <cell r="I142" t="str">
            <v>MRC</v>
          </cell>
          <cell r="J142" t="str">
            <v>ZZ</v>
          </cell>
          <cell r="K142">
            <v>11</v>
          </cell>
          <cell r="L142" t="str">
            <v>MS: SOC CONTR - GROUP LIFE INSURANCE</v>
          </cell>
          <cell r="M142">
            <v>8816</v>
          </cell>
          <cell r="N142">
            <v>0</v>
          </cell>
          <cell r="O142">
            <v>0</v>
          </cell>
          <cell r="P142">
            <v>0</v>
          </cell>
          <cell r="Q142">
            <v>8816</v>
          </cell>
          <cell r="R142">
            <v>0</v>
          </cell>
        </row>
        <row r="143">
          <cell r="A143" t="str">
            <v>1109213020018MRCZZ11</v>
          </cell>
          <cell r="B143" t="str">
            <v>11</v>
          </cell>
          <cell r="C143" t="str">
            <v>09</v>
          </cell>
          <cell r="D143" t="str">
            <v>2</v>
          </cell>
          <cell r="E143" t="str">
            <v>13</v>
          </cell>
          <cell r="F143" t="str">
            <v>020</v>
          </cell>
          <cell r="G143" t="str">
            <v>0</v>
          </cell>
          <cell r="H143">
            <v>18</v>
          </cell>
          <cell r="I143" t="str">
            <v>MRC</v>
          </cell>
          <cell r="J143" t="str">
            <v>ZZ</v>
          </cell>
          <cell r="K143">
            <v>11</v>
          </cell>
          <cell r="L143" t="str">
            <v>MS: SOC CONTR - MEDICAL</v>
          </cell>
          <cell r="M143">
            <v>60027</v>
          </cell>
          <cell r="N143">
            <v>0</v>
          </cell>
          <cell r="O143">
            <v>0</v>
          </cell>
          <cell r="P143">
            <v>35049</v>
          </cell>
          <cell r="Q143">
            <v>24978</v>
          </cell>
          <cell r="R143">
            <v>58.38</v>
          </cell>
        </row>
        <row r="144">
          <cell r="A144" t="str">
            <v>1109213030018MRCZZ11</v>
          </cell>
          <cell r="B144" t="str">
            <v>11</v>
          </cell>
          <cell r="C144" t="str">
            <v>09</v>
          </cell>
          <cell r="D144" t="str">
            <v>2</v>
          </cell>
          <cell r="E144" t="str">
            <v>13</v>
          </cell>
          <cell r="F144" t="str">
            <v>030</v>
          </cell>
          <cell r="G144" t="str">
            <v>0</v>
          </cell>
          <cell r="H144">
            <v>18</v>
          </cell>
          <cell r="I144" t="str">
            <v>MRC</v>
          </cell>
          <cell r="J144" t="str">
            <v>ZZ</v>
          </cell>
          <cell r="K144">
            <v>11</v>
          </cell>
          <cell r="L144" t="str">
            <v>MS: SOC CONTR - PENSION</v>
          </cell>
          <cell r="M144">
            <v>93713</v>
          </cell>
          <cell r="N144">
            <v>0</v>
          </cell>
          <cell r="O144">
            <v>0</v>
          </cell>
          <cell r="P144">
            <v>55874.7</v>
          </cell>
          <cell r="Q144">
            <v>37838.300000000003</v>
          </cell>
          <cell r="R144">
            <v>59.62</v>
          </cell>
        </row>
        <row r="145">
          <cell r="A145" t="str">
            <v>1109213040018MRCZZ11</v>
          </cell>
          <cell r="B145" t="str">
            <v>11</v>
          </cell>
          <cell r="C145" t="str">
            <v>09</v>
          </cell>
          <cell r="D145" t="str">
            <v>2</v>
          </cell>
          <cell r="E145" t="str">
            <v>13</v>
          </cell>
          <cell r="F145" t="str">
            <v>040</v>
          </cell>
          <cell r="G145" t="str">
            <v>0</v>
          </cell>
          <cell r="H145">
            <v>18</v>
          </cell>
          <cell r="I145" t="str">
            <v>MRC</v>
          </cell>
          <cell r="J145" t="str">
            <v>ZZ</v>
          </cell>
          <cell r="K145">
            <v>11</v>
          </cell>
          <cell r="L145" t="str">
            <v>MS: SOC CONTR - UNEMPLOYMENT INSUR FUND</v>
          </cell>
          <cell r="M145">
            <v>2227</v>
          </cell>
          <cell r="N145">
            <v>0</v>
          </cell>
          <cell r="O145">
            <v>0</v>
          </cell>
          <cell r="P145">
            <v>1239.8399999999999</v>
          </cell>
          <cell r="Q145">
            <v>987.16</v>
          </cell>
          <cell r="R145">
            <v>55.67</v>
          </cell>
        </row>
        <row r="146">
          <cell r="A146" t="str">
            <v>1109227334018MRCZZ11</v>
          </cell>
          <cell r="B146" t="str">
            <v>11</v>
          </cell>
          <cell r="C146" t="str">
            <v>09</v>
          </cell>
          <cell r="D146" t="str">
            <v>2</v>
          </cell>
          <cell r="E146" t="str">
            <v>27</v>
          </cell>
          <cell r="F146" t="str">
            <v>334</v>
          </cell>
          <cell r="G146" t="str">
            <v>0</v>
          </cell>
          <cell r="H146">
            <v>18</v>
          </cell>
          <cell r="I146" t="str">
            <v>MRC</v>
          </cell>
          <cell r="J146" t="str">
            <v>ZZ</v>
          </cell>
          <cell r="K146">
            <v>11</v>
          </cell>
          <cell r="L146" t="str">
            <v>C&amp;PS: LEGAL COST ADVICE &amp; LITIGATION</v>
          </cell>
          <cell r="M146">
            <v>1500000</v>
          </cell>
          <cell r="N146">
            <v>0</v>
          </cell>
          <cell r="O146">
            <v>0</v>
          </cell>
          <cell r="P146">
            <v>1294462.8700000001</v>
          </cell>
          <cell r="Q146">
            <v>205537.13</v>
          </cell>
          <cell r="R146">
            <v>86.29</v>
          </cell>
        </row>
        <row r="147">
          <cell r="A147" t="str">
            <v>1109227334118MRCZZ11</v>
          </cell>
          <cell r="B147" t="str">
            <v>11</v>
          </cell>
          <cell r="C147" t="str">
            <v>09</v>
          </cell>
          <cell r="D147" t="str">
            <v>2</v>
          </cell>
          <cell r="E147" t="str">
            <v>27</v>
          </cell>
          <cell r="F147" t="str">
            <v>334</v>
          </cell>
          <cell r="G147" t="str">
            <v>1</v>
          </cell>
          <cell r="H147">
            <v>18</v>
          </cell>
          <cell r="I147" t="str">
            <v>MRC</v>
          </cell>
          <cell r="J147" t="str">
            <v>ZZ</v>
          </cell>
          <cell r="K147">
            <v>11</v>
          </cell>
          <cell r="L147" t="str">
            <v>C&amp;PS: LEGAL COST ADVICE &amp; LITIGATION(OTH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1109230541018MRCZZ11</v>
          </cell>
          <cell r="B148" t="str">
            <v>11</v>
          </cell>
          <cell r="C148" t="str">
            <v>09</v>
          </cell>
          <cell r="D148" t="str">
            <v>2</v>
          </cell>
          <cell r="E148" t="str">
            <v>30</v>
          </cell>
          <cell r="F148" t="str">
            <v>541</v>
          </cell>
          <cell r="G148" t="str">
            <v>0</v>
          </cell>
          <cell r="H148">
            <v>18</v>
          </cell>
          <cell r="I148" t="str">
            <v>MRC</v>
          </cell>
          <cell r="J148" t="str">
            <v>ZZ</v>
          </cell>
          <cell r="K148">
            <v>11</v>
          </cell>
          <cell r="L148" t="str">
            <v>OC: SKILLS DEVELOPMENT FUND LEVY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 t="str">
            <v>1109232360D18MRCZZ11</v>
          </cell>
          <cell r="B149" t="str">
            <v>11</v>
          </cell>
          <cell r="C149" t="str">
            <v>09</v>
          </cell>
          <cell r="D149" t="str">
            <v>2</v>
          </cell>
          <cell r="E149" t="str">
            <v>32</v>
          </cell>
          <cell r="F149" t="str">
            <v>360</v>
          </cell>
          <cell r="G149" t="str">
            <v>D</v>
          </cell>
          <cell r="H149">
            <v>18</v>
          </cell>
          <cell r="I149" t="str">
            <v>MRC</v>
          </cell>
          <cell r="J149" t="str">
            <v>ZZ</v>
          </cell>
          <cell r="K149">
            <v>11</v>
          </cell>
          <cell r="L149" t="str">
            <v>INVENTORY - MATERIALS &amp; SUPPLIES(PRINT&amp;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</sheetNames>
    <sheetDataSet>
      <sheetData sheetId="0">
        <row r="1">
          <cell r="A1" t="str">
            <v>Votenumber</v>
          </cell>
          <cell r="B1" t="str">
            <v>Description</v>
          </cell>
          <cell r="C1" t="str">
            <v>Original Budget</v>
          </cell>
          <cell r="D1" t="str">
            <v>Curr Mth Exp</v>
          </cell>
          <cell r="E1" t="str">
            <v>Commitment</v>
          </cell>
          <cell r="F1" t="str">
            <v>Comm-Orders</v>
          </cell>
          <cell r="G1" t="str">
            <v>Comm-Jobs</v>
          </cell>
          <cell r="H1" t="str">
            <v>Purchase Req.</v>
          </cell>
          <cell r="I1" t="str">
            <v>YTD Movement</v>
          </cell>
          <cell r="J1" t="str">
            <v>Unspend Bud</v>
          </cell>
          <cell r="K1" t="str">
            <v>Perc</v>
          </cell>
          <cell r="L1" t="str">
            <v>MTREF 23/24</v>
          </cell>
        </row>
        <row r="2">
          <cell r="A2" t="str">
            <v>13056473520CFQX3ZZ11</v>
          </cell>
          <cell r="B2" t="str">
            <v>TRAINING &amp; DEVELOPMENT</v>
          </cell>
          <cell r="C2">
            <v>574174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574174</v>
          </cell>
          <cell r="K2">
            <v>0</v>
          </cell>
          <cell r="L2"/>
        </row>
        <row r="3">
          <cell r="A3" t="str">
            <v>14066456020CFQY4ZZ11</v>
          </cell>
          <cell r="B3" t="str">
            <v>DIGITAL RADIO SYSTEM</v>
          </cell>
          <cell r="C3">
            <v>3000000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3000000</v>
          </cell>
          <cell r="K3">
            <v>0</v>
          </cell>
          <cell r="L3">
            <v>4500000</v>
          </cell>
        </row>
        <row r="4">
          <cell r="A4" t="str">
            <v>14066470020CFQX6ZZ11</v>
          </cell>
          <cell r="B4" t="str">
            <v>IMPLEM BUSINESS CONT DISASTER RECOV INF</v>
          </cell>
          <cell r="C4">
            <v>2730000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2730000</v>
          </cell>
          <cell r="K4">
            <v>0</v>
          </cell>
          <cell r="L4">
            <v>3000000</v>
          </cell>
        </row>
        <row r="5">
          <cell r="A5" t="str">
            <v>14066471020CFQY3ZZ11</v>
          </cell>
          <cell r="B5" t="str">
            <v>UPGRADE &amp; REFURB  COMPUTER NETWORK</v>
          </cell>
          <cell r="C5">
            <v>5390000</v>
          </cell>
          <cell r="D5">
            <v>1988175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1988175</v>
          </cell>
          <cell r="J5">
            <v>3401825</v>
          </cell>
          <cell r="K5">
            <v>0.36886363636363634</v>
          </cell>
          <cell r="L5">
            <v>2000000</v>
          </cell>
        </row>
        <row r="6">
          <cell r="A6" t="str">
            <v>14066522420CFP49ZZ11</v>
          </cell>
          <cell r="B6" t="str">
            <v>BULK METER REFURBISHMENT</v>
          </cell>
          <cell r="C6">
            <v>239593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239593</v>
          </cell>
          <cell r="K6">
            <v>0</v>
          </cell>
          <cell r="L6"/>
        </row>
        <row r="7">
          <cell r="A7" t="str">
            <v>14066523020CFP33ZZ11</v>
          </cell>
          <cell r="B7" t="str">
            <v>METER PROJECT</v>
          </cell>
          <cell r="C7">
            <v>15000000</v>
          </cell>
          <cell r="D7">
            <v>1259647.81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4986307.8099999996</v>
          </cell>
          <cell r="J7">
            <v>10013692.189999999</v>
          </cell>
          <cell r="K7">
            <v>0.33242052066666666</v>
          </cell>
          <cell r="L7"/>
        </row>
        <row r="8">
          <cell r="A8" t="str">
            <v>14076460020CFCL1ZZ11</v>
          </cell>
          <cell r="B8" t="str">
            <v>VENDING BACK OFFICE</v>
          </cell>
          <cell r="C8">
            <v>5000000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5000000</v>
          </cell>
          <cell r="K8">
            <v>0</v>
          </cell>
          <cell r="L8"/>
        </row>
        <row r="9">
          <cell r="A9" t="str">
            <v>1442643302081P16ZZ11</v>
          </cell>
          <cell r="B9" t="str">
            <v>ELECTRIFICATION (USDG GRANT)</v>
          </cell>
          <cell r="C9">
            <v>20000000</v>
          </cell>
          <cell r="D9">
            <v>0</v>
          </cell>
          <cell r="E9">
            <v>11953000</v>
          </cell>
          <cell r="F9">
            <v>0</v>
          </cell>
          <cell r="G9">
            <v>11953000</v>
          </cell>
          <cell r="H9">
            <v>0</v>
          </cell>
          <cell r="I9">
            <v>0</v>
          </cell>
          <cell r="J9">
            <v>20000000</v>
          </cell>
          <cell r="K9">
            <v>0</v>
          </cell>
          <cell r="L9"/>
        </row>
        <row r="10">
          <cell r="A10" t="str">
            <v>14426520420CFP09ZZ11</v>
          </cell>
          <cell r="B10" t="str">
            <v>BOTSHABELO: ESTABLISHMENT OF 132KV (INDU</v>
          </cell>
          <cell r="C10">
            <v>5000000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5000000</v>
          </cell>
          <cell r="K10">
            <v>0</v>
          </cell>
          <cell r="L10"/>
        </row>
        <row r="11">
          <cell r="A11" t="str">
            <v>14426522420CFP50ZZ11</v>
          </cell>
          <cell r="B11" t="str">
            <v>ELECTRIFICATION INTERNAL PROJECTS</v>
          </cell>
          <cell r="C11">
            <v>7100000</v>
          </cell>
          <cell r="D11">
            <v>239347.61</v>
          </cell>
          <cell r="E11">
            <v>5760652.3899999997</v>
          </cell>
          <cell r="F11">
            <v>838360.3</v>
          </cell>
          <cell r="G11">
            <v>4922292.09</v>
          </cell>
          <cell r="H11">
            <v>0</v>
          </cell>
          <cell r="I11">
            <v>239347.61</v>
          </cell>
          <cell r="J11">
            <v>6860652.3899999997</v>
          </cell>
          <cell r="K11">
            <v>3.3710930985915488E-2</v>
          </cell>
          <cell r="L11"/>
        </row>
        <row r="12">
          <cell r="A12" t="str">
            <v>14426522420CFP53ZZ11</v>
          </cell>
          <cell r="B12" t="str">
            <v>EXTENSION AND UPGRADING OF THE 11KV NETW</v>
          </cell>
          <cell r="C12">
            <v>5000000</v>
          </cell>
          <cell r="D12">
            <v>0</v>
          </cell>
          <cell r="E12">
            <v>4206000</v>
          </cell>
          <cell r="F12">
            <v>0</v>
          </cell>
          <cell r="G12">
            <v>4206000</v>
          </cell>
          <cell r="H12">
            <v>0</v>
          </cell>
          <cell r="I12">
            <v>0</v>
          </cell>
          <cell r="J12">
            <v>5000000</v>
          </cell>
          <cell r="K12">
            <v>0</v>
          </cell>
          <cell r="L12"/>
        </row>
        <row r="13">
          <cell r="A13" t="str">
            <v>14426522420CFP75ZZ11</v>
          </cell>
          <cell r="B13" t="str">
            <v>BOTSH-E: EST NEW 33/11KV 10MVA FIRM CAP</v>
          </cell>
          <cell r="C13">
            <v>8000000</v>
          </cell>
          <cell r="D13">
            <v>0</v>
          </cell>
          <cell r="E13">
            <v>10000</v>
          </cell>
          <cell r="F13">
            <v>0</v>
          </cell>
          <cell r="G13">
            <v>10000</v>
          </cell>
          <cell r="H13">
            <v>0</v>
          </cell>
          <cell r="I13">
            <v>0</v>
          </cell>
          <cell r="J13">
            <v>8000000</v>
          </cell>
          <cell r="K13">
            <v>0</v>
          </cell>
          <cell r="L13"/>
        </row>
        <row r="14">
          <cell r="A14" t="str">
            <v>14426522420CFP76ZZ11</v>
          </cell>
          <cell r="B14" t="str">
            <v>BOTSH: UPG SUB T (2ND TRANS SCADA EQUI</v>
          </cell>
          <cell r="C14">
            <v>8000000</v>
          </cell>
          <cell r="D14">
            <v>0</v>
          </cell>
          <cell r="E14">
            <v>10000</v>
          </cell>
          <cell r="F14">
            <v>0</v>
          </cell>
          <cell r="G14">
            <v>10000</v>
          </cell>
          <cell r="H14">
            <v>0</v>
          </cell>
          <cell r="I14">
            <v>0</v>
          </cell>
          <cell r="J14">
            <v>8000000</v>
          </cell>
          <cell r="K14">
            <v>0</v>
          </cell>
        </row>
        <row r="15">
          <cell r="A15" t="str">
            <v>14426522420CFP77ZZ11</v>
          </cell>
          <cell r="B15" t="str">
            <v>BOTSH: UPG SUB W (C/WORK B/W 2ND TRA S/D</v>
          </cell>
          <cell r="C15">
            <v>8000000</v>
          </cell>
          <cell r="D15">
            <v>0</v>
          </cell>
          <cell r="E15">
            <v>10000</v>
          </cell>
          <cell r="F15">
            <v>0</v>
          </cell>
          <cell r="G15">
            <v>10000</v>
          </cell>
          <cell r="H15">
            <v>0</v>
          </cell>
          <cell r="I15">
            <v>0</v>
          </cell>
          <cell r="J15">
            <v>8000000</v>
          </cell>
          <cell r="K15">
            <v>0</v>
          </cell>
        </row>
        <row r="16">
          <cell r="A16" t="str">
            <v>14426522420CFP78ZZ11</v>
          </cell>
          <cell r="B16" t="str">
            <v>BLOEM: C/Y-EST 33/11KV 20MVA FIRM SUPDC</v>
          </cell>
          <cell r="C16">
            <v>8000000</v>
          </cell>
          <cell r="D16">
            <v>0</v>
          </cell>
          <cell r="E16">
            <v>10000</v>
          </cell>
          <cell r="F16">
            <v>0</v>
          </cell>
          <cell r="G16">
            <v>10000</v>
          </cell>
          <cell r="H16">
            <v>0</v>
          </cell>
          <cell r="I16">
            <v>0</v>
          </cell>
          <cell r="J16">
            <v>8000000</v>
          </cell>
          <cell r="K16">
            <v>0</v>
          </cell>
        </row>
        <row r="17">
          <cell r="A17" t="str">
            <v>14426522420CFP79ZZ11</v>
          </cell>
          <cell r="B17" t="str">
            <v>BLOEM: N/STAD-UPG 132/11KV 20MVA FIRM DC</v>
          </cell>
          <cell r="C17">
            <v>10000000</v>
          </cell>
          <cell r="D17">
            <v>0</v>
          </cell>
          <cell r="E17">
            <v>10000</v>
          </cell>
          <cell r="F17">
            <v>0</v>
          </cell>
          <cell r="G17">
            <v>10000</v>
          </cell>
          <cell r="H17">
            <v>0</v>
          </cell>
          <cell r="I17">
            <v>0</v>
          </cell>
          <cell r="J17">
            <v>10000000</v>
          </cell>
          <cell r="K17">
            <v>0</v>
          </cell>
        </row>
        <row r="18">
          <cell r="A18" t="str">
            <v>14426522420CFP81ZZ11</v>
          </cell>
          <cell r="B18" t="str">
            <v>INFRA CATALYST PROJECTS</v>
          </cell>
          <cell r="C18">
            <v>8000000</v>
          </cell>
          <cell r="D18">
            <v>0</v>
          </cell>
          <cell r="E18">
            <v>4969314.84</v>
          </cell>
          <cell r="F18">
            <v>2346178.16</v>
          </cell>
          <cell r="G18">
            <v>2623136.6800000002</v>
          </cell>
          <cell r="H18">
            <v>0</v>
          </cell>
          <cell r="I18">
            <v>80685.16</v>
          </cell>
          <cell r="J18">
            <v>7919314.8399999999</v>
          </cell>
          <cell r="K18">
            <v>1.0085645000000001E-2</v>
          </cell>
        </row>
        <row r="19">
          <cell r="A19" t="str">
            <v>1442652302095P28ZZ11</v>
          </cell>
          <cell r="B19" t="str">
            <v>PUBLIC ELECTRICITY CONNECTIONS</v>
          </cell>
          <cell r="C19">
            <v>14300000</v>
          </cell>
          <cell r="D19">
            <v>795197.38</v>
          </cell>
          <cell r="E19">
            <v>4287448.5</v>
          </cell>
          <cell r="F19">
            <v>10904.95</v>
          </cell>
          <cell r="G19">
            <v>4276519.55</v>
          </cell>
          <cell r="H19">
            <v>24</v>
          </cell>
          <cell r="I19">
            <v>1513982.07</v>
          </cell>
          <cell r="J19">
            <v>12786017.93</v>
          </cell>
          <cell r="K19">
            <v>0.10587287202797203</v>
          </cell>
        </row>
        <row r="20">
          <cell r="A20" t="str">
            <v>14426523020CFP26ZZ11</v>
          </cell>
          <cell r="B20" t="str">
            <v>UPGRADING AND EXTENTION OF LV NETWORK</v>
          </cell>
          <cell r="C20">
            <v>3000000</v>
          </cell>
          <cell r="D20">
            <v>0</v>
          </cell>
          <cell r="E20">
            <v>1290000</v>
          </cell>
          <cell r="F20">
            <v>0</v>
          </cell>
          <cell r="G20">
            <v>1290000</v>
          </cell>
          <cell r="H20">
            <v>0</v>
          </cell>
          <cell r="I20">
            <v>0</v>
          </cell>
          <cell r="J20">
            <v>3000000</v>
          </cell>
          <cell r="K20">
            <v>0</v>
          </cell>
        </row>
        <row r="21">
          <cell r="A21" t="str">
            <v>14426523020CFP29ZZ11</v>
          </cell>
          <cell r="B21" t="str">
            <v>SERVITUDES  LAND (INCL INVEST REMUNE REG</v>
          </cell>
          <cell r="C21">
            <v>600000</v>
          </cell>
          <cell r="D21">
            <v>0</v>
          </cell>
          <cell r="E21">
            <v>250000</v>
          </cell>
          <cell r="F21">
            <v>222134</v>
          </cell>
          <cell r="G21">
            <v>27866</v>
          </cell>
          <cell r="H21">
            <v>0</v>
          </cell>
          <cell r="I21">
            <v>0</v>
          </cell>
          <cell r="J21">
            <v>600000</v>
          </cell>
          <cell r="K21">
            <v>0</v>
          </cell>
        </row>
        <row r="22">
          <cell r="A22" t="str">
            <v>14426523020CFP35ZZ11</v>
          </cell>
          <cell r="B22" t="str">
            <v>INSTALLATION OF PUBLIC LIGHTING</v>
          </cell>
          <cell r="C22">
            <v>8000000</v>
          </cell>
          <cell r="D22">
            <v>0</v>
          </cell>
          <cell r="E22">
            <v>7349624</v>
          </cell>
          <cell r="F22">
            <v>0</v>
          </cell>
          <cell r="G22">
            <v>7349624</v>
          </cell>
          <cell r="H22">
            <v>0</v>
          </cell>
          <cell r="I22">
            <v>650376</v>
          </cell>
          <cell r="J22">
            <v>7349624</v>
          </cell>
          <cell r="K22">
            <v>8.1296999999999994E-2</v>
          </cell>
        </row>
        <row r="23">
          <cell r="A23" t="str">
            <v>14426523020CFP72ZZ11</v>
          </cell>
          <cell r="B23" t="str">
            <v>INSTALL PREPAID METERS (INDIGENT)</v>
          </cell>
          <cell r="C23">
            <v>500000</v>
          </cell>
          <cell r="D23">
            <v>0</v>
          </cell>
          <cell r="E23">
            <v>4750</v>
          </cell>
          <cell r="F23">
            <v>0</v>
          </cell>
          <cell r="G23">
            <v>4750</v>
          </cell>
          <cell r="H23">
            <v>0</v>
          </cell>
          <cell r="I23">
            <v>495000</v>
          </cell>
          <cell r="J23">
            <v>5000</v>
          </cell>
          <cell r="K23">
            <v>0.99</v>
          </cell>
        </row>
        <row r="24">
          <cell r="A24" t="str">
            <v>14436521020CFP15ZZ11</v>
          </cell>
          <cell r="B24" t="str">
            <v>REMEDIAL WORK 132KV SOUTHERN  LINES</v>
          </cell>
          <cell r="C24">
            <v>9000000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9000000</v>
          </cell>
          <cell r="K24">
            <v>0</v>
          </cell>
        </row>
        <row r="25">
          <cell r="A25" t="str">
            <v>14436523020CFP25ZZ11</v>
          </cell>
          <cell r="B25" t="str">
            <v>SHIFTING OF CONNECTION AND REPLACEMENT S</v>
          </cell>
          <cell r="C25">
            <v>1005275</v>
          </cell>
          <cell r="D25">
            <v>67308.639999999999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94275.64</v>
          </cell>
          <cell r="J25">
            <v>910999.36</v>
          </cell>
          <cell r="K25">
            <v>9.378094551242197E-2</v>
          </cell>
        </row>
        <row r="26">
          <cell r="A26" t="str">
            <v>14436523020CFP27ZZ11</v>
          </cell>
          <cell r="B26" t="str">
            <v>REFURBISHMENT OF HIGH MAST LIGHTS</v>
          </cell>
          <cell r="C26">
            <v>7029525</v>
          </cell>
          <cell r="D26">
            <v>766.8</v>
          </cell>
          <cell r="E26">
            <v>6053326.5999999996</v>
          </cell>
          <cell r="F26">
            <v>6053326.5999999996</v>
          </cell>
          <cell r="G26">
            <v>0</v>
          </cell>
          <cell r="H26">
            <v>0</v>
          </cell>
          <cell r="I26">
            <v>3784.8</v>
          </cell>
          <cell r="J26">
            <v>7025740.2000000002</v>
          </cell>
          <cell r="K26">
            <v>5.3841475775390235E-4</v>
          </cell>
        </row>
        <row r="27">
          <cell r="A27" t="str">
            <v>14436523020CFP30ZZ11</v>
          </cell>
          <cell r="B27" t="str">
            <v>REP LOW VOLT DECREPIT 2/4/8 WAY BOXES</v>
          </cell>
          <cell r="C27">
            <v>800000</v>
          </cell>
          <cell r="D27">
            <v>7136.6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19139.25</v>
          </cell>
          <cell r="J27">
            <v>780860.75</v>
          </cell>
          <cell r="K27">
            <v>2.3924062499999999E-2</v>
          </cell>
        </row>
        <row r="28">
          <cell r="A28" t="str">
            <v>14436523020CFP34ZZ11</v>
          </cell>
          <cell r="B28" t="str">
            <v>REP BRITTLE OVERHEAD CONNECTIONS</v>
          </cell>
          <cell r="C28">
            <v>1000000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1000000</v>
          </cell>
          <cell r="K28">
            <v>0</v>
          </cell>
        </row>
        <row r="29">
          <cell r="A29" t="str">
            <v>14446523020CFP36ZZ11</v>
          </cell>
          <cell r="B29" t="str">
            <v>S/LIGHTS REPLACE POLE TRNS POLES SECTION</v>
          </cell>
          <cell r="C29">
            <v>2176900</v>
          </cell>
          <cell r="D29">
            <v>343448.31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560295.43000000005</v>
          </cell>
          <cell r="J29">
            <v>1616604.57</v>
          </cell>
          <cell r="K29">
            <v>0.2573822545822041</v>
          </cell>
        </row>
        <row r="30">
          <cell r="A30" t="str">
            <v>14456420420CFCX1ZZ11</v>
          </cell>
          <cell r="B30" t="str">
            <v>PROTECTION TEST UNIT</v>
          </cell>
          <cell r="C30">
            <v>2000000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2000000</v>
          </cell>
          <cell r="K30">
            <v>0</v>
          </cell>
        </row>
        <row r="31">
          <cell r="A31" t="str">
            <v>14456520420CFP04ZZ11</v>
          </cell>
          <cell r="B31" t="str">
            <v>REPLACEMENT OF 110V BATTERIES</v>
          </cell>
          <cell r="C31">
            <v>2250000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2250000</v>
          </cell>
          <cell r="K31">
            <v>0</v>
          </cell>
        </row>
        <row r="32">
          <cell r="A32" t="str">
            <v>14456521420CFP60ZZ11</v>
          </cell>
          <cell r="B32" t="str">
            <v>REPLACEMENT OF 11KV SWITCHGEARS</v>
          </cell>
          <cell r="C32">
            <v>2250000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46468.480000000003</v>
          </cell>
          <cell r="J32">
            <v>2203531.52</v>
          </cell>
          <cell r="K32">
            <v>2.0652657777777778E-2</v>
          </cell>
        </row>
        <row r="33">
          <cell r="A33" t="str">
            <v>14456521420CFP61ZZ11</v>
          </cell>
          <cell r="B33" t="str">
            <v>REPLACEMENT OF 32V BATTERIES</v>
          </cell>
          <cell r="C33">
            <v>2000000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2000000</v>
          </cell>
          <cell r="K33">
            <v>0</v>
          </cell>
        </row>
        <row r="34">
          <cell r="A34" t="str">
            <v>14456522420CFP45ZZ11</v>
          </cell>
          <cell r="B34" t="str">
            <v>REFUR PROTEC &amp; SCADA SYSTEMS  DIST CENTR</v>
          </cell>
          <cell r="C34">
            <v>1000000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1000000</v>
          </cell>
          <cell r="K34">
            <v>0</v>
          </cell>
        </row>
        <row r="35">
          <cell r="A35" t="str">
            <v>14456522420CFP52ZZ11</v>
          </cell>
          <cell r="B35" t="str">
            <v>TRANSFORMER REPLACE &amp; OTHER RELATED EQUI</v>
          </cell>
          <cell r="C35">
            <v>13000000</v>
          </cell>
          <cell r="D35">
            <v>194778.47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572594.22</v>
          </cell>
          <cell r="J35">
            <v>12427405.779999999</v>
          </cell>
          <cell r="K35">
            <v>4.4045709230769226E-2</v>
          </cell>
        </row>
        <row r="36">
          <cell r="A36" t="str">
            <v>14456523020CFCX2ZZ11</v>
          </cell>
          <cell r="B36" t="str">
            <v>INSTALLATION OF HIGH VOLTAGE TEST EQUIPM</v>
          </cell>
          <cell r="C36">
            <v>2500000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2500000</v>
          </cell>
          <cell r="K36">
            <v>0</v>
          </cell>
        </row>
        <row r="37">
          <cell r="A37" t="str">
            <v>14456524020CFP80ZZ11</v>
          </cell>
          <cell r="B37" t="str">
            <v>REPLACEMENT OF OIL PLANT</v>
          </cell>
          <cell r="C37">
            <v>500000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500000</v>
          </cell>
          <cell r="K37">
            <v>0</v>
          </cell>
        </row>
        <row r="38">
          <cell r="A38" t="str">
            <v>14456563520CFQH6ZZ11</v>
          </cell>
          <cell r="B38" t="str">
            <v>REPAIR MMM DIST DIST CENTRE</v>
          </cell>
          <cell r="C38">
            <v>12247311</v>
          </cell>
          <cell r="D38">
            <v>837950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837950</v>
          </cell>
          <cell r="J38">
            <v>11409361</v>
          </cell>
          <cell r="K38">
            <v>6.8419100323328111E-2</v>
          </cell>
        </row>
        <row r="39">
          <cell r="A39" t="str">
            <v>14456563520CFQH7ZZ11</v>
          </cell>
          <cell r="B39" t="str">
            <v>REPAIR VISTA DIST DIST CENTRE</v>
          </cell>
          <cell r="C39">
            <v>30163644</v>
          </cell>
          <cell r="D39">
            <v>0</v>
          </cell>
          <cell r="E39">
            <v>10000</v>
          </cell>
          <cell r="F39">
            <v>0</v>
          </cell>
          <cell r="G39">
            <v>10000</v>
          </cell>
          <cell r="H39">
            <v>0</v>
          </cell>
          <cell r="I39">
            <v>0</v>
          </cell>
          <cell r="J39">
            <v>30163644</v>
          </cell>
          <cell r="K39">
            <v>0</v>
          </cell>
        </row>
        <row r="40">
          <cell r="A40" t="str">
            <v>15036421420CFQX8ZZ11</v>
          </cell>
          <cell r="B40" t="str">
            <v>VEHICLES</v>
          </cell>
          <cell r="C40">
            <v>17950000</v>
          </cell>
          <cell r="D40">
            <v>3775925.26</v>
          </cell>
          <cell r="E40">
            <v>7534517.96</v>
          </cell>
          <cell r="F40">
            <v>7534517.96</v>
          </cell>
          <cell r="G40">
            <v>0</v>
          </cell>
          <cell r="H40">
            <v>0</v>
          </cell>
          <cell r="I40">
            <v>3775925.26</v>
          </cell>
          <cell r="J40">
            <v>14174074.74</v>
          </cell>
          <cell r="K40">
            <v>0.21035795320334261</v>
          </cell>
        </row>
        <row r="41">
          <cell r="A41" t="str">
            <v>15036520420CFP08ZZ11</v>
          </cell>
          <cell r="B41" t="str">
            <v>SECURITY EQUIPMENT (CCTV )</v>
          </cell>
          <cell r="C41">
            <v>2250000</v>
          </cell>
          <cell r="D41">
            <v>7470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7470</v>
          </cell>
          <cell r="J41">
            <v>2242530</v>
          </cell>
          <cell r="K41">
            <v>3.32E-3</v>
          </cell>
        </row>
        <row r="42">
          <cell r="A42" t="str">
            <v>15056460020CFQX1ZZ11</v>
          </cell>
          <cell r="B42" t="str">
            <v>FURNITURE AND OFFICE EQUIPMENT</v>
          </cell>
          <cell r="C42">
            <v>2250000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2250000</v>
          </cell>
          <cell r="K42">
            <v>0</v>
          </cell>
        </row>
        <row r="43">
          <cell r="A43" t="str">
            <v>15066563520CFQY2ZZ11</v>
          </cell>
          <cell r="B43" t="str">
            <v>OFFICE BUILDING</v>
          </cell>
          <cell r="C43">
            <v>8418850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8418850</v>
          </cell>
          <cell r="K43">
            <v>0</v>
          </cell>
        </row>
        <row r="44">
          <cell r="A44"/>
          <cell r="C44">
            <v>265225272</v>
          </cell>
          <cell r="D44">
            <v>9517151.879999999</v>
          </cell>
          <cell r="E44">
            <v>53718634.290000007</v>
          </cell>
          <cell r="F44">
            <v>17005421.969999999</v>
          </cell>
          <cell r="G44">
            <v>36713188.32</v>
          </cell>
          <cell r="H44">
            <v>24</v>
          </cell>
          <cell r="I44">
            <v>15871776.730000002</v>
          </cell>
          <cell r="J44">
            <v>249353495.27000001</v>
          </cell>
          <cell r="K44">
            <v>5.9842625894262452E-2</v>
          </cell>
        </row>
        <row r="45">
          <cell r="A45"/>
        </row>
        <row r="46">
          <cell r="A46"/>
        </row>
        <row r="47">
          <cell r="A47" t="str">
            <v>Votenumber</v>
          </cell>
          <cell r="B47" t="str">
            <v>Description</v>
          </cell>
          <cell r="C47" t="str">
            <v>Original Budget</v>
          </cell>
          <cell r="D47" t="str">
            <v>Curr Mth Exp</v>
          </cell>
          <cell r="E47" t="str">
            <v>Commitment</v>
          </cell>
          <cell r="F47" t="str">
            <v>Comm-Orders</v>
          </cell>
          <cell r="G47" t="str">
            <v>Comm-Jobs</v>
          </cell>
          <cell r="H47" t="str">
            <v>Purchase Req.</v>
          </cell>
          <cell r="I47" t="str">
            <v>YTD Movement</v>
          </cell>
          <cell r="J47" t="str">
            <v>Unspend Bud</v>
          </cell>
          <cell r="K47" t="str">
            <v>Perc</v>
          </cell>
          <cell r="L47"/>
        </row>
        <row r="48">
          <cell r="A48" t="str">
            <v>1801652242095W04ZZ11</v>
          </cell>
          <cell r="B48" t="str">
            <v>PUBLIC CONNECTIONS</v>
          </cell>
          <cell r="C48">
            <v>674221</v>
          </cell>
          <cell r="D48">
            <v>93184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98896.86</v>
          </cell>
          <cell r="J48">
            <v>575324.14</v>
          </cell>
          <cell r="K48">
            <v>0.14668314988705483</v>
          </cell>
        </row>
        <row r="49">
          <cell r="A49" t="str">
            <v>18016522420CFW05ZZ11</v>
          </cell>
          <cell r="B49" t="str">
            <v>METER PROJECTS</v>
          </cell>
          <cell r="C49">
            <v>1151991</v>
          </cell>
          <cell r="D49">
            <v>58022.89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58022.89</v>
          </cell>
          <cell r="J49">
            <v>1093968.1100000001</v>
          </cell>
          <cell r="K49">
            <v>5.0367485509869435E-2</v>
          </cell>
        </row>
        <row r="50">
          <cell r="A50" t="str">
            <v>18016522420CFW06ZZ11</v>
          </cell>
          <cell r="B50" t="str">
            <v>REFURBISHMENT PROJECTS</v>
          </cell>
          <cell r="C50">
            <v>1978114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1978114</v>
          </cell>
          <cell r="K50">
            <v>0</v>
          </cell>
        </row>
        <row r="51">
          <cell r="A51"/>
          <cell r="C51">
            <v>3804326</v>
          </cell>
          <cell r="D51">
            <v>151206.89000000001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156919.75</v>
          </cell>
          <cell r="J51">
            <v>3647406.25</v>
          </cell>
          <cell r="K51">
            <v>4.1247713786883668E-2</v>
          </cell>
        </row>
        <row r="52">
          <cell r="A52"/>
        </row>
        <row r="53">
          <cell r="A53" t="str">
            <v>Votenumber</v>
          </cell>
          <cell r="B53" t="str">
            <v>Description</v>
          </cell>
          <cell r="C53" t="str">
            <v>Original Budget</v>
          </cell>
          <cell r="D53" t="str">
            <v>Curr Mth Exp</v>
          </cell>
          <cell r="E53" t="str">
            <v>Commitment</v>
          </cell>
          <cell r="F53" t="str">
            <v>Comm-Orders</v>
          </cell>
          <cell r="G53" t="str">
            <v>Comm-Jobs</v>
          </cell>
          <cell r="H53" t="str">
            <v>Purchase Req.</v>
          </cell>
          <cell r="I53" t="str">
            <v>YTD Movement</v>
          </cell>
          <cell r="J53" t="str">
            <v>Unspend Bud</v>
          </cell>
          <cell r="K53" t="str">
            <v>Perc</v>
          </cell>
          <cell r="L53"/>
        </row>
        <row r="54">
          <cell r="A54" t="str">
            <v>1803652242095W07ZZ11</v>
          </cell>
          <cell r="B54" t="str">
            <v>PUBLIC CONNECTIONS</v>
          </cell>
          <cell r="C54">
            <v>413328</v>
          </cell>
          <cell r="D54">
            <v>55000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55000</v>
          </cell>
          <cell r="J54">
            <v>358328</v>
          </cell>
          <cell r="K54">
            <v>0.13306623311268531</v>
          </cell>
        </row>
        <row r="55">
          <cell r="A55" t="str">
            <v>18036522420CFW08ZZ11</v>
          </cell>
          <cell r="B55" t="str">
            <v>METER PROJECTS</v>
          </cell>
          <cell r="C55">
            <v>270440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270440</v>
          </cell>
          <cell r="K55">
            <v>0</v>
          </cell>
        </row>
        <row r="56">
          <cell r="A56" t="str">
            <v>18036522420CFW09ZZ11</v>
          </cell>
          <cell r="B56" t="str">
            <v>REFURBISHMENT PROJECTS</v>
          </cell>
          <cell r="C56">
            <v>1031190</v>
          </cell>
          <cell r="D56">
            <v>-202292.93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83505.89</v>
          </cell>
          <cell r="J56">
            <v>947684.11</v>
          </cell>
          <cell r="K56">
            <v>8.0980120055469895E-2</v>
          </cell>
        </row>
        <row r="57">
          <cell r="C57">
            <v>1714958</v>
          </cell>
          <cell r="D57">
            <v>-147292.93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138505.89000000001</v>
          </cell>
          <cell r="J57">
            <v>1576452.1099999999</v>
          </cell>
          <cell r="K57">
            <v>8.0763429774956597E-2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F1-Sum"/>
      <sheetName val="F2-FinPerf"/>
      <sheetName val="F3-Capex"/>
      <sheetName val="F4-FinPos"/>
      <sheetName val="F5-CFlow"/>
      <sheetName val="SF1"/>
      <sheetName val="SF2"/>
      <sheetName val="SF3"/>
      <sheetName val="SF4"/>
      <sheetName val="SF5"/>
      <sheetName val="SF6"/>
      <sheetName val="SF7"/>
      <sheetName val="SF8a"/>
      <sheetName val="SF8b"/>
      <sheetName val="SF8c"/>
      <sheetName val="SF8d"/>
      <sheetName val="SF8e"/>
    </sheetNames>
    <sheetDataSet>
      <sheetData sheetId="0" refreshError="1"/>
      <sheetData sheetId="1" refreshError="1"/>
      <sheetData sheetId="2" refreshError="1">
        <row r="2">
          <cell r="B2" t="str">
            <v>2019/20</v>
          </cell>
        </row>
        <row r="86">
          <cell r="B86" t="str">
            <v>Centlec - Supporting Table F3 Entity Aged debtors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 &amp;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5"/>
      <sheetName val="SA36"/>
      <sheetName val="SA37"/>
      <sheetName val="NERF"/>
      <sheetName val="MSCOA"/>
      <sheetName val="Compliance assessment"/>
      <sheetName val="Sheet1"/>
    </sheetNames>
    <sheetDataSet>
      <sheetData sheetId="0" refreshError="1"/>
      <sheetData sheetId="1" refreshError="1"/>
      <sheetData sheetId="2" refreshError="1">
        <row r="2">
          <cell r="B2" t="str">
            <v>2009/10</v>
          </cell>
        </row>
        <row r="3">
          <cell r="B3" t="str">
            <v>2008/9</v>
          </cell>
        </row>
        <row r="4">
          <cell r="B4" t="str">
            <v>2007/8</v>
          </cell>
        </row>
        <row r="5">
          <cell r="B5" t="str">
            <v>Current Year 2010/11</v>
          </cell>
        </row>
        <row r="7">
          <cell r="B7" t="str">
            <v>2011/12 Medium Term Revenue &amp; Expenditure Framework</v>
          </cell>
        </row>
        <row r="9">
          <cell r="B9" t="str">
            <v>Audited Outcome</v>
          </cell>
        </row>
        <row r="11">
          <cell r="B11" t="str">
            <v>Pre-audit outcome</v>
          </cell>
        </row>
        <row r="12">
          <cell r="B12" t="str">
            <v>Original Budget</v>
          </cell>
        </row>
        <row r="13">
          <cell r="B13" t="str">
            <v>Adjusted Budget</v>
          </cell>
        </row>
        <row r="14">
          <cell r="B14" t="str">
            <v>Full Year Forecast</v>
          </cell>
        </row>
        <row r="15">
          <cell r="B15" t="str">
            <v>Budget Year 2011/12</v>
          </cell>
        </row>
        <row r="16">
          <cell r="B16" t="str">
            <v>Budget Year +1 2012/13</v>
          </cell>
        </row>
        <row r="17">
          <cell r="B17" t="str">
            <v>Budget Year +2 2013/14</v>
          </cell>
        </row>
        <row r="30">
          <cell r="B30" t="str">
            <v>Description</v>
          </cell>
        </row>
        <row r="32">
          <cell r="B32" t="str">
            <v>Vote Description</v>
          </cell>
        </row>
        <row r="33">
          <cell r="B33" t="str">
            <v>Ref</v>
          </cell>
        </row>
        <row r="34">
          <cell r="B34" t="str">
            <v>References</v>
          </cell>
        </row>
        <row r="93">
          <cell r="B93" t="str">
            <v>Choose name from list</v>
          </cell>
        </row>
        <row r="104">
          <cell r="B104" t="str">
            <v>Table A5 Budgeted Capital Expenditure by vote, standard classification and funding</v>
          </cell>
        </row>
        <row r="148">
          <cell r="B148" t="str">
            <v>Supporting Table SA36 Detailed capital budget</v>
          </cell>
        </row>
      </sheetData>
      <sheetData sheetId="3" refreshError="1"/>
      <sheetData sheetId="4" refreshError="1">
        <row r="2">
          <cell r="A2" t="str">
            <v>Vote1 - Example 1</v>
          </cell>
        </row>
        <row r="3">
          <cell r="A3" t="str">
            <v>Vote2 - Example 2</v>
          </cell>
          <cell r="B3" t="str">
            <v>Subvote example 1</v>
          </cell>
        </row>
        <row r="4">
          <cell r="A4" t="str">
            <v>Vote3 - Example 3</v>
          </cell>
          <cell r="B4" t="str">
            <v>Subvote example 2</v>
          </cell>
        </row>
        <row r="5">
          <cell r="A5" t="str">
            <v>Vote4 - Example 4</v>
          </cell>
          <cell r="B5" t="str">
            <v>Subvote example 3</v>
          </cell>
        </row>
        <row r="6">
          <cell r="A6" t="str">
            <v>Vote5 - Example 5</v>
          </cell>
          <cell r="B6" t="str">
            <v>Subvote example 4</v>
          </cell>
        </row>
        <row r="7">
          <cell r="A7" t="str">
            <v>Vote6 - Example 6</v>
          </cell>
          <cell r="B7" t="str">
            <v>Subvote example 5</v>
          </cell>
        </row>
        <row r="8">
          <cell r="A8" t="str">
            <v>Vote7 - Example 7</v>
          </cell>
          <cell r="B8" t="str">
            <v>Subvote example 6</v>
          </cell>
        </row>
        <row r="9">
          <cell r="A9" t="str">
            <v>Vote8 - Example 8</v>
          </cell>
          <cell r="B9" t="str">
            <v>Subvote example 7</v>
          </cell>
        </row>
        <row r="10">
          <cell r="A10" t="str">
            <v>Vote9 - Example 9</v>
          </cell>
          <cell r="B10" t="str">
            <v>Subvote example 8</v>
          </cell>
        </row>
        <row r="11">
          <cell r="A11" t="str">
            <v>Vote10 - Example 10</v>
          </cell>
          <cell r="B11" t="str">
            <v>Subvote example 9</v>
          </cell>
        </row>
        <row r="12">
          <cell r="A12" t="str">
            <v>Vote11 - Example 11</v>
          </cell>
          <cell r="B12" t="str">
            <v>Subvote example 10</v>
          </cell>
        </row>
        <row r="13">
          <cell r="A13" t="str">
            <v>Vote12 - Example 12</v>
          </cell>
        </row>
        <row r="14">
          <cell r="A14" t="str">
            <v>Vote13 - Example 13</v>
          </cell>
          <cell r="B14" t="str">
            <v>Subvote example 1</v>
          </cell>
        </row>
        <row r="15">
          <cell r="A15" t="str">
            <v>Vote14 - Example 14</v>
          </cell>
          <cell r="B15" t="str">
            <v>Subvote example 2</v>
          </cell>
        </row>
        <row r="16">
          <cell r="A16" t="str">
            <v>Vote15 - Example 15</v>
          </cell>
          <cell r="B16" t="str">
            <v>Subvote example 3</v>
          </cell>
        </row>
        <row r="17">
          <cell r="B17" t="str">
            <v>Subvote example 4</v>
          </cell>
        </row>
        <row r="18">
          <cell r="B18" t="str">
            <v>Subvote example 5</v>
          </cell>
        </row>
        <row r="19">
          <cell r="B19" t="str">
            <v>Subvote example 6</v>
          </cell>
        </row>
        <row r="20">
          <cell r="B20" t="str">
            <v>Subvote example 7</v>
          </cell>
        </row>
        <row r="21">
          <cell r="B21" t="str">
            <v>Subvote example 8</v>
          </cell>
        </row>
        <row r="22">
          <cell r="B22" t="str">
            <v>Subvote example 9</v>
          </cell>
        </row>
        <row r="23">
          <cell r="B23" t="str">
            <v>Subvote example 10</v>
          </cell>
        </row>
        <row r="25">
          <cell r="B25" t="str">
            <v>Subvote example 1</v>
          </cell>
        </row>
        <row r="26">
          <cell r="B26" t="str">
            <v>Subvote example 2</v>
          </cell>
        </row>
        <row r="27">
          <cell r="B27" t="str">
            <v>Subvote example 3</v>
          </cell>
        </row>
        <row r="28">
          <cell r="B28" t="str">
            <v>Subvote example 4</v>
          </cell>
        </row>
        <row r="29">
          <cell r="B29" t="str">
            <v>Subvote example 5</v>
          </cell>
        </row>
        <row r="30">
          <cell r="B30" t="str">
            <v>Subvote example 6</v>
          </cell>
        </row>
        <row r="31">
          <cell r="B31" t="str">
            <v>Subvote example 7</v>
          </cell>
        </row>
        <row r="32">
          <cell r="B32" t="str">
            <v>Subvote example 8</v>
          </cell>
        </row>
        <row r="33">
          <cell r="B33" t="str">
            <v>Subvote example 9</v>
          </cell>
        </row>
        <row r="34">
          <cell r="B34" t="str">
            <v>Subvote example 10</v>
          </cell>
        </row>
        <row r="36">
          <cell r="B36" t="str">
            <v>Subvote example 1</v>
          </cell>
        </row>
        <row r="37">
          <cell r="B37" t="str">
            <v>Subvote example 2</v>
          </cell>
        </row>
        <row r="38">
          <cell r="B38" t="str">
            <v>Subvote example 3</v>
          </cell>
        </row>
        <row r="39">
          <cell r="B39" t="str">
            <v>Subvote example 4</v>
          </cell>
        </row>
        <row r="40">
          <cell r="B40" t="str">
            <v>Subvote example 5</v>
          </cell>
        </row>
        <row r="41">
          <cell r="B41" t="str">
            <v>Subvote example 6</v>
          </cell>
        </row>
        <row r="42">
          <cell r="B42" t="str">
            <v>Subvote example 7</v>
          </cell>
        </row>
        <row r="43">
          <cell r="B43" t="str">
            <v>Subvote example 8</v>
          </cell>
        </row>
        <row r="44">
          <cell r="B44" t="str">
            <v>Subvote example 9</v>
          </cell>
        </row>
        <row r="45">
          <cell r="B45" t="str">
            <v>Subvote example 10</v>
          </cell>
        </row>
        <row r="47">
          <cell r="B47" t="str">
            <v>Subvote example 1</v>
          </cell>
        </row>
        <row r="48">
          <cell r="B48" t="str">
            <v>Subvote example 2</v>
          </cell>
        </row>
        <row r="49">
          <cell r="B49" t="str">
            <v>Subvote example 3</v>
          </cell>
        </row>
        <row r="50">
          <cell r="B50" t="str">
            <v>Subvote example 4</v>
          </cell>
        </row>
        <row r="51">
          <cell r="B51" t="str">
            <v>Subvote example 5</v>
          </cell>
        </row>
        <row r="52">
          <cell r="B52" t="str">
            <v>Subvote example 6</v>
          </cell>
        </row>
        <row r="53">
          <cell r="B53" t="str">
            <v>Subvote example 7</v>
          </cell>
        </row>
        <row r="54">
          <cell r="B54" t="str">
            <v>Subvote example 8</v>
          </cell>
        </row>
        <row r="55">
          <cell r="B55" t="str">
            <v>Subvote example 9</v>
          </cell>
        </row>
        <row r="56">
          <cell r="B56" t="str">
            <v>Subvote example 10</v>
          </cell>
        </row>
        <row r="58">
          <cell r="B58" t="str">
            <v>Subvote example 1</v>
          </cell>
        </row>
        <row r="59">
          <cell r="B59" t="str">
            <v>Subvote example 2</v>
          </cell>
        </row>
        <row r="60">
          <cell r="B60" t="str">
            <v>Subvote example 3</v>
          </cell>
        </row>
        <row r="61">
          <cell r="B61" t="str">
            <v>Subvote example 4</v>
          </cell>
        </row>
        <row r="62">
          <cell r="B62" t="str">
            <v>Subvote example 5</v>
          </cell>
        </row>
        <row r="63">
          <cell r="B63" t="str">
            <v>Subvote example 6</v>
          </cell>
        </row>
        <row r="64">
          <cell r="B64" t="str">
            <v>Subvote example 7</v>
          </cell>
        </row>
        <row r="65">
          <cell r="B65" t="str">
            <v>Subvote example 8</v>
          </cell>
        </row>
        <row r="66">
          <cell r="B66" t="str">
            <v>Subvote example 9</v>
          </cell>
        </row>
        <row r="67">
          <cell r="B67" t="str">
            <v>Subvote example 10</v>
          </cell>
        </row>
        <row r="69">
          <cell r="B69" t="str">
            <v>Subvote example 1</v>
          </cell>
        </row>
        <row r="70">
          <cell r="B70" t="str">
            <v>Subvote example 2</v>
          </cell>
        </row>
        <row r="71">
          <cell r="B71" t="str">
            <v>Subvote example 3</v>
          </cell>
        </row>
        <row r="72">
          <cell r="B72" t="str">
            <v>Subvote example 4</v>
          </cell>
        </row>
        <row r="73">
          <cell r="B73" t="str">
            <v>Subvote example 5</v>
          </cell>
        </row>
        <row r="74">
          <cell r="B74" t="str">
            <v>Subvote example 6</v>
          </cell>
        </row>
        <row r="75">
          <cell r="B75" t="str">
            <v>Subvote example 7</v>
          </cell>
        </row>
        <row r="76">
          <cell r="B76" t="str">
            <v>Subvote example 8</v>
          </cell>
        </row>
        <row r="77">
          <cell r="B77" t="str">
            <v>Subvote example 9</v>
          </cell>
        </row>
        <row r="78">
          <cell r="B78" t="str">
            <v>Subvote example 10</v>
          </cell>
        </row>
        <row r="80">
          <cell r="B80" t="str">
            <v>Subvote example 1</v>
          </cell>
        </row>
        <row r="81">
          <cell r="B81" t="str">
            <v>Subvote example 2</v>
          </cell>
        </row>
        <row r="82">
          <cell r="B82" t="str">
            <v>Subvote example 3</v>
          </cell>
        </row>
        <row r="83">
          <cell r="B83" t="str">
            <v>Subvote example 4</v>
          </cell>
        </row>
        <row r="84">
          <cell r="B84" t="str">
            <v>Subvote example 5</v>
          </cell>
        </row>
        <row r="85">
          <cell r="B85" t="str">
            <v>Subvote example 6</v>
          </cell>
        </row>
        <row r="86">
          <cell r="B86" t="str">
            <v>Subvote example 7</v>
          </cell>
        </row>
        <row r="87">
          <cell r="B87" t="str">
            <v>Subvote example 8</v>
          </cell>
        </row>
        <row r="88">
          <cell r="B88" t="str">
            <v>Subvote example 9</v>
          </cell>
        </row>
        <row r="89">
          <cell r="B89" t="str">
            <v>Subvote example 10</v>
          </cell>
        </row>
        <row r="91">
          <cell r="B91" t="str">
            <v>Subvote example 1</v>
          </cell>
        </row>
        <row r="92">
          <cell r="B92" t="str">
            <v>Subvote example 2</v>
          </cell>
        </row>
        <row r="93">
          <cell r="B93" t="str">
            <v>Subvote example 3</v>
          </cell>
        </row>
        <row r="94">
          <cell r="B94" t="str">
            <v>Subvote example 4</v>
          </cell>
        </row>
        <row r="95">
          <cell r="B95" t="str">
            <v>Subvote example 5</v>
          </cell>
        </row>
        <row r="96">
          <cell r="B96" t="str">
            <v>Subvote example 6</v>
          </cell>
        </row>
        <row r="97">
          <cell r="B97" t="str">
            <v>Subvote example 7</v>
          </cell>
        </row>
        <row r="98">
          <cell r="B98" t="str">
            <v>Subvote example 8</v>
          </cell>
        </row>
        <row r="99">
          <cell r="B99" t="str">
            <v>Subvote example 9</v>
          </cell>
        </row>
        <row r="100">
          <cell r="B100" t="str">
            <v>Subvote example 10</v>
          </cell>
        </row>
        <row r="102">
          <cell r="B102" t="str">
            <v>Subvote example 1</v>
          </cell>
        </row>
        <row r="103">
          <cell r="B103" t="str">
            <v>Subvote example 2</v>
          </cell>
        </row>
        <row r="104">
          <cell r="B104" t="str">
            <v>Subvote example 3</v>
          </cell>
        </row>
        <row r="105">
          <cell r="B105" t="str">
            <v>Subvote example 4</v>
          </cell>
        </row>
        <row r="106">
          <cell r="B106" t="str">
            <v>Subvote example 5</v>
          </cell>
        </row>
        <row r="107">
          <cell r="B107" t="str">
            <v>Subvote example 6</v>
          </cell>
        </row>
        <row r="108">
          <cell r="B108" t="str">
            <v>Subvote example 7</v>
          </cell>
        </row>
        <row r="109">
          <cell r="B109" t="str">
            <v>Subvote example 8</v>
          </cell>
        </row>
        <row r="110">
          <cell r="B110" t="str">
            <v>Subvote example 9</v>
          </cell>
        </row>
        <row r="111">
          <cell r="B111" t="str">
            <v>Subvote example 10</v>
          </cell>
        </row>
        <row r="113">
          <cell r="B113" t="str">
            <v>Subvote example 1</v>
          </cell>
        </row>
        <row r="114">
          <cell r="B114" t="str">
            <v>Subvote example 2</v>
          </cell>
        </row>
        <row r="115">
          <cell r="B115" t="str">
            <v>Subvote example 3</v>
          </cell>
        </row>
        <row r="116">
          <cell r="B116" t="str">
            <v>Subvote example 4</v>
          </cell>
        </row>
        <row r="117">
          <cell r="B117" t="str">
            <v>Subvote example 5</v>
          </cell>
        </row>
        <row r="118">
          <cell r="B118" t="str">
            <v>Subvote example 6</v>
          </cell>
        </row>
        <row r="119">
          <cell r="B119" t="str">
            <v>Subvote example 7</v>
          </cell>
        </row>
        <row r="120">
          <cell r="B120" t="str">
            <v>Subvote example 8</v>
          </cell>
        </row>
        <row r="121">
          <cell r="B121" t="str">
            <v>Subvote example 9</v>
          </cell>
        </row>
        <row r="122">
          <cell r="B122" t="str">
            <v>Subvote example 10</v>
          </cell>
        </row>
        <row r="124">
          <cell r="B124" t="str">
            <v>Subvote example 1</v>
          </cell>
        </row>
        <row r="125">
          <cell r="B125" t="str">
            <v>Subvote example 2</v>
          </cell>
        </row>
        <row r="126">
          <cell r="B126" t="str">
            <v>Subvote example 3</v>
          </cell>
        </row>
        <row r="127">
          <cell r="B127" t="str">
            <v>Subvote example 4</v>
          </cell>
        </row>
        <row r="128">
          <cell r="B128" t="str">
            <v>Subvote example 5</v>
          </cell>
        </row>
        <row r="129">
          <cell r="B129" t="str">
            <v>Subvote example 6</v>
          </cell>
        </row>
        <row r="130">
          <cell r="B130" t="str">
            <v>Subvote example 7</v>
          </cell>
        </row>
        <row r="131">
          <cell r="B131" t="str">
            <v>Subvote example 8</v>
          </cell>
        </row>
        <row r="132">
          <cell r="B132" t="str">
            <v>Subvote example 9</v>
          </cell>
        </row>
        <row r="133">
          <cell r="B133" t="str">
            <v>Subvote example 10</v>
          </cell>
        </row>
        <row r="135">
          <cell r="B135" t="str">
            <v>Subvote example 1</v>
          </cell>
        </row>
        <row r="136">
          <cell r="B136" t="str">
            <v>Subvote example 2</v>
          </cell>
        </row>
        <row r="137">
          <cell r="B137" t="str">
            <v>Subvote example 3</v>
          </cell>
        </row>
        <row r="138">
          <cell r="B138" t="str">
            <v>Subvote example 4</v>
          </cell>
        </row>
        <row r="139">
          <cell r="B139" t="str">
            <v>Subvote example 5</v>
          </cell>
        </row>
        <row r="140">
          <cell r="B140" t="str">
            <v>Subvote example 6</v>
          </cell>
        </row>
        <row r="141">
          <cell r="B141" t="str">
            <v>Subvote example 7</v>
          </cell>
        </row>
        <row r="142">
          <cell r="B142" t="str">
            <v>Subvote example 8</v>
          </cell>
        </row>
        <row r="143">
          <cell r="B143" t="str">
            <v>Subvote example 9</v>
          </cell>
        </row>
        <row r="144">
          <cell r="B144" t="str">
            <v>Subvote example 10</v>
          </cell>
        </row>
        <row r="146">
          <cell r="B146" t="str">
            <v>Subvote example 1</v>
          </cell>
        </row>
        <row r="147">
          <cell r="B147" t="str">
            <v>Subvote example 2</v>
          </cell>
        </row>
        <row r="148">
          <cell r="B148" t="str">
            <v>Subvote example 3</v>
          </cell>
        </row>
        <row r="149">
          <cell r="B149" t="str">
            <v>Subvote example 4</v>
          </cell>
        </row>
        <row r="150">
          <cell r="B150" t="str">
            <v>Subvote example 5</v>
          </cell>
        </row>
        <row r="151">
          <cell r="B151" t="str">
            <v>Subvote example 6</v>
          </cell>
        </row>
        <row r="152">
          <cell r="B152" t="str">
            <v>Subvote example 7</v>
          </cell>
        </row>
        <row r="153">
          <cell r="B153" t="str">
            <v>Subvote example 8</v>
          </cell>
        </row>
        <row r="154">
          <cell r="B154" t="str">
            <v>Subvote example 9</v>
          </cell>
        </row>
        <row r="155">
          <cell r="B155" t="str">
            <v>Subvote example 10</v>
          </cell>
        </row>
        <row r="157">
          <cell r="B157" t="str">
            <v>Subvote example 1</v>
          </cell>
        </row>
        <row r="158">
          <cell r="B158" t="str">
            <v>Subvote example 2</v>
          </cell>
        </row>
        <row r="159">
          <cell r="B159" t="str">
            <v>Subvote example 3</v>
          </cell>
        </row>
        <row r="160">
          <cell r="B160" t="str">
            <v>Subvote example 4</v>
          </cell>
        </row>
        <row r="161">
          <cell r="B161" t="str">
            <v>Subvote example 5</v>
          </cell>
        </row>
        <row r="162">
          <cell r="B162" t="str">
            <v>Subvote example 6</v>
          </cell>
        </row>
        <row r="163">
          <cell r="B163" t="str">
            <v>Subvote example 7</v>
          </cell>
        </row>
        <row r="164">
          <cell r="B164" t="str">
            <v>Subvote example 8</v>
          </cell>
        </row>
        <row r="165">
          <cell r="B165" t="str">
            <v>Subvote example 9</v>
          </cell>
        </row>
        <row r="166">
          <cell r="B166" t="str">
            <v>Subvote example 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a"/>
      <sheetName val="SA12b"/>
      <sheetName val="SA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4d"/>
      <sheetName val="SA35"/>
      <sheetName val="SA36"/>
      <sheetName val="SA37"/>
      <sheetName val="NERF"/>
      <sheetName val="MSCOA"/>
      <sheetName val="Compliance assessment"/>
    </sheetNames>
    <sheetDataSet>
      <sheetData sheetId="0" refreshError="1"/>
      <sheetData sheetId="1" refreshError="1"/>
      <sheetData sheetId="2">
        <row r="54">
          <cell r="B54" t="str">
            <v>Previous target year to complete</v>
          </cell>
        </row>
        <row r="151">
          <cell r="B151" t="str">
            <v>Supporting Table SA37 Consolidated projects delayed from previous financial year/s</v>
          </cell>
        </row>
      </sheetData>
      <sheetData sheetId="3">
        <row r="16">
          <cell r="Z16" t="str">
            <v>Infrastructure - Road transport</v>
          </cell>
          <cell r="AA16" t="str">
            <v>Roads, Pavements &amp; Bridges</v>
          </cell>
        </row>
        <row r="17">
          <cell r="Z17" t="str">
            <v>Infrastructure - Electricity</v>
          </cell>
          <cell r="AA17" t="str">
            <v>Storm water</v>
          </cell>
        </row>
        <row r="18">
          <cell r="Z18" t="str">
            <v>Infrastructure - Water</v>
          </cell>
          <cell r="AA18" t="str">
            <v>Generation</v>
          </cell>
        </row>
        <row r="19">
          <cell r="Z19" t="str">
            <v>Infrastructure - Sanitation</v>
          </cell>
          <cell r="AA19" t="str">
            <v>Transmission &amp; Reticulation</v>
          </cell>
        </row>
        <row r="20">
          <cell r="Z20" t="str">
            <v>Infrastructure - Other</v>
          </cell>
          <cell r="AA20" t="str">
            <v>Street Lighting</v>
          </cell>
        </row>
        <row r="21">
          <cell r="Z21" t="str">
            <v>Community</v>
          </cell>
          <cell r="AA21" t="str">
            <v>Dams &amp; Reservoirs</v>
          </cell>
        </row>
        <row r="22">
          <cell r="Z22" t="str">
            <v>Heritage Assets</v>
          </cell>
          <cell r="AA22" t="str">
            <v>Water purification</v>
          </cell>
        </row>
        <row r="23">
          <cell r="Z23" t="str">
            <v>Investment Properties</v>
          </cell>
          <cell r="AA23" t="str">
            <v>Reticulation</v>
          </cell>
        </row>
        <row r="24">
          <cell r="Z24" t="str">
            <v>Other Assets</v>
          </cell>
          <cell r="AA24" t="str">
            <v>Sewerage purification</v>
          </cell>
        </row>
        <row r="25">
          <cell r="Z25" t="str">
            <v>Agricultural assets</v>
          </cell>
          <cell r="AA25" t="str">
            <v>Waste Management</v>
          </cell>
        </row>
        <row r="26">
          <cell r="Z26" t="str">
            <v>Biological assets</v>
          </cell>
          <cell r="AA26" t="str">
            <v>Transportation</v>
          </cell>
        </row>
        <row r="27">
          <cell r="Z27" t="str">
            <v>Intangibles</v>
          </cell>
          <cell r="AA27" t="str">
            <v>Gas</v>
          </cell>
        </row>
        <row r="28">
          <cell r="Z28" t="str">
            <v>Other</v>
          </cell>
          <cell r="AA28" t="str">
            <v>Parks &amp; gardens</v>
          </cell>
        </row>
        <row r="29">
          <cell r="AA29" t="str">
            <v>Sportsfields &amp; stadia</v>
          </cell>
        </row>
        <row r="30">
          <cell r="AA30" t="str">
            <v>Swimming pools</v>
          </cell>
        </row>
        <row r="31">
          <cell r="AA31" t="str">
            <v>Community halls</v>
          </cell>
        </row>
        <row r="32">
          <cell r="AA32" t="str">
            <v>Libraries</v>
          </cell>
        </row>
        <row r="33">
          <cell r="AA33" t="str">
            <v>Recreational facilities</v>
          </cell>
        </row>
        <row r="34">
          <cell r="AA34" t="str">
            <v>Fire, safety &amp; emergency</v>
          </cell>
        </row>
        <row r="35">
          <cell r="AA35" t="str">
            <v>Security and policing</v>
          </cell>
        </row>
        <row r="36">
          <cell r="AA36" t="str">
            <v>Buses</v>
          </cell>
        </row>
        <row r="37">
          <cell r="AA37" t="str">
            <v>Clinics</v>
          </cell>
        </row>
        <row r="38">
          <cell r="AA38" t="str">
            <v>Museums &amp; Art Galleries</v>
          </cell>
        </row>
        <row r="39">
          <cell r="AA39" t="str">
            <v>Cemeteries</v>
          </cell>
        </row>
        <row r="40">
          <cell r="AA40" t="str">
            <v>Social rental housing</v>
          </cell>
        </row>
        <row r="41">
          <cell r="AA41" t="str">
            <v>Buildings</v>
          </cell>
        </row>
        <row r="42">
          <cell r="AA42" t="str">
            <v>Housing development</v>
          </cell>
        </row>
        <row r="43">
          <cell r="AA43" t="str">
            <v>General vehicles</v>
          </cell>
        </row>
        <row r="44">
          <cell r="AA44" t="str">
            <v>Specialised vehicles - Refuse</v>
          </cell>
        </row>
        <row r="45">
          <cell r="AA45" t="str">
            <v>Specialised vehicles - Fire</v>
          </cell>
        </row>
        <row r="46">
          <cell r="AA46" t="str">
            <v>Specialised vehicles - Conservancy</v>
          </cell>
        </row>
        <row r="47">
          <cell r="AA47" t="str">
            <v>Specialised vehicles - Ambulances</v>
          </cell>
        </row>
        <row r="48">
          <cell r="AA48" t="str">
            <v>Plant &amp; equipment</v>
          </cell>
        </row>
        <row r="49">
          <cell r="AA49" t="str">
            <v>Computers - hardware/equipment</v>
          </cell>
        </row>
        <row r="50">
          <cell r="AA50" t="str">
            <v>Furniture and other office equipment</v>
          </cell>
        </row>
        <row r="51">
          <cell r="AA51" t="str">
            <v>Abattoirs</v>
          </cell>
        </row>
        <row r="52">
          <cell r="AA52" t="str">
            <v>Markets</v>
          </cell>
        </row>
        <row r="53">
          <cell r="AA53" t="str">
            <v>Civic Land and Buildings</v>
          </cell>
        </row>
        <row r="54">
          <cell r="AA54" t="str">
            <v>Other Buildings</v>
          </cell>
        </row>
        <row r="55">
          <cell r="AA55" t="str">
            <v>Other Land</v>
          </cell>
        </row>
        <row r="56">
          <cell r="AA56" t="str">
            <v>Surplus Assets - (Investment or Inventory)</v>
          </cell>
        </row>
        <row r="57">
          <cell r="AA57" t="str">
            <v>Computers - software &amp; programming</v>
          </cell>
        </row>
        <row r="58">
          <cell r="AA58" t="str">
            <v>Other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"/>
      <sheetName val="Cap Asset Guideline"/>
      <sheetName val="Mapping List CAG"/>
      <sheetName val="Annex A Repairs &amp; Maint"/>
      <sheetName val="Annex B Operating Leases"/>
      <sheetName val="An D BS NCS PPE"/>
      <sheetName val="Classes PPE extracted"/>
    </sheetNames>
    <sheetDataSet>
      <sheetData sheetId="0" refreshError="1"/>
      <sheetData sheetId="1" refreshError="1"/>
      <sheetData sheetId="2">
        <row r="3">
          <cell r="D3" t="str">
            <v>Asset Management Guide</v>
          </cell>
        </row>
        <row r="4">
          <cell r="D4" t="str">
            <v>Labels and description not clear to map account</v>
          </cell>
        </row>
        <row r="5">
          <cell r="D5" t="str">
            <v>Reconsider/determine the correct classification</v>
          </cell>
        </row>
        <row r="6">
          <cell r="D6" t="str">
            <v>Ignored cost price, accummuldated depreciation, disposal or purpose of the account and used the class of PPE for mapping purpose</v>
          </cell>
        </row>
        <row r="7">
          <cell r="D7" t="str">
            <v>Guideline is more specific regarding the description</v>
          </cell>
        </row>
        <row r="8">
          <cell r="D8" t="str">
            <v>Not provided for in the guideline</v>
          </cell>
        </row>
        <row r="9">
          <cell r="D9" t="str">
            <v>Group - N/a</v>
          </cell>
        </row>
        <row r="10">
          <cell r="D10" t="str">
            <v xml:space="preserve">[Land] Developed land </v>
          </cell>
        </row>
        <row r="11">
          <cell r="D11" t="str">
            <v xml:space="preserve">[Land] Undeveloped land </v>
          </cell>
        </row>
        <row r="12">
          <cell r="D12" t="str">
            <v>Group - N/a</v>
          </cell>
        </row>
        <row r="13">
          <cell r="D13" t="str">
            <v>Group - N/a</v>
          </cell>
        </row>
        <row r="14">
          <cell r="D14" t="str">
            <v xml:space="preserve">[Building / Dwellings] Caravans </v>
          </cell>
        </row>
        <row r="15">
          <cell r="D15" t="str">
            <v xml:space="preserve">[Building / Dwellings] Children’s homes </v>
          </cell>
        </row>
        <row r="16">
          <cell r="D16" t="str">
            <v xml:space="preserve">[Building / Dwellings] Foreign mission dwellings </v>
          </cell>
        </row>
        <row r="17">
          <cell r="D17" t="str">
            <v xml:space="preserve">[Building / Dwellings] Homes for the aged </v>
          </cell>
        </row>
        <row r="18">
          <cell r="D18" t="str">
            <v xml:space="preserve">[Building / Dwellings] Hostels </v>
          </cell>
        </row>
        <row r="19">
          <cell r="D19" t="str">
            <v xml:space="preserve">[Building / Dwellings] Military personnel dwellings </v>
          </cell>
        </row>
        <row r="20">
          <cell r="D20" t="str">
            <v xml:space="preserve">[Building / Dwellings] Mobile homes </v>
          </cell>
        </row>
        <row r="21">
          <cell r="D21" t="str">
            <v xml:space="preserve">[Building / Dwellings] Places of safety (children) </v>
          </cell>
        </row>
        <row r="22">
          <cell r="D22" t="str">
            <v xml:space="preserve">[Building / Dwellings] Prisons and rehabilitation facilities </v>
          </cell>
        </row>
        <row r="23">
          <cell r="D23" t="str">
            <v xml:space="preserve">[Building / Dwellings] Residences (presidential, embassies) </v>
          </cell>
        </row>
        <row r="24">
          <cell r="D24" t="str">
            <v xml:space="preserve">[Building / Dwellings] Residences (personnel) include garages and parking </v>
          </cell>
        </row>
        <row r="25">
          <cell r="D25" t="str">
            <v xml:space="preserve">[Building / Dwellings] Secure care centres </v>
          </cell>
        </row>
        <row r="26">
          <cell r="D26" t="str">
            <v>Group - N/a</v>
          </cell>
        </row>
        <row r="27">
          <cell r="D27" t="str">
            <v>[Building / Non Residential Dwellings] Airport and associated buildings (control towers, transfer halls, parking, hangars and warehousing)</v>
          </cell>
        </row>
        <row r="28">
          <cell r="D28" t="str">
            <v xml:space="preserve">[Building / Non Residential Dwellings] Border and custom control points </v>
          </cell>
        </row>
        <row r="29">
          <cell r="D29" t="str">
            <v xml:space="preserve">[Building / Non Residential Dwellings] Bus terminals </v>
          </cell>
        </row>
        <row r="30">
          <cell r="D30" t="str">
            <v xml:space="preserve">[Building / Non Residential Dwellings] Bus shelters </v>
          </cell>
        </row>
        <row r="31">
          <cell r="D31" t="str">
            <v xml:space="preserve">[Building / Non Residential Dwellings] Civic theatres </v>
          </cell>
        </row>
        <row r="32">
          <cell r="D32" t="str">
            <v xml:space="preserve">[Building / Non Residential Dwellings] Clinics and community health facilities </v>
          </cell>
        </row>
        <row r="33">
          <cell r="D33" t="str">
            <v xml:space="preserve">[Building / Non Residential Dwellings] Community centres and public entertainment buildings </v>
          </cell>
        </row>
        <row r="34">
          <cell r="D34" t="str">
            <v xml:space="preserve">[Building / Non Residential Dwellings] Driver and vehicle testing centres </v>
          </cell>
        </row>
        <row r="35">
          <cell r="D35" t="str">
            <v xml:space="preserve">[Building / Non Residential Dwellings] Fire stations </v>
          </cell>
        </row>
        <row r="36">
          <cell r="D36" t="str">
            <v xml:space="preserve">[Building / Non Residential Dwellings] Foreign mission offices </v>
          </cell>
        </row>
        <row r="37">
          <cell r="D37" t="str">
            <v xml:space="preserve">[Building / Non Residential Dwellings] Hospitals and ambulance stations </v>
          </cell>
        </row>
        <row r="38">
          <cell r="D38" t="str">
            <v xml:space="preserve">[Building / Non Residential Dwellings] Industrial buildings </v>
          </cell>
        </row>
        <row r="39">
          <cell r="D39" t="str">
            <v xml:space="preserve">[Building / Non Residential Dwellings] Laboratories </v>
          </cell>
        </row>
        <row r="40">
          <cell r="D40" t="str">
            <v xml:space="preserve">[Building / Non Residential Dwellings] Libraries </v>
          </cell>
        </row>
        <row r="41">
          <cell r="D41" t="str">
            <v xml:space="preserve">[Building / Non Residential Dwellings] Mortuaries </v>
          </cell>
        </row>
        <row r="42">
          <cell r="D42" t="str">
            <v xml:space="preserve">[Building / Non Residential Dwellings] Museums and art galleries </v>
          </cell>
        </row>
        <row r="43">
          <cell r="D43" t="str">
            <v>[Building / Non Residential Dwellings] Office buildings (including air conditioning systems) 25 - 30</v>
          </cell>
        </row>
        <row r="44">
          <cell r="D44" t="str">
            <v xml:space="preserve">[Building / Non Residential Dwellings] Public parking (covered and open) </v>
          </cell>
        </row>
        <row r="45">
          <cell r="D45" t="str">
            <v xml:space="preserve">[Building / Non Residential Dwellings] Police stations (and associated buildings) </v>
          </cell>
        </row>
        <row r="46">
          <cell r="D46" t="str">
            <v xml:space="preserve">[Building / Non Residential Dwellings] Railway and associated buildings </v>
          </cell>
        </row>
        <row r="47">
          <cell r="D47" t="str">
            <v xml:space="preserve">[Building / Non Residential Dwellings] Research facilities (including weather) </v>
          </cell>
        </row>
        <row r="48">
          <cell r="D48" t="str">
            <v xml:space="preserve">[Building / Non Residential Dwellings] Stadiums </v>
          </cell>
        </row>
        <row r="49">
          <cell r="D49" t="str">
            <v xml:space="preserve">[Building / Non Residential Dwellings] Taxi ranks </v>
          </cell>
        </row>
        <row r="50">
          <cell r="D50" t="str">
            <v xml:space="preserve">[Building / Non Residential Dwellings] Universities, colleges, schools etc. </v>
          </cell>
        </row>
        <row r="51">
          <cell r="D51" t="str">
            <v>[Building / Non Residential Dwellings] Warehouses (storage facilities, including data)</v>
          </cell>
        </row>
        <row r="52">
          <cell r="D52" t="str">
            <v>Group - N/a</v>
          </cell>
        </row>
        <row r="53">
          <cell r="D53" t="str">
            <v>Group - N/a</v>
          </cell>
        </row>
        <row r="54">
          <cell r="D54" t="str">
            <v xml:space="preserve">[Other Structures (Infrastructure Assets) - Electricity] Cooling towers </v>
          </cell>
        </row>
        <row r="55">
          <cell r="D55" t="str">
            <v xml:space="preserve">[Other Structures (Infrastructure Assets) - Electricity] Mains </v>
          </cell>
        </row>
        <row r="56">
          <cell r="D56" t="str">
            <v>Group - N/a</v>
          </cell>
        </row>
        <row r="57">
          <cell r="D57" t="str">
            <v>[Other Structures (Infrastructure Assets) - Electricity] Meters:  Prepaid</v>
          </cell>
        </row>
        <row r="58">
          <cell r="D58" t="str">
            <v>[Other Structures (Infrastructure Assets) - Electricity] Meters:  Credit</v>
          </cell>
        </row>
        <row r="59">
          <cell r="D59" t="str">
            <v>Group - N/a</v>
          </cell>
        </row>
        <row r="60">
          <cell r="D60" t="str">
            <v>[Other Structures (Infrastructure Assets) - Electricity] Power stations:  Coal</v>
          </cell>
        </row>
        <row r="61">
          <cell r="D61" t="str">
            <v>[Other Structures (Infrastructure Assets) - Electricity] Power stations:  Gas</v>
          </cell>
        </row>
        <row r="62">
          <cell r="D62" t="str">
            <v>[Other Structures (Infrastructure Assets) - Electricity] Power stations:  Hydro</v>
          </cell>
        </row>
        <row r="63">
          <cell r="D63" t="str">
            <v>[Other Structures (Infrastructure Assets) - Electricity] Power stations:  Nuclear</v>
          </cell>
        </row>
        <row r="64">
          <cell r="D64" t="str">
            <v xml:space="preserve">[Other Structures (Infrastructure Assets) - Electricity] Supply/reticulation </v>
          </cell>
        </row>
        <row r="65">
          <cell r="D65" t="str">
            <v xml:space="preserve">[Other Structures (Infrastructure Assets) - Electricity] Transformers </v>
          </cell>
        </row>
        <row r="66">
          <cell r="D66" t="str">
            <v>Group - N/a</v>
          </cell>
        </row>
        <row r="67">
          <cell r="D67" t="str">
            <v>[Other Structures (Infrastructure Assets) - Electricity] Lines:  Underground</v>
          </cell>
        </row>
        <row r="68">
          <cell r="D68" t="str">
            <v>[Other Structures (Infrastructure Assets) - Electricity] Lines:  Overhead</v>
          </cell>
        </row>
        <row r="69">
          <cell r="D69" t="str">
            <v>[Other Structures (Infrastructure Assets) - Electricity] Cables</v>
          </cell>
        </row>
        <row r="70">
          <cell r="D70" t="str">
            <v>Group - N/a</v>
          </cell>
        </row>
        <row r="71">
          <cell r="D71" t="str">
            <v>[Other Structures (Infrastructure Assets) - Electricity] Substations:  Switchgear</v>
          </cell>
        </row>
        <row r="72">
          <cell r="D72" t="str">
            <v>Group - N/a</v>
          </cell>
        </row>
        <row r="73">
          <cell r="D73" t="str">
            <v>[Other Structures (Infrastructure Assets) - Electricity] Substations:  Equipment - Outdoor</v>
          </cell>
        </row>
        <row r="74">
          <cell r="D74" t="str">
            <v>[Other Structures (Infrastructure Assets) - Electricity] Substations:  Equipment - GIS</v>
          </cell>
        </row>
        <row r="75">
          <cell r="D75" t="str">
            <v>[Other Structures (Infrastructure Assets) - Electricity] Substations:  Equipment - Indoor</v>
          </cell>
        </row>
        <row r="76">
          <cell r="D76" t="str">
            <v>[Other Structures (Infrastructure Assets) - Electricity] Electrical panels</v>
          </cell>
        </row>
        <row r="77">
          <cell r="D77" t="str">
            <v>[Other Structures (Infrastructure Assets) - Electricity] Telemetry</v>
          </cell>
        </row>
        <row r="78">
          <cell r="D78" t="str">
            <v>Group - N/a</v>
          </cell>
        </row>
        <row r="79">
          <cell r="D79" t="str">
            <v>Group - N/a</v>
          </cell>
        </row>
        <row r="80">
          <cell r="D80" t="str">
            <v>Group - N/a</v>
          </cell>
        </row>
        <row r="81">
          <cell r="D81" t="str">
            <v>[Other Structures (Infrastructure Assets) - Roads: Bridges] Vehicle:  Bridges - Concrete</v>
          </cell>
        </row>
        <row r="82">
          <cell r="D82" t="str">
            <v>[Other Structures (Infrastructure Assets) - Roads: Bridges] Vehicle:  Bridges - Steel</v>
          </cell>
        </row>
        <row r="83">
          <cell r="D83" t="str">
            <v>[Other Structures (Infrastructure Assets) - Roads: Bridges] Vehicle:  Bridges - Timber</v>
          </cell>
        </row>
        <row r="84">
          <cell r="D84" t="str">
            <v>Group - N/a</v>
          </cell>
        </row>
        <row r="85">
          <cell r="D85" t="str">
            <v>[Other Structures (Infrastructure Assets) - Roads: Bridges] Pedestrian:  Bridges - Concrete</v>
          </cell>
        </row>
        <row r="86">
          <cell r="D86" t="str">
            <v>[Other Structures (Infrastructure Assets) - Roads: Bridges] Pedestrian:  Bridges - Steel</v>
          </cell>
        </row>
        <row r="87">
          <cell r="D87" t="str">
            <v>[Other Structures (Infrastructure Assets) - Roads: Bridges] Pedestrian:  Bridges - Timber</v>
          </cell>
        </row>
        <row r="88">
          <cell r="D88" t="str">
            <v>Group - N/a</v>
          </cell>
        </row>
        <row r="89">
          <cell r="D89" t="str">
            <v>[Other Structures (Infrastructure Assets) - Roads: Bridges] Railway:  Bridges - Concrete</v>
          </cell>
        </row>
        <row r="90">
          <cell r="D90" t="str">
            <v>[Other Structures (Infrastructure Assets) - Roads: Bridges] Railway:  Bridges - Steel</v>
          </cell>
        </row>
        <row r="91">
          <cell r="D91" t="str">
            <v>[Other Structures (Infrastructure Assets) - Roads: Bridges] Railway:  Bridges - Timber</v>
          </cell>
        </row>
        <row r="92">
          <cell r="D92" t="str">
            <v>Group - N/a</v>
          </cell>
        </row>
        <row r="93">
          <cell r="D93" t="str">
            <v>[Other Structures (Infrastructure Assets) - Roads: Bridges] Reinforced retaining walls:  Earth</v>
          </cell>
        </row>
        <row r="94">
          <cell r="D94" t="str">
            <v>[Other Structures (Infrastructure Assets) - Roads: Bridges] Reinforced retaining walls:  Concrete</v>
          </cell>
        </row>
        <row r="95">
          <cell r="D95" t="str">
            <v>[Other Structures (Infrastructure Assets) - Roads: Bridges] Expansion and construction joints</v>
          </cell>
        </row>
        <row r="96">
          <cell r="D96" t="str">
            <v>Group - N/a</v>
          </cell>
        </row>
        <row r="97">
          <cell r="D97" t="str">
            <v>Group - N/a</v>
          </cell>
        </row>
        <row r="98">
          <cell r="D98" t="str">
            <v>[Other Structures (Infrastructure Assets) - Storm Water] Culverts:  Concrete</v>
          </cell>
        </row>
        <row r="99">
          <cell r="D99" t="str">
            <v>[Other Structures (Infrastructure Assets) - Storm Water] Culverts:  Armco</v>
          </cell>
        </row>
        <row r="100">
          <cell r="D100" t="str">
            <v>Group - N/a</v>
          </cell>
        </row>
        <row r="101">
          <cell r="D101" t="str">
            <v>[Other Structures (Infrastructure Assets) - Storm Water] Drains:  Earthworks</v>
          </cell>
        </row>
        <row r="102">
          <cell r="D102" t="str">
            <v>[Other Structures (Infrastructure Assets) - Storm Water] Drains:  Concrete lining</v>
          </cell>
        </row>
        <row r="103">
          <cell r="D103" t="str">
            <v xml:space="preserve">[Other Structures (Infrastructure Assets) - Storm Water] Stop banks </v>
          </cell>
        </row>
        <row r="104">
          <cell r="D104" t="str">
            <v xml:space="preserve">[Other Structures (Infrastructure Assets) - Storm Water] Pipes </v>
          </cell>
        </row>
        <row r="105">
          <cell r="D105" t="str">
            <v>Group - N/a</v>
          </cell>
        </row>
        <row r="106">
          <cell r="D106" t="str">
            <v>[Other Structures (Infrastructure Assets) - Storm Water] Coastal:  Structure (Retaining walls)</v>
          </cell>
        </row>
        <row r="107">
          <cell r="D107" t="str">
            <v>[Other Structures (Infrastructure Assets) - Storm Water] Coastal:  Piers</v>
          </cell>
        </row>
        <row r="108">
          <cell r="D108" t="str">
            <v>[Other Structures (Infrastructure Assets) - Storm Water] Coastal:  Storm water outfalls</v>
          </cell>
        </row>
        <row r="109">
          <cell r="D109" t="str">
            <v>Group - N/a</v>
          </cell>
        </row>
        <row r="110">
          <cell r="D110" t="str">
            <v xml:space="preserve">[Other Structures (Infrastructure Assets) - Roads] Kerb and channels </v>
          </cell>
        </row>
        <row r="111">
          <cell r="D111" t="str">
            <v>Group - N/a</v>
          </cell>
        </row>
        <row r="112">
          <cell r="D112" t="str">
            <v>[Other Structures (Infrastructure Assets) - Roads] Municipal roads :  Asphalt surface</v>
          </cell>
        </row>
        <row r="113">
          <cell r="D113" t="str">
            <v>[Other Structures (Infrastructure Assets) - Roads] Municipal roads :  Asphalt layer</v>
          </cell>
        </row>
        <row r="114">
          <cell r="D114" t="str">
            <v>[Other Structures (Infrastructure Assets) - Roads] Municipal roads :  Concrete surface</v>
          </cell>
        </row>
        <row r="115">
          <cell r="D115" t="str">
            <v>[Other Structures (Infrastructure Assets) - Roads] Municipal roads :  Concrete layer</v>
          </cell>
        </row>
        <row r="116">
          <cell r="D116" t="str">
            <v>[Other Structures (Infrastructure Assets) - Roads] Municipal roads :  Gravel surface</v>
          </cell>
        </row>
        <row r="117">
          <cell r="D117" t="str">
            <v>Group - N/a</v>
          </cell>
        </row>
        <row r="118">
          <cell r="D118" t="str">
            <v>[Other Structures (Infrastructure Assets) - Roads] National roads :  Asphalt surface</v>
          </cell>
        </row>
        <row r="119">
          <cell r="D119" t="str">
            <v>[Other Structures (Infrastructure Assets) - Roads] National roads :  Asphalt layer</v>
          </cell>
        </row>
        <row r="120">
          <cell r="D120" t="str">
            <v>[Other Structures (Infrastructure Assets) - Roads] National roads :  Concrete surface</v>
          </cell>
        </row>
        <row r="121">
          <cell r="D121" t="str">
            <v>[Other Structures (Infrastructure Assets) - Roads] National roads :  Concrete layer</v>
          </cell>
        </row>
        <row r="122">
          <cell r="D122" t="str">
            <v>[Other Structures (Infrastructure Assets) - Roads] National roads :  Gravel surface</v>
          </cell>
        </row>
        <row r="123">
          <cell r="D123" t="str">
            <v>Group - N/a</v>
          </cell>
        </row>
        <row r="124">
          <cell r="D124" t="str">
            <v>[Other Structures (Infrastructure Assets) - Roads] Provincial roads :  Asphalt surface</v>
          </cell>
        </row>
        <row r="125">
          <cell r="D125" t="str">
            <v>[Other Structures (Infrastructure Assets) - Roads] Provincial roads :  Asphalt layer</v>
          </cell>
        </row>
        <row r="126">
          <cell r="D126" t="str">
            <v>[Other Structures (Infrastructure Assets) - Roads] Provincial roads :  Concrete surface</v>
          </cell>
        </row>
        <row r="127">
          <cell r="D127" t="str">
            <v>[Other Structures (Infrastructure Assets) - Roads] Provincial roads :  Concrete layer</v>
          </cell>
        </row>
        <row r="128">
          <cell r="D128" t="str">
            <v>[Other Structures (Infrastructure Assets) - Roads] Provincial roads :  Gravel surface</v>
          </cell>
        </row>
        <row r="129">
          <cell r="D129" t="str">
            <v xml:space="preserve">[Other Structures (Infrastructure Assets) - Roads] Crash barriers </v>
          </cell>
        </row>
        <row r="130">
          <cell r="D130" t="str">
            <v xml:space="preserve">[Other Structures (Infrastructure Assets) - Roads] Retaining walls </v>
          </cell>
        </row>
        <row r="131">
          <cell r="D131" t="str">
            <v>Group - N/a</v>
          </cell>
        </row>
        <row r="132">
          <cell r="D132" t="str">
            <v>[Other Structures (Infrastructure Assets) - Roads] Overload control centres:  Electronic hardware</v>
          </cell>
        </row>
        <row r="133">
          <cell r="D133" t="str">
            <v>[Other Structures (Infrastructure Assets) - Roads] Overload control centres:  Other equipment</v>
          </cell>
        </row>
        <row r="134">
          <cell r="D134" t="str">
            <v xml:space="preserve">[Other Structures (Infrastructure Assets) - Roads] Pedestrian footpaths </v>
          </cell>
        </row>
        <row r="135">
          <cell r="D135" t="str">
            <v xml:space="preserve">[Other Structures (Infrastructure Assets) - Roads] Street lighting </v>
          </cell>
        </row>
        <row r="136">
          <cell r="D136" t="str">
            <v xml:space="preserve">[Other Structures (Infrastructure Assets) - Roads] Subways </v>
          </cell>
        </row>
        <row r="137">
          <cell r="D137" t="str">
            <v xml:space="preserve">[Other Structures (Infrastructure Assets) - Roads] Traffic islands </v>
          </cell>
        </row>
        <row r="138">
          <cell r="D138" t="str">
            <v>[Other Structures (Infrastructure Assets) - Roads] Traffic lights</v>
          </cell>
        </row>
        <row r="139">
          <cell r="D139" t="str">
            <v xml:space="preserve">[Other Structures (Infrastructure Assets) - Roads] Traffic lights – coastal </v>
          </cell>
        </row>
        <row r="140">
          <cell r="D140" t="str">
            <v xml:space="preserve">[Other Structures (Infrastructure Assets) - Roads] Traffic signs </v>
          </cell>
        </row>
        <row r="141">
          <cell r="D141" t="str">
            <v xml:space="preserve">[Other Structures (Infrastructure Assets) - Roads] Toll road plazas </v>
          </cell>
        </row>
        <row r="142">
          <cell r="D142" t="str">
            <v>Group - N/a</v>
          </cell>
        </row>
        <row r="143">
          <cell r="D143" t="str">
            <v xml:space="preserve">[Other Structures (Infrastructure Assets) - Airports] Airports and radio beacons </v>
          </cell>
        </row>
        <row r="144">
          <cell r="D144" t="str">
            <v xml:space="preserve">[Other Structures (Infrastructure Assets) - Airports] Aprons </v>
          </cell>
        </row>
        <row r="145">
          <cell r="D145" t="str">
            <v xml:space="preserve">[Other Structures (Infrastructure Assets) - Airports] Runways </v>
          </cell>
        </row>
        <row r="146">
          <cell r="D146" t="str">
            <v xml:space="preserve">[Other Structures (Infrastructure Assets) - Airports] Taxiways </v>
          </cell>
        </row>
        <row r="147">
          <cell r="D147" t="str">
            <v>Group - N/a</v>
          </cell>
        </row>
        <row r="148">
          <cell r="D148" t="str">
            <v>[Other Structures (Infrastructure Assets) - Airports] Specialised equipment:  Luggage movement equipment</v>
          </cell>
        </row>
        <row r="149">
          <cell r="D149" t="str">
            <v>[Other Structures (Infrastructure Assets) - Airports] Specialised equipment:  Communication equipment</v>
          </cell>
        </row>
        <row r="150">
          <cell r="D150" t="str">
            <v>Group - N/a</v>
          </cell>
        </row>
        <row r="151">
          <cell r="D151" t="str">
            <v>[Other Structures (Infrastructure Assets) - Water] Dams</v>
          </cell>
        </row>
        <row r="152">
          <cell r="D152" t="str">
            <v>Group - N/a</v>
          </cell>
        </row>
        <row r="153">
          <cell r="D153" t="str">
            <v>[Other Structures (Infrastructure Assets) - Water] Structure:  Concrete</v>
          </cell>
        </row>
        <row r="154">
          <cell r="D154" t="str">
            <v>[Other Structures (Infrastructure Assets) - Water] Structure:  Earth</v>
          </cell>
        </row>
        <row r="155">
          <cell r="D155" t="str">
            <v>[Other Structures (Infrastructure Assets) - Water] Mechanical and electrical</v>
          </cell>
        </row>
        <row r="156">
          <cell r="D156" t="str">
            <v xml:space="preserve">[Other Structures (Infrastructure Assets) - Water] Meters </v>
          </cell>
        </row>
        <row r="157">
          <cell r="D157" t="str">
            <v xml:space="preserve">[Other Structures (Infrastructure Assets) - Water] Standpipes </v>
          </cell>
        </row>
        <row r="158">
          <cell r="D158" t="str">
            <v>[Other Structures (Infrastructure Assets) - Water] Metalwork (steel stairs, ladders, handrails, weirs) 10 - 30</v>
          </cell>
        </row>
        <row r="159">
          <cell r="D159" t="str">
            <v>Group - N/a</v>
          </cell>
        </row>
        <row r="160">
          <cell r="D160" t="str">
            <v>[Other Structures (Infrastructure Assets) - Water] Pump stations:  Structure</v>
          </cell>
        </row>
        <row r="161">
          <cell r="D161" t="str">
            <v>[Other Structures (Infrastructure Assets) - Water] Pump stations:  Electrical</v>
          </cell>
        </row>
        <row r="162">
          <cell r="D162" t="str">
            <v>[Other Structures (Infrastructure Assets) - Water] Pump stations:  Mechanical</v>
          </cell>
        </row>
        <row r="163">
          <cell r="D163" t="str">
            <v>[Other Structures (Infrastructure Assets) - Water] Pump stations:  Perimeter protection</v>
          </cell>
        </row>
        <row r="164">
          <cell r="D164" t="str">
            <v>Group - N/a</v>
          </cell>
        </row>
        <row r="165">
          <cell r="D165" t="str">
            <v>[Other Structures (Infrastructure Assets) - Water] Reservoirs:  Structure</v>
          </cell>
        </row>
        <row r="166">
          <cell r="D166" t="str">
            <v>[Other Structures (Infrastructure Assets) - Water] Reservoirs:  Electrical</v>
          </cell>
        </row>
        <row r="167">
          <cell r="D167" t="str">
            <v>[Other Structures (Infrastructure Assets) - Water] Reservoirs:  Mechanical</v>
          </cell>
        </row>
        <row r="168">
          <cell r="D168" t="str">
            <v>[Other Structures (Infrastructure Assets) - Water] Reservoirs:  Perimeter protection</v>
          </cell>
        </row>
        <row r="169">
          <cell r="D169" t="str">
            <v xml:space="preserve">[Other Structures (Infrastructure Assets) - Water] Supply/reticulation </v>
          </cell>
        </row>
        <row r="170">
          <cell r="D170" t="str">
            <v>Group - N/a</v>
          </cell>
        </row>
        <row r="171">
          <cell r="D171" t="str">
            <v>[Other Structures (Infrastructure Assets) - Water] Underground chambers:  Valves</v>
          </cell>
        </row>
        <row r="172">
          <cell r="D172" t="str">
            <v>[Other Structures (Infrastructure Assets) - Water] Underground chambers:  Meters</v>
          </cell>
        </row>
        <row r="173">
          <cell r="D173" t="str">
            <v>[Other Structures (Infrastructure Assets) - Water] Underground chambers:  Transition</v>
          </cell>
        </row>
        <row r="174">
          <cell r="D174" t="str">
            <v>[Other Structures (Infrastructure Assets) - Water] Underground chambers:  Other</v>
          </cell>
        </row>
        <row r="175">
          <cell r="D175" t="str">
            <v>Group - N/a</v>
          </cell>
        </row>
        <row r="176">
          <cell r="D176" t="str">
            <v>[Other Structures (Infrastructure Assets) - Water] Water purification works:  Structure</v>
          </cell>
        </row>
        <row r="177">
          <cell r="D177" t="str">
            <v>[Other Structures (Infrastructure Assets) - Water] Water purification works:  Electrical</v>
          </cell>
        </row>
        <row r="178">
          <cell r="D178" t="str">
            <v>[Other Structures (Infrastructure Assets) - Water] Water purification works:  Mechanical</v>
          </cell>
        </row>
        <row r="179">
          <cell r="D179" t="str">
            <v xml:space="preserve">[Other Structures (Infrastructure Assets) - Water] Water purification works:  Perimeter protection </v>
          </cell>
        </row>
        <row r="180">
          <cell r="D180" t="str">
            <v>[Other Structures (Infrastructure Assets) - Water] Water purification works:  Meters</v>
          </cell>
        </row>
        <row r="181">
          <cell r="D181" t="str">
            <v>[Other Structures (Infrastructure Assets) - Water] Telemetry</v>
          </cell>
        </row>
        <row r="182">
          <cell r="D182" t="str">
            <v>Group - N/a</v>
          </cell>
        </row>
        <row r="183">
          <cell r="D183" t="str">
            <v>Group - N/a</v>
          </cell>
        </row>
        <row r="184">
          <cell r="D184" t="str">
            <v>[Other Structures (Infrastructure Assets) - Sewerage] Bulk pipelines (outfall sewers):  Rising mains</v>
          </cell>
        </row>
        <row r="185">
          <cell r="D185" t="str">
            <v>[Other Structures (Infrastructure Assets) - Sewerage] Bulk pipelines (outfall sewers):  Gravity mains</v>
          </cell>
        </row>
        <row r="186">
          <cell r="D186" t="str">
            <v>Group - N/a</v>
          </cell>
        </row>
        <row r="187">
          <cell r="D187" t="str">
            <v>[Other Structures (Infrastructure Assets) - Sewerage] Sewerage pump stations:  Structure</v>
          </cell>
        </row>
        <row r="188">
          <cell r="D188" t="str">
            <v>[Other Structures (Infrastructure Assets) - Sewerage] Sewerage pump stations:  Electrical</v>
          </cell>
        </row>
        <row r="189">
          <cell r="D189" t="str">
            <v>[Other Structures (Infrastructure Assets) - Sewerage] Sewerage pump stations:  Mechanical</v>
          </cell>
        </row>
        <row r="190">
          <cell r="D190" t="str">
            <v>[Other Structures (Infrastructure Assets) - Sewerage] Sewerage pump stations:  Perimeter protection</v>
          </cell>
        </row>
        <row r="191">
          <cell r="D191" t="str">
            <v>[Other Structures (Infrastructure Assets) - Sewerage] Sewerage pump stations:  Metalwork</v>
          </cell>
        </row>
        <row r="192">
          <cell r="D192" t="str">
            <v xml:space="preserve">[Other Structures (Infrastructure Assets) - Sewerage] Sewers/reticulation </v>
          </cell>
        </row>
        <row r="193">
          <cell r="D193" t="str">
            <v>Group - N/a</v>
          </cell>
        </row>
        <row r="194">
          <cell r="D194" t="str">
            <v>[Other Structures (Infrastructure Assets) - Sewerage] Waste purification works:  Structure</v>
          </cell>
        </row>
        <row r="195">
          <cell r="D195" t="str">
            <v>[Other Structures (Infrastructure Assets) - Sewerage] Waste purification works:  Electrical</v>
          </cell>
        </row>
        <row r="196">
          <cell r="D196" t="str">
            <v>[Other Structures (Infrastructure Assets) - Sewerage] Waste purification works:  Mechanical</v>
          </cell>
        </row>
        <row r="197">
          <cell r="D197" t="str">
            <v>[Other Structures (Infrastructure Assets) - Sewerage] Waste purification works:  Perimeter protection</v>
          </cell>
        </row>
        <row r="198">
          <cell r="D198" t="str">
            <v>[Other Structures (Infrastructure Assets) - Sewerage] Waste purification works:  Meters</v>
          </cell>
        </row>
        <row r="199">
          <cell r="D199" t="str">
            <v>Group - N/a</v>
          </cell>
        </row>
        <row r="200">
          <cell r="D200" t="str">
            <v>Group - N/a</v>
          </cell>
        </row>
        <row r="201">
          <cell r="D201" t="str">
            <v>[Other Structures (Infrastructure Assets) - Solid Waste Disposal] Collection:  Vehicles</v>
          </cell>
        </row>
        <row r="202">
          <cell r="D202" t="str">
            <v>[Other Structures (Infrastructure Assets) - Solid Waste Disposal] Collection:  Containers/Bins</v>
          </cell>
        </row>
        <row r="203">
          <cell r="D203" t="str">
            <v>Group - N/a</v>
          </cell>
        </row>
        <row r="204">
          <cell r="D204" t="str">
            <v>[Other Structures (Infrastructure Assets) - Solid Waste Disposal] Transfer stations and processing facilities:  Structure</v>
          </cell>
        </row>
        <row r="205">
          <cell r="D205" t="str">
            <v>[Other Structures (Infrastructure Assets) - Solid Waste Disposal] Transfer stations and processing facilities:  Electrical</v>
          </cell>
        </row>
        <row r="206">
          <cell r="D206" t="str">
            <v>[Other Structures (Infrastructure Assets) - Solid Waste Disposal] Transfer stations and processing facilities:  Mechanical</v>
          </cell>
        </row>
        <row r="207">
          <cell r="D207" t="str">
            <v>[Other Structures (Infrastructure Assets) - Solid Waste Disposal] Transfer stations and processing facilities:  Perimeter protection</v>
          </cell>
        </row>
        <row r="208">
          <cell r="D208" t="str">
            <v>Group - N/a</v>
          </cell>
        </row>
        <row r="209">
          <cell r="D209" t="str">
            <v>[Other Structures (Infrastructure Assets) - Solid Waste Disposal] Landfill site:  Earthmoving and compaction equipment</v>
          </cell>
        </row>
        <row r="210">
          <cell r="D210" t="str">
            <v>[Other Structures (Infrastructure Assets) - Solid Waste Disposal] Landfill site:  Landfill preparation</v>
          </cell>
        </row>
        <row r="211">
          <cell r="D211" t="str">
            <v>[Other Structures (Infrastructure Assets) - Solid Waste Disposal] Landfill site:  Structure</v>
          </cell>
        </row>
        <row r="212">
          <cell r="D212" t="str">
            <v>Group - N/a</v>
          </cell>
        </row>
        <row r="213">
          <cell r="D213" t="str">
            <v>[Other Structures (Infrastructure Assets) - Solid Waste Disposal] Landfill site:  Weighbridge - Mechanical</v>
          </cell>
        </row>
        <row r="214">
          <cell r="D214" t="str">
            <v>[Other Structures (Infrastructure Assets) - Solid Waste Disposal] Landfill site:  Weighbridge - Electrical</v>
          </cell>
        </row>
        <row r="215">
          <cell r="D215" t="str">
            <v>[Other Structures (Infrastructure Assets) - Solid Waste Disposal] Landfill site:  Perimeter protection</v>
          </cell>
        </row>
        <row r="216">
          <cell r="D216" t="str">
            <v>Group - N/a</v>
          </cell>
        </row>
        <row r="217">
          <cell r="D217" t="str">
            <v>[Other Structures (Infrastructure Assets) - Railways] Power supply units</v>
          </cell>
        </row>
        <row r="218">
          <cell r="D218" t="str">
            <v>[Other Structures (Infrastructure Assets) - Railways] Railway sidings</v>
          </cell>
        </row>
        <row r="219">
          <cell r="D219" t="str">
            <v>[Other Structures (Infrastructure Assets) - Railways] Railway tracks</v>
          </cell>
        </row>
        <row r="220">
          <cell r="D220" t="str">
            <v>[Other Structures (Infrastructure Assets) - Railways] Signalling systems</v>
          </cell>
        </row>
        <row r="221">
          <cell r="D221" t="str">
            <v>[Other Structures (Infrastructure Assets) - Railways] Shunting yards</v>
          </cell>
        </row>
        <row r="222">
          <cell r="D222" t="str">
            <v>Group - N/a</v>
          </cell>
        </row>
        <row r="223">
          <cell r="D223" t="str">
            <v xml:space="preserve">[Other Structures (Infrastructure Assets) - Gas Supply Systems] Structure </v>
          </cell>
        </row>
        <row r="224">
          <cell r="D224" t="str">
            <v xml:space="preserve">[Other Structures (Infrastructure Assets) - Gas Supply Systems] Electrical </v>
          </cell>
        </row>
        <row r="225">
          <cell r="D225" t="str">
            <v xml:space="preserve">[Other Structures (Infrastructure Assets) - Gas Supply Systems] Mechanical </v>
          </cell>
        </row>
        <row r="226">
          <cell r="D226" t="str">
            <v xml:space="preserve">[Other Structures (Infrastructure Assets) - Gas Supply Systems] Perimeter protection </v>
          </cell>
        </row>
        <row r="227">
          <cell r="D227" t="str">
            <v>Group - N/a</v>
          </cell>
        </row>
        <row r="228">
          <cell r="D228" t="str">
            <v>[Other Structures (Infrastructure Assets) - Gas Supply Systems] Stations:  Trunk receiving</v>
          </cell>
        </row>
        <row r="229">
          <cell r="D229" t="str">
            <v>[Other Structures (Infrastructure Assets) - Gas Supply Systems] Stations:  District regulating</v>
          </cell>
        </row>
        <row r="230">
          <cell r="D230" t="str">
            <v xml:space="preserve">[Other Structures (Infrastructure Assets) - Gas Supply Systems] Mains/pipelines </v>
          </cell>
        </row>
        <row r="231">
          <cell r="D231" t="str">
            <v xml:space="preserve">[Other Structures (Infrastructure Assets) - Gas Supply Systems] Meters </v>
          </cell>
        </row>
        <row r="232">
          <cell r="D232" t="str">
            <v xml:space="preserve">[Other Structures (Infrastructure Assets) - Gas Supply Systems] Storage facilities </v>
          </cell>
        </row>
        <row r="233">
          <cell r="D233" t="str">
            <v xml:space="preserve">[Other Structures (Infrastructure Assets) - Gas Supply Systems] Supply/reticulation </v>
          </cell>
        </row>
        <row r="234">
          <cell r="D234" t="str">
            <v>[Other Structures (Infrastructure Assets) - Cemeteries] Cemetries</v>
          </cell>
        </row>
        <row r="235">
          <cell r="D235" t="str">
            <v>Group - N/a</v>
          </cell>
        </row>
        <row r="236">
          <cell r="D236" t="str">
            <v>[Capital/Infrastructure Work in Progress]Buildings</v>
          </cell>
        </row>
        <row r="237">
          <cell r="D237" t="str">
            <v>[Capital/Infrastructure Work in Progress]Infrastructure</v>
          </cell>
        </row>
        <row r="238">
          <cell r="D238" t="str">
            <v>[Capital/Infrastructure Work in Progress]Other</v>
          </cell>
        </row>
        <row r="239">
          <cell r="D239" t="str">
            <v>Group - N/a</v>
          </cell>
        </row>
        <row r="240">
          <cell r="D240" t="str">
            <v xml:space="preserve">[Other Machinery and Equipment]Audiovisual equipment </v>
          </cell>
        </row>
        <row r="241">
          <cell r="D241" t="str">
            <v xml:space="preserve">[Other Machinery and Equipment]Building air conditioning systems </v>
          </cell>
        </row>
        <row r="242">
          <cell r="D242" t="str">
            <v xml:space="preserve">[Other Machinery and Equipment]Cellular phones (over R5 000) </v>
          </cell>
        </row>
        <row r="243">
          <cell r="D243" t="str">
            <v xml:space="preserve">[Other Machinery and Equipment]Cellular routers </v>
          </cell>
        </row>
        <row r="244">
          <cell r="D244" t="str">
            <v xml:space="preserve">[Other Machinery and Equipment]Domestic equipment (non kitchen appliances) </v>
          </cell>
        </row>
        <row r="245">
          <cell r="D245" t="str">
            <v>[Other Machinery and Equipment]Electric wire and power distribution equipment (compressors, generators &amp; allied equipment)</v>
          </cell>
        </row>
        <row r="246">
          <cell r="D246" t="str">
            <v xml:space="preserve">[Other Machinery and Equipment]Emergency/rescue equipment </v>
          </cell>
        </row>
        <row r="247">
          <cell r="D247" t="str">
            <v xml:space="preserve">[Other Machinery and Equipment]Elevator systems </v>
          </cell>
        </row>
        <row r="248">
          <cell r="D248" t="str">
            <v xml:space="preserve">[Other Machinery and Equipment]Farm/Agricultural equipment </v>
          </cell>
        </row>
        <row r="249">
          <cell r="D249" t="str">
            <v xml:space="preserve">[Other Machinery and Equipment]Fire Fighting equipment </v>
          </cell>
        </row>
        <row r="250">
          <cell r="D250" t="str">
            <v xml:space="preserve">[Other Machinery and Equipment]Gardening equipment </v>
          </cell>
        </row>
        <row r="251">
          <cell r="D251" t="str">
            <v xml:space="preserve">[Other Machinery and Equipment]Irrigation equipment </v>
          </cell>
        </row>
        <row r="252">
          <cell r="D252" t="str">
            <v xml:space="preserve">[Other Machinery and Equipment]Kitchen appliances </v>
          </cell>
        </row>
        <row r="253">
          <cell r="D253" t="str">
            <v>Group - N/a</v>
          </cell>
        </row>
        <row r="254">
          <cell r="D254" t="str">
            <v>[Other Machinery and Equipment]Laboratory equipment:  Agricultural</v>
          </cell>
        </row>
        <row r="255">
          <cell r="D255" t="str">
            <v>[Other Machinery and Equipment]Laboratory equipment:  Medical testing</v>
          </cell>
        </row>
        <row r="256">
          <cell r="D256" t="str">
            <v>[Other Machinery and Equipment]Laboratory equipment:  Roads and transport</v>
          </cell>
        </row>
        <row r="257">
          <cell r="D257" t="str">
            <v xml:space="preserve">[Other Machinery and Equipment]Laundry equipment and industrial sewing machines </v>
          </cell>
        </row>
        <row r="258">
          <cell r="D258" t="str">
            <v>[Other Machinery and Equipment]Learning, training support and library material (curriculum equipment)</v>
          </cell>
        </row>
        <row r="259">
          <cell r="D259" t="str">
            <v xml:space="preserve">[Other Machinery and Equipment]Machines for metallurgy </v>
          </cell>
        </row>
        <row r="260">
          <cell r="D260" t="str">
            <v xml:space="preserve">[Other Machinery and Equipment]Machines for mining and quarrying </v>
          </cell>
        </row>
        <row r="261">
          <cell r="D261" t="str">
            <v xml:space="preserve">[Other Machinery and Equipment]Machines for textile production </v>
          </cell>
        </row>
        <row r="262">
          <cell r="D262" t="str">
            <v xml:space="preserve">[Other Machinery and Equipment]Medical and allied equipment </v>
          </cell>
        </row>
        <row r="263">
          <cell r="D263" t="str">
            <v>[Other Machinery and Equipment]Music instruments</v>
          </cell>
        </row>
        <row r="264">
          <cell r="D264" t="str">
            <v xml:space="preserve">[Other Machinery and Equipment]Photographic equipment </v>
          </cell>
        </row>
        <row r="265">
          <cell r="D265" t="str">
            <v xml:space="preserve">[Other Machinery and Equipment]Pumps, plumbing, purification and sanitation equipment </v>
          </cell>
        </row>
        <row r="266">
          <cell r="D266" t="str">
            <v xml:space="preserve">[Other Machinery and Equipment]Radio equipment </v>
          </cell>
        </row>
        <row r="267">
          <cell r="D267" t="str">
            <v xml:space="preserve">[Other Machinery and Equipment]Road construction and maintenance equipment </v>
          </cell>
        </row>
        <row r="268">
          <cell r="D268" t="str">
            <v xml:space="preserve">[Other Machinery and Equipment]Saddles and other tack </v>
          </cell>
        </row>
        <row r="269">
          <cell r="D269" t="str">
            <v>Group - N/a</v>
          </cell>
        </row>
        <row r="270">
          <cell r="D270" t="str">
            <v>[Other Machinery and Equipment]Security equipment/systems/ materials:  Fixed</v>
          </cell>
        </row>
        <row r="271">
          <cell r="D271" t="str">
            <v>[Other Machinery and Equipment]Security equipment/systems/ materials:  Movable</v>
          </cell>
        </row>
        <row r="272">
          <cell r="D272" t="str">
            <v xml:space="preserve">[Other Machinery and Equipment]Ship and marine equipment </v>
          </cell>
        </row>
        <row r="273">
          <cell r="D273" t="str">
            <v xml:space="preserve">[Other Machinery and Equipment]Sport and recreational equipment </v>
          </cell>
        </row>
        <row r="274">
          <cell r="D274" t="str">
            <v xml:space="preserve">[Other Machinery and Equipment]Survey equipment </v>
          </cell>
        </row>
        <row r="275">
          <cell r="D275" t="str">
            <v xml:space="preserve">[Other Machinery and Equipment]Telecommunication equipment </v>
          </cell>
        </row>
        <row r="276">
          <cell r="D276" t="str">
            <v xml:space="preserve">[Other Machinery and Equipment]Tents, flags and accessories </v>
          </cell>
        </row>
        <row r="277">
          <cell r="D277" t="str">
            <v xml:space="preserve">[Other Machinery and Equipment]Woodworking machinery and equipment </v>
          </cell>
        </row>
        <row r="278">
          <cell r="D278" t="str">
            <v>Group - N/a</v>
          </cell>
        </row>
        <row r="279">
          <cell r="D279" t="str">
            <v xml:space="preserve">[Other Machinery and Equipment]Workshop equipment and loose tools - Fixed </v>
          </cell>
        </row>
        <row r="280">
          <cell r="D280" t="str">
            <v>[Other Machinery and Equipment]Workshop equipment and loose tools - Movable</v>
          </cell>
        </row>
        <row r="281">
          <cell r="D281" t="str">
            <v>Group - N/a</v>
          </cell>
        </row>
        <row r="282">
          <cell r="D282" t="str">
            <v xml:space="preserve">[Furniture and Office Equipment]Advertising boards </v>
          </cell>
        </row>
        <row r="283">
          <cell r="D283" t="str">
            <v xml:space="preserve">[Furniture and Office Equipment]Air conditioners (individual fixed &amp; portable) </v>
          </cell>
        </row>
        <row r="284">
          <cell r="D284" t="str">
            <v xml:space="preserve">[Furniture and Office Equipment]Cutlery and crockery </v>
          </cell>
        </row>
        <row r="285">
          <cell r="D285" t="str">
            <v xml:space="preserve">[Furniture and Office Equipment]Domestic and hostel furniture </v>
          </cell>
        </row>
        <row r="286">
          <cell r="D286" t="str">
            <v xml:space="preserve">[Furniture and Office Equipment]Linen and soft furnishings </v>
          </cell>
        </row>
        <row r="287">
          <cell r="D287" t="str">
            <v xml:space="preserve">[Furniture and Office Equipment]Office equipment (including fax machines) </v>
          </cell>
        </row>
        <row r="288">
          <cell r="D288" t="str">
            <v xml:space="preserve">[Furniture and Office Equipment]Office furniture </v>
          </cell>
        </row>
        <row r="289">
          <cell r="D289" t="str">
            <v>[Furniture and Office Equipment]Paintings, sculptures, ornaments (home and office)</v>
          </cell>
        </row>
        <row r="290">
          <cell r="D290" t="str">
            <v>Group - N/a</v>
          </cell>
        </row>
        <row r="291">
          <cell r="D291" t="str">
            <v xml:space="preserve">[Computer Equipment]Computer hardware including operating systems </v>
          </cell>
        </row>
        <row r="292">
          <cell r="D292" t="str">
            <v xml:space="preserve">[Computer Equipment]Networks </v>
          </cell>
        </row>
        <row r="293">
          <cell r="D293" t="str">
            <v>Group - N/a</v>
          </cell>
        </row>
        <row r="294">
          <cell r="D294" t="str">
            <v xml:space="preserve">[Transport Assets]Aircraft </v>
          </cell>
        </row>
        <row r="295">
          <cell r="D295" t="str">
            <v xml:space="preserve">[Transport Assets]Aircraft engines </v>
          </cell>
        </row>
        <row r="296">
          <cell r="D296" t="str">
            <v>[Transport Assets]Airport transport equipment (stairs and luggage)</v>
          </cell>
        </row>
        <row r="297">
          <cell r="D297" t="str">
            <v xml:space="preserve">[Transport Assets]Busses </v>
          </cell>
        </row>
        <row r="298">
          <cell r="D298" t="str">
            <v xml:space="preserve">[Transport Assets]Cycles </v>
          </cell>
        </row>
        <row r="299">
          <cell r="D299" t="str">
            <v xml:space="preserve">[Transport Assets]Emergency vehicles (Ambulances and fire engines) </v>
          </cell>
        </row>
        <row r="300">
          <cell r="D300" t="str">
            <v xml:space="preserve">[Transport Assets]Mobile clinics </v>
          </cell>
        </row>
        <row r="301">
          <cell r="D301" t="str">
            <v xml:space="preserve">[Transport Assets]Motor vehicles </v>
          </cell>
        </row>
        <row r="302">
          <cell r="D302" t="str">
            <v xml:space="preserve">[Transport Assets]Railway rolling stock </v>
          </cell>
        </row>
        <row r="303">
          <cell r="D303" t="str">
            <v xml:space="preserve">[Transport Assets]Ships </v>
          </cell>
        </row>
        <row r="304">
          <cell r="D304" t="str">
            <v xml:space="preserve">[Transport Assets]Ships engines </v>
          </cell>
        </row>
        <row r="305">
          <cell r="D305" t="str">
            <v xml:space="preserve">[Transport Assets]Trailers and accessories </v>
          </cell>
        </row>
        <row r="306">
          <cell r="D306" t="str">
            <v xml:space="preserve">[Transport Assets]Trucks </v>
          </cell>
        </row>
        <row r="307">
          <cell r="D307" t="str">
            <v>Group - N/a</v>
          </cell>
        </row>
        <row r="308">
          <cell r="D308" t="str">
            <v>[Heritage Assets] Archives</v>
          </cell>
        </row>
        <row r="309">
          <cell r="D309" t="str">
            <v>[Heritage Assets] Areas of land of historic or specific significance (i.e. World heritage site)</v>
          </cell>
        </row>
        <row r="310">
          <cell r="D310" t="str">
            <v>[Heritage Assets] Culturally significant buildings (parliamentary buildings)</v>
          </cell>
        </row>
        <row r="311">
          <cell r="D311" t="str">
            <v>[Heritage Assets] National monuments</v>
          </cell>
        </row>
        <row r="312">
          <cell r="D312" t="str">
            <v>[Heritage Assets] National parks/reserves (i.e. Kruger Park)</v>
          </cell>
        </row>
        <row r="313">
          <cell r="D313" t="str">
            <v>[Heritage Assets] Paintings</v>
          </cell>
        </row>
        <row r="314">
          <cell r="D314" t="str">
            <v>[Heritage Assets] Sculptures</v>
          </cell>
        </row>
        <row r="315">
          <cell r="D315" t="str">
            <v>[Heritage Assets] Municipal jewellery</v>
          </cell>
        </row>
        <row r="316">
          <cell r="D316" t="str">
            <v xml:space="preserve">[Heritage Assets] Works of art </v>
          </cell>
        </row>
        <row r="317">
          <cell r="D317" t="str">
            <v xml:space="preserve">[Heritage Assets] Other antiques and collections </v>
          </cell>
        </row>
        <row r="318">
          <cell r="D318" t="str">
            <v>Group - N/a</v>
          </cell>
        </row>
        <row r="319">
          <cell r="D319" t="str">
            <v xml:space="preserve">[Biological or Cultivated Assets]Dairy cattle </v>
          </cell>
        </row>
        <row r="320">
          <cell r="D320" t="str">
            <v xml:space="preserve">[Biological or Cultivated Assets]Feathered animals (for eggs and feathers) </v>
          </cell>
        </row>
        <row r="321">
          <cell r="D321" t="str">
            <v xml:space="preserve">[Biological or Cultivated Assets]Forests and plantations </v>
          </cell>
        </row>
        <row r="322">
          <cell r="D322" t="str">
            <v xml:space="preserve">[Biological or Cultivated Assets]Fruit trees </v>
          </cell>
        </row>
        <row r="323">
          <cell r="D323" t="str">
            <v xml:space="preserve">[Biological or Cultivated Assets]Game animals </v>
          </cell>
        </row>
        <row r="324">
          <cell r="D324" t="str">
            <v xml:space="preserve">[Biological or Cultivated Assets]Animals for reproduction (cattle, goats, sheep, pigs) </v>
          </cell>
        </row>
        <row r="325">
          <cell r="D325" t="str">
            <v xml:space="preserve">[Biological or Cultivated Assets]Animals for wool or milk (goats and sheep) </v>
          </cell>
        </row>
        <row r="326">
          <cell r="D326" t="str">
            <v xml:space="preserve">[Biological or Cultivated Assets]Dogs (law enforcement and security) </v>
          </cell>
        </row>
        <row r="327">
          <cell r="D327" t="str">
            <v xml:space="preserve">[Biological or Cultivated Assets]Horses (law enforcement and working) </v>
          </cell>
        </row>
        <row r="328">
          <cell r="D328" t="str">
            <v xml:space="preserve">[Biological or Cultivated Assets]Plants (for production of seeds) </v>
          </cell>
        </row>
        <row r="329">
          <cell r="D329" t="str">
            <v xml:space="preserve">[Biological or Cultivated Assets]Vines </v>
          </cell>
        </row>
        <row r="330">
          <cell r="D330" t="str">
            <v>[Biological or Cultivated Assets]Other animals</v>
          </cell>
        </row>
        <row r="331">
          <cell r="D331" t="str">
            <v>[Investment Property]Investment Property</v>
          </cell>
        </row>
        <row r="332">
          <cell r="D332" t="str">
            <v>Group - N/a</v>
          </cell>
        </row>
        <row r="333">
          <cell r="D333" t="str">
            <v xml:space="preserve">[Intangible Assets]Capitalised development costs </v>
          </cell>
        </row>
        <row r="334">
          <cell r="D334" t="str">
            <v xml:space="preserve">[Intangible Assets]Computer software </v>
          </cell>
        </row>
        <row r="335">
          <cell r="D335" t="str">
            <v xml:space="preserve">[Intangible Assets]Mastheads and publishing titles </v>
          </cell>
        </row>
        <row r="336">
          <cell r="D336" t="str">
            <v xml:space="preserve">[Intangible Assets]Patents, licences, copyrights, brand names and trademarks </v>
          </cell>
        </row>
        <row r="337">
          <cell r="D337" t="str">
            <v xml:space="preserve">[Intangible Assets]Recipes, formulae, prototypes, designs and models </v>
          </cell>
        </row>
        <row r="338">
          <cell r="D338" t="str">
            <v xml:space="preserve">[Intangible Assets]Service and operating rights </v>
          </cell>
        </row>
        <row r="339">
          <cell r="D339" t="str">
            <v>[Intangible Assets]Other intangibles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 (PROPOSED)"/>
      <sheetName val="Item"/>
      <sheetName val="5.Net Assets"/>
      <sheetName val="6.Project"/>
      <sheetName val="7.Regional Identifier"/>
      <sheetName val="Sheet1"/>
      <sheetName val="COMMENT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 &amp;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5"/>
      <sheetName val="SA36"/>
      <sheetName val="SA37"/>
      <sheetName val="NERF"/>
      <sheetName val="MSCOA"/>
      <sheetName val="Compliance assessment"/>
      <sheetName val="Sheet1"/>
    </sheetNames>
    <sheetDataSet>
      <sheetData sheetId="0"/>
      <sheetData sheetId="1"/>
      <sheetData sheetId="2">
        <row r="2">
          <cell r="B2" t="str">
            <v>2009/10</v>
          </cell>
        </row>
        <row r="3">
          <cell r="B3" t="str">
            <v>2008/9</v>
          </cell>
        </row>
        <row r="4">
          <cell r="B4" t="str">
            <v>2007/8</v>
          </cell>
        </row>
        <row r="5">
          <cell r="B5" t="str">
            <v>Current Year 2010/11</v>
          </cell>
        </row>
        <row r="7">
          <cell r="B7" t="str">
            <v>2011/12 Medium Term Revenue &amp; Expenditure Framework</v>
          </cell>
        </row>
        <row r="9">
          <cell r="B9" t="str">
            <v>Audited Outcome</v>
          </cell>
        </row>
        <row r="12">
          <cell r="B12" t="e">
            <v>#N/A</v>
          </cell>
        </row>
        <row r="13">
          <cell r="B13" t="str">
            <v>Adjusted Budget</v>
          </cell>
        </row>
        <row r="14">
          <cell r="B14" t="str">
            <v>Full Year Forecast</v>
          </cell>
        </row>
        <row r="15">
          <cell r="B15" t="str">
            <v>Budget Year 2011/12</v>
          </cell>
        </row>
        <row r="16">
          <cell r="B16" t="str">
            <v>Budget Year +1 2012/13</v>
          </cell>
        </row>
        <row r="17">
          <cell r="B17" t="str">
            <v>Budget Year +2 2013/14</v>
          </cell>
        </row>
        <row r="30">
          <cell r="B30" t="str">
            <v>Description</v>
          </cell>
        </row>
        <row r="33">
          <cell r="B33" t="str">
            <v>Ref</v>
          </cell>
        </row>
        <row r="34">
          <cell r="B34" t="str">
            <v>References</v>
          </cell>
        </row>
        <row r="93">
          <cell r="B93" t="str">
            <v>FS172 Mangaung</v>
          </cell>
        </row>
        <row r="146">
          <cell r="B146" t="str">
            <v>Supporting Table SA34c Consolidated repairs and maintenance by asset class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 &amp;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5"/>
      <sheetName val="SA36"/>
      <sheetName val="SA37"/>
      <sheetName val="NERF"/>
      <sheetName val="MSCOA"/>
      <sheetName val="Compliance assessment"/>
    </sheetNames>
    <sheetDataSet>
      <sheetData sheetId="0"/>
      <sheetData sheetId="1"/>
      <sheetData sheetId="2">
        <row r="18">
          <cell r="B18" t="str">
            <v>Forecast 2013/14</v>
          </cell>
        </row>
        <row r="19">
          <cell r="B19" t="str">
            <v>Forecast 2014/15</v>
          </cell>
        </row>
        <row r="20">
          <cell r="B20" t="str">
            <v>Forecast 2015/16</v>
          </cell>
        </row>
        <row r="55">
          <cell r="B55" t="str">
            <v>Present value</v>
          </cell>
        </row>
        <row r="147">
          <cell r="B147" t="str">
            <v>Supporting Table SA35 Consolidated future financial implications of the capital budget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illy Monyaki" id="{5FEB2B4D-CDA7-4F97-BB73-E4510F290BD5}" userId="S::billy.monyaki@centlec.co.za::fbac1d6f-8aa7-4c0d-87fd-75a77bd34dae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REVIEWM520" connectionId="3" xr16:uid="{9C306D6B-FAE4-4037-9BDE-EC66DA2303ED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REVIEWM520" connectionId="2" xr16:uid="{B0FEF81B-2DCA-4429-B79A-4FB2823119D3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REVIEWM520" connectionId="1" xr16:uid="{7106E9A1-B68F-4ABE-8F78-B1EC12074FF2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171" dT="2023-02-24T07:54:48.73" personId="{5FEB2B4D-CDA7-4F97-BB73-E4510F290BD5}" id="{4B4F8E6A-1981-4B31-8594-8122C854A83C}">
    <text>Need to be removed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7BA4A-FE0E-4889-99EA-A3E1B661689D}">
  <sheetPr>
    <tabColor rgb="FFFFC000"/>
    <pageSetUpPr fitToPage="1"/>
  </sheetPr>
  <dimension ref="B1:AG377"/>
  <sheetViews>
    <sheetView view="pageBreakPreview" topLeftCell="E1" zoomScale="115" zoomScaleNormal="110" zoomScaleSheetLayoutView="115" workbookViewId="0">
      <pane ySplit="7" topLeftCell="A8" activePane="bottomLeft" state="frozen"/>
      <selection activeCell="C1" sqref="C1"/>
      <selection pane="bottomLeft" activeCell="G241" sqref="G241"/>
    </sheetView>
  </sheetViews>
  <sheetFormatPr defaultColWidth="9.109375" defaultRowHeight="11.4" outlineLevelRow="3" x14ac:dyDescent="0.2"/>
  <cols>
    <col min="1" max="1" width="6.5546875" style="1" customWidth="1"/>
    <col min="2" max="2" width="43.33203125" style="1" hidden="1" customWidth="1"/>
    <col min="3" max="3" width="13.33203125" style="1" hidden="1" customWidth="1"/>
    <col min="4" max="4" width="56.44140625" style="4" customWidth="1"/>
    <col min="5" max="5" width="16.109375" style="143" customWidth="1"/>
    <col min="6" max="6" width="18.6640625" style="144" bestFit="1" customWidth="1"/>
    <col min="7" max="7" width="15.44140625" style="144" bestFit="1" customWidth="1"/>
    <col min="8" max="9" width="15.44140625" style="143" bestFit="1" customWidth="1"/>
    <col min="10" max="10" width="4.44140625" style="1" customWidth="1"/>
    <col min="11" max="11" width="14.5546875" style="1" customWidth="1"/>
    <col min="12" max="12" width="16" style="1" customWidth="1"/>
    <col min="13" max="13" width="11" style="1" customWidth="1"/>
    <col min="14" max="14" width="16" style="20" bestFit="1" customWidth="1"/>
    <col min="15" max="15" width="9.109375" style="20" customWidth="1"/>
    <col min="16" max="17" width="16" style="20" bestFit="1" customWidth="1"/>
    <col min="18" max="27" width="9.109375" style="20" customWidth="1"/>
    <col min="28" max="28" width="9.6640625" style="20" bestFit="1" customWidth="1"/>
    <col min="29" max="33" width="9.109375" style="20"/>
    <col min="34" max="16384" width="9.109375" style="1"/>
  </cols>
  <sheetData>
    <row r="1" spans="2:12" ht="12" customHeight="1" x14ac:dyDescent="0.2">
      <c r="B1" s="208" t="s">
        <v>0</v>
      </c>
      <c r="D1" s="208" t="s">
        <v>0</v>
      </c>
      <c r="E1" s="2"/>
      <c r="F1" s="2"/>
      <c r="G1" s="2"/>
      <c r="H1" s="2"/>
      <c r="I1" s="2"/>
    </row>
    <row r="2" spans="2:12" ht="12" customHeight="1" x14ac:dyDescent="0.2">
      <c r="B2" s="208"/>
      <c r="D2" s="208"/>
      <c r="E2" s="2"/>
      <c r="F2" s="2"/>
      <c r="G2" s="2"/>
      <c r="H2" s="2"/>
      <c r="I2" s="2"/>
    </row>
    <row r="3" spans="2:12" ht="12" customHeight="1" x14ac:dyDescent="0.2">
      <c r="B3" s="208"/>
      <c r="D3" s="208"/>
      <c r="E3" s="2"/>
      <c r="F3" s="2"/>
      <c r="G3" s="2"/>
      <c r="H3" s="2"/>
      <c r="I3" s="2"/>
    </row>
    <row r="4" spans="2:12" ht="21" x14ac:dyDescent="0.4">
      <c r="B4" s="3" t="s">
        <v>1</v>
      </c>
      <c r="D4" s="3" t="s">
        <v>2154</v>
      </c>
      <c r="E4" s="2"/>
      <c r="F4" s="2"/>
      <c r="G4" s="2"/>
      <c r="H4" s="2"/>
      <c r="I4" s="2"/>
    </row>
    <row r="5" spans="2:12" x14ac:dyDescent="0.2">
      <c r="B5" s="4"/>
      <c r="E5" s="2"/>
      <c r="F5" s="2"/>
      <c r="G5" s="2"/>
      <c r="H5" s="2"/>
      <c r="I5" s="2"/>
    </row>
    <row r="6" spans="2:12" ht="21" customHeight="1" x14ac:dyDescent="0.2">
      <c r="D6" s="206" t="s">
        <v>2</v>
      </c>
      <c r="E6" s="206"/>
      <c r="F6" s="206"/>
      <c r="G6" s="207"/>
      <c r="H6" s="207"/>
      <c r="I6" s="207"/>
    </row>
    <row r="7" spans="2:12" ht="36" x14ac:dyDescent="0.3">
      <c r="B7" s="5"/>
      <c r="C7" s="6"/>
      <c r="D7" s="7" t="s">
        <v>3</v>
      </c>
      <c r="E7" s="7" t="s">
        <v>2155</v>
      </c>
      <c r="F7" s="7" t="s">
        <v>3487</v>
      </c>
      <c r="G7" s="7" t="s">
        <v>5</v>
      </c>
      <c r="H7" s="7" t="s">
        <v>6</v>
      </c>
      <c r="I7" s="7" t="s">
        <v>1984</v>
      </c>
    </row>
    <row r="8" spans="2:12" ht="14.4" x14ac:dyDescent="0.3">
      <c r="B8" s="8" t="s">
        <v>7</v>
      </c>
      <c r="C8" s="9"/>
      <c r="D8" s="10" t="s">
        <v>7</v>
      </c>
      <c r="E8" s="11">
        <f>SUM(E9+E13,E51,E69)</f>
        <v>428694699</v>
      </c>
      <c r="F8" s="11">
        <f>SUM(F9+F13,F51,F69)</f>
        <v>428694699</v>
      </c>
      <c r="G8" s="11">
        <f t="shared" ref="G8:I8" ca="1" si="0">SUM(G9+G13,G51,G69)</f>
        <v>451415518.047001</v>
      </c>
      <c r="H8" s="11">
        <f ca="1">SUM(H9+H13,H51,H69)</f>
        <v>473534878.4313041</v>
      </c>
      <c r="I8" s="11">
        <f t="shared" ca="1" si="0"/>
        <v>496244017.71757537</v>
      </c>
      <c r="K8" s="12"/>
      <c r="L8" s="12"/>
    </row>
    <row r="9" spans="2:12" ht="14.4" hidden="1" outlineLevel="1" x14ac:dyDescent="0.3">
      <c r="B9" s="13"/>
      <c r="C9" s="14"/>
      <c r="D9" s="10" t="s">
        <v>8</v>
      </c>
      <c r="E9" s="11">
        <f>SUM(E10:E12)</f>
        <v>785495</v>
      </c>
      <c r="F9" s="11">
        <f>SUM(F10:F12)</f>
        <v>785495</v>
      </c>
      <c r="G9" s="11">
        <f>SUM(G10:G12)</f>
        <v>827126.23499999999</v>
      </c>
      <c r="H9" s="11">
        <f>SUM(H10:H12)</f>
        <v>867655.42051499989</v>
      </c>
      <c r="I9" s="11">
        <f>SUM(I10:I12)</f>
        <v>908435.22527920478</v>
      </c>
      <c r="K9" s="15"/>
    </row>
    <row r="10" spans="2:12" s="20" customFormat="1" ht="14.4" hidden="1" outlineLevel="2" x14ac:dyDescent="0.3">
      <c r="B10" s="16" t="s">
        <v>9</v>
      </c>
      <c r="C10" s="17" t="str">
        <f>VLOOKUP(B10,'[19]DETAILED OCT GS560'!F:AC,2,FALSE)</f>
        <v>P216005</v>
      </c>
      <c r="D10" s="18" t="s">
        <v>9</v>
      </c>
      <c r="E10" s="19">
        <f>SUMIF(DETAILED!O:O,'MTREF BUDGET 2023-24  Summary'!C10,DETAILED!S:S)</f>
        <v>0</v>
      </c>
      <c r="F10" s="19">
        <f>SUMIF(DETAILED!O:O,'MTREF BUDGET 2023-24  Summary'!C10,DETAILED!AE:AE)</f>
        <v>0</v>
      </c>
      <c r="G10" s="19">
        <f>SUMIF(DETAILED!O:O,'MTREF BUDGET 2023-24  Summary'!C10,DETAILED!AL:AL)</f>
        <v>0</v>
      </c>
      <c r="H10" s="19">
        <f>SUMIF(DETAILED!O:O,'MTREF BUDGET 2023-24  Summary'!C10,DETAILED!AM:AM)</f>
        <v>0</v>
      </c>
      <c r="I10" s="19">
        <f>SUMIF(DETAILED!O:O,'MTREF BUDGET 2023-24  Summary'!C10,DETAILED!AN:AN)</f>
        <v>0</v>
      </c>
    </row>
    <row r="11" spans="2:12" s="20" customFormat="1" ht="14.4" hidden="1" outlineLevel="2" x14ac:dyDescent="0.3">
      <c r="B11" s="16" t="s">
        <v>10</v>
      </c>
      <c r="C11" s="17" t="str">
        <f>VLOOKUP(B11,'[19]DETAILED OCT GS560'!F:AC,2,FALSE)</f>
        <v>P216045</v>
      </c>
      <c r="D11" s="18" t="s">
        <v>10</v>
      </c>
      <c r="E11" s="19">
        <f>SUMIF(DETAILED!O:O,'MTREF BUDGET 2023-24  Summary'!C11,DETAILED!S:S)</f>
        <v>0</v>
      </c>
      <c r="F11" s="19">
        <f>SUMIF(DETAILED!O:O,'MTREF BUDGET 2023-24  Summary'!C11,DETAILED!AE:AE)</f>
        <v>0</v>
      </c>
      <c r="G11" s="19">
        <f>SUMIF(DETAILED!O:O,'MTREF BUDGET 2023-24  Summary'!C11,DETAILED!AL:AL)</f>
        <v>0</v>
      </c>
      <c r="H11" s="19">
        <f>SUMIF(DETAILED!O:O,'MTREF BUDGET 2023-24  Summary'!C11,DETAILED!AM:AM)</f>
        <v>0</v>
      </c>
      <c r="I11" s="19">
        <f>SUMIF(DETAILED!O:O,'MTREF BUDGET 2023-24  Summary'!C11,DETAILED!AN:AN)</f>
        <v>0</v>
      </c>
    </row>
    <row r="12" spans="2:12" s="20" customFormat="1" ht="14.4" hidden="1" outlineLevel="2" x14ac:dyDescent="0.3">
      <c r="B12" s="16" t="s">
        <v>11</v>
      </c>
      <c r="C12" s="17" t="str">
        <f>VLOOKUP(B12,'[19]DETAILED OCT GS560'!F:AC,2,FALSE)</f>
        <v>P216085</v>
      </c>
      <c r="D12" s="18" t="s">
        <v>11</v>
      </c>
      <c r="E12" s="19">
        <f>SUMIF(DETAILED!O:O,'MTREF BUDGET 2023-24  Summary'!C12,DETAILED!S:S)</f>
        <v>785495</v>
      </c>
      <c r="F12" s="19">
        <f>SUMIF(DETAILED!O:O,'MTREF BUDGET 2023-24  Summary'!C12,DETAILED!AE:AE)</f>
        <v>785495</v>
      </c>
      <c r="G12" s="19">
        <f>SUMIF(DETAILED!O:O,'MTREF BUDGET 2023-24  Summary'!C12,DETAILED!AL:AL)</f>
        <v>827126.23499999999</v>
      </c>
      <c r="H12" s="19">
        <f>SUMIF(DETAILED!O:O,'MTREF BUDGET 2023-24  Summary'!C12,DETAILED!AM:AM)</f>
        <v>867655.42051499989</v>
      </c>
      <c r="I12" s="19">
        <f>SUMIF(DETAILED!O:O,'MTREF BUDGET 2023-24  Summary'!C12,DETAILED!AN:AN)</f>
        <v>908435.22527920478</v>
      </c>
    </row>
    <row r="13" spans="2:12" ht="15.9" hidden="1" customHeight="1" outlineLevel="1" collapsed="1" x14ac:dyDescent="0.3">
      <c r="B13" s="13" t="s">
        <v>12</v>
      </c>
      <c r="C13" s="21" t="s">
        <v>13</v>
      </c>
      <c r="D13" s="10" t="s">
        <v>12</v>
      </c>
      <c r="E13" s="11">
        <f>E14+E21+E28+E32+E37+E46+E41</f>
        <v>12245620</v>
      </c>
      <c r="F13" s="11">
        <f>F14+F21+F28+F32+F37+F46+F41</f>
        <v>12245620</v>
      </c>
      <c r="G13" s="11">
        <f ca="1">G14+G21+G28+G32+G37+G46+G41</f>
        <v>13093109.70084</v>
      </c>
      <c r="H13" s="11">
        <f ca="1">H14+H21+H28+H32+H37+H46+H41</f>
        <v>13734672.07618116</v>
      </c>
      <c r="I13" s="11">
        <f ca="1">I14+I21+I28+I32+I37+I46+I41</f>
        <v>14380201.663761672</v>
      </c>
      <c r="K13" s="12"/>
    </row>
    <row r="14" spans="2:12" ht="15.9" hidden="1" customHeight="1" outlineLevel="2" x14ac:dyDescent="0.3">
      <c r="B14" s="22" t="s">
        <v>14</v>
      </c>
      <c r="C14" s="23"/>
      <c r="D14" s="24" t="s">
        <v>14</v>
      </c>
      <c r="E14" s="25">
        <f>SUM(E15:E20)</f>
        <v>2596984</v>
      </c>
      <c r="F14" s="25">
        <f>SUM(F15:F20)</f>
        <v>2596984</v>
      </c>
      <c r="G14" s="25">
        <f t="shared" ref="G14:I14" ca="1" si="1">SUM(G15:G20)</f>
        <v>2495743.9416</v>
      </c>
      <c r="H14" s="25">
        <f t="shared" ca="1" si="1"/>
        <v>2618035.3947384004</v>
      </c>
      <c r="I14" s="25">
        <f t="shared" ca="1" si="1"/>
        <v>2741083.0582911046</v>
      </c>
    </row>
    <row r="15" spans="2:12" s="20" customFormat="1" ht="15.9" hidden="1" customHeight="1" outlineLevel="3" x14ac:dyDescent="0.3">
      <c r="B15" s="16" t="s">
        <v>15</v>
      </c>
      <c r="C15" s="17" t="str">
        <f>VLOOKUP(B15,'[19]DETAILED OCT GS560'!F:AC,2,FALSE)</f>
        <v>P1101203005</v>
      </c>
      <c r="D15" s="18" t="s">
        <v>15</v>
      </c>
      <c r="E15" s="19">
        <f>SUMIF(DETAILED!O:O,'MTREF BUDGET 2023-24  Summary'!C15,DETAILED!S:S)</f>
        <v>2571832</v>
      </c>
      <c r="F15" s="19">
        <f>SUMIF(DETAILED!O:O,'MTREF BUDGET 2023-24  Summary'!C15,DETAILED!AE:AE)</f>
        <v>2571832</v>
      </c>
      <c r="G15" s="19">
        <f ca="1">SUMIF(DETAILED!O:O,'MTREF BUDGET 2023-24  Summary'!C15,DETAILED!AL:AL)</f>
        <v>2469516.66</v>
      </c>
      <c r="H15" s="19">
        <f ca="1">SUMIF(DETAILED!O:O,'MTREF BUDGET 2023-24  Summary'!C15,DETAILED!AM:AM)</f>
        <v>2590522.9763400001</v>
      </c>
      <c r="I15" s="19">
        <f ca="1">SUMIF(DETAILED!O:O,'MTREF BUDGET 2023-24  Summary'!C15,DETAILED!AN:AN)</f>
        <v>2712277.5562279797</v>
      </c>
    </row>
    <row r="16" spans="2:12" s="20" customFormat="1" ht="15.9" hidden="1" customHeight="1" outlineLevel="3" x14ac:dyDescent="0.3">
      <c r="B16" s="16" t="s">
        <v>16</v>
      </c>
      <c r="C16" s="17" t="str">
        <f>VLOOKUP(B16,'[19]DETAILED OCT GS560'!F:AC,2,FALSE)</f>
        <v>P1101203007</v>
      </c>
      <c r="D16" s="18" t="s">
        <v>16</v>
      </c>
      <c r="E16" s="19">
        <f>SUMIF(DETAILED!O:O,'MTREF BUDGET 2023-24  Summary'!C16,DETAILED!S:S)</f>
        <v>25152</v>
      </c>
      <c r="F16" s="19">
        <f>SUMIF(DETAILED!O:O,'MTREF BUDGET 2023-24  Summary'!C16,DETAILED!AE:AE)</f>
        <v>25152</v>
      </c>
      <c r="G16" s="19">
        <f ca="1">SUMIF(DETAILED!O:O,'MTREF BUDGET 2023-24  Summary'!C16,DETAILED!AL:AL)</f>
        <v>25272</v>
      </c>
      <c r="H16" s="19">
        <f ca="1">SUMIF(DETAILED!O:O,'MTREF BUDGET 2023-24  Summary'!C16,DETAILED!AM:AM)</f>
        <v>26510.327999999998</v>
      </c>
      <c r="I16" s="19">
        <f ca="1">SUMIF(DETAILED!O:O,'MTREF BUDGET 2023-24  Summary'!C16,DETAILED!AN:AN)</f>
        <v>27756.313415999997</v>
      </c>
    </row>
    <row r="17" spans="2:11" s="20" customFormat="1" ht="15.9" hidden="1" customHeight="1" outlineLevel="3" x14ac:dyDescent="0.3">
      <c r="B17" s="16" t="s">
        <v>17</v>
      </c>
      <c r="C17" s="17" t="str">
        <f>VLOOKUP(B17,'[19]DETAILED OCT GS560'!F:AC,2,FALSE)</f>
        <v>P1101205021</v>
      </c>
      <c r="D17" s="18" t="s">
        <v>17</v>
      </c>
      <c r="E17" s="19">
        <f>SUMIF(DETAILED!O:O,'MTREF BUDGET 2023-24  Summary'!C17,DETAILED!S:S)</f>
        <v>0</v>
      </c>
      <c r="F17" s="19">
        <f>SUMIF(DETAILED!O:O,'MTREF BUDGET 2023-24  Summary'!C17,DETAILED!AE:AE)</f>
        <v>0</v>
      </c>
      <c r="G17" s="19">
        <f>SUMIF(DETAILED!O:O,'MTREF BUDGET 2023-24  Summary'!C17,DETAILED!AL:AL)</f>
        <v>0</v>
      </c>
      <c r="H17" s="19">
        <f>SUMIF(DETAILED!O:O,'MTREF BUDGET 2023-24  Summary'!C17,DETAILED!AM:AM)</f>
        <v>0</v>
      </c>
      <c r="I17" s="19">
        <f>SUMIF(DETAILED!O:O,'MTREF BUDGET 2023-24  Summary'!C17,DETAILED!AN:AN)</f>
        <v>0</v>
      </c>
    </row>
    <row r="18" spans="2:11" s="20" customFormat="1" ht="15.9" hidden="1" customHeight="1" outlineLevel="3" x14ac:dyDescent="0.3">
      <c r="B18" s="16" t="s">
        <v>18</v>
      </c>
      <c r="C18" s="17" t="str">
        <f>VLOOKUP(B18,'[19]DETAILED OCT GS560'!F:AC,2,FALSE)</f>
        <v>P1101205022</v>
      </c>
      <c r="D18" s="18" t="s">
        <v>18</v>
      </c>
      <c r="E18" s="19">
        <f>SUMIF(DETAILED!O:O,'MTREF BUDGET 2023-24  Summary'!C18,DETAILED!S:S)</f>
        <v>0</v>
      </c>
      <c r="F18" s="19">
        <f>SUMIF(DETAILED!O:O,'MTREF BUDGET 2023-24  Summary'!C18,DETAILED!AE:AE)</f>
        <v>0</v>
      </c>
      <c r="G18" s="19">
        <f>SUMIF(DETAILED!O:O,'MTREF BUDGET 2023-24  Summary'!C18,DETAILED!AL:AL)</f>
        <v>0</v>
      </c>
      <c r="H18" s="19">
        <f>SUMIF(DETAILED!O:O,'MTREF BUDGET 2023-24  Summary'!C18,DETAILED!AM:AM)</f>
        <v>0</v>
      </c>
      <c r="I18" s="19">
        <f>SUMIF(DETAILED!O:O,'MTREF BUDGET 2023-24  Summary'!C18,DETAILED!AN:AN)</f>
        <v>0</v>
      </c>
    </row>
    <row r="19" spans="2:11" s="20" customFormat="1" ht="15.9" hidden="1" customHeight="1" outlineLevel="3" x14ac:dyDescent="0.3">
      <c r="B19" s="16" t="s">
        <v>19</v>
      </c>
      <c r="C19" s="17" t="str">
        <f>VLOOKUP(B19,'[19]DETAILED OCT GS560'!F:AC,2,FALSE)</f>
        <v>P1101205023</v>
      </c>
      <c r="D19" s="18" t="s">
        <v>19</v>
      </c>
      <c r="E19" s="19">
        <f>SUMIF(DETAILED!O:O,'MTREF BUDGET 2023-24  Summary'!C19,DETAILED!S:S)</f>
        <v>0</v>
      </c>
      <c r="F19" s="19">
        <f>SUMIF(DETAILED!O:O,'MTREF BUDGET 2023-24  Summary'!C19,DETAILED!AE:AE)</f>
        <v>0</v>
      </c>
      <c r="G19" s="19">
        <f>SUMIF(DETAILED!O:O,'MTREF BUDGET 2023-24  Summary'!C19,DETAILED!AL:AL)</f>
        <v>0</v>
      </c>
      <c r="H19" s="19">
        <f>SUMIF(DETAILED!O:O,'MTREF BUDGET 2023-24  Summary'!C19,DETAILED!AM:AM)</f>
        <v>0</v>
      </c>
      <c r="I19" s="19">
        <f>SUMIF(DETAILED!O:O,'MTREF BUDGET 2023-24  Summary'!C19,DETAILED!AN:AN)</f>
        <v>0</v>
      </c>
    </row>
    <row r="20" spans="2:11" s="20" customFormat="1" ht="15.9" hidden="1" customHeight="1" outlineLevel="3" x14ac:dyDescent="0.3">
      <c r="B20" s="16" t="s">
        <v>20</v>
      </c>
      <c r="C20" s="17" t="str">
        <f>VLOOKUP(B20,'[19]DETAILED OCT GS560'!F:AC,2,FALSE)</f>
        <v>P1101205024</v>
      </c>
      <c r="D20" s="18" t="s">
        <v>20</v>
      </c>
      <c r="E20" s="19">
        <f>SUMIF(DETAILED!O:O,'MTREF BUDGET 2023-24  Summary'!C20,DETAILED!S:S)</f>
        <v>0</v>
      </c>
      <c r="F20" s="19">
        <f>SUMIF(DETAILED!O:O,'MTREF BUDGET 2023-24  Summary'!C20,DETAILED!AE:AE)</f>
        <v>0</v>
      </c>
      <c r="G20" s="19">
        <f>SUMIF(DETAILED!O:O,'MTREF BUDGET 2023-24  Summary'!C20,DETAILED!AL:AL)</f>
        <v>955.28160000000014</v>
      </c>
      <c r="H20" s="19">
        <f>SUMIF(DETAILED!O:O,'MTREF BUDGET 2023-24  Summary'!C20,DETAILED!AM:AM)</f>
        <v>1002.0903984</v>
      </c>
      <c r="I20" s="19">
        <f>SUMIF(DETAILED!O:O,'MTREF BUDGET 2023-24  Summary'!C20,DETAILED!AN:AN)</f>
        <v>1049.1886471247999</v>
      </c>
    </row>
    <row r="21" spans="2:11" ht="15.9" hidden="1" customHeight="1" outlineLevel="2" collapsed="1" x14ac:dyDescent="0.3">
      <c r="B21" s="26" t="s">
        <v>21</v>
      </c>
      <c r="C21" s="27"/>
      <c r="D21" s="24" t="s">
        <v>21</v>
      </c>
      <c r="E21" s="25">
        <f>SUM(E22:E27)</f>
        <v>1766127</v>
      </c>
      <c r="F21" s="25">
        <f>SUM(F22:F27)</f>
        <v>1766127</v>
      </c>
      <c r="G21" s="25">
        <f t="shared" ref="G21:I21" ca="1" si="2">SUM(G22:G27)</f>
        <v>2429822.05596</v>
      </c>
      <c r="H21" s="25">
        <f ca="1">SUM(H22:H27)</f>
        <v>2548883.3367020395</v>
      </c>
      <c r="I21" s="25">
        <f t="shared" ca="1" si="2"/>
        <v>2668680.8535270356</v>
      </c>
    </row>
    <row r="22" spans="2:11" s="20" customFormat="1" ht="15.9" hidden="1" customHeight="1" outlineLevel="3" x14ac:dyDescent="0.3">
      <c r="B22" s="16" t="s">
        <v>22</v>
      </c>
      <c r="C22" s="17" t="str">
        <f>VLOOKUP(B22,'[19]DETAILED OCT GS560'!F:AC,2,FALSE)</f>
        <v>P1202203045</v>
      </c>
      <c r="D22" s="18" t="s">
        <v>22</v>
      </c>
      <c r="E22" s="19">
        <f>SUMIF(DETAILED!O:O,'MTREF BUDGET 2023-24  Summary'!C22,DETAILED!S:S)</f>
        <v>1751036</v>
      </c>
      <c r="F22" s="19">
        <f>SUMIF(DETAILED!O:O,'MTREF BUDGET 2023-24  Summary'!C22,DETAILED!AE:AE)</f>
        <v>1751036</v>
      </c>
      <c r="G22" s="19">
        <f ca="1">SUMIF(DETAILED!O:O,'MTREF BUDGET 2023-24  Summary'!C22,DETAILED!AL:AL)</f>
        <v>1681374.591</v>
      </c>
      <c r="H22" s="19">
        <f ca="1">SUMIF(DETAILED!O:O,'MTREF BUDGET 2023-24  Summary'!C22,DETAILED!AM:AM)</f>
        <v>1763761.9459589999</v>
      </c>
      <c r="I22" s="19">
        <f ca="1">SUMIF(DETAILED!O:O,'MTREF BUDGET 2023-24  Summary'!C22,DETAILED!AN:AN)</f>
        <v>1846658.7574190728</v>
      </c>
    </row>
    <row r="23" spans="2:11" s="20" customFormat="1" ht="15.9" hidden="1" customHeight="1" outlineLevel="3" x14ac:dyDescent="0.3">
      <c r="B23" s="16" t="s">
        <v>23</v>
      </c>
      <c r="C23" s="17" t="str">
        <f>VLOOKUP(B23,'[19]DETAILED OCT GS560'!F:AC,2,FALSE)</f>
        <v>P1202203047</v>
      </c>
      <c r="D23" s="18" t="s">
        <v>23</v>
      </c>
      <c r="E23" s="19">
        <f>SUMIF(DETAILED!O:O,'MTREF BUDGET 2023-24  Summary'!C23,DETAILED!S:S)</f>
        <v>15091</v>
      </c>
      <c r="F23" s="19">
        <f>SUMIF(DETAILED!O:O,'MTREF BUDGET 2023-24  Summary'!C23,DETAILED!AE:AE)</f>
        <v>15091</v>
      </c>
      <c r="G23" s="19">
        <f ca="1">SUMIF(DETAILED!O:O,'MTREF BUDGET 2023-24  Summary'!C23,DETAILED!AL:AL)</f>
        <v>15163.2</v>
      </c>
      <c r="H23" s="19">
        <f ca="1">SUMIF(DETAILED!O:O,'MTREF BUDGET 2023-24  Summary'!C23,DETAILED!AM:AM)</f>
        <v>15906.1968</v>
      </c>
      <c r="I23" s="19">
        <f ca="1">SUMIF(DETAILED!O:O,'MTREF BUDGET 2023-24  Summary'!C23,DETAILED!AN:AN)</f>
        <v>16653.7880496</v>
      </c>
      <c r="K23" s="20">
        <f>'[20]F2-FinPerf'!$D$25+'[20]F2-FinPerf'!$D$26</f>
        <v>380684329</v>
      </c>
    </row>
    <row r="24" spans="2:11" s="20" customFormat="1" ht="15.9" hidden="1" customHeight="1" outlineLevel="3" x14ac:dyDescent="0.3">
      <c r="B24" s="16" t="s">
        <v>24</v>
      </c>
      <c r="C24" s="17" t="str">
        <f>VLOOKUP(B24,'[19]DETAILED OCT GS560'!F:AC,2,FALSE)</f>
        <v>P1202203049</v>
      </c>
      <c r="D24" s="18" t="s">
        <v>24</v>
      </c>
      <c r="E24" s="19">
        <f>SUMIF(DETAILED!O:O,'MTREF BUDGET 2023-24  Summary'!C24,DETAILED!S:S)</f>
        <v>0</v>
      </c>
      <c r="F24" s="19">
        <f>SUMIF(DETAILED!O:O,'MTREF BUDGET 2023-24  Summary'!C24,DETAILED!AE:AE)</f>
        <v>0</v>
      </c>
      <c r="G24" s="19">
        <f ca="1">SUMIF(DETAILED!O:O,'MTREF BUDGET 2023-24  Summary'!C24,DETAILED!AL:AL)</f>
        <v>726570</v>
      </c>
      <c r="H24" s="19">
        <f ca="1">SUMIF(DETAILED!O:O,'MTREF BUDGET 2023-24  Summary'!C24,DETAILED!AM:AM)</f>
        <v>762171.92999999993</v>
      </c>
      <c r="I24" s="19">
        <f ca="1">SUMIF(DETAILED!O:O,'MTREF BUDGET 2023-24  Summary'!C24,DETAILED!AN:AN)</f>
        <v>797994.01070999983</v>
      </c>
    </row>
    <row r="25" spans="2:11" s="20" customFormat="1" ht="15.9" hidden="1" customHeight="1" outlineLevel="3" x14ac:dyDescent="0.3">
      <c r="B25" s="16" t="s">
        <v>25</v>
      </c>
      <c r="C25" s="17" t="str">
        <f>VLOOKUP(B25,'[19]DETAILED OCT GS560'!F:AC,2,FALSE)</f>
        <v>P1202205023</v>
      </c>
      <c r="D25" s="18" t="s">
        <v>25</v>
      </c>
      <c r="E25" s="19">
        <f>SUMIF(DETAILED!O:O,'MTREF BUDGET 2023-24  Summary'!C25,DETAILED!S:S)</f>
        <v>0</v>
      </c>
      <c r="F25" s="19">
        <f>SUMIF(DETAILED!O:O,'MTREF BUDGET 2023-24  Summary'!C25,DETAILED!AE:AE)</f>
        <v>0</v>
      </c>
      <c r="G25" s="19">
        <f ca="1">SUMIF(DETAILED!O:O,'MTREF BUDGET 2023-24  Summary'!C25,DETAILED!AL:AL)</f>
        <v>6714.2649599999995</v>
      </c>
      <c r="H25" s="19">
        <f ca="1">SUMIF(DETAILED!O:O,'MTREF BUDGET 2023-24  Summary'!C25,DETAILED!AM:AM)</f>
        <v>7043.2639430399986</v>
      </c>
      <c r="I25" s="19">
        <f ca="1">SUMIF(DETAILED!O:O,'MTREF BUDGET 2023-24  Summary'!C25,DETAILED!AN:AN)</f>
        <v>7374.2973483628784</v>
      </c>
    </row>
    <row r="26" spans="2:11" s="20" customFormat="1" ht="15.9" hidden="1" customHeight="1" outlineLevel="3" x14ac:dyDescent="0.3">
      <c r="B26" s="16" t="s">
        <v>26</v>
      </c>
      <c r="C26" s="17" t="str">
        <f>VLOOKUP(B26,'[19]DETAILED OCT GS560'!F:AC,2,FALSE)</f>
        <v>P1202205061</v>
      </c>
      <c r="D26" s="18" t="s">
        <v>26</v>
      </c>
      <c r="E26" s="19">
        <f>SUMIF(DETAILED!O:O,'MTREF BUDGET 2023-24  Summary'!C26,DETAILED!S:S)</f>
        <v>0</v>
      </c>
      <c r="F26" s="19">
        <f>SUMIF(DETAILED!O:O,'MTREF BUDGET 2023-24  Summary'!C26,DETAILED!AE:AE)</f>
        <v>0</v>
      </c>
      <c r="G26" s="19">
        <f>SUMIF(DETAILED!O:O,'MTREF BUDGET 2023-24  Summary'!C26,DETAILED!AL:AL)</f>
        <v>0</v>
      </c>
      <c r="H26" s="19">
        <f>SUMIF(DETAILED!O:O,'MTREF BUDGET 2023-24  Summary'!C26,DETAILED!AM:AM)</f>
        <v>0</v>
      </c>
      <c r="I26" s="19">
        <f>SUMIF(DETAILED!O:O,'MTREF BUDGET 2023-24  Summary'!C26,DETAILED!AN:AN)</f>
        <v>0</v>
      </c>
    </row>
    <row r="27" spans="2:11" s="20" customFormat="1" ht="15.9" hidden="1" customHeight="1" outlineLevel="3" x14ac:dyDescent="0.3">
      <c r="B27" s="16" t="s">
        <v>27</v>
      </c>
      <c r="C27" s="17" t="str">
        <f>VLOOKUP(B27,'[19]DETAILED OCT GS560'!F:AC,2,FALSE)</f>
        <v>P1202205062</v>
      </c>
      <c r="D27" s="18" t="s">
        <v>27</v>
      </c>
      <c r="E27" s="19">
        <f>SUMIF(DETAILED!O:O,'MTREF BUDGET 2023-24  Summary'!C27,DETAILED!S:S)</f>
        <v>0</v>
      </c>
      <c r="F27" s="19">
        <f>SUMIF(DETAILED!O:O,'MTREF BUDGET 2023-24  Summary'!C27,DETAILED!AE:AE)</f>
        <v>0</v>
      </c>
      <c r="G27" s="19">
        <f>SUMIF(DETAILED!O:O,'MTREF BUDGET 2023-24  Summary'!C27,DETAILED!AL:AL)</f>
        <v>0</v>
      </c>
      <c r="H27" s="19">
        <f>SUMIF(DETAILED!O:O,'MTREF BUDGET 2023-24  Summary'!C27,DETAILED!AM:AM)</f>
        <v>0</v>
      </c>
      <c r="I27" s="19">
        <f>SUMIF(DETAILED!O:O,'MTREF BUDGET 2023-24  Summary'!C27,DETAILED!AN:AN)</f>
        <v>0</v>
      </c>
    </row>
    <row r="28" spans="2:11" ht="15.9" hidden="1" customHeight="1" outlineLevel="2" collapsed="1" x14ac:dyDescent="0.3">
      <c r="B28" s="26" t="s">
        <v>28</v>
      </c>
      <c r="C28" s="28"/>
      <c r="D28" s="24" t="s">
        <v>28</v>
      </c>
      <c r="E28" s="25">
        <f>SUM(E29:E31)</f>
        <v>1766127</v>
      </c>
      <c r="F28" s="25">
        <f>SUM(F29:F31)</f>
        <v>1766127</v>
      </c>
      <c r="G28" s="25">
        <f t="shared" ref="G28:I28" ca="1" si="3">SUM(G29:G31)</f>
        <v>1698775.8793200001</v>
      </c>
      <c r="H28" s="25">
        <f t="shared" ca="1" si="3"/>
        <v>1782015.89740668</v>
      </c>
      <c r="I28" s="25">
        <f t="shared" ca="1" si="3"/>
        <v>1865770.6445847938</v>
      </c>
    </row>
    <row r="29" spans="2:11" s="20" customFormat="1" ht="15.9" hidden="1" customHeight="1" outlineLevel="3" x14ac:dyDescent="0.3">
      <c r="B29" s="16" t="s">
        <v>29</v>
      </c>
      <c r="C29" s="17" t="str">
        <f>VLOOKUP(B29,'[19]DETAILED OCT GS560'!F:AC,2,FALSE)</f>
        <v>P1302203485</v>
      </c>
      <c r="D29" s="18" t="s">
        <v>29</v>
      </c>
      <c r="E29" s="19">
        <f>SUMIF(DETAILED!O:O,'MTREF BUDGET 2023-24  Summary'!C29,DETAILED!S:S)</f>
        <v>1751036</v>
      </c>
      <c r="F29" s="19">
        <f>SUMIF(DETAILED!O:O,'MTREF BUDGET 2023-24  Summary'!C29,DETAILED!AE:AE)</f>
        <v>1751036</v>
      </c>
      <c r="G29" s="19">
        <f ca="1">SUMIF(DETAILED!O:O,'MTREF BUDGET 2023-24  Summary'!C29,DETAILED!AL:AL)</f>
        <v>1681374.591</v>
      </c>
      <c r="H29" s="19">
        <f ca="1">SUMIF(DETAILED!O:O,'MTREF BUDGET 2023-24  Summary'!C29,DETAILED!AM:AM)</f>
        <v>1763761.9459589999</v>
      </c>
      <c r="I29" s="19">
        <f ca="1">SUMIF(DETAILED!O:O,'MTREF BUDGET 2023-24  Summary'!C29,DETAILED!AN:AN)</f>
        <v>1846658.7574190728</v>
      </c>
    </row>
    <row r="30" spans="2:11" s="20" customFormat="1" ht="15.9" hidden="1" customHeight="1" outlineLevel="3" x14ac:dyDescent="0.3">
      <c r="B30" s="16" t="s">
        <v>30</v>
      </c>
      <c r="C30" s="17" t="str">
        <f>VLOOKUP(B30,'[19]DETAILED OCT GS560'!F:AC,2,FALSE)</f>
        <v>P1302203487</v>
      </c>
      <c r="D30" s="18" t="s">
        <v>30</v>
      </c>
      <c r="E30" s="19">
        <f>SUMIF(DETAILED!O:O,'MTREF BUDGET 2023-24  Summary'!C30,DETAILED!S:S)</f>
        <v>15091</v>
      </c>
      <c r="F30" s="19">
        <f>SUMIF(DETAILED!O:O,'MTREF BUDGET 2023-24  Summary'!C30,DETAILED!AE:AE)</f>
        <v>15091</v>
      </c>
      <c r="G30" s="19">
        <f ca="1">SUMIF(DETAILED!O:O,'MTREF BUDGET 2023-24  Summary'!C30,DETAILED!AL:AL)</f>
        <v>15163.2</v>
      </c>
      <c r="H30" s="19">
        <f ca="1">SUMIF(DETAILED!O:O,'MTREF BUDGET 2023-24  Summary'!C30,DETAILED!AM:AM)</f>
        <v>15906.1968</v>
      </c>
      <c r="I30" s="19">
        <f ca="1">SUMIF(DETAILED!O:O,'MTREF BUDGET 2023-24  Summary'!C30,DETAILED!AN:AN)</f>
        <v>16653.7880496</v>
      </c>
    </row>
    <row r="31" spans="2:11" s="20" customFormat="1" ht="15.9" hidden="1" customHeight="1" outlineLevel="3" x14ac:dyDescent="0.3">
      <c r="B31" s="16" t="s">
        <v>31</v>
      </c>
      <c r="C31" s="17" t="str">
        <f>VLOOKUP(B31,'[19]DETAILED OCT GS560'!F:AC,2,FALSE)</f>
        <v>P1302205503</v>
      </c>
      <c r="D31" s="18" t="s">
        <v>31</v>
      </c>
      <c r="E31" s="19">
        <f>SUMIF(DETAILED!O:O,'MTREF BUDGET 2023-24  Summary'!C31,DETAILED!S:S)</f>
        <v>0</v>
      </c>
      <c r="F31" s="19">
        <f>SUMIF(DETAILED!O:O,'MTREF BUDGET 2023-24  Summary'!C31,DETAILED!AE:AE)</f>
        <v>0</v>
      </c>
      <c r="G31" s="19">
        <f ca="1">SUMIF(DETAILED!O:O,'MTREF BUDGET 2023-24  Summary'!C31,DETAILED!AL:AL)</f>
        <v>2238.0883199999998</v>
      </c>
      <c r="H31" s="19">
        <f ca="1">SUMIF(DETAILED!O:O,'MTREF BUDGET 2023-24  Summary'!C31,DETAILED!AM:AM)</f>
        <v>2347.7546476799998</v>
      </c>
      <c r="I31" s="19">
        <f ca="1">SUMIF(DETAILED!O:O,'MTREF BUDGET 2023-24  Summary'!C31,DETAILED!AN:AN)</f>
        <v>2458.0991161209595</v>
      </c>
    </row>
    <row r="32" spans="2:11" ht="15.9" hidden="1" customHeight="1" outlineLevel="2" collapsed="1" x14ac:dyDescent="0.3">
      <c r="B32" s="26" t="s">
        <v>32</v>
      </c>
      <c r="C32" s="28"/>
      <c r="D32" s="24" t="s">
        <v>32</v>
      </c>
      <c r="E32" s="25">
        <f>SUM(E33:E36)</f>
        <v>1356625</v>
      </c>
      <c r="F32" s="25">
        <f>SUM(F33:F36)</f>
        <v>1356625</v>
      </c>
      <c r="G32" s="25">
        <f t="shared" ref="G32:I32" ca="1" si="4">SUM(G33:G36)</f>
        <v>1639155.01932</v>
      </c>
      <c r="H32" s="25">
        <f t="shared" ca="1" si="4"/>
        <v>1719473.61526668</v>
      </c>
      <c r="I32" s="25">
        <f t="shared" ca="1" si="4"/>
        <v>1800288.8751842137</v>
      </c>
    </row>
    <row r="33" spans="2:9" s="20" customFormat="1" ht="15.9" hidden="1" customHeight="1" outlineLevel="3" x14ac:dyDescent="0.3">
      <c r="B33" s="16" t="s">
        <v>33</v>
      </c>
      <c r="C33" s="17" t="str">
        <f>VLOOKUP(B33,'[19]DETAILED OCT GS560'!F:AC,2,FALSE)</f>
        <v>P1405203525</v>
      </c>
      <c r="D33" s="18" t="s">
        <v>33</v>
      </c>
      <c r="E33" s="19">
        <f>SUMIF(DETAILED!O:O,'MTREF BUDGET 2023-24  Summary'!C33,DETAILED!S:S)</f>
        <v>1341534</v>
      </c>
      <c r="F33" s="19">
        <f>SUMIF(DETAILED!O:O,'MTREF BUDGET 2023-24  Summary'!C33,DETAILED!AE:AE)</f>
        <v>1341534</v>
      </c>
      <c r="G33" s="19">
        <f ca="1">SUMIF(DETAILED!O:O,'MTREF BUDGET 2023-24  Summary'!C33,DETAILED!AL:AL)</f>
        <v>1288163.331</v>
      </c>
      <c r="H33" s="19">
        <f ca="1">SUMIF(DETAILED!O:O,'MTREF BUDGET 2023-24  Summary'!C33,DETAILED!AM:AM)</f>
        <v>1351283.3342189998</v>
      </c>
      <c r="I33" s="19">
        <f ca="1">SUMIF(DETAILED!O:O,'MTREF BUDGET 2023-24  Summary'!C33,DETAILED!AN:AN)</f>
        <v>1414793.6509272926</v>
      </c>
    </row>
    <row r="34" spans="2:9" s="20" customFormat="1" ht="15.9" hidden="1" customHeight="1" outlineLevel="3" x14ac:dyDescent="0.3">
      <c r="B34" s="16" t="s">
        <v>34</v>
      </c>
      <c r="C34" s="17" t="str">
        <f>VLOOKUP(B34,'[19]DETAILED OCT GS560'!F:AC,2,FALSE)</f>
        <v>P1405203527</v>
      </c>
      <c r="D34" s="18" t="s">
        <v>34</v>
      </c>
      <c r="E34" s="19">
        <f>SUMIF(DETAILED!O:O,'MTREF BUDGET 2023-24  Summary'!C34,DETAILED!S:S)</f>
        <v>15091</v>
      </c>
      <c r="F34" s="19">
        <f>SUMIF(DETAILED!O:O,'MTREF BUDGET 2023-24  Summary'!C34,DETAILED!AE:AE)</f>
        <v>15091</v>
      </c>
      <c r="G34" s="19">
        <f ca="1">SUMIF(DETAILED!O:O,'MTREF BUDGET 2023-24  Summary'!C34,DETAILED!AL:AL)</f>
        <v>15163.2</v>
      </c>
      <c r="H34" s="19">
        <f ca="1">SUMIF(DETAILED!O:O,'MTREF BUDGET 2023-24  Summary'!C34,DETAILED!AM:AM)</f>
        <v>15906.1968</v>
      </c>
      <c r="I34" s="19">
        <f ca="1">SUMIF(DETAILED!O:O,'MTREF BUDGET 2023-24  Summary'!C34,DETAILED!AN:AN)</f>
        <v>16653.7880496</v>
      </c>
    </row>
    <row r="35" spans="2:9" s="20" customFormat="1" ht="15.9" hidden="1" customHeight="1" outlineLevel="3" x14ac:dyDescent="0.3">
      <c r="B35" s="16" t="s">
        <v>35</v>
      </c>
      <c r="C35" s="17" t="str">
        <f>VLOOKUP(B35,'[19]DETAILED OCT GS560'!F:AC,2,FALSE)</f>
        <v>P1405203529</v>
      </c>
      <c r="D35" s="18" t="s">
        <v>35</v>
      </c>
      <c r="E35" s="19">
        <f>SUMIF(DETAILED!O:O,'MTREF BUDGET 2023-24  Summary'!C35,DETAILED!S:S)</f>
        <v>0</v>
      </c>
      <c r="F35" s="19">
        <f>SUMIF(DETAILED!O:O,'MTREF BUDGET 2023-24  Summary'!C35,DETAILED!AE:AE)</f>
        <v>0</v>
      </c>
      <c r="G35" s="19">
        <f ca="1">SUMIF(DETAILED!O:O,'MTREF BUDGET 2023-24  Summary'!C35,DETAILED!AL:AL)</f>
        <v>333590.40000000002</v>
      </c>
      <c r="H35" s="19">
        <f ca="1">SUMIF(DETAILED!O:O,'MTREF BUDGET 2023-24  Summary'!C35,DETAILED!AM:AM)</f>
        <v>349936.3296</v>
      </c>
      <c r="I35" s="19">
        <f ca="1">SUMIF(DETAILED!O:O,'MTREF BUDGET 2023-24  Summary'!C35,DETAILED!AN:AN)</f>
        <v>366383.3370912</v>
      </c>
    </row>
    <row r="36" spans="2:9" s="20" customFormat="1" ht="15.9" hidden="1" customHeight="1" outlineLevel="3" x14ac:dyDescent="0.3">
      <c r="B36" s="16" t="s">
        <v>31</v>
      </c>
      <c r="C36" s="17" t="str">
        <f>VLOOKUP(B36,'[19]DETAILED OCT GS560'!F:AC,2,FALSE)</f>
        <v>P1302205503</v>
      </c>
      <c r="D36" s="18" t="s">
        <v>31</v>
      </c>
      <c r="E36" s="19">
        <f>SUMIF(DETAILED!O:O,'MTREF BUDGET 2023-24  Summary'!C36,DETAILED!S:S)</f>
        <v>0</v>
      </c>
      <c r="F36" s="19">
        <f>SUMIF(DETAILED!O:O,'MTREF BUDGET 2023-24  Summary'!C36,DETAILED!AE:AE)</f>
        <v>0</v>
      </c>
      <c r="G36" s="19">
        <f ca="1">SUMIF(DETAILED!O:O,'MTREF BUDGET 2023-24  Summary'!C36,DETAILED!AL:AL)</f>
        <v>2238.0883199999998</v>
      </c>
      <c r="H36" s="19">
        <f ca="1">SUMIF(DETAILED!O:O,'MTREF BUDGET 2023-24  Summary'!C36,DETAILED!AM:AM)</f>
        <v>2347.7546476799998</v>
      </c>
      <c r="I36" s="19">
        <f ca="1">SUMIF(DETAILED!O:O,'MTREF BUDGET 2023-24  Summary'!C36,DETAILED!AN:AN)</f>
        <v>2458.0991161209595</v>
      </c>
    </row>
    <row r="37" spans="2:9" ht="15.9" hidden="1" customHeight="1" outlineLevel="2" collapsed="1" x14ac:dyDescent="0.3">
      <c r="B37" s="26" t="s">
        <v>36</v>
      </c>
      <c r="C37" s="28"/>
      <c r="D37" s="24" t="s">
        <v>36</v>
      </c>
      <c r="E37" s="25">
        <f>SUM(E38:E40)</f>
        <v>1766127</v>
      </c>
      <c r="F37" s="25">
        <f>SUM(F38:F40)</f>
        <v>1766127</v>
      </c>
      <c r="G37" s="25">
        <f t="shared" ref="G37:I37" ca="1" si="5">SUM(G38:G40)</f>
        <v>1698775.8793200001</v>
      </c>
      <c r="H37" s="25">
        <f t="shared" ca="1" si="5"/>
        <v>1782015.89740668</v>
      </c>
      <c r="I37" s="25">
        <f t="shared" ca="1" si="5"/>
        <v>1865770.6445847938</v>
      </c>
    </row>
    <row r="38" spans="2:9" s="20" customFormat="1" ht="15.9" hidden="1" customHeight="1" outlineLevel="3" x14ac:dyDescent="0.3">
      <c r="B38" s="29" t="s">
        <v>29</v>
      </c>
      <c r="C38" s="17" t="s">
        <v>37</v>
      </c>
      <c r="D38" s="18" t="s">
        <v>29</v>
      </c>
      <c r="E38" s="19">
        <f>SUMIF(DETAILED!O:O,'MTREF BUDGET 2023-24  Summary'!C38,DETAILED!S:S)</f>
        <v>1751036</v>
      </c>
      <c r="F38" s="19">
        <f>SUMIF(DETAILED!O:O,'MTREF BUDGET 2023-24  Summary'!C38,DETAILED!AE:AE)</f>
        <v>1751036</v>
      </c>
      <c r="G38" s="19">
        <f ca="1">SUMIF(DETAILED!O:O,'MTREF BUDGET 2023-24  Summary'!C38,DETAILED!AL:AL)</f>
        <v>1681374.591</v>
      </c>
      <c r="H38" s="19">
        <f ca="1">SUMIF(DETAILED!O:O,'MTREF BUDGET 2023-24  Summary'!C38,DETAILED!AM:AM)</f>
        <v>1763761.9459589999</v>
      </c>
      <c r="I38" s="19">
        <f ca="1">SUMIF(DETAILED!O:O,'MTREF BUDGET 2023-24  Summary'!C38,DETAILED!AN:AN)</f>
        <v>1846658.7574190728</v>
      </c>
    </row>
    <row r="39" spans="2:9" s="20" customFormat="1" ht="15.9" hidden="1" customHeight="1" outlineLevel="3" x14ac:dyDescent="0.3">
      <c r="B39" s="29" t="s">
        <v>38</v>
      </c>
      <c r="C39" s="17" t="str">
        <f>VLOOKUP(B39,'[19]DETAILED OCT GS560'!F:AC,2,FALSE)</f>
        <v>P1441203567</v>
      </c>
      <c r="D39" s="18" t="s">
        <v>38</v>
      </c>
      <c r="E39" s="19">
        <f>SUMIF(DETAILED!O:O,'MTREF BUDGET 2023-24  Summary'!C39,DETAILED!S:S)</f>
        <v>15091</v>
      </c>
      <c r="F39" s="19">
        <f>SUMIF(DETAILED!O:O,'MTREF BUDGET 2023-24  Summary'!C39,DETAILED!AE:AE)</f>
        <v>15091</v>
      </c>
      <c r="G39" s="19">
        <f ca="1">SUMIF(DETAILED!O:O,'MTREF BUDGET 2023-24  Summary'!C39,DETAILED!AL:AL)</f>
        <v>15163.2</v>
      </c>
      <c r="H39" s="19">
        <f ca="1">SUMIF(DETAILED!O:O,'MTREF BUDGET 2023-24  Summary'!C39,DETAILED!AM:AM)</f>
        <v>15906.1968</v>
      </c>
      <c r="I39" s="19">
        <f ca="1">SUMIF(DETAILED!O:O,'MTREF BUDGET 2023-24  Summary'!C39,DETAILED!AN:AN)</f>
        <v>16653.7880496</v>
      </c>
    </row>
    <row r="40" spans="2:9" s="20" customFormat="1" ht="15.9" hidden="1" customHeight="1" outlineLevel="3" x14ac:dyDescent="0.3">
      <c r="B40" s="29" t="s">
        <v>39</v>
      </c>
      <c r="C40" s="17" t="str">
        <f>VLOOKUP(B40,'[19]DETAILED OCT GS560'!F:AC,2,FALSE)</f>
        <v>P1441205583</v>
      </c>
      <c r="D40" s="18" t="s">
        <v>39</v>
      </c>
      <c r="E40" s="19">
        <f>SUMIF(DETAILED!O:O,'MTREF BUDGET 2023-24  Summary'!C40,DETAILED!S:S)</f>
        <v>0</v>
      </c>
      <c r="F40" s="19">
        <f>SUMIF(DETAILED!O:O,'MTREF BUDGET 2023-24  Summary'!C40,DETAILED!AE:AE)</f>
        <v>0</v>
      </c>
      <c r="G40" s="19">
        <f ca="1">SUMIF(DETAILED!O:O,'MTREF BUDGET 2023-24  Summary'!C40,DETAILED!AL:AL)</f>
        <v>2238.0883199999998</v>
      </c>
      <c r="H40" s="19">
        <f ca="1">SUMIF(DETAILED!O:O,'MTREF BUDGET 2023-24  Summary'!C40,DETAILED!AM:AM)</f>
        <v>2347.7546476799998</v>
      </c>
      <c r="I40" s="19">
        <f ca="1">SUMIF(DETAILED!O:O,'MTREF BUDGET 2023-24  Summary'!C40,DETAILED!AN:AN)</f>
        <v>2458.0991161209595</v>
      </c>
    </row>
    <row r="41" spans="2:9" ht="15.9" hidden="1" customHeight="1" outlineLevel="2" collapsed="1" x14ac:dyDescent="0.3">
      <c r="B41" s="26" t="s">
        <v>36</v>
      </c>
      <c r="C41" s="28"/>
      <c r="D41" s="24" t="s">
        <v>40</v>
      </c>
      <c r="E41" s="25">
        <f>SUM(E42:E45)</f>
        <v>1356625</v>
      </c>
      <c r="F41" s="25">
        <f>SUM(F42:F45)</f>
        <v>1356625</v>
      </c>
      <c r="G41" s="25">
        <f t="shared" ref="G41:I41" ca="1" si="6">SUM(G42:G45)</f>
        <v>1558284.6193200001</v>
      </c>
      <c r="H41" s="25">
        <f t="shared" ca="1" si="6"/>
        <v>1634640.56566668</v>
      </c>
      <c r="I41" s="25">
        <f t="shared" ca="1" si="6"/>
        <v>1711468.6722530136</v>
      </c>
    </row>
    <row r="42" spans="2:9" s="20" customFormat="1" ht="15.9" hidden="1" customHeight="1" outlineLevel="3" x14ac:dyDescent="0.3">
      <c r="B42" s="16" t="s">
        <v>41</v>
      </c>
      <c r="C42" s="17" t="str">
        <f>VLOOKUP(B42,'[19]DETAILED OCT GS560'!F:AC,2,FALSE)</f>
        <v>P1501203605</v>
      </c>
      <c r="D42" s="18" t="s">
        <v>41</v>
      </c>
      <c r="E42" s="19">
        <f>SUMIF(DETAILED!O:O,'MTREF BUDGET 2023-24  Summary'!C42,DETAILED!S:S)</f>
        <v>1341534</v>
      </c>
      <c r="F42" s="19">
        <f>SUMIF(DETAILED!O:O,'MTREF BUDGET 2023-24  Summary'!C42,DETAILED!AE:AE)</f>
        <v>1341534</v>
      </c>
      <c r="G42" s="19">
        <f ca="1">SUMIF(DETAILED!O:O,'MTREF BUDGET 2023-24  Summary'!C42,DETAILED!AL:AL)</f>
        <v>1288163.331</v>
      </c>
      <c r="H42" s="19">
        <f ca="1">SUMIF(DETAILED!O:O,'MTREF BUDGET 2023-24  Summary'!C42,DETAILED!AM:AM)</f>
        <v>1351283.3342189998</v>
      </c>
      <c r="I42" s="19">
        <f ca="1">SUMIF(DETAILED!O:O,'MTREF BUDGET 2023-24  Summary'!C42,DETAILED!AN:AN)</f>
        <v>1414793.6509272926</v>
      </c>
    </row>
    <row r="43" spans="2:9" s="20" customFormat="1" ht="15.9" hidden="1" customHeight="1" outlineLevel="3" x14ac:dyDescent="0.3">
      <c r="B43" s="16" t="s">
        <v>42</v>
      </c>
      <c r="C43" s="17" t="str">
        <f>VLOOKUP(B43,'[19]DETAILED OCT GS560'!F:AC,2,FALSE)</f>
        <v>P1501203607</v>
      </c>
      <c r="D43" s="18" t="s">
        <v>42</v>
      </c>
      <c r="E43" s="19">
        <f>SUMIF(DETAILED!O:O,'MTREF BUDGET 2023-24  Summary'!C43,DETAILED!S:S)</f>
        <v>15091</v>
      </c>
      <c r="F43" s="19">
        <f>SUMIF(DETAILED!O:O,'MTREF BUDGET 2023-24  Summary'!C43,DETAILED!AE:AE)</f>
        <v>15091</v>
      </c>
      <c r="G43" s="19">
        <f ca="1">SUMIF(DETAILED!O:O,'MTREF BUDGET 2023-24  Summary'!C43,DETAILED!AL:AL)</f>
        <v>15163.2</v>
      </c>
      <c r="H43" s="19">
        <f ca="1">SUMIF(DETAILED!O:O,'MTREF BUDGET 2023-24  Summary'!C43,DETAILED!AM:AM)</f>
        <v>15906.1968</v>
      </c>
      <c r="I43" s="19">
        <f ca="1">SUMIF(DETAILED!O:O,'MTREF BUDGET 2023-24  Summary'!C43,DETAILED!AN:AN)</f>
        <v>16653.7880496</v>
      </c>
    </row>
    <row r="44" spans="2:9" s="20" customFormat="1" ht="15.9" hidden="1" customHeight="1" outlineLevel="3" x14ac:dyDescent="0.3">
      <c r="B44" s="16" t="s">
        <v>43</v>
      </c>
      <c r="C44" s="17" t="str">
        <f>VLOOKUP(B44,'[19]DETAILED OCT GS560'!F:AC,2,FALSE)</f>
        <v>P1501203609</v>
      </c>
      <c r="D44" s="18" t="s">
        <v>43</v>
      </c>
      <c r="E44" s="19">
        <f>SUMIF(DETAILED!O:O,'MTREF BUDGET 2023-24  Summary'!C44,DETAILED!S:S)</f>
        <v>0</v>
      </c>
      <c r="F44" s="19">
        <f>SUMIF(DETAILED!O:O,'MTREF BUDGET 2023-24  Summary'!C44,DETAILED!AE:AE)</f>
        <v>0</v>
      </c>
      <c r="G44" s="19">
        <f ca="1">SUMIF(DETAILED!O:O,'MTREF BUDGET 2023-24  Summary'!C44,DETAILED!AL:AL)</f>
        <v>252720</v>
      </c>
      <c r="H44" s="19">
        <f ca="1">SUMIF(DETAILED!O:O,'MTREF BUDGET 2023-24  Summary'!C44,DETAILED!AM:AM)</f>
        <v>265103.27999999997</v>
      </c>
      <c r="I44" s="19">
        <f ca="1">SUMIF(DETAILED!O:O,'MTREF BUDGET 2023-24  Summary'!C44,DETAILED!AN:AN)</f>
        <v>277563.13415999996</v>
      </c>
    </row>
    <row r="45" spans="2:9" s="20" customFormat="1" ht="15.9" hidden="1" customHeight="1" outlineLevel="3" x14ac:dyDescent="0.3">
      <c r="B45" s="16" t="s">
        <v>44</v>
      </c>
      <c r="C45" s="17" t="str">
        <f>VLOOKUP(B45,'[19]DETAILED OCT GS560'!F:AC,2,FALSE)</f>
        <v>P1501205623</v>
      </c>
      <c r="D45" s="18" t="s">
        <v>44</v>
      </c>
      <c r="E45" s="19">
        <f>SUMIF(DETAILED!O:O,'MTREF BUDGET 2023-24  Summary'!C45,DETAILED!S:S)</f>
        <v>0</v>
      </c>
      <c r="F45" s="19">
        <f>SUMIF(DETAILED!O:O,'MTREF BUDGET 2023-24  Summary'!C45,DETAILED!AE:AE)</f>
        <v>0</v>
      </c>
      <c r="G45" s="19">
        <f ca="1">SUMIF(DETAILED!O:O,'MTREF BUDGET 2023-24  Summary'!C45,DETAILED!AL:AL)</f>
        <v>2238.0883199999998</v>
      </c>
      <c r="H45" s="19">
        <f ca="1">SUMIF(DETAILED!O:O,'MTREF BUDGET 2023-24  Summary'!C45,DETAILED!AM:AM)</f>
        <v>2347.7546476799998</v>
      </c>
      <c r="I45" s="19">
        <f ca="1">SUMIF(DETAILED!O:O,'MTREF BUDGET 2023-24  Summary'!C45,DETAILED!AN:AN)</f>
        <v>2458.0991161209595</v>
      </c>
    </row>
    <row r="46" spans="2:9" ht="15.9" hidden="1" customHeight="1" outlineLevel="2" collapsed="1" x14ac:dyDescent="0.3">
      <c r="B46" s="26" t="s">
        <v>45</v>
      </c>
      <c r="C46" s="28"/>
      <c r="D46" s="24" t="s">
        <v>45</v>
      </c>
      <c r="E46" s="25">
        <f>SUM(E47:E49)</f>
        <v>1637005</v>
      </c>
      <c r="F46" s="25">
        <f>SUM(F47:F50)</f>
        <v>1637005</v>
      </c>
      <c r="G46" s="25">
        <f ca="1">SUM(G47:G50)</f>
        <v>1572552.3059999999</v>
      </c>
      <c r="H46" s="25">
        <f ca="1">SUM(H47:H50)</f>
        <v>1649607.3689939999</v>
      </c>
      <c r="I46" s="25">
        <f ca="1">SUM(I47:I50)</f>
        <v>1727138.9153367179</v>
      </c>
    </row>
    <row r="47" spans="2:9" s="20" customFormat="1" ht="15.9" hidden="1" customHeight="1" outlineLevel="3" x14ac:dyDescent="0.3">
      <c r="B47" s="16" t="s">
        <v>46</v>
      </c>
      <c r="C47" s="17" t="str">
        <f>VLOOKUP(B47,'[19]DETAILED OCT GS560'!F:AC,2,FALSE)</f>
        <v>P1002203445</v>
      </c>
      <c r="D47" s="18" t="s">
        <v>46</v>
      </c>
      <c r="E47" s="19">
        <f>SUMIF(DETAILED!O:O,'MTREF BUDGET 2023-24  Summary'!C47,DETAILED!S:S)</f>
        <v>1621914</v>
      </c>
      <c r="F47" s="19">
        <f>SUMIF(DETAILED!O:O,'MTREF BUDGET 2023-24  Summary'!C47,DETAILED!AE:AE)</f>
        <v>1621914</v>
      </c>
      <c r="G47" s="19">
        <f ca="1">SUMIF(DETAILED!O:O,'MTREF BUDGET 2023-24  Summary'!C47,DETAILED!AL:AL)</f>
        <v>1557389.1059999999</v>
      </c>
      <c r="H47" s="19">
        <f ca="1">SUMIF(DETAILED!O:O,'MTREF BUDGET 2023-24  Summary'!C47,DETAILED!AM:AM)</f>
        <v>1633701.1721939999</v>
      </c>
      <c r="I47" s="19">
        <f ca="1">SUMIF(DETAILED!O:O,'MTREF BUDGET 2023-24  Summary'!C47,DETAILED!AN:AN)</f>
        <v>1710485.1272871178</v>
      </c>
    </row>
    <row r="48" spans="2:9" s="20" customFormat="1" ht="15.9" hidden="1" customHeight="1" outlineLevel="3" x14ac:dyDescent="0.3">
      <c r="B48" s="16" t="s">
        <v>47</v>
      </c>
      <c r="C48" s="17" t="str">
        <f>VLOOKUP(B48,'[19]DETAILED OCT GS560'!F:AC,2,FALSE)</f>
        <v>P1002203447</v>
      </c>
      <c r="D48" s="18" t="s">
        <v>47</v>
      </c>
      <c r="E48" s="19">
        <f>SUMIF(DETAILED!O:O,'MTREF BUDGET 2023-24  Summary'!C48,DETAILED!S:S)</f>
        <v>15091</v>
      </c>
      <c r="F48" s="19">
        <f>SUMIF(DETAILED!O:O,'MTREF BUDGET 2023-24  Summary'!C48,DETAILED!AE:AE)</f>
        <v>15091</v>
      </c>
      <c r="G48" s="19">
        <f ca="1">SUMIF(DETAILED!O:O,'MTREF BUDGET 2023-24  Summary'!C48,DETAILED!AL:AL)</f>
        <v>15163.2</v>
      </c>
      <c r="H48" s="19">
        <f ca="1">SUMIF(DETAILED!O:O,'MTREF BUDGET 2023-24  Summary'!C48,DETAILED!AM:AM)</f>
        <v>15906.1968</v>
      </c>
      <c r="I48" s="19">
        <f ca="1">SUMIF(DETAILED!O:O,'MTREF BUDGET 2023-24  Summary'!C48,DETAILED!AN:AN)</f>
        <v>16653.7880496</v>
      </c>
    </row>
    <row r="49" spans="2:33" s="20" customFormat="1" ht="15.9" hidden="1" customHeight="1" outlineLevel="3" x14ac:dyDescent="0.3">
      <c r="B49" s="16" t="s">
        <v>48</v>
      </c>
      <c r="C49" s="17" t="str">
        <f>VLOOKUP(B49,'[19]DETAILED OCT GS560'!F:AC,2,FALSE)</f>
        <v>P1002205463</v>
      </c>
      <c r="D49" s="18" t="s">
        <v>48</v>
      </c>
      <c r="E49" s="19">
        <f>SUMIF(DETAILED!O:O,'MTREF BUDGET 2023-24  Summary'!C49,DETAILED!S:S)</f>
        <v>0</v>
      </c>
      <c r="F49" s="19">
        <f>SUMIF(DETAILED!O:O,'MTREF BUDGET 2023-24  Summary'!C49,DETAILED!AE:AE)</f>
        <v>0</v>
      </c>
      <c r="G49" s="19">
        <f>SUMIF(DETAILED!O:O,'MTREF BUDGET 2023-24  Summary'!C49,DETAILED!AL:AL)</f>
        <v>0</v>
      </c>
      <c r="H49" s="19">
        <f>SUMIF(DETAILED!O:O,'MTREF BUDGET 2023-24  Summary'!C49,DETAILED!AM:AM)</f>
        <v>0</v>
      </c>
      <c r="I49" s="19">
        <f>SUMIF(DETAILED!O:O,'MTREF BUDGET 2023-24  Summary'!C49,DETAILED!AN:AN)</f>
        <v>0</v>
      </c>
    </row>
    <row r="50" spans="2:33" s="20" customFormat="1" ht="15.9" hidden="1" customHeight="1" outlineLevel="2" collapsed="1" x14ac:dyDescent="0.3">
      <c r="B50" s="30"/>
      <c r="C50" s="31"/>
      <c r="D50" s="29"/>
      <c r="E50" s="19"/>
      <c r="F50" s="19"/>
      <c r="G50" s="19"/>
      <c r="H50" s="19"/>
      <c r="I50" s="19"/>
    </row>
    <row r="51" spans="2:33" ht="15.9" hidden="1" customHeight="1" outlineLevel="1" collapsed="1" x14ac:dyDescent="0.3">
      <c r="B51" s="26" t="s">
        <v>49</v>
      </c>
      <c r="C51" s="28"/>
      <c r="D51" s="10" t="s">
        <v>49</v>
      </c>
      <c r="E51" s="11">
        <f>SUM(E52:E68)</f>
        <v>322228996</v>
      </c>
      <c r="F51" s="11">
        <f>SUM(F52:F68)</f>
        <v>322228996</v>
      </c>
      <c r="G51" s="11">
        <f ca="1">SUM(G52:G68)</f>
        <v>333554814.31809217</v>
      </c>
      <c r="H51" s="11">
        <f ca="1">SUM(H52:H68)</f>
        <v>349899000.2196787</v>
      </c>
      <c r="I51" s="11">
        <f ca="1">SUM(I52:I68)</f>
        <v>366344253.2300036</v>
      </c>
      <c r="K51" s="420"/>
    </row>
    <row r="52" spans="2:33" s="33" customFormat="1" ht="15.9" hidden="1" customHeight="1" outlineLevel="2" x14ac:dyDescent="0.3">
      <c r="B52" s="32" t="s">
        <v>50</v>
      </c>
      <c r="C52" s="17" t="str">
        <f>VLOOKUP(B52,'[19]DETAILED OCT GS560'!F:AC,2,FALSE)</f>
        <v>P211001</v>
      </c>
      <c r="D52" s="18" t="s">
        <v>50</v>
      </c>
      <c r="E52" s="19">
        <f>SUMIF(DETAILED!O:O,'MTREF BUDGET 2023-24  Summary'!C52,DETAILED!S:S)</f>
        <v>248765221</v>
      </c>
      <c r="F52" s="19">
        <f>SUMIF(DETAILED!O:O,'MTREF BUDGET 2023-24  Summary'!C52,DETAILED!AE:AE)</f>
        <v>248765221</v>
      </c>
      <c r="G52" s="363">
        <f ca="1">SUMIF(DETAILED!O:O,'MTREF BUDGET 2023-24  Summary'!C52,DETAILED!AL:AL)</f>
        <v>249590050.29243028</v>
      </c>
      <c r="H52" s="19">
        <f ca="1">SUMIF(DETAILED!O:O,'MTREF BUDGET 2023-24  Summary'!C52,DETAILED!AM:AM)</f>
        <v>261819962.75675932</v>
      </c>
      <c r="I52" s="19">
        <f ca="1">SUMIF(DETAILED!O:O,'MTREF BUDGET 2023-24  Summary'!C52,DETAILED!AN:AN)</f>
        <v>274125501.00632703</v>
      </c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</row>
    <row r="53" spans="2:33" s="20" customFormat="1" ht="15.9" hidden="1" customHeight="1" outlineLevel="2" x14ac:dyDescent="0.3">
      <c r="B53" s="34" t="s">
        <v>51</v>
      </c>
      <c r="C53" s="17" t="str">
        <f>VLOOKUP(B53,'[19]DETAILED OCT GS560'!F:AC,2,FALSE)</f>
        <v>P211020</v>
      </c>
      <c r="D53" s="18" t="s">
        <v>51</v>
      </c>
      <c r="E53" s="19">
        <f>SUMIF(DETAILED!O:O,'MTREF BUDGET 2023-24  Summary'!C53,DETAILED!S:S)</f>
        <v>0</v>
      </c>
      <c r="F53" s="19">
        <f>SUMIF(DETAILED!O:O,'MTREF BUDGET 2023-24  Summary'!C53,DETAILED!AE:AE)</f>
        <v>0</v>
      </c>
      <c r="G53" s="19">
        <f>SUMIF(DETAILED!O:O,'MTREF BUDGET 2023-24  Summary'!C53,DETAILED!AL:AL)</f>
        <v>0</v>
      </c>
      <c r="H53" s="19">
        <f>SUMIF(DETAILED!O:O,'MTREF BUDGET 2023-24  Summary'!C53,DETAILED!AM:AM)</f>
        <v>0</v>
      </c>
      <c r="I53" s="19">
        <f>SUMIF(DETAILED!O:O,'MTREF BUDGET 2023-24  Summary'!C53,DETAILED!AN:AN)</f>
        <v>0</v>
      </c>
    </row>
    <row r="54" spans="2:33" s="20" customFormat="1" ht="15.9" hidden="1" customHeight="1" outlineLevel="2" x14ac:dyDescent="0.3">
      <c r="B54" s="34" t="s">
        <v>52</v>
      </c>
      <c r="C54" s="17" t="str">
        <f>VLOOKUP(B54,'[19]DETAILED OCT GS560'!F:AC,2,FALSE)</f>
        <v>P211022</v>
      </c>
      <c r="D54" s="18" t="s">
        <v>52</v>
      </c>
      <c r="E54" s="19">
        <f>SUMIF(DETAILED!O:O,'MTREF BUDGET 2023-24  Summary'!C54,DETAILED!S:S)</f>
        <v>745506</v>
      </c>
      <c r="F54" s="19">
        <f>SUMIF(DETAILED!O:O,'MTREF BUDGET 2023-24  Summary'!C54,DETAILED!AE:AE)</f>
        <v>745506</v>
      </c>
      <c r="G54" s="363">
        <f ca="1">SUMIF(DETAILED!O:O,'MTREF BUDGET 2023-24  Summary'!C54,DETAILED!AL:AL)</f>
        <v>718201.93336416362</v>
      </c>
      <c r="H54" s="19">
        <f ca="1">SUMIF(DETAILED!O:O,'MTREF BUDGET 2023-24  Summary'!C54,DETAILED!AM:AM)</f>
        <v>753393.82809900749</v>
      </c>
      <c r="I54" s="19">
        <f ca="1">SUMIF(DETAILED!O:O,'MTREF BUDGET 2023-24  Summary'!C54,DETAILED!AN:AN)</f>
        <v>788803.33801966079</v>
      </c>
    </row>
    <row r="55" spans="2:33" s="20" customFormat="1" ht="15.9" hidden="1" customHeight="1" outlineLevel="2" x14ac:dyDescent="0.3">
      <c r="B55" s="34" t="s">
        <v>53</v>
      </c>
      <c r="C55" s="17" t="str">
        <f>VLOOKUP(B55,'[19]DETAILED OCT GS560'!F:AC,2,FALSE)</f>
        <v>P211024</v>
      </c>
      <c r="D55" s="18" t="s">
        <v>53</v>
      </c>
      <c r="E55" s="19">
        <f>SUMIF(DETAILED!O:O,'MTREF BUDGET 2023-24  Summary'!C55,DETAILED!S:S)</f>
        <v>0</v>
      </c>
      <c r="F55" s="19">
        <f>SUMIF(DETAILED!O:O,'MTREF BUDGET 2023-24  Summary'!C55,DETAILED!AE:AE)</f>
        <v>0</v>
      </c>
      <c r="G55" s="19">
        <f>SUMIF(DETAILED!O:O,'MTREF BUDGET 2023-24  Summary'!C55,DETAILED!AL:AL)</f>
        <v>0</v>
      </c>
      <c r="H55" s="19">
        <f>SUMIF(DETAILED!O:O,'MTREF BUDGET 2023-24  Summary'!C55,DETAILED!AM:AM)</f>
        <v>0</v>
      </c>
      <c r="I55" s="19">
        <f>SUMIF(DETAILED!O:O,'MTREF BUDGET 2023-24  Summary'!C55,DETAILED!AN:AN)</f>
        <v>0</v>
      </c>
    </row>
    <row r="56" spans="2:33" s="20" customFormat="1" ht="15.9" hidden="1" customHeight="1" outlineLevel="2" x14ac:dyDescent="0.3">
      <c r="B56" s="34" t="s">
        <v>54</v>
      </c>
      <c r="C56" s="17" t="str">
        <f>VLOOKUP(B56,'[19]DETAILED OCT GS560'!F:AC,2,FALSE)</f>
        <v>P211026</v>
      </c>
      <c r="D56" s="18" t="s">
        <v>54</v>
      </c>
      <c r="E56" s="19">
        <f>SUMIF(DETAILED!O:O,'MTREF BUDGET 2023-24  Summary'!C56,DETAILED!S:S)</f>
        <v>8563552</v>
      </c>
      <c r="F56" s="19">
        <f>SUMIF(DETAILED!O:O,'MTREF BUDGET 2023-24  Summary'!C56,DETAILED!AE:AE)</f>
        <v>8563552</v>
      </c>
      <c r="G56" s="363">
        <f ca="1">SUMIF(DETAILED!O:O,'MTREF BUDGET 2023-24  Summary'!C56,DETAILED!AL:AL)</f>
        <v>8357750.5205262406</v>
      </c>
      <c r="H56" s="19">
        <f ca="1">SUMIF(DETAILED!O:O,'MTREF BUDGET 2023-24  Summary'!C56,DETAILED!AM:AM)</f>
        <v>8767280.2960320283</v>
      </c>
      <c r="I56" s="19">
        <f ca="1">SUMIF(DETAILED!O:O,'MTREF BUDGET 2023-24  Summary'!C56,DETAILED!AN:AN)</f>
        <v>9179342.4699455295</v>
      </c>
    </row>
    <row r="57" spans="2:33" s="20" customFormat="1" ht="15.9" hidden="1" customHeight="1" outlineLevel="2" x14ac:dyDescent="0.3">
      <c r="B57" s="16" t="s">
        <v>55</v>
      </c>
      <c r="C57" s="17" t="str">
        <f>VLOOKUP(B57,'[19]DETAILED OCT GS560'!F:AC,2,FALSE)</f>
        <v>P211032</v>
      </c>
      <c r="D57" s="18" t="s">
        <v>55</v>
      </c>
      <c r="E57" s="19">
        <f>SUMIF(DETAILED!O:O,'MTREF BUDGET 2023-24  Summary'!C57,DETAILED!S:S)</f>
        <v>1922756</v>
      </c>
      <c r="F57" s="19">
        <f>SUMIF(DETAILED!O:O,'MTREF BUDGET 2023-24  Summary'!C57,DETAILED!AE:AE)</f>
        <v>1922756</v>
      </c>
      <c r="G57" s="19">
        <f>SUMIF(DETAILED!O:O,'MTREF BUDGET 2023-24  Summary'!C57,DETAILED!AL:AL)</f>
        <v>1463125.5320000001</v>
      </c>
      <c r="H57" s="19">
        <f>SUMIF(DETAILED!O:O,'MTREF BUDGET 2023-24  Summary'!C57,DETAILED!AM:AM)</f>
        <v>1534818.683068</v>
      </c>
      <c r="I57" s="19">
        <f>SUMIF(DETAILED!O:O,'MTREF BUDGET 2023-24  Summary'!C57,DETAILED!AN:AN)</f>
        <v>1606955.1611721958</v>
      </c>
    </row>
    <row r="58" spans="2:33" s="20" customFormat="1" ht="15.9" hidden="1" customHeight="1" outlineLevel="2" x14ac:dyDescent="0.3">
      <c r="B58" s="16" t="s">
        <v>56</v>
      </c>
      <c r="C58" s="17" t="str">
        <f>VLOOKUP(B58,'[19]DETAILED OCT GS560'!F:AC,2,FALSE)</f>
        <v>P211034</v>
      </c>
      <c r="D58" s="18" t="s">
        <v>56</v>
      </c>
      <c r="E58" s="19">
        <f>SUMIF(DETAILED!O:O,'MTREF BUDGET 2023-24  Summary'!C58,DETAILED!S:S)</f>
        <v>1530743</v>
      </c>
      <c r="F58" s="19">
        <f>SUMIF(DETAILED!O:O,'MTREF BUDGET 2023-24  Summary'!C58,DETAILED!AE:AE)</f>
        <v>1530743</v>
      </c>
      <c r="G58" s="19">
        <f ca="1">SUMIF(DETAILED!O:O,'MTREF BUDGET 2023-24  Summary'!C58,DETAILED!AL:AL)</f>
        <v>18133610.81675813</v>
      </c>
      <c r="H58" s="19">
        <f ca="1">SUMIF(DETAILED!O:O,'MTREF BUDGET 2023-24  Summary'!C58,DETAILED!AM:AM)</f>
        <v>19022157.746779278</v>
      </c>
      <c r="I58" s="19">
        <f ca="1">SUMIF(DETAILED!O:O,'MTREF BUDGET 2023-24  Summary'!C58,DETAILED!AN:AN)</f>
        <v>19916199.160877895</v>
      </c>
    </row>
    <row r="59" spans="2:33" s="20" customFormat="1" ht="15.9" hidden="1" customHeight="1" outlineLevel="2" x14ac:dyDescent="0.3">
      <c r="B59" s="16" t="s">
        <v>57</v>
      </c>
      <c r="C59" s="17" t="str">
        <f>VLOOKUP(B59,'[19]DETAILED OCT GS560'!F:AC,2,FALSE)</f>
        <v>P211038</v>
      </c>
      <c r="D59" s="366" t="s">
        <v>57</v>
      </c>
      <c r="E59" s="19">
        <f>SUMIF(DETAILED!O:O,'MTREF BUDGET 2023-24  Summary'!C59,DETAILED!S:S)</f>
        <v>26365974</v>
      </c>
      <c r="F59" s="19">
        <f>SUMIF(DETAILED!O:O,'MTREF BUDGET 2023-24  Summary'!C59,DETAILED!AE:AE)</f>
        <v>26365974</v>
      </c>
      <c r="G59" s="19">
        <f>SUMIF(DETAILED!O:O,'MTREF BUDGET 2023-24  Summary'!C59,DETAILED!AL:AL)</f>
        <v>21092779.200000003</v>
      </c>
      <c r="H59" s="19">
        <f>SUMIF(DETAILED!O:O,'MTREF BUDGET 2023-24  Summary'!C59,DETAILED!AM:AM)</f>
        <v>22126325.380800005</v>
      </c>
      <c r="I59" s="19">
        <f>SUMIF(DETAILED!O:O,'MTREF BUDGET 2023-24  Summary'!C59,DETAILED!AN:AN)</f>
        <v>23166262.673697595</v>
      </c>
    </row>
    <row r="60" spans="2:33" s="20" customFormat="1" ht="15.9" hidden="1" customHeight="1" outlineLevel="2" x14ac:dyDescent="0.3">
      <c r="B60" s="34" t="s">
        <v>58</v>
      </c>
      <c r="C60" s="17" t="str">
        <f>VLOOKUP(B60,'[19]DETAILED OCT GS560'!F:AC,2,FALSE)</f>
        <v>P211036</v>
      </c>
      <c r="D60" s="18" t="s">
        <v>58</v>
      </c>
      <c r="E60" s="19">
        <f>SUMIF(DETAILED!O:O,'MTREF BUDGET 2023-24  Summary'!C60,DETAILED!S:S)</f>
        <v>0</v>
      </c>
      <c r="F60" s="19">
        <f>SUMIF(DETAILED!O:O,'MTREF BUDGET 2023-24  Summary'!C60,DETAILED!AE:AE)</f>
        <v>0</v>
      </c>
      <c r="G60" s="19">
        <f>SUMIF(DETAILED!O:O,'MTREF BUDGET 2023-24  Summary'!C60,DETAILED!AL:AL)</f>
        <v>0</v>
      </c>
      <c r="H60" s="19">
        <f>SUMIF(DETAILED!O:O,'MTREF BUDGET 2023-24  Summary'!C60,DETAILED!AM:AM)</f>
        <v>0</v>
      </c>
      <c r="I60" s="19">
        <f>SUMIF(DETAILED!O:O,'MTREF BUDGET 2023-24  Summary'!C60,DETAILED!AN:AN)</f>
        <v>0</v>
      </c>
    </row>
    <row r="61" spans="2:33" s="20" customFormat="1" ht="15.9" hidden="1" customHeight="1" outlineLevel="2" x14ac:dyDescent="0.3">
      <c r="B61" s="34" t="s">
        <v>59</v>
      </c>
      <c r="C61" s="17" t="str">
        <f>VLOOKUP(B61,'[19]DETAILED OCT GS560'!F:AC,2,FALSE)</f>
        <v>P211040</v>
      </c>
      <c r="D61" s="366" t="s">
        <v>59</v>
      </c>
      <c r="E61" s="19">
        <f>SUMIF(DETAILED!O:O,'MTREF BUDGET 2023-24  Summary'!C61,DETAILED!S:S)</f>
        <v>5025827</v>
      </c>
      <c r="F61" s="19">
        <f>SUMIF(DETAILED!O:O,'MTREF BUDGET 2023-24  Summary'!C61,DETAILED!AE:AE)</f>
        <v>5025827</v>
      </c>
      <c r="G61" s="19">
        <f>SUMIF(DETAILED!O:O,'MTREF BUDGET 2023-24  Summary'!C61,DETAILED!AL:AL)</f>
        <v>5292195.8309999993</v>
      </c>
      <c r="H61" s="19">
        <f>SUMIF(DETAILED!O:O,'MTREF BUDGET 2023-24  Summary'!C61,DETAILED!AM:AM)</f>
        <v>5551513.4267189987</v>
      </c>
      <c r="I61" s="19">
        <f>SUMIF(DETAILED!O:O,'MTREF BUDGET 2023-24  Summary'!C61,DETAILED!AN:AN)</f>
        <v>5812434.5577747915</v>
      </c>
    </row>
    <row r="62" spans="2:33" s="20" customFormat="1" ht="15.9" hidden="1" customHeight="1" outlineLevel="2" x14ac:dyDescent="0.3">
      <c r="B62" s="34" t="s">
        <v>60</v>
      </c>
      <c r="C62" s="17" t="str">
        <f>VLOOKUP(B62,'[19]DETAILED OCT GS560'!F:AC,2,FALSE)</f>
        <v>P211042</v>
      </c>
      <c r="D62" s="366" t="s">
        <v>60</v>
      </c>
      <c r="E62" s="19">
        <f>SUMIF(DETAILED!O:O,'MTREF BUDGET 2023-24  Summary'!C62,DETAILED!S:S)</f>
        <v>1762983</v>
      </c>
      <c r="F62" s="19">
        <f>SUMIF(DETAILED!O:O,'MTREF BUDGET 2023-24  Summary'!C62,DETAILED!AE:AE)</f>
        <v>1762983</v>
      </c>
      <c r="G62" s="19">
        <f>SUMIF(DETAILED!O:O,'MTREF BUDGET 2023-24  Summary'!C62,DETAILED!AL:AL)</f>
        <v>1856421.0989999999</v>
      </c>
      <c r="H62" s="19">
        <f>SUMIF(DETAILED!O:O,'MTREF BUDGET 2023-24  Summary'!C62,DETAILED!AM:AM)</f>
        <v>1947385.7328509996</v>
      </c>
      <c r="I62" s="19">
        <f>SUMIF(DETAILED!O:O,'MTREF BUDGET 2023-24  Summary'!C62,DETAILED!AN:AN)</f>
        <v>2038912.8622949966</v>
      </c>
    </row>
    <row r="63" spans="2:33" s="20" customFormat="1" ht="15.9" hidden="1" customHeight="1" outlineLevel="2" x14ac:dyDescent="0.3">
      <c r="B63" s="34" t="s">
        <v>61</v>
      </c>
      <c r="C63" s="17" t="str">
        <f>VLOOKUP(B63,'[19]DETAILED OCT GS560'!F:AC,2,FALSE)</f>
        <v>P211044</v>
      </c>
      <c r="D63" s="18" t="s">
        <v>61</v>
      </c>
      <c r="E63" s="19">
        <f>SUMIF(DETAILED!O:O,'MTREF BUDGET 2023-24  Summary'!C63,DETAILED!S:S)</f>
        <v>0</v>
      </c>
      <c r="F63" s="19">
        <f>SUMIF(DETAILED!O:O,'MTREF BUDGET 2023-24  Summary'!C63,DETAILED!AE:AE)</f>
        <v>0</v>
      </c>
      <c r="G63" s="19">
        <f>SUMIF(DETAILED!O:O,'MTREF BUDGET 2023-24  Summary'!C63,DETAILED!AL:AL)</f>
        <v>0</v>
      </c>
      <c r="H63" s="19">
        <f>SUMIF(DETAILED!O:O,'MTREF BUDGET 2023-24  Summary'!C63,DETAILED!AM:AM)</f>
        <v>0</v>
      </c>
      <c r="I63" s="19">
        <f>SUMIF(DETAILED!O:O,'MTREF BUDGET 2023-24  Summary'!C63,DETAILED!AN:AN)</f>
        <v>0</v>
      </c>
    </row>
    <row r="64" spans="2:33" s="20" customFormat="1" ht="15.9" hidden="1" customHeight="1" outlineLevel="2" x14ac:dyDescent="0.3">
      <c r="B64" s="34" t="s">
        <v>62</v>
      </c>
      <c r="C64" s="17" t="str">
        <f>VLOOKUP(B64,'[19]DETAILED OCT GS560'!F:AC,2,FALSE)</f>
        <v>P211046</v>
      </c>
      <c r="D64" s="18" t="s">
        <v>62</v>
      </c>
      <c r="E64" s="19">
        <f>SUMIF(DETAILED!O:O,'MTREF BUDGET 2023-24  Summary'!C64,DETAILED!S:S)</f>
        <v>19551097</v>
      </c>
      <c r="F64" s="19">
        <f>SUMIF(DETAILED!O:O,'MTREF BUDGET 2023-24  Summary'!C64,DETAILED!AE:AE)</f>
        <v>19551097</v>
      </c>
      <c r="G64" s="19">
        <f ca="1">SUMIF(DETAILED!O:O,'MTREF BUDGET 2023-24  Summary'!C64,DETAILED!AL:AL)</f>
        <v>18631589.232013401</v>
      </c>
      <c r="H64" s="19">
        <f ca="1">SUMIF(DETAILED!O:O,'MTREF BUDGET 2023-24  Summary'!C64,DETAILED!AM:AM)</f>
        <v>19544537.104382049</v>
      </c>
      <c r="I64" s="19">
        <f ca="1">SUMIF(DETAILED!O:O,'MTREF BUDGET 2023-24  Summary'!C64,DETAILED!AN:AN)</f>
        <v>20463130.348288015</v>
      </c>
    </row>
    <row r="65" spans="2:13" s="20" customFormat="1" ht="15.9" hidden="1" customHeight="1" outlineLevel="2" x14ac:dyDescent="0.3">
      <c r="B65" s="34" t="s">
        <v>63</v>
      </c>
      <c r="C65" s="17" t="str">
        <f>VLOOKUP(B65,'[19]DETAILED OCT GS560'!F:AC,2,FALSE)</f>
        <v>P211050</v>
      </c>
      <c r="D65" s="18" t="s">
        <v>63</v>
      </c>
      <c r="E65" s="19">
        <f>SUMIF(DETAILED!O:O,'MTREF BUDGET 2023-24  Summary'!C65,DETAILED!S:S)</f>
        <v>0</v>
      </c>
      <c r="F65" s="19">
        <f>SUMIF(DETAILED!O:O,'MTREF BUDGET 2023-24  Summary'!C65,DETAILED!AE:AE)</f>
        <v>0</v>
      </c>
      <c r="G65" s="19">
        <f>SUMIF(DETAILED!O:O,'MTREF BUDGET 2023-24  Summary'!C65,DETAILED!AL:AL)</f>
        <v>0</v>
      </c>
      <c r="H65" s="19">
        <f>SUMIF(DETAILED!O:O,'MTREF BUDGET 2023-24  Summary'!C65,DETAILED!AM:AM)</f>
        <v>0</v>
      </c>
      <c r="I65" s="19">
        <f>SUMIF(DETAILED!O:O,'MTREF BUDGET 2023-24  Summary'!C65,DETAILED!AN:AN)</f>
        <v>0</v>
      </c>
    </row>
    <row r="66" spans="2:13" s="20" customFormat="1" ht="15.9" hidden="1" customHeight="1" outlineLevel="2" x14ac:dyDescent="0.3">
      <c r="B66" s="34" t="s">
        <v>64</v>
      </c>
      <c r="C66" s="17" t="str">
        <f>VLOOKUP(B66,'[19]DETAILED OCT GS560'!F:AC,2,FALSE)</f>
        <v>P211056</v>
      </c>
      <c r="D66" s="366" t="s">
        <v>64</v>
      </c>
      <c r="E66" s="19">
        <f>SUMIF(DETAILED!O:O,'MTREF BUDGET 2023-24  Summary'!C66,DETAILED!S:S)</f>
        <v>7995337</v>
      </c>
      <c r="F66" s="19">
        <f>SUMIF(DETAILED!O:O,'MTREF BUDGET 2023-24  Summary'!C66,DETAILED!AE:AE)</f>
        <v>7995337</v>
      </c>
      <c r="G66" s="19">
        <f>SUMIF(DETAILED!O:O,'MTREF BUDGET 2023-24  Summary'!C66,DETAILED!AL:AL)</f>
        <v>8419089.8609999996</v>
      </c>
      <c r="H66" s="19">
        <f>SUMIF(DETAILED!O:O,'MTREF BUDGET 2023-24  Summary'!C66,DETAILED!AM:AM)</f>
        <v>8831625.2641889993</v>
      </c>
      <c r="I66" s="19">
        <f>SUMIF(DETAILED!O:O,'MTREF BUDGET 2023-24  Summary'!C66,DETAILED!AN:AN)</f>
        <v>9246711.6516058836</v>
      </c>
    </row>
    <row r="67" spans="2:13" s="20" customFormat="1" ht="15.9" hidden="1" customHeight="1" outlineLevel="2" x14ac:dyDescent="0.3">
      <c r="B67" s="34" t="s">
        <v>65</v>
      </c>
      <c r="C67" s="17" t="str">
        <f>VLOOKUP(B67,'[19]DETAILED OCT GS560'!F:AC,2,FALSE)</f>
        <v>P211058</v>
      </c>
      <c r="D67" s="18" t="s">
        <v>65</v>
      </c>
      <c r="E67" s="19">
        <f>SUMIF(DETAILED!O:O,'MTREF BUDGET 2023-24  Summary'!C67,DETAILED!S:S)</f>
        <v>0</v>
      </c>
      <c r="F67" s="19">
        <f>SUMIF(DETAILED!O:O,'MTREF BUDGET 2023-24  Summary'!C67,DETAILED!AE:AE)</f>
        <v>0</v>
      </c>
      <c r="G67" s="19">
        <f>SUMIF(DETAILED!O:O,'MTREF BUDGET 2023-24  Summary'!C67,DETAILED!AL:AL)</f>
        <v>0</v>
      </c>
      <c r="H67" s="19">
        <f>SUMIF(DETAILED!O:O,'MTREF BUDGET 2023-24  Summary'!C67,DETAILED!AM:AM)</f>
        <v>0</v>
      </c>
      <c r="I67" s="19">
        <f>SUMIF(DETAILED!O:O,'MTREF BUDGET 2023-24  Summary'!C67,DETAILED!AN:AN)</f>
        <v>0</v>
      </c>
    </row>
    <row r="68" spans="2:13" s="20" customFormat="1" ht="15.9" hidden="1" customHeight="1" outlineLevel="2" x14ac:dyDescent="0.3">
      <c r="B68" s="16" t="s">
        <v>66</v>
      </c>
      <c r="C68" s="17" t="s">
        <v>67</v>
      </c>
      <c r="D68" s="18" t="s">
        <v>66</v>
      </c>
      <c r="E68" s="19">
        <f>SUMIF(DETAILED!O:O,'MTREF BUDGET 2023-24  Summary'!C68,DETAILED!S:S)</f>
        <v>0</v>
      </c>
      <c r="F68" s="19">
        <f>SUMIF(DETAILED!O:O,'MTREF BUDGET 2023-24  Summary'!C68,DETAILED!AE:AE)</f>
        <v>0</v>
      </c>
      <c r="G68" s="19">
        <f>SUMIF(DETAILED!O:O,'MTREF BUDGET 2023-24  Summary'!C68,DETAILED!AL:AL)</f>
        <v>0</v>
      </c>
      <c r="H68" s="19">
        <f>SUMIF(DETAILED!O:O,'MTREF BUDGET 2023-24  Summary'!C68,DETAILED!AM:AM)</f>
        <v>0</v>
      </c>
      <c r="I68" s="19">
        <f>SUMIF(DETAILED!O:O,'MTREF BUDGET 2023-24  Summary'!C68,DETAILED!AN:AN)</f>
        <v>0</v>
      </c>
    </row>
    <row r="69" spans="2:13" ht="15.9" hidden="1" customHeight="1" outlineLevel="1" collapsed="1" x14ac:dyDescent="0.3">
      <c r="B69" s="26" t="s">
        <v>68</v>
      </c>
      <c r="C69" s="28"/>
      <c r="D69" s="10" t="s">
        <v>68</v>
      </c>
      <c r="E69" s="11">
        <f>SUM(E70:E74)</f>
        <v>93434588</v>
      </c>
      <c r="F69" s="11">
        <f>SUM(F70:F74)</f>
        <v>93434588</v>
      </c>
      <c r="G69" s="11">
        <f t="shared" ref="G69:I69" ca="1" si="7">SUM(G70:G74)</f>
        <v>103940467.79306886</v>
      </c>
      <c r="H69" s="11">
        <f t="shared" ca="1" si="7"/>
        <v>109033550.71492924</v>
      </c>
      <c r="I69" s="11">
        <f t="shared" ca="1" si="7"/>
        <v>114611127.5985309</v>
      </c>
      <c r="K69" s="20"/>
      <c r="L69" s="20"/>
      <c r="M69" s="20"/>
    </row>
    <row r="70" spans="2:13" s="20" customFormat="1" ht="15.9" hidden="1" customHeight="1" outlineLevel="2" x14ac:dyDescent="0.3">
      <c r="B70" s="35" t="s">
        <v>69</v>
      </c>
      <c r="C70" s="17" t="str">
        <f>VLOOKUP(B70,'[19]DETAILED OCT GS560'!F:AC,2,FALSE)</f>
        <v>P213001</v>
      </c>
      <c r="D70" s="29" t="s">
        <v>69</v>
      </c>
      <c r="E70" s="19">
        <f>SUMIF(DETAILED!O:O,'MTREF BUDGET 2023-24  Summary'!C70,DETAILED!S:S)</f>
        <v>91450</v>
      </c>
      <c r="F70" s="19">
        <f>SUMIF(DETAILED!O:O,'MTREF BUDGET 2023-24  Summary'!C70,DETAILED!AE:AE)</f>
        <v>91450</v>
      </c>
      <c r="G70" s="19">
        <f ca="1">SUMIF(DETAILED!O:O,'MTREF BUDGET 2023-24  Summary'!C70,DETAILED!AL:AL)</f>
        <v>89214.830903480222</v>
      </c>
      <c r="H70" s="19">
        <f ca="1">SUMIF(DETAILED!O:O,'MTREF BUDGET 2023-24  Summary'!C70,DETAILED!AM:AM)</f>
        <v>93586.357617750764</v>
      </c>
      <c r="I70" s="19">
        <f ca="1">SUMIF(DETAILED!O:O,'MTREF BUDGET 2023-24  Summary'!C70,DETAILED!AN:AN)</f>
        <v>97984.916425785006</v>
      </c>
    </row>
    <row r="71" spans="2:13" s="20" customFormat="1" ht="15.9" hidden="1" customHeight="1" outlineLevel="2" x14ac:dyDescent="0.3">
      <c r="B71" s="35" t="s">
        <v>70</v>
      </c>
      <c r="C71" s="17" t="str">
        <f>VLOOKUP(B71,'[19]DETAILED OCT GS560'!F:AC,2,FALSE)</f>
        <v>P213010</v>
      </c>
      <c r="D71" s="29" t="s">
        <v>70</v>
      </c>
      <c r="E71" s="19">
        <f>SUMIF(DETAILED!O:O,'MTREF BUDGET 2023-24  Summary'!C71,DETAILED!S:S)</f>
        <v>4204309</v>
      </c>
      <c r="F71" s="19">
        <f>SUMIF(DETAILED!O:O,'MTREF BUDGET 2023-24  Summary'!C71,DETAILED!AE:AE)</f>
        <v>4204309</v>
      </c>
      <c r="G71" s="19">
        <f ca="1">SUMIF(DETAILED!O:O,'MTREF BUDGET 2023-24  Summary'!C71,DETAILED!AL:AL)</f>
        <v>18906060.359453052</v>
      </c>
      <c r="H71" s="19">
        <f ca="1">SUMIF(DETAILED!O:O,'MTREF BUDGET 2023-24  Summary'!C71,DETAILED!AM:AM)</f>
        <v>19832457.317066252</v>
      </c>
      <c r="I71" s="19">
        <f ca="1">SUMIF(DETAILED!O:O,'MTREF BUDGET 2023-24  Summary'!C71,DETAILED!AN:AN)</f>
        <v>20764582.810968366</v>
      </c>
    </row>
    <row r="72" spans="2:13" s="20" customFormat="1" ht="15.9" hidden="1" customHeight="1" outlineLevel="2" x14ac:dyDescent="0.3">
      <c r="B72" s="16" t="s">
        <v>71</v>
      </c>
      <c r="C72" s="17" t="str">
        <f>VLOOKUP(B72,'[19]DETAILED OCT GS560'!F:AC,2,FALSE)</f>
        <v>P213020</v>
      </c>
      <c r="D72" s="16" t="s">
        <v>71</v>
      </c>
      <c r="E72" s="19">
        <f>SUMIF(DETAILED!O:O,'MTREF BUDGET 2023-24  Summary'!C72,DETAILED!S:S)</f>
        <v>42859108</v>
      </c>
      <c r="F72" s="19">
        <f>SUMIF(DETAILED!O:O,'MTREF BUDGET 2023-24  Summary'!C72,DETAILED!AE:AE)</f>
        <v>42859108</v>
      </c>
      <c r="G72" s="19">
        <f ca="1">SUMIF(DETAILED!O:O,'MTREF BUDGET 2023-24  Summary'!C72,DETAILED!AL:AL)</f>
        <v>41360446.731695443</v>
      </c>
      <c r="H72" s="19">
        <f ca="1">SUMIF(DETAILED!O:O,'MTREF BUDGET 2023-24  Summary'!C72,DETAILED!AM:AM)</f>
        <v>43387108.621548526</v>
      </c>
      <c r="I72" s="19">
        <f ca="1">SUMIF(DETAILED!O:O,'MTREF BUDGET 2023-24  Summary'!C72,DETAILED!AN:AN)</f>
        <v>45879302.726761296</v>
      </c>
    </row>
    <row r="73" spans="2:13" s="20" customFormat="1" ht="15.9" hidden="1" customHeight="1" outlineLevel="2" x14ac:dyDescent="0.3">
      <c r="B73" s="35" t="s">
        <v>72</v>
      </c>
      <c r="C73" s="17" t="str">
        <f>VLOOKUP(B73,'[19]DETAILED OCT GS560'!F:AC,2,FALSE)</f>
        <v>P213030</v>
      </c>
      <c r="D73" s="29" t="s">
        <v>72</v>
      </c>
      <c r="E73" s="19">
        <f>SUMIF(DETAILED!O:O,'MTREF BUDGET 2023-24  Summary'!C73,DETAILED!S:S)</f>
        <v>44689313</v>
      </c>
      <c r="F73" s="19">
        <f>SUMIF(DETAILED!O:O,'MTREF BUDGET 2023-24  Summary'!C73,DETAILED!AE:AE)</f>
        <v>44689313</v>
      </c>
      <c r="G73" s="19">
        <f ca="1">SUMIF(DETAILED!O:O,'MTREF BUDGET 2023-24  Summary'!C73,DETAILED!AL:AL)</f>
        <v>42121641.751760252</v>
      </c>
      <c r="H73" s="19">
        <f ca="1">SUMIF(DETAILED!O:O,'MTREF BUDGET 2023-24  Summary'!C73,DETAILED!AM:AM)</f>
        <v>44185602.197596513</v>
      </c>
      <c r="I73" s="19">
        <f ca="1">SUMIF(DETAILED!O:O,'MTREF BUDGET 2023-24  Summary'!C73,DETAILED!AN:AN)</f>
        <v>46262325.500883557</v>
      </c>
    </row>
    <row r="74" spans="2:13" s="20" customFormat="1" ht="15.9" hidden="1" customHeight="1" outlineLevel="2" x14ac:dyDescent="0.3">
      <c r="B74" s="35" t="s">
        <v>73</v>
      </c>
      <c r="C74" s="17" t="str">
        <f>VLOOKUP(B74,'[19]DETAILED OCT GS560'!F:AC,2,FALSE)</f>
        <v>P213040</v>
      </c>
      <c r="D74" s="29" t="s">
        <v>73</v>
      </c>
      <c r="E74" s="19">
        <f>SUMIF(DETAILED!O:O,'MTREF BUDGET 2023-24  Summary'!C74,DETAILED!S:S)</f>
        <v>1590408</v>
      </c>
      <c r="F74" s="19">
        <f>SUMIF(DETAILED!O:O,'MTREF BUDGET 2023-24  Summary'!C74,DETAILED!AE:AE)</f>
        <v>1590408</v>
      </c>
      <c r="G74" s="19">
        <f ca="1">SUMIF(DETAILED!O:O,'MTREF BUDGET 2023-24  Summary'!C74,DETAILED!AL:AL)</f>
        <v>1463104.1192566212</v>
      </c>
      <c r="H74" s="19">
        <f ca="1">SUMIF(DETAILED!O:O,'MTREF BUDGET 2023-24  Summary'!C74,DETAILED!AM:AM)</f>
        <v>1534796.2211001951</v>
      </c>
      <c r="I74" s="19">
        <f ca="1">SUMIF(DETAILED!O:O,'MTREF BUDGET 2023-24  Summary'!C74,DETAILED!AN:AN)</f>
        <v>1606931.643491904</v>
      </c>
    </row>
    <row r="75" spans="2:13" s="20" customFormat="1" ht="15.9" hidden="1" customHeight="1" outlineLevel="1" collapsed="1" x14ac:dyDescent="0.3">
      <c r="B75" s="30"/>
      <c r="C75" s="36"/>
      <c r="D75" s="10"/>
      <c r="E75" s="11"/>
      <c r="F75" s="11"/>
      <c r="G75" s="11"/>
      <c r="H75" s="11"/>
      <c r="I75" s="11"/>
    </row>
    <row r="76" spans="2:13" ht="15.9" hidden="1" customHeight="1" collapsed="1" x14ac:dyDescent="0.3">
      <c r="B76" s="26" t="s">
        <v>74</v>
      </c>
      <c r="C76" s="28"/>
      <c r="D76" s="10" t="s">
        <v>74</v>
      </c>
      <c r="E76" s="11">
        <f>SUM(E77:E79)</f>
        <v>204086817</v>
      </c>
      <c r="F76" s="11">
        <f>SUM(F77:F79)</f>
        <v>192127235.07999998</v>
      </c>
      <c r="G76" s="11">
        <f>SUM(G77:G79)</f>
        <v>160322733</v>
      </c>
      <c r="H76" s="11">
        <f>SUM(H77:H79)</f>
        <v>167697578.71799999</v>
      </c>
      <c r="I76" s="11">
        <f>SUM(I77:I79)</f>
        <v>175411667.339028</v>
      </c>
      <c r="K76" s="20"/>
      <c r="L76" s="20"/>
      <c r="M76" s="20"/>
    </row>
    <row r="77" spans="2:13" s="20" customFormat="1" ht="15.9" hidden="1" customHeight="1" outlineLevel="1" x14ac:dyDescent="0.3">
      <c r="B77" s="34" t="s">
        <v>75</v>
      </c>
      <c r="C77" s="17" t="s">
        <v>76</v>
      </c>
      <c r="D77" s="73" t="s">
        <v>75</v>
      </c>
      <c r="E77" s="19">
        <f>SUMIF(DETAILED!O:O,'MTREF BUDGET 2023-24  Summary'!C77,DETAILED!S:S)</f>
        <v>19109608</v>
      </c>
      <c r="F77" s="19">
        <f>SUMIF(DETAILED!O:O,'MTREF BUDGET 2023-24  Summary'!C77,DETAILED!AE:AE)</f>
        <v>14800026.08</v>
      </c>
      <c r="G77" s="19">
        <f>SUMIF(DETAILED!O:O,'MTREF BUDGET 2023-24  Summary'!C77,DETAILED!AL:AL)</f>
        <v>13365267</v>
      </c>
      <c r="H77" s="19">
        <f>SUMIF(DETAILED!O:O,'MTREF BUDGET 2023-24  Summary'!C77,DETAILED!AM:AM)</f>
        <v>13980069.282</v>
      </c>
      <c r="I77" s="19">
        <f>SUMIF(DETAILED!O:O,'MTREF BUDGET 2023-24  Summary'!C77,DETAILED!AN:AN)</f>
        <v>14623152.468972001</v>
      </c>
    </row>
    <row r="78" spans="2:13" s="20" customFormat="1" ht="15.9" hidden="1" customHeight="1" outlineLevel="1" x14ac:dyDescent="0.3">
      <c r="B78" s="34" t="s">
        <v>77</v>
      </c>
      <c r="C78" s="17" t="s">
        <v>78</v>
      </c>
      <c r="D78" s="73" t="s">
        <v>77</v>
      </c>
      <c r="E78" s="19">
        <f>SUMIF(DETAILED!O:O,'MTREF BUDGET 2023-24  Summary'!C78,DETAILED!S:S)</f>
        <v>66472902</v>
      </c>
      <c r="F78" s="19">
        <f>SUMIF(DETAILED!O:O,'MTREF BUDGET 2023-24  Summary'!C78,DETAILED!AE:AE)</f>
        <v>64522902</v>
      </c>
      <c r="G78" s="19">
        <f>SUMIF(DETAILED!O:O,'MTREF BUDGET 2023-24  Summary'!C78,DETAILED!AL:AL)</f>
        <v>63945763</v>
      </c>
      <c r="H78" s="19">
        <f>SUMIF(DETAILED!O:O,'MTREF BUDGET 2023-24  Summary'!C78,DETAILED!AM:AM)</f>
        <v>66887268.098000005</v>
      </c>
      <c r="I78" s="19">
        <f>SUMIF(DETAILED!O:O,'MTREF BUDGET 2023-24  Summary'!C78,DETAILED!AN:AN)</f>
        <v>69964082.430508003</v>
      </c>
      <c r="K78" s="37"/>
    </row>
    <row r="79" spans="2:13" s="20" customFormat="1" ht="15.9" hidden="1" customHeight="1" outlineLevel="1" x14ac:dyDescent="0.3">
      <c r="B79" s="34" t="s">
        <v>79</v>
      </c>
      <c r="C79" s="17" t="s">
        <v>80</v>
      </c>
      <c r="D79" s="73" t="s">
        <v>79</v>
      </c>
      <c r="E79" s="19">
        <f>SUMIF(DETAILED!O:O,'MTREF BUDGET 2023-24  Summary'!C79,DETAILED!S:S)</f>
        <v>118504307</v>
      </c>
      <c r="F79" s="19">
        <f>SUMIF(DETAILED!O:O,'MTREF BUDGET 2023-24  Summary'!C79,DETAILED!AE:AE)</f>
        <v>112804307</v>
      </c>
      <c r="G79" s="19">
        <f>SUMIF(DETAILED!O:O,'MTREF BUDGET 2023-24  Summary'!C79,DETAILED!AL:AL)</f>
        <v>83011703</v>
      </c>
      <c r="H79" s="19">
        <f>SUMIF(DETAILED!O:O,'MTREF BUDGET 2023-24  Summary'!C79,DETAILED!AM:AM)</f>
        <v>86830241.338</v>
      </c>
      <c r="I79" s="19">
        <f>SUMIF(DETAILED!O:O,'MTREF BUDGET 2023-24  Summary'!C79,DETAILED!AN:AN)</f>
        <v>90824432.439548001</v>
      </c>
    </row>
    <row r="80" spans="2:13" s="20" customFormat="1" ht="15.9" hidden="1" customHeight="1" collapsed="1" x14ac:dyDescent="0.3">
      <c r="B80" s="34" t="s">
        <v>81</v>
      </c>
      <c r="C80" s="17" t="s">
        <v>82</v>
      </c>
      <c r="D80" s="29" t="s">
        <v>81</v>
      </c>
      <c r="E80" s="19">
        <f>SUMIF(DETAILED!O:O,'MTREF BUDGET 2023-24  Summary'!C80,DETAILED!S:S)</f>
        <v>98120233</v>
      </c>
      <c r="F80" s="19">
        <f>SUMIF(DETAILED!O:O,'MTREF BUDGET 2023-24  Summary'!C80,DETAILED!AE:AE)</f>
        <v>100632621</v>
      </c>
      <c r="G80" s="19">
        <f>SUMIF(DETAILED!O:O,'MTREF BUDGET 2023-24  Summary'!C80,DETAILED!AL:AL)</f>
        <v>100689966.895</v>
      </c>
      <c r="H80" s="19">
        <f>SUMIF(DETAILED!O:O,'MTREF BUDGET 2023-24  Summary'!C80,DETAILED!AM:AM)</f>
        <v>105321705.37217</v>
      </c>
      <c r="I80" s="19">
        <f>SUMIF(DETAILED!O:O,'MTREF BUDGET 2023-24  Summary'!C80,DETAILED!AN:AN)</f>
        <v>110166503.8192898</v>
      </c>
    </row>
    <row r="81" spans="2:13" s="20" customFormat="1" ht="15.9" hidden="1" customHeight="1" x14ac:dyDescent="0.3">
      <c r="B81" s="16" t="s">
        <v>83</v>
      </c>
      <c r="C81" s="17" t="str">
        <f>VLOOKUP(B81,'[19]DETAILED OCT GS560'!F:AC,2,FALSE)</f>
        <v>P232360</v>
      </c>
      <c r="D81" s="29" t="s">
        <v>84</v>
      </c>
      <c r="E81" s="19">
        <f>SUMIF(DETAILED!O:O,'MTREF BUDGET 2023-24  Summary'!C81,DETAILED!S:S)</f>
        <v>52595327</v>
      </c>
      <c r="F81" s="19">
        <f>SUMIF(DETAILED!O:O,'MTREF BUDGET 2023-24  Summary'!C81,DETAILED!AE:AE)</f>
        <v>60495594.899999999</v>
      </c>
      <c r="G81" s="19">
        <f>SUMIF(DETAILED!O:O,'MTREF BUDGET 2023-24  Summary'!C81,DETAILED!AL:AL)</f>
        <v>48614565.342349991</v>
      </c>
      <c r="H81" s="19">
        <f>SUMIF(DETAILED!O:O,'MTREF BUDGET 2023-24  Summary'!C81,DETAILED!AM:AM)</f>
        <v>50850835.348098099</v>
      </c>
      <c r="I81" s="19">
        <f>SUMIF(DETAILED!O:O,'MTREF BUDGET 2023-24  Summary'!C81,DETAILED!AN:AN)</f>
        <v>53189973.774110615</v>
      </c>
    </row>
    <row r="82" spans="2:13" s="20" customFormat="1" ht="14.4" hidden="1" x14ac:dyDescent="0.3">
      <c r="B82" s="34" t="s">
        <v>85</v>
      </c>
      <c r="C82" s="17" t="s">
        <v>86</v>
      </c>
      <c r="D82" s="29" t="s">
        <v>85</v>
      </c>
      <c r="E82" s="19">
        <f>SUMIF(DETAILED!O:O,'MTREF BUDGET 2023-24  Summary'!C82,DETAILED!S:S)</f>
        <v>2145935055</v>
      </c>
      <c r="F82" s="19">
        <f>SUMIF(DETAILED!O:O,'MTREF BUDGET 2023-24  Summary'!C82,DETAILED!AE:AE)</f>
        <v>2101176437</v>
      </c>
      <c r="G82" s="19">
        <f>DETAILED!AL666</f>
        <v>2199931730</v>
      </c>
      <c r="H82" s="19">
        <f>DETAILED!AM666</f>
        <v>2301128589.5799999</v>
      </c>
      <c r="I82" s="19">
        <f>DETAILED!AN666</f>
        <v>2406980504.7006798</v>
      </c>
    </row>
    <row r="83" spans="2:13" s="20" customFormat="1" ht="15.9" hidden="1" customHeight="1" x14ac:dyDescent="0.3">
      <c r="B83" s="38" t="s">
        <v>87</v>
      </c>
      <c r="C83" s="17" t="s">
        <v>88</v>
      </c>
      <c r="D83" s="29" t="s">
        <v>89</v>
      </c>
      <c r="E83" s="19">
        <f>SUMIF(DETAILED!O:O,'MTREF BUDGET 2023-24  Summary'!C83,DETAILED!S:S)</f>
        <v>240806</v>
      </c>
      <c r="F83" s="19">
        <f>SUMIF(DETAILED!O:O,'MTREF BUDGET 2023-24  Summary'!C83,DETAILED!AE:AE)</f>
        <v>240806</v>
      </c>
      <c r="G83" s="19">
        <f>SUMIF(DETAILED!O:O,'MTREF BUDGET 2023-24  Summary'!C83,DETAILED!AL:AL)</f>
        <v>240806</v>
      </c>
      <c r="H83" s="19">
        <f>SUMIF(DETAILED!O:O,'MTREF BUDGET 2023-24  Summary'!C83,DETAILED!AM:AM)</f>
        <v>251883.076</v>
      </c>
      <c r="I83" s="19">
        <f>SUMIF(DETAILED!O:O,'MTREF BUDGET 2023-24  Summary'!C83,DETAILED!AN:AN)</f>
        <v>263469.69749600004</v>
      </c>
    </row>
    <row r="84" spans="2:13" s="20" customFormat="1" ht="15.9" hidden="1" customHeight="1" x14ac:dyDescent="0.3">
      <c r="B84" s="16" t="s">
        <v>90</v>
      </c>
      <c r="C84" s="17" t="str">
        <f>VLOOKUP(B84,'[19]DETAILED OCT GS560'!F:AC,2,FALSE)</f>
        <v>P236090</v>
      </c>
      <c r="D84" s="29" t="s">
        <v>90</v>
      </c>
      <c r="E84" s="19">
        <f>SUMIF(DETAILED!O:O,'MTREF BUDGET 2023-24  Summary'!C84,DETAILED!S:S)</f>
        <v>120000000</v>
      </c>
      <c r="F84" s="19">
        <f>SUMIF(DETAILED!O:O,'MTREF BUDGET 2023-24  Summary'!C84,DETAILED!AE:AE)</f>
        <v>120000000</v>
      </c>
      <c r="G84" s="19">
        <f>SUMIF(DETAILED!O:O,'MTREF BUDGET 2023-24  Summary'!C84,DETAILED!AL:AL)</f>
        <v>120000000</v>
      </c>
      <c r="H84" s="19">
        <f>SUMIF(DETAILED!O:O,'MTREF BUDGET 2023-24  Summary'!C84,DETAILED!AM:AM)</f>
        <v>120000000</v>
      </c>
      <c r="I84" s="19">
        <f>SUMIF(DETAILED!O:O,'MTREF BUDGET 2023-24  Summary'!C84,DETAILED!AN:AN)</f>
        <v>120000000</v>
      </c>
    </row>
    <row r="85" spans="2:13" ht="15.9" hidden="1" customHeight="1" x14ac:dyDescent="0.3">
      <c r="B85" s="26" t="s">
        <v>91</v>
      </c>
      <c r="C85" s="28"/>
      <c r="D85" s="10" t="s">
        <v>91</v>
      </c>
      <c r="E85" s="11">
        <f>SUM(E86:E87)</f>
        <v>2729052</v>
      </c>
      <c r="F85" s="11">
        <f>SUM(F86:F87)</f>
        <v>4179052</v>
      </c>
      <c r="G85" s="11">
        <f>SUM(G86:G87)</f>
        <v>4050000</v>
      </c>
      <c r="H85" s="11">
        <f>SUM(H86:H87)</f>
        <v>4236300</v>
      </c>
      <c r="I85" s="11">
        <f>SUM(I86:I87)</f>
        <v>4431169.8000000007</v>
      </c>
      <c r="K85" s="20"/>
      <c r="L85" s="20"/>
      <c r="M85" s="20"/>
    </row>
    <row r="86" spans="2:13" s="20" customFormat="1" ht="15.9" hidden="1" customHeight="1" outlineLevel="1" x14ac:dyDescent="0.3">
      <c r="B86" s="34" t="s">
        <v>92</v>
      </c>
      <c r="C86" s="17" t="str">
        <f>VLOOKUP(B86,'[19]DETAILED OCT GS560'!F:AC,2,FALSE)</f>
        <v>P238360</v>
      </c>
      <c r="D86" s="18" t="s">
        <v>92</v>
      </c>
      <c r="E86" s="19">
        <f>SUMIF(DETAILED!O:O,'MTREF BUDGET 2023-24  Summary'!C86,DETAILED!S:S)</f>
        <v>2229052</v>
      </c>
      <c r="F86" s="19">
        <f>SUMIF(DETAILED!O:O,'MTREF BUDGET 2023-24  Summary'!C86,DETAILED!AE:AE)</f>
        <v>4029052</v>
      </c>
      <c r="G86" s="19">
        <f>SUMIF(DETAILED!O:O,'MTREF BUDGET 2023-24  Summary'!C86,DETAILED!AL:AL)</f>
        <v>3900000</v>
      </c>
      <c r="H86" s="19">
        <f>SUMIF(DETAILED!O:O,'MTREF BUDGET 2023-24  Summary'!C86,DETAILED!AM:AM)</f>
        <v>4079400</v>
      </c>
      <c r="I86" s="19">
        <f>SUMIF(DETAILED!O:O,'MTREF BUDGET 2023-24  Summary'!C86,DETAILED!AN:AN)</f>
        <v>4267052.4000000004</v>
      </c>
    </row>
    <row r="87" spans="2:13" s="20" customFormat="1" ht="15.9" hidden="1" customHeight="1" outlineLevel="1" x14ac:dyDescent="0.3">
      <c r="B87" s="16" t="s">
        <v>93</v>
      </c>
      <c r="C87" s="17" t="str">
        <f>VLOOKUP(B87,'[19]DETAILED OCT GS560'!F:AC,2,FALSE)</f>
        <v>P238150</v>
      </c>
      <c r="D87" s="18" t="s">
        <v>93</v>
      </c>
      <c r="E87" s="19">
        <f>SUMIF(DETAILED!O:O,'MTREF BUDGET 2023-24  Summary'!C87,DETAILED!S:S)</f>
        <v>500000</v>
      </c>
      <c r="F87" s="19">
        <f>SUMIF(DETAILED!O:O,'MTREF BUDGET 2023-24  Summary'!C87,DETAILED!AE:AE)</f>
        <v>150000</v>
      </c>
      <c r="G87" s="19">
        <f>SUMIF(DETAILED!O:O,'MTREF BUDGET 2023-24  Summary'!C87,DETAILED!AL:AL)</f>
        <v>150000</v>
      </c>
      <c r="H87" s="19">
        <f>SUMIF(DETAILED!O:O,'MTREF BUDGET 2023-24  Summary'!C87,DETAILED!AM:AM)</f>
        <v>156900</v>
      </c>
      <c r="I87" s="19">
        <f>SUMIF(DETAILED!O:O,'MTREF BUDGET 2023-24  Summary'!C87,DETAILED!AN:AN)</f>
        <v>164117.4</v>
      </c>
    </row>
    <row r="88" spans="2:13" s="20" customFormat="1" ht="15.9" hidden="1" customHeight="1" collapsed="1" x14ac:dyDescent="0.3">
      <c r="B88" s="34" t="s">
        <v>94</v>
      </c>
      <c r="C88" s="17" t="s">
        <v>95</v>
      </c>
      <c r="D88" s="10" t="s">
        <v>94</v>
      </c>
      <c r="E88" s="19">
        <f>SUMIF(DETAILED!O:O,'MTREF BUDGET 2023-24  Summary'!C88,DETAILED!S:S)</f>
        <v>76591921</v>
      </c>
      <c r="F88" s="19">
        <f>SUMIF(DETAILED!O:O,'MTREF BUDGET 2023-24  Summary'!C88,DETAILED!AE:AE)</f>
        <v>76591921</v>
      </c>
      <c r="G88" s="19">
        <f>SUMIF(DETAILED!O:O,'MTREF BUDGET 2023-24  Summary'!C88,DETAILED!AL:AL)</f>
        <v>85000000</v>
      </c>
      <c r="H88" s="19">
        <f>SUMIF(DETAILED!O:O,'MTREF BUDGET 2023-24  Summary'!C88,DETAILED!AM:AM)</f>
        <v>93000000</v>
      </c>
      <c r="I88" s="19">
        <f>SUMIF(DETAILED!O:O,'MTREF BUDGET 2023-24  Summary'!C88,DETAILED!AN:AN)</f>
        <v>102000000</v>
      </c>
    </row>
    <row r="89" spans="2:13" s="20" customFormat="1" ht="15.9" hidden="1" customHeight="1" x14ac:dyDescent="0.3">
      <c r="B89" s="34" t="s">
        <v>96</v>
      </c>
      <c r="C89" s="39" t="str">
        <f>VLOOKUP(B89,'[19]DETAILED OCT GS560'!F:AC,2,FALSE)</f>
        <v>P240001</v>
      </c>
      <c r="D89" s="40" t="s">
        <v>96</v>
      </c>
      <c r="E89" s="19">
        <f>SUMIF(DETAILED!O:O,'MTREF BUDGET 2023-24  Summary'!C89,DETAILED!S:S)</f>
        <v>0</v>
      </c>
      <c r="F89" s="19">
        <f>SUMIF(DETAILED!O:O,'MTREF BUDGET 2023-24  Summary'!C89,DETAILED!AE:AE)</f>
        <v>0</v>
      </c>
      <c r="G89" s="19">
        <f>SUMIF(DETAILED!O:O,'MTREF BUDGET 2023-24  Summary'!C89,DETAILED!AL:AL)</f>
        <v>0</v>
      </c>
      <c r="H89" s="19">
        <f>SUMIF(DETAILED!O:O,'MTREF BUDGET 2023-24  Summary'!C89,DETAILED!AM:AM)</f>
        <v>0</v>
      </c>
      <c r="I89" s="19">
        <f>SUMIF(DETAILED!O:O,'MTREF BUDGET 2023-24  Summary'!C89,DETAILED!AN:AN)</f>
        <v>0</v>
      </c>
    </row>
    <row r="90" spans="2:13" ht="15.9" hidden="1" customHeight="1" thickBot="1" x14ac:dyDescent="0.3">
      <c r="B90" s="41" t="s">
        <v>97</v>
      </c>
      <c r="D90" s="41" t="s">
        <v>97</v>
      </c>
      <c r="E90" s="42">
        <f>E8+E76+E80+E81+E82+E83+E84+E85+E88+E89</f>
        <v>3128993910</v>
      </c>
      <c r="F90" s="42">
        <f>F8+F76+F80+F81+F82+F83+F84+F85+F88+F89</f>
        <v>3084138365.98</v>
      </c>
      <c r="G90" s="42">
        <f ca="1">G8+G76+G80+G81+G82+G83+G84+G85+G88+G89</f>
        <v>3170265319.2843509</v>
      </c>
      <c r="H90" s="42">
        <f ca="1">H8+H76+H80+H81+H82+H83+H84+H85+H88+H89</f>
        <v>3316021770.5255723</v>
      </c>
      <c r="I90" s="42">
        <f ca="1">I8+I76+I80+I81+I82+I83+I84+I85+I88+I89</f>
        <v>3468687306.8481798</v>
      </c>
      <c r="K90" s="20"/>
      <c r="L90" s="20"/>
      <c r="M90" s="20"/>
    </row>
    <row r="91" spans="2:13" ht="15.9" hidden="1" customHeight="1" thickTop="1" x14ac:dyDescent="0.25">
      <c r="B91" s="43"/>
      <c r="D91" s="43"/>
      <c r="E91" s="44"/>
      <c r="F91" s="44"/>
      <c r="G91" s="44"/>
      <c r="H91" s="45"/>
      <c r="I91" s="44"/>
      <c r="K91" s="20"/>
      <c r="L91" s="20"/>
      <c r="M91" s="20"/>
    </row>
    <row r="92" spans="2:13" ht="15.9" hidden="1" customHeight="1" x14ac:dyDescent="0.2">
      <c r="D92" s="209" t="s">
        <v>2</v>
      </c>
      <c r="E92" s="210"/>
      <c r="F92" s="210"/>
      <c r="G92" s="211"/>
      <c r="H92" s="211"/>
      <c r="I92" s="212"/>
      <c r="K92" s="20"/>
      <c r="L92" s="20"/>
      <c r="M92" s="20"/>
    </row>
    <row r="93" spans="2:13" ht="42.75" hidden="1" customHeight="1" x14ac:dyDescent="0.2">
      <c r="B93" s="5"/>
      <c r="D93" s="7" t="s">
        <v>98</v>
      </c>
      <c r="E93" s="7" t="s">
        <v>2155</v>
      </c>
      <c r="F93" s="7" t="s">
        <v>3487</v>
      </c>
      <c r="G93" s="7" t="s">
        <v>5</v>
      </c>
      <c r="H93" s="7" t="s">
        <v>6</v>
      </c>
      <c r="I93" s="7" t="s">
        <v>1984</v>
      </c>
      <c r="J93" s="12"/>
      <c r="K93" s="20"/>
      <c r="L93" s="20"/>
      <c r="M93" s="20"/>
    </row>
    <row r="94" spans="2:13" ht="15.9" hidden="1" customHeight="1" x14ac:dyDescent="0.3">
      <c r="B94" s="26" t="s">
        <v>99</v>
      </c>
      <c r="C94" s="28"/>
      <c r="D94" s="46" t="s">
        <v>99</v>
      </c>
      <c r="E94" s="47">
        <f>E95+E96+E101</f>
        <v>-39217759</v>
      </c>
      <c r="F94" s="47">
        <f t="shared" ref="F94:I94" si="8">F95+F96+F101</f>
        <v>-45217759</v>
      </c>
      <c r="G94" s="47">
        <f t="shared" si="8"/>
        <v>-42940339.350000001</v>
      </c>
      <c r="H94" s="47">
        <f t="shared" si="8"/>
        <v>-44915594.960100003</v>
      </c>
      <c r="I94" s="47">
        <f t="shared" si="8"/>
        <v>-46981712.328264594</v>
      </c>
      <c r="K94" s="20"/>
      <c r="L94" s="20"/>
      <c r="M94" s="20"/>
    </row>
    <row r="95" spans="2:13" s="20" customFormat="1" ht="15.9" hidden="1" customHeight="1" outlineLevel="1" x14ac:dyDescent="0.3">
      <c r="B95" s="48" t="s">
        <v>100</v>
      </c>
      <c r="C95" s="20" t="s">
        <v>101</v>
      </c>
      <c r="D95" s="29" t="s">
        <v>100</v>
      </c>
      <c r="E95" s="19">
        <f>SUMIF(DETAILED!O:O,'MTREF BUDGET 2023-24  Summary'!C95,DETAILED!S:S)</f>
        <v>-4917759</v>
      </c>
      <c r="F95" s="19">
        <f>SUMIF(DETAILED!O:O,'MTREF BUDGET 2023-24  Summary'!C95,DETAILED!AE:AE)</f>
        <v>-4917759</v>
      </c>
      <c r="G95" s="19">
        <f>SUMIF(DETAILED!O:O,'MTREF BUDGET 2023-24  Summary'!C95,DETAILED!AL:AL)</f>
        <v>-3640339.35</v>
      </c>
      <c r="H95" s="19">
        <f>SUMIF(DETAILED!O:O,'MTREF BUDGET 2023-24  Summary'!C95,DETAILED!AM:AM)</f>
        <v>-3807794.9601000003</v>
      </c>
      <c r="I95" s="19">
        <f>SUMIF(DETAILED!O:O,'MTREF BUDGET 2023-24  Summary'!C95,DETAILED!AN:AN)</f>
        <v>-3982953.5282646003</v>
      </c>
    </row>
    <row r="96" spans="2:13" s="20" customFormat="1" ht="15.9" hidden="1" customHeight="1" outlineLevel="1" x14ac:dyDescent="0.3">
      <c r="B96" s="49" t="s">
        <v>102</v>
      </c>
      <c r="C96" s="28"/>
      <c r="D96" s="10" t="s">
        <v>103</v>
      </c>
      <c r="E96" s="19">
        <f>SUMIF(DETAILED!O:O,'MTREF BUDGET 2023-24  Summary'!C96,DETAILED!S:S)</f>
        <v>0</v>
      </c>
      <c r="F96" s="19">
        <f>SUMIF(DETAILED!O:O,'MTREF BUDGET 2023-24  Summary'!C96,DETAILED!AE:AE)</f>
        <v>0</v>
      </c>
      <c r="G96" s="50">
        <f>SUM(G97:G100)</f>
        <v>0</v>
      </c>
      <c r="H96" s="50">
        <f>SUM(H97:H100)</f>
        <v>0</v>
      </c>
      <c r="I96" s="50">
        <f>SUM(I97:I100)</f>
        <v>0</v>
      </c>
    </row>
    <row r="97" spans="2:13" s="20" customFormat="1" ht="15.9" hidden="1" customHeight="1" outlineLevel="2" x14ac:dyDescent="0.3">
      <c r="B97" s="48" t="s">
        <v>104</v>
      </c>
      <c r="C97" s="39"/>
      <c r="D97" s="18" t="s">
        <v>104</v>
      </c>
      <c r="E97" s="19">
        <f>SUMIF(DETAILED!O:O,'MTREF BUDGET 2023-24  Summary'!C97,DETAILED!S:S)</f>
        <v>0</v>
      </c>
      <c r="F97" s="19">
        <f>SUMIF(DETAILED!O:O,'MTREF BUDGET 2023-24  Summary'!C97,DETAILED!AE:AE)</f>
        <v>0</v>
      </c>
      <c r="G97" s="19">
        <f>SUMIF(DETAILED!O:O,'MTREF BUDGET 2023-24  Summary'!C97,DETAILED!AL:AL)</f>
        <v>0</v>
      </c>
      <c r="H97" s="19">
        <f>SUMIF(DETAILED!O:O,'MTREF BUDGET 2023-24  Summary'!C97,DETAILED!AM:AM)</f>
        <v>0</v>
      </c>
      <c r="I97" s="19">
        <f>SUMIF(DETAILED!O:O,'MTREF BUDGET 2023-24  Summary'!C97,DETAILED!AN:AN)</f>
        <v>0</v>
      </c>
    </row>
    <row r="98" spans="2:13" s="20" customFormat="1" ht="15.9" hidden="1" customHeight="1" outlineLevel="2" x14ac:dyDescent="0.3">
      <c r="B98" s="48" t="s">
        <v>105</v>
      </c>
      <c r="C98" s="39"/>
      <c r="D98" s="18" t="s">
        <v>105</v>
      </c>
      <c r="E98" s="19">
        <f>SUMIF(DETAILED!O:O,'MTREF BUDGET 2023-24  Summary'!C98,DETAILED!S:S)</f>
        <v>0</v>
      </c>
      <c r="F98" s="19">
        <f>SUMIF(DETAILED!O:O,'MTREF BUDGET 2023-24  Summary'!C98,DETAILED!AE:AE)</f>
        <v>0</v>
      </c>
      <c r="G98" s="19">
        <f>SUMIF(DETAILED!O:O,'MTREF BUDGET 2023-24  Summary'!C98,DETAILED!AL:AL)</f>
        <v>0</v>
      </c>
      <c r="H98" s="19">
        <f>SUMIF(DETAILED!O:O,'MTREF BUDGET 2023-24  Summary'!C98,DETAILED!AM:AM)</f>
        <v>0</v>
      </c>
      <c r="I98" s="19">
        <f>SUMIF(DETAILED!O:O,'MTREF BUDGET 2023-24  Summary'!C98,DETAILED!AN:AN)</f>
        <v>0</v>
      </c>
    </row>
    <row r="99" spans="2:13" s="20" customFormat="1" ht="15.9" hidden="1" customHeight="1" outlineLevel="2" x14ac:dyDescent="0.3">
      <c r="B99" s="48" t="s">
        <v>106</v>
      </c>
      <c r="C99" s="39"/>
      <c r="D99" s="18" t="s">
        <v>106</v>
      </c>
      <c r="E99" s="19">
        <f>SUMIF(DETAILED!O:O,'MTREF BUDGET 2023-24  Summary'!C99,DETAILED!S:S)</f>
        <v>0</v>
      </c>
      <c r="F99" s="19">
        <f>SUMIF(DETAILED!O:O,'MTREF BUDGET 2023-24  Summary'!C99,DETAILED!AE:AE)</f>
        <v>0</v>
      </c>
      <c r="G99" s="19">
        <f>SUMIF(DETAILED!O:O,'MTREF BUDGET 2023-24  Summary'!C99,DETAILED!AL:AL)</f>
        <v>0</v>
      </c>
      <c r="H99" s="19">
        <f>SUMIF(DETAILED!O:O,'MTREF BUDGET 2023-24  Summary'!C99,DETAILED!AM:AM)</f>
        <v>0</v>
      </c>
      <c r="I99" s="19">
        <f>SUMIF(DETAILED!O:O,'MTREF BUDGET 2023-24  Summary'!C99,DETAILED!AN:AN)</f>
        <v>0</v>
      </c>
    </row>
    <row r="100" spans="2:13" s="20" customFormat="1" ht="15.9" hidden="1" customHeight="1" outlineLevel="2" x14ac:dyDescent="0.3">
      <c r="B100" s="48" t="s">
        <v>107</v>
      </c>
      <c r="C100" s="39"/>
      <c r="D100" s="18" t="s">
        <v>107</v>
      </c>
      <c r="E100" s="19">
        <f>SUMIF(DETAILED!O:O,'MTREF BUDGET 2023-24  Summary'!C100,DETAILED!S:S)</f>
        <v>0</v>
      </c>
      <c r="F100" s="19">
        <f>SUMIF(DETAILED!O:O,'MTREF BUDGET 2023-24  Summary'!C100,DETAILED!AE:AE)</f>
        <v>0</v>
      </c>
      <c r="G100" s="19">
        <f>SUMIF(DETAILED!O:O,'MTREF BUDGET 2023-24  Summary'!C100,DETAILED!AL:AL)</f>
        <v>0</v>
      </c>
      <c r="H100" s="19">
        <f>SUMIF(DETAILED!O:O,'MTREF BUDGET 2023-24  Summary'!C100,DETAILED!AM:AM)</f>
        <v>0</v>
      </c>
      <c r="I100" s="19">
        <f>SUMIF(DETAILED!O:O,'MTREF BUDGET 2023-24  Summary'!C100,DETAILED!AN:AN)</f>
        <v>0</v>
      </c>
    </row>
    <row r="101" spans="2:13" ht="15.9" hidden="1" customHeight="1" outlineLevel="1" collapsed="1" x14ac:dyDescent="0.3">
      <c r="B101" s="26" t="s">
        <v>108</v>
      </c>
      <c r="C101" s="28"/>
      <c r="D101" s="51" t="s">
        <v>108</v>
      </c>
      <c r="E101" s="11">
        <f>SUM(E102:E104)</f>
        <v>-34300000</v>
      </c>
      <c r="F101" s="11">
        <f t="shared" ref="F101:I101" si="9">SUM(F102:F104)</f>
        <v>-40300000</v>
      </c>
      <c r="G101" s="11">
        <f>SUM(G102:G104)</f>
        <v>-39300000</v>
      </c>
      <c r="H101" s="11">
        <f t="shared" si="9"/>
        <v>-41107800</v>
      </c>
      <c r="I101" s="11">
        <f t="shared" si="9"/>
        <v>-42998758.799999997</v>
      </c>
      <c r="K101" s="20"/>
      <c r="L101" s="20"/>
      <c r="M101" s="20"/>
    </row>
    <row r="102" spans="2:13" s="20" customFormat="1" ht="15.9" hidden="1" customHeight="1" outlineLevel="2" x14ac:dyDescent="0.3">
      <c r="B102" s="48" t="s">
        <v>109</v>
      </c>
      <c r="C102" s="39" t="s">
        <v>2161</v>
      </c>
      <c r="D102" s="18" t="s">
        <v>109</v>
      </c>
      <c r="E102" s="19">
        <f>SUMIF(DETAILED!O:O,'MTREF BUDGET 2023-24  Summary'!C102,DETAILED!S:S)</f>
        <v>-14300000</v>
      </c>
      <c r="F102" s="19">
        <f>SUMIF(DETAILED!O:O,'MTREF BUDGET 2023-24  Summary'!C102,DETAILED!AE:AE)</f>
        <v>-14300000</v>
      </c>
      <c r="G102" s="19">
        <f>SUMIF(DETAILED!O:O,'MTREF BUDGET 2023-24  Summary'!C102,DETAILED!AL:AL)</f>
        <v>-14300000</v>
      </c>
      <c r="H102" s="19">
        <f>SUMIF(DETAILED!O:O,'MTREF BUDGET 2023-24  Summary'!C102,DETAILED!AM:AM)</f>
        <v>-14957800</v>
      </c>
      <c r="I102" s="19">
        <f>SUMIF(DETAILED!O:O,'MTREF BUDGET 2023-24  Summary'!C102,DETAILED!AN:AN)</f>
        <v>-15645858.800000001</v>
      </c>
      <c r="K102" s="201"/>
    </row>
    <row r="103" spans="2:13" s="20" customFormat="1" ht="15.9" hidden="1" customHeight="1" outlineLevel="2" x14ac:dyDescent="0.3">
      <c r="B103" s="48" t="s">
        <v>111</v>
      </c>
      <c r="C103" s="39"/>
      <c r="D103" s="18" t="s">
        <v>111</v>
      </c>
      <c r="E103" s="19">
        <f>SUMIF(DETAILED!O:O,'MTREF BUDGET 2023-24  Summary'!C103,DETAILED!S:S)</f>
        <v>0</v>
      </c>
      <c r="F103" s="19">
        <f>SUMIF(DETAILED!O:O,'MTREF BUDGET 2023-24  Summary'!C103,DETAILED!AE:AE)</f>
        <v>0</v>
      </c>
      <c r="G103" s="19">
        <f>SUMIF(DETAILED!O:O,'MTREF BUDGET 2023-24  Summary'!C103,DETAILED!AL:AL)</f>
        <v>0</v>
      </c>
      <c r="H103" s="19">
        <f>SUMIF(DETAILED!O:O,'MTREF BUDGET 2023-24  Summary'!C103,DETAILED!AM:AM)</f>
        <v>0</v>
      </c>
      <c r="I103" s="19">
        <f>SUMIF(DETAILED!O:O,'MTREF BUDGET 2023-24  Summary'!C103,DETAILED!AN:AN)</f>
        <v>0</v>
      </c>
    </row>
    <row r="104" spans="2:13" s="20" customFormat="1" ht="15.9" hidden="1" customHeight="1" outlineLevel="2" x14ac:dyDescent="0.3">
      <c r="B104" s="48" t="s">
        <v>112</v>
      </c>
      <c r="C104" s="39" t="s">
        <v>113</v>
      </c>
      <c r="D104" s="18" t="s">
        <v>114</v>
      </c>
      <c r="E104" s="19">
        <f>SUMIF(DETAILED!O:O,'MTREF BUDGET 2023-24  Summary'!C104,DETAILED!S:S)</f>
        <v>-20000000</v>
      </c>
      <c r="F104" s="19">
        <f>SUMIF(DETAILED!O:O,'MTREF BUDGET 2023-24  Summary'!C104,DETAILED!AE:AE)</f>
        <v>-26000000</v>
      </c>
      <c r="G104" s="19">
        <f>SUMIF(DETAILED!O:O,'MTREF BUDGET 2023-24  Summary'!C104,DETAILED!AL:AL)</f>
        <v>-25000000</v>
      </c>
      <c r="H104" s="19">
        <f>SUMIF(DETAILED!O:O,'MTREF BUDGET 2023-24  Summary'!C104,DETAILED!AM:AM)</f>
        <v>-26150000</v>
      </c>
      <c r="I104" s="19">
        <f>SUMIF(DETAILED!O:O,'MTREF BUDGET 2023-24  Summary'!C104,DETAILED!AN:AN)</f>
        <v>-27352900</v>
      </c>
    </row>
    <row r="105" spans="2:13" s="20" customFormat="1" ht="15.9" hidden="1" customHeight="1" outlineLevel="1" collapsed="1" x14ac:dyDescent="0.2">
      <c r="B105" s="48"/>
      <c r="D105" s="48"/>
      <c r="E105" s="19"/>
      <c r="F105" s="19"/>
      <c r="G105" s="19"/>
      <c r="H105" s="19"/>
      <c r="I105" s="19"/>
    </row>
    <row r="106" spans="2:13" s="20" customFormat="1" ht="15.9" hidden="1" customHeight="1" collapsed="1" x14ac:dyDescent="0.3">
      <c r="B106" s="49" t="s">
        <v>115</v>
      </c>
      <c r="C106" s="28"/>
      <c r="D106" s="46" t="s">
        <v>115</v>
      </c>
      <c r="E106" s="47">
        <f>E107+E130+E134+E139+E143</f>
        <v>-3544302792</v>
      </c>
      <c r="F106" s="47">
        <f>F107+F130+F134+F139+F143</f>
        <v>-3368536551.98</v>
      </c>
      <c r="G106" s="47">
        <f>G107+G130+G134+G139+G143</f>
        <v>-3366685024.7399998</v>
      </c>
      <c r="H106" s="47">
        <f>H107+H130+H134+H139+H143</f>
        <v>-3521552535.8780403</v>
      </c>
      <c r="I106" s="47">
        <f>I107+I130+I134+I139+I143</f>
        <v>-3683543952.52843</v>
      </c>
    </row>
    <row r="107" spans="2:13" ht="15.9" hidden="1" customHeight="1" outlineLevel="1" x14ac:dyDescent="0.3">
      <c r="B107" s="26" t="s">
        <v>116</v>
      </c>
      <c r="C107" s="28"/>
      <c r="D107" s="51" t="s">
        <v>116</v>
      </c>
      <c r="E107" s="202">
        <f>E108+E122</f>
        <v>-3511410377</v>
      </c>
      <c r="F107" s="202">
        <f>F108+F122</f>
        <v>-3335644136.98</v>
      </c>
      <c r="G107" s="202">
        <f>G108+G122+G127+G128</f>
        <v>-3314348387</v>
      </c>
      <c r="H107" s="202">
        <f>H108+H122+H127+H128</f>
        <v>-3466808412.802</v>
      </c>
      <c r="I107" s="202">
        <f>I108+I122+I127+I128</f>
        <v>-3626281599.7908921</v>
      </c>
      <c r="K107" s="37"/>
      <c r="L107" s="20"/>
      <c r="M107" s="20"/>
    </row>
    <row r="108" spans="2:13" ht="15.9" hidden="1" customHeight="1" outlineLevel="2" x14ac:dyDescent="0.3">
      <c r="B108" s="26" t="s">
        <v>117</v>
      </c>
      <c r="C108" s="28"/>
      <c r="D108" s="51" t="s">
        <v>117</v>
      </c>
      <c r="E108" s="11">
        <f>SUM(E109:E121)</f>
        <v>-1777777151</v>
      </c>
      <c r="F108" s="11">
        <f>SUM(F109:F121)</f>
        <v>-1777777151</v>
      </c>
      <c r="G108" s="11">
        <f>SUM(G109:G121)</f>
        <v>-3314348387</v>
      </c>
      <c r="H108" s="11">
        <f>SUM(H109:H121)</f>
        <v>-3466808412.802</v>
      </c>
      <c r="I108" s="11">
        <f>SUM(I109:I121)</f>
        <v>-3626281599.7908921</v>
      </c>
      <c r="K108" s="20"/>
      <c r="L108" s="20"/>
      <c r="M108" s="20"/>
    </row>
    <row r="109" spans="2:13" s="20" customFormat="1" ht="15.9" hidden="1" customHeight="1" outlineLevel="3" x14ac:dyDescent="0.3">
      <c r="B109" s="49" t="s">
        <v>118</v>
      </c>
      <c r="C109" s="39" t="s">
        <v>119</v>
      </c>
      <c r="D109" s="18" t="s">
        <v>120</v>
      </c>
      <c r="E109" s="19">
        <f>SUMIF(DETAILED!O:O,'MTREF BUDGET 2023-24  Summary'!C109,DETAILED!S:S)</f>
        <v>-26665250</v>
      </c>
      <c r="F109" s="19">
        <f>SUMIF(DETAILED!O:O,'MTREF BUDGET 2023-24  Summary'!C109,DETAILED!AE:AE)</f>
        <v>-26665250</v>
      </c>
      <c r="G109" s="19">
        <f>SUMIF(DETAILED!O:O,'MTREF BUDGET 2023-24  Summary'!C109,DETAILED!AL:AL)</f>
        <v>-3314348387</v>
      </c>
      <c r="H109" s="19">
        <f>SUMIF(DETAILED!O:O,'MTREF BUDGET 2023-24  Summary'!C109,DETAILED!AM:AM)</f>
        <v>-3466808412.802</v>
      </c>
      <c r="I109" s="19">
        <f>SUMIF(DETAILED!O:O,'MTREF BUDGET 2023-24  Summary'!C109,DETAILED!AN:AN)</f>
        <v>-3626281599.7908921</v>
      </c>
    </row>
    <row r="110" spans="2:13" s="20" customFormat="1" ht="15.9" hidden="1" customHeight="1" outlineLevel="3" x14ac:dyDescent="0.3">
      <c r="B110" s="49" t="s">
        <v>121</v>
      </c>
      <c r="C110" s="39" t="s">
        <v>122</v>
      </c>
      <c r="D110" s="18" t="s">
        <v>123</v>
      </c>
      <c r="E110" s="19">
        <f>SUMIF(DETAILED!O:O,'MTREF BUDGET 2023-24  Summary'!C110,DETAILED!S:S)</f>
        <v>-64238380</v>
      </c>
      <c r="F110" s="19">
        <f>SUMIF(DETAILED!O:O,'MTREF BUDGET 2023-24  Summary'!C110,DETAILED!AE:AE)</f>
        <v>-64238380</v>
      </c>
      <c r="G110" s="19">
        <f>SUMIF(DETAILED!O:O,'MTREF BUDGET 2023-24  Summary'!C110,DETAILED!AL:AL)</f>
        <v>0</v>
      </c>
      <c r="H110" s="19">
        <f>SUMIF(DETAILED!O:O,'MTREF BUDGET 2023-24  Summary'!C110,DETAILED!AM:AM)</f>
        <v>0</v>
      </c>
      <c r="I110" s="19">
        <f>SUMIF(DETAILED!O:O,'MTREF BUDGET 2023-24  Summary'!C110,DETAILED!AN:AN)</f>
        <v>0</v>
      </c>
    </row>
    <row r="111" spans="2:13" s="20" customFormat="1" ht="15.9" hidden="1" customHeight="1" outlineLevel="3" x14ac:dyDescent="0.3">
      <c r="B111" s="49" t="s">
        <v>127</v>
      </c>
      <c r="C111" s="39" t="s">
        <v>128</v>
      </c>
      <c r="D111" s="18" t="s">
        <v>129</v>
      </c>
      <c r="E111" s="19">
        <f>SUMIF(DETAILED!O:O,'MTREF BUDGET 2023-24  Summary'!C111,DETAILED!S:S)</f>
        <v>-554300</v>
      </c>
      <c r="F111" s="19">
        <f>SUMIF(DETAILED!O:O,'MTREF BUDGET 2023-24  Summary'!C111,DETAILED!AE:AE)</f>
        <v>-554300</v>
      </c>
      <c r="G111" s="19">
        <f>SUMIF(DETAILED!O:O,'MTREF BUDGET 2023-24  Summary'!C111,DETAILED!AL:AL)</f>
        <v>0</v>
      </c>
      <c r="H111" s="19">
        <f>SUMIF(DETAILED!O:O,'MTREF BUDGET 2023-24  Summary'!C111,DETAILED!AM:AM)</f>
        <v>0</v>
      </c>
      <c r="I111" s="19">
        <f>SUMIF(DETAILED!O:O,'MTREF BUDGET 2023-24  Summary'!C111,DETAILED!AN:AN)</f>
        <v>0</v>
      </c>
    </row>
    <row r="112" spans="2:13" s="20" customFormat="1" ht="15.9" hidden="1" customHeight="1" outlineLevel="3" x14ac:dyDescent="0.3">
      <c r="B112" s="49" t="s">
        <v>130</v>
      </c>
      <c r="C112" s="39" t="s">
        <v>131</v>
      </c>
      <c r="D112" s="18" t="s">
        <v>132</v>
      </c>
      <c r="E112" s="19">
        <f>SUMIF(DETAILED!O:O,'MTREF BUDGET 2023-24  Summary'!C112,DETAILED!S:S)</f>
        <v>0</v>
      </c>
      <c r="F112" s="19">
        <f>SUMIF(DETAILED!O:O,'MTREF BUDGET 2023-24  Summary'!C112,DETAILED!AE:AE)</f>
        <v>0</v>
      </c>
      <c r="G112" s="19">
        <f>SUMIF(DETAILED!O:O,'MTREF BUDGET 2023-24  Summary'!C112,DETAILED!AL:AL)</f>
        <v>0</v>
      </c>
      <c r="H112" s="19">
        <f>SUMIF(DETAILED!O:O,'MTREF BUDGET 2023-24  Summary'!C112,DETAILED!AM:AM)</f>
        <v>0</v>
      </c>
      <c r="I112" s="19">
        <f>SUMIF(DETAILED!O:O,'MTREF BUDGET 2023-24  Summary'!C112,DETAILED!AN:AN)</f>
        <v>0</v>
      </c>
      <c r="K112" s="37">
        <f>G108-G109</f>
        <v>0</v>
      </c>
    </row>
    <row r="113" spans="2:13" s="20" customFormat="1" ht="15.9" hidden="1" customHeight="1" outlineLevel="3" x14ac:dyDescent="0.3">
      <c r="B113" s="49" t="s">
        <v>133</v>
      </c>
      <c r="C113" s="39" t="s">
        <v>134</v>
      </c>
      <c r="D113" s="18" t="s">
        <v>135</v>
      </c>
      <c r="E113" s="19">
        <f>SUMIF(DETAILED!O:O,'MTREF BUDGET 2023-24  Summary'!C113,DETAILED!S:S)</f>
        <v>-188399740</v>
      </c>
      <c r="F113" s="19">
        <f>SUMIF(DETAILED!O:O,'MTREF BUDGET 2023-24  Summary'!C113,DETAILED!AE:AE)</f>
        <v>-188399740</v>
      </c>
      <c r="G113" s="19">
        <f>SUMIF(DETAILED!O:O,'MTREF BUDGET 2023-24  Summary'!C113,DETAILED!AL:AL)</f>
        <v>0</v>
      </c>
      <c r="H113" s="19">
        <f>SUMIF(DETAILED!O:O,'MTREF BUDGET 2023-24  Summary'!C113,DETAILED!AM:AM)</f>
        <v>0</v>
      </c>
      <c r="I113" s="19">
        <f>SUMIF(DETAILED!O:O,'MTREF BUDGET 2023-24  Summary'!C113,DETAILED!AN:AN)</f>
        <v>0</v>
      </c>
    </row>
    <row r="114" spans="2:13" s="20" customFormat="1" ht="15.9" hidden="1" customHeight="1" outlineLevel="3" x14ac:dyDescent="0.3">
      <c r="B114" s="49" t="s">
        <v>136</v>
      </c>
      <c r="C114" s="39" t="s">
        <v>137</v>
      </c>
      <c r="D114" s="18" t="s">
        <v>2158</v>
      </c>
      <c r="E114" s="19">
        <f>SUMIF(DETAILED!O:O,'MTREF BUDGET 2023-24  Summary'!C114,DETAILED!S:S)</f>
        <v>-327607781</v>
      </c>
      <c r="F114" s="19">
        <f>SUMIF(DETAILED!O:O,'MTREF BUDGET 2023-24  Summary'!C114,DETAILED!AE:AE)</f>
        <v>-327607781</v>
      </c>
      <c r="G114" s="19">
        <f>SUMIF(DETAILED!O:O,'MTREF BUDGET 2023-24  Summary'!C114,DETAILED!AL:AL)</f>
        <v>0</v>
      </c>
      <c r="H114" s="19">
        <f>SUMIF(DETAILED!O:O,'MTREF BUDGET 2023-24  Summary'!C114,DETAILED!AM:AM)</f>
        <v>0</v>
      </c>
      <c r="I114" s="19">
        <f>SUMIF(DETAILED!O:O,'MTREF BUDGET 2023-24  Summary'!C114,DETAILED!AN:AN)</f>
        <v>0</v>
      </c>
    </row>
    <row r="115" spans="2:13" s="20" customFormat="1" ht="15.9" hidden="1" customHeight="1" outlineLevel="3" x14ac:dyDescent="0.3">
      <c r="B115" s="16" t="s">
        <v>2063</v>
      </c>
      <c r="C115" s="39" t="s">
        <v>1328</v>
      </c>
      <c r="D115" s="18" t="s">
        <v>2159</v>
      </c>
      <c r="E115" s="19">
        <f>SUMIF(DETAILED!O:O,'MTREF BUDGET 2023-24  Summary'!C115,DETAILED!S:S)</f>
        <v>-935610815</v>
      </c>
      <c r="F115" s="19">
        <f>SUMIF(DETAILED!O:O,'MTREF BUDGET 2023-24  Summary'!C115,DETAILED!AE:AE)</f>
        <v>-935610815</v>
      </c>
      <c r="G115" s="19">
        <f>SUMIF(DETAILED!O:O,'MTREF BUDGET 2023-24  Summary'!C115,DETAILED!AL:AL)</f>
        <v>0</v>
      </c>
      <c r="H115" s="19">
        <f>SUMIF(DETAILED!O:O,'MTREF BUDGET 2023-24  Summary'!C115,DETAILED!AM:AM)</f>
        <v>0</v>
      </c>
      <c r="I115" s="19">
        <f>SUMIF(DETAILED!O:O,'MTREF BUDGET 2023-24  Summary'!C115,DETAILED!AN:AN)</f>
        <v>0</v>
      </c>
    </row>
    <row r="116" spans="2:13" s="20" customFormat="1" ht="15.9" hidden="1" customHeight="1" outlineLevel="3" x14ac:dyDescent="0.3">
      <c r="B116" s="18" t="s">
        <v>2160</v>
      </c>
      <c r="C116" s="39" t="s">
        <v>1350</v>
      </c>
      <c r="D116" s="18" t="s">
        <v>2160</v>
      </c>
      <c r="E116" s="19">
        <f>SUMIF(DETAILED!O:O,'MTREF BUDGET 2023-24  Summary'!C116,DETAILED!S:S)</f>
        <v>-18759042</v>
      </c>
      <c r="F116" s="19">
        <f>SUMIF(DETAILED!O:O,'MTREF BUDGET 2023-24  Summary'!C116,DETAILED!AE:AE)</f>
        <v>-18759042</v>
      </c>
      <c r="G116" s="19">
        <f>SUMIF(DETAILED!O:O,'MTREF BUDGET 2023-24  Summary'!C116,DETAILED!AL:AL)</f>
        <v>0</v>
      </c>
      <c r="H116" s="19">
        <f>SUMIF(DETAILED!O:O,'MTREF BUDGET 2023-24  Summary'!C116,DETAILED!AM:AM)</f>
        <v>0</v>
      </c>
      <c r="I116" s="19">
        <f>SUMIF(DETAILED!O:O,'MTREF BUDGET 2023-24  Summary'!C116,DETAILED!AN:AN)</f>
        <v>0</v>
      </c>
    </row>
    <row r="117" spans="2:13" s="20" customFormat="1" ht="15.9" hidden="1" customHeight="1" outlineLevel="3" x14ac:dyDescent="0.3">
      <c r="B117" s="16" t="s">
        <v>1239</v>
      </c>
      <c r="C117" s="39"/>
      <c r="D117" s="16" t="s">
        <v>1239</v>
      </c>
      <c r="E117" s="19">
        <f>SUMIF(DETAILED!O:O,'MTREF BUDGET 2023-24  Summary'!C117,DETAILED!S:S)</f>
        <v>0</v>
      </c>
      <c r="F117" s="19">
        <f>SUMIF(DETAILED!O:O,'MTREF BUDGET 2023-24  Summary'!C117,DETAILED!AE:AE)</f>
        <v>0</v>
      </c>
      <c r="G117" s="19">
        <f>SUMIF(DETAILED!O:O,'MTREF BUDGET 2023-24  Summary'!C117,DETAILED!AL:AL)</f>
        <v>0</v>
      </c>
      <c r="H117" s="19">
        <f>SUMIF(DETAILED!O:O,'MTREF BUDGET 2023-24  Summary'!C117,DETAILED!AM:AM)</f>
        <v>0</v>
      </c>
      <c r="I117" s="19">
        <f>SUMIF(DETAILED!O:O,'MTREF BUDGET 2023-24  Summary'!C117,DETAILED!AN:AN)</f>
        <v>0</v>
      </c>
    </row>
    <row r="118" spans="2:13" s="20" customFormat="1" ht="15.9" hidden="1" customHeight="1" outlineLevel="3" x14ac:dyDescent="0.3">
      <c r="B118" s="16" t="s">
        <v>2157</v>
      </c>
      <c r="C118" s="39" t="s">
        <v>173</v>
      </c>
      <c r="D118" s="16" t="s">
        <v>2157</v>
      </c>
      <c r="E118" s="19">
        <f>SUMIF(DETAILED!O:O,'MTREF BUDGET 2023-24  Summary'!C118,DETAILED!S:S)</f>
        <v>-116057405</v>
      </c>
      <c r="F118" s="19">
        <f>SUMIF(DETAILED!O:O,'MTREF BUDGET 2023-24  Summary'!C118,DETAILED!AE:AE)</f>
        <v>-116057405</v>
      </c>
      <c r="G118" s="19">
        <f>SUMIF(DETAILED!O:O,'MTREF BUDGET 2023-24  Summary'!C118,DETAILED!AL:AL)</f>
        <v>0</v>
      </c>
      <c r="H118" s="19">
        <f>SUMIF(DETAILED!O:O,'MTREF BUDGET 2023-24  Summary'!C118,DETAILED!AM:AM)</f>
        <v>0</v>
      </c>
      <c r="I118" s="19">
        <f>SUMIF(DETAILED!O:O,'MTREF BUDGET 2023-24  Summary'!C118,DETAILED!AN:AN)</f>
        <v>0</v>
      </c>
    </row>
    <row r="119" spans="2:13" s="20" customFormat="1" ht="15.9" hidden="1" customHeight="1" outlineLevel="3" x14ac:dyDescent="0.3">
      <c r="B119" s="49" t="s">
        <v>138</v>
      </c>
      <c r="C119" s="39" t="s">
        <v>139</v>
      </c>
      <c r="D119" s="18" t="s">
        <v>140</v>
      </c>
      <c r="E119" s="19">
        <f>SUMIF(DETAILED!O:O,'MTREF BUDGET 2023-24  Summary'!C119,DETAILED!S:S)</f>
        <v>-1366175</v>
      </c>
      <c r="F119" s="19">
        <f>SUMIF(DETAILED!O:O,'MTREF BUDGET 2023-24  Summary'!C119,DETAILED!AE:AE)</f>
        <v>-1366175</v>
      </c>
      <c r="G119" s="19">
        <f>SUMIF(DETAILED!O:O,'MTREF BUDGET 2023-24  Summary'!C119,DETAILED!AL:AL)</f>
        <v>0</v>
      </c>
      <c r="H119" s="19">
        <f>SUMIF(DETAILED!O:O,'MTREF BUDGET 2023-24  Summary'!C119,DETAILED!AM:AM)</f>
        <v>0</v>
      </c>
      <c r="I119" s="19">
        <f>SUMIF(DETAILED!O:O,'MTREF BUDGET 2023-24  Summary'!C119,DETAILED!AN:AN)</f>
        <v>0</v>
      </c>
    </row>
    <row r="120" spans="2:13" s="20" customFormat="1" ht="15.9" hidden="1" customHeight="1" outlineLevel="3" x14ac:dyDescent="0.3">
      <c r="B120" s="49" t="s">
        <v>141</v>
      </c>
      <c r="C120" s="39" t="s">
        <v>142</v>
      </c>
      <c r="D120" s="18" t="s">
        <v>143</v>
      </c>
      <c r="E120" s="19">
        <f>SUMIF(DETAILED!O:O,'MTREF BUDGET 2023-24  Summary'!C120,DETAILED!S:S)</f>
        <v>-6688093</v>
      </c>
      <c r="F120" s="19">
        <f>SUMIF(DETAILED!O:O,'MTREF BUDGET 2023-24  Summary'!C120,DETAILED!AE:AE)</f>
        <v>-6688093</v>
      </c>
      <c r="G120" s="19">
        <f>SUMIF(DETAILED!O:O,'MTREF BUDGET 2023-24  Summary'!C120,DETAILED!AL:AL)</f>
        <v>0</v>
      </c>
      <c r="H120" s="19">
        <f>SUMIF(DETAILED!O:O,'MTREF BUDGET 2023-24  Summary'!C120,DETAILED!AM:AM)</f>
        <v>0</v>
      </c>
      <c r="I120" s="19">
        <f>SUMIF(DETAILED!O:O,'MTREF BUDGET 2023-24  Summary'!C120,DETAILED!AN:AN)</f>
        <v>0</v>
      </c>
    </row>
    <row r="121" spans="2:13" s="20" customFormat="1" ht="15.9" hidden="1" customHeight="1" outlineLevel="3" x14ac:dyDescent="0.3">
      <c r="B121" s="49" t="s">
        <v>144</v>
      </c>
      <c r="C121" s="39" t="s">
        <v>145</v>
      </c>
      <c r="D121" s="18" t="s">
        <v>146</v>
      </c>
      <c r="E121" s="19">
        <f>SUMIF(DETAILED!O:O,'MTREF BUDGET 2023-24  Summary'!C121,DETAILED!S:S)</f>
        <v>-91830170</v>
      </c>
      <c r="F121" s="19">
        <f>SUMIF(DETAILED!O:O,'MTREF BUDGET 2023-24  Summary'!C121,DETAILED!AE:AE)</f>
        <v>-91830170</v>
      </c>
      <c r="G121" s="19"/>
      <c r="H121" s="19"/>
      <c r="I121" s="19"/>
    </row>
    <row r="122" spans="2:13" ht="15.9" hidden="1" customHeight="1" outlineLevel="2" collapsed="1" x14ac:dyDescent="0.3">
      <c r="B122" s="52" t="s">
        <v>147</v>
      </c>
      <c r="C122" s="28"/>
      <c r="D122" s="51" t="s">
        <v>147</v>
      </c>
      <c r="E122" s="11">
        <f>SUM(E123:E126)</f>
        <v>-1733633226</v>
      </c>
      <c r="F122" s="11">
        <f>SUM(F123:F126)</f>
        <v>-1557866985.98</v>
      </c>
      <c r="G122" s="11">
        <f>SUM(G123:G126)</f>
        <v>0</v>
      </c>
      <c r="H122" s="11">
        <f t="shared" ref="H122:I122" si="10">SUM(H123:H126)</f>
        <v>0</v>
      </c>
      <c r="I122" s="11">
        <f t="shared" si="10"/>
        <v>0</v>
      </c>
      <c r="K122" s="20"/>
      <c r="L122" s="20"/>
      <c r="M122" s="20"/>
    </row>
    <row r="123" spans="2:13" s="20" customFormat="1" ht="15.9" hidden="1" customHeight="1" outlineLevel="3" x14ac:dyDescent="0.3">
      <c r="B123" s="49" t="s">
        <v>118</v>
      </c>
      <c r="C123" s="39" t="s">
        <v>125</v>
      </c>
      <c r="D123" s="18" t="s">
        <v>126</v>
      </c>
      <c r="E123" s="19">
        <f>SUMIF(DETAILED!O:O,'MTREF BUDGET 2023-24  Summary'!C123,DETAILED!S:S)</f>
        <v>-1650528355</v>
      </c>
      <c r="F123" s="19">
        <f>SUMIF(DETAILED!O:O,'MTREF BUDGET 2023-24  Summary'!C123,DETAILED!AE:AE)</f>
        <v>-1474762114.98</v>
      </c>
      <c r="G123" s="19">
        <f>SUMIF(DETAILED!O:O,'MTREF BUDGET 2023-24  Summary'!C123,DETAILED!AL:AL)</f>
        <v>0</v>
      </c>
      <c r="H123" s="19">
        <f>SUMIF(DETAILED!O:O,'MTREF BUDGET 2023-24  Summary'!C123,DETAILED!AM:AM)</f>
        <v>0</v>
      </c>
      <c r="I123" s="19">
        <f>SUMIF(DETAILED!O:O,'MTREF BUDGET 2023-24  Summary'!C123,DETAILED!AN:AN)</f>
        <v>0</v>
      </c>
    </row>
    <row r="124" spans="2:13" s="20" customFormat="1" ht="15.9" hidden="1" customHeight="1" outlineLevel="3" x14ac:dyDescent="0.3">
      <c r="B124" s="49" t="s">
        <v>124</v>
      </c>
      <c r="C124" s="39" t="s">
        <v>148</v>
      </c>
      <c r="D124" s="18" t="s">
        <v>149</v>
      </c>
      <c r="E124" s="19">
        <f>SUMIF(DETAILED!O:O,'MTREF BUDGET 2023-24  Summary'!C124,DETAILED!S:S)</f>
        <v>0</v>
      </c>
      <c r="F124" s="19">
        <f>SUMIF(DETAILED!O:O,'MTREF BUDGET 2023-24  Summary'!C124,DETAILED!AE:AE)</f>
        <v>0</v>
      </c>
      <c r="G124" s="19">
        <f>SUMIF(DETAILED!O:O,'MTREF BUDGET 2023-24  Summary'!C124,DETAILED!AL:AL)</f>
        <v>0</v>
      </c>
      <c r="H124" s="19">
        <f>SUMIF(DETAILED!O:O,'MTREF BUDGET 2023-24  Summary'!C124,DETAILED!AM:AM)</f>
        <v>0</v>
      </c>
      <c r="I124" s="19">
        <f>SUMIF(DETAILED!O:O,'MTREF BUDGET 2023-24  Summary'!C124,DETAILED!AN:AN)</f>
        <v>0</v>
      </c>
    </row>
    <row r="125" spans="2:13" s="20" customFormat="1" ht="15.9" hidden="1" customHeight="1" outlineLevel="3" x14ac:dyDescent="0.3">
      <c r="B125" s="49" t="s">
        <v>150</v>
      </c>
      <c r="C125" s="147" t="s">
        <v>2024</v>
      </c>
      <c r="D125" s="84" t="s">
        <v>2023</v>
      </c>
      <c r="E125" s="19">
        <f>SUMIF(DETAILED!O:O,'MTREF BUDGET 2023-24  Summary'!C125,DETAILED!S:S)</f>
        <v>-22075702</v>
      </c>
      <c r="F125" s="19">
        <f>SUMIF(DETAILED!O:O,'MTREF BUDGET 2023-24  Summary'!C125,DETAILED!AE:AE)</f>
        <v>-22075702</v>
      </c>
      <c r="G125" s="19">
        <f>SUMIF(DETAILED!P:P,'MTREF BUDGET 2023-24  Summary'!C125,DETAILED!AL:AL)</f>
        <v>0</v>
      </c>
      <c r="H125" s="19">
        <f>SUMIF(DETAILED!P:P,'MTREF BUDGET 2023-24  Summary'!C125,DETAILED!AM:AM)</f>
        <v>0</v>
      </c>
      <c r="I125" s="19">
        <f>SUMIF(DETAILED!P:P,'MTREF BUDGET 2023-24  Summary'!C125,DETAILED!AN:AN)</f>
        <v>0</v>
      </c>
    </row>
    <row r="126" spans="2:13" s="20" customFormat="1" ht="15.9" hidden="1" customHeight="1" outlineLevel="3" x14ac:dyDescent="0.3">
      <c r="B126" s="49" t="s">
        <v>151</v>
      </c>
      <c r="C126" s="147" t="s">
        <v>2156</v>
      </c>
      <c r="D126" s="84" t="s">
        <v>2025</v>
      </c>
      <c r="E126" s="19">
        <f>SUMIF(DETAILED!O:O,'MTREF BUDGET 2023-24  Summary'!C126,DETAILED!S:S)</f>
        <v>-61029169</v>
      </c>
      <c r="F126" s="19">
        <f>SUMIF(DETAILED!O:O,'MTREF BUDGET 2023-24  Summary'!C126,DETAILED!AE:AE)</f>
        <v>-61029169</v>
      </c>
      <c r="G126" s="19">
        <f>SUMIF(DETAILED!P:P,'MTREF BUDGET 2023-24  Summary'!C126,DETAILED!AL:AL)</f>
        <v>0</v>
      </c>
      <c r="H126" s="19">
        <f>SUMIF(DETAILED!P:P,'MTREF BUDGET 2023-24  Summary'!C126,DETAILED!AM:AM)</f>
        <v>0</v>
      </c>
      <c r="I126" s="19">
        <f>SUMIF(DETAILED!P:P,'MTREF BUDGET 2023-24  Summary'!C126,DETAILED!AN:AN)</f>
        <v>0</v>
      </c>
    </row>
    <row r="127" spans="2:13" s="20" customFormat="1" ht="15.9" hidden="1" customHeight="1" outlineLevel="2" collapsed="1" x14ac:dyDescent="0.3">
      <c r="B127" s="49"/>
      <c r="C127" s="31"/>
      <c r="D127" s="48"/>
      <c r="E127" s="54"/>
      <c r="F127" s="54"/>
      <c r="G127" s="54"/>
      <c r="H127" s="54"/>
      <c r="I127" s="54"/>
    </row>
    <row r="128" spans="2:13" s="20" customFormat="1" ht="15.9" hidden="1" customHeight="1" outlineLevel="2" x14ac:dyDescent="0.3">
      <c r="B128" s="49"/>
      <c r="C128" s="31"/>
      <c r="D128" s="48"/>
      <c r="E128" s="54"/>
      <c r="F128" s="54"/>
      <c r="G128" s="54"/>
      <c r="H128" s="54"/>
      <c r="I128" s="54"/>
    </row>
    <row r="129" spans="2:13" s="20" customFormat="1" ht="15.9" hidden="1" customHeight="1" outlineLevel="2" x14ac:dyDescent="0.3">
      <c r="B129" s="49"/>
      <c r="C129" s="31"/>
      <c r="D129" s="48"/>
      <c r="E129" s="54"/>
      <c r="F129" s="54"/>
      <c r="G129" s="54"/>
      <c r="H129" s="54"/>
      <c r="I129" s="54"/>
    </row>
    <row r="130" spans="2:13" ht="15.9" hidden="1" customHeight="1" outlineLevel="1" collapsed="1" x14ac:dyDescent="0.3">
      <c r="B130" s="26" t="s">
        <v>152</v>
      </c>
      <c r="C130" s="28"/>
      <c r="D130" s="51" t="s">
        <v>152</v>
      </c>
      <c r="E130" s="11">
        <f>SUM(E131:E133)</f>
        <v>-9917542</v>
      </c>
      <c r="F130" s="11">
        <f>SUM(F131:F133)</f>
        <v>-9917542</v>
      </c>
      <c r="G130" s="11">
        <f t="shared" ref="G130:I130" si="11">SUM(G131:G133)</f>
        <v>-5848373.7400000002</v>
      </c>
      <c r="H130" s="11">
        <f t="shared" si="11"/>
        <v>-6117398.9320400003</v>
      </c>
      <c r="I130" s="11">
        <f t="shared" si="11"/>
        <v>-6398799.2829138404</v>
      </c>
      <c r="K130" s="55"/>
      <c r="L130" s="20"/>
      <c r="M130" s="20"/>
    </row>
    <row r="131" spans="2:13" s="20" customFormat="1" ht="15" hidden="1" customHeight="1" outlineLevel="2" x14ac:dyDescent="0.3">
      <c r="B131" s="48" t="s">
        <v>153</v>
      </c>
      <c r="C131" s="39" t="str">
        <f>VLOOKUP(B131,'[19]DETAILED OCT GS560'!F:AC,2,FALSE)</f>
        <v>P132104</v>
      </c>
      <c r="D131" s="18" t="s">
        <v>153</v>
      </c>
      <c r="E131" s="19">
        <f>SUMIF(DETAILED!O:O,'MTREF BUDGET 2023-24  Summary'!C131,DETAILED!S:S)</f>
        <v>-9917542</v>
      </c>
      <c r="F131" s="19">
        <f>SUMIF(DETAILED!O:O,'MTREF BUDGET 2023-24  Summary'!C131,DETAILED!AE:AE)</f>
        <v>-9917542</v>
      </c>
      <c r="G131" s="19">
        <f>SUMIF(DETAILED!O:O,'MTREF BUDGET 2023-24  Summary'!C131,DETAILED!AL:AL)</f>
        <v>-5848373.7400000002</v>
      </c>
      <c r="H131" s="19">
        <f>SUMIF(DETAILED!O:O,'MTREF BUDGET 2023-24  Summary'!C131,DETAILED!AM:AM)</f>
        <v>-6117398.9320400003</v>
      </c>
      <c r="I131" s="19">
        <f>SUMIF(DETAILED!O:O,'MTREF BUDGET 2023-24  Summary'!C131,DETAILED!AN:AN)</f>
        <v>-6398799.2829138404</v>
      </c>
    </row>
    <row r="132" spans="2:13" s="20" customFormat="1" ht="15.9" hidden="1" customHeight="1" outlineLevel="2" x14ac:dyDescent="0.3">
      <c r="B132" s="48" t="s">
        <v>154</v>
      </c>
      <c r="C132" s="39"/>
      <c r="D132" s="18" t="s">
        <v>154</v>
      </c>
      <c r="E132" s="19">
        <f>SUMIF(DETAILED!O:O,'MTREF BUDGET 2023-24  Summary'!C132,DETAILED!S:S)</f>
        <v>0</v>
      </c>
      <c r="F132" s="19">
        <f>SUMIF(DETAILED!O:O,'MTREF BUDGET 2023-24  Summary'!C132,DETAILED!AE:AE)</f>
        <v>0</v>
      </c>
      <c r="G132" s="19">
        <f>SUMIF(DETAILED!O:O,'MTREF BUDGET 2023-24  Summary'!C132,DETAILED!AL:AL)</f>
        <v>0</v>
      </c>
      <c r="H132" s="19">
        <f>SUMIF(DETAILED!O:O,'MTREF BUDGET 2023-24  Summary'!C132,DETAILED!AM:AM)</f>
        <v>0</v>
      </c>
      <c r="I132" s="19">
        <f>SUMIF(DETAILED!O:O,'MTREF BUDGET 2023-24  Summary'!C132,DETAILED!AN:AN)</f>
        <v>0</v>
      </c>
    </row>
    <row r="133" spans="2:13" s="20" customFormat="1" ht="15.9" hidden="1" customHeight="1" outlineLevel="2" x14ac:dyDescent="0.3">
      <c r="B133" s="48" t="s">
        <v>155</v>
      </c>
      <c r="C133" s="39"/>
      <c r="D133" s="18" t="s">
        <v>155</v>
      </c>
      <c r="E133" s="19">
        <f>SUMIF(DETAILED!O:O,'MTREF BUDGET 2023-24  Summary'!C133,DETAILED!S:S)</f>
        <v>0</v>
      </c>
      <c r="F133" s="19">
        <f>SUMIF(DETAILED!O:O,'MTREF BUDGET 2023-24  Summary'!C133,DETAILED!AE:AE)</f>
        <v>0</v>
      </c>
      <c r="G133" s="19">
        <f>SUMIF(DETAILED!O:O,'MTREF BUDGET 2023-24  Summary'!C133,DETAILED!AL:AL)</f>
        <v>0</v>
      </c>
      <c r="H133" s="19">
        <f>SUMIF(DETAILED!O:O,'MTREF BUDGET 2023-24  Summary'!C133,DETAILED!AM:AM)</f>
        <v>0</v>
      </c>
      <c r="I133" s="19">
        <f>SUMIF(DETAILED!O:O,'MTREF BUDGET 2023-24  Summary'!C133,DETAILED!AN:AN)</f>
        <v>0</v>
      </c>
    </row>
    <row r="134" spans="2:13" ht="15.9" hidden="1" customHeight="1" outlineLevel="1" collapsed="1" x14ac:dyDescent="0.3">
      <c r="B134" s="26" t="s">
        <v>156</v>
      </c>
      <c r="C134" s="28"/>
      <c r="D134" s="51" t="s">
        <v>156</v>
      </c>
      <c r="E134" s="11">
        <f>SUM(E135:E138)</f>
        <v>-34335298</v>
      </c>
      <c r="F134" s="11">
        <f>SUM(F135:F138)</f>
        <v>-34335298</v>
      </c>
      <c r="G134" s="11">
        <f>SUM(G135:G138)</f>
        <v>-34335298</v>
      </c>
      <c r="H134" s="11">
        <f>SUM(H135:H138)</f>
        <v>-35914721.708000004</v>
      </c>
      <c r="I134" s="11">
        <f>SUM(I135:I138)</f>
        <v>-37566798.906568006</v>
      </c>
      <c r="K134" s="20"/>
      <c r="L134" s="20"/>
      <c r="M134" s="20"/>
    </row>
    <row r="135" spans="2:13" s="20" customFormat="1" ht="15.9" hidden="1" customHeight="1" outlineLevel="2" x14ac:dyDescent="0.3">
      <c r="B135" s="16" t="s">
        <v>157</v>
      </c>
      <c r="C135" s="39" t="str">
        <f>VLOOKUP(B135,'[19]DETAILED OCT GS560'!F:AC,2,FALSE)</f>
        <v>P134117</v>
      </c>
      <c r="D135" s="18" t="s">
        <v>157</v>
      </c>
      <c r="E135" s="19">
        <f>SUMIF(DETAILED!O:O,'MTREF BUDGET 2023-24  Summary'!C135,DETAILED!S:S)</f>
        <v>-1770935</v>
      </c>
      <c r="F135" s="19">
        <f>SUMIF(DETAILED!O:O,'MTREF BUDGET 2023-24  Summary'!C135,DETAILED!AE:AE)</f>
        <v>-1770935</v>
      </c>
      <c r="G135" s="19">
        <f>SUMIF(DETAILED!O:O,'MTREF BUDGET 2023-24  Summary'!C135,DETAILED!AL:AL)</f>
        <v>-1770935</v>
      </c>
      <c r="H135" s="19">
        <f>SUMIF(DETAILED!O:O,'MTREF BUDGET 2023-24  Summary'!C135,DETAILED!AM:AM)</f>
        <v>-1852398.01</v>
      </c>
      <c r="I135" s="19">
        <f>SUMIF(DETAILED!O:O,'MTREF BUDGET 2023-24  Summary'!C135,DETAILED!AN:AN)</f>
        <v>-1937608.31846</v>
      </c>
    </row>
    <row r="136" spans="2:13" s="20" customFormat="1" ht="15.9" hidden="1" customHeight="1" outlineLevel="2" x14ac:dyDescent="0.3">
      <c r="B136" s="16" t="s">
        <v>158</v>
      </c>
      <c r="C136" s="39" t="str">
        <f>VLOOKUP(B136,'[19]DETAILED OCT GS560'!F:AC,2,FALSE)</f>
        <v>P134115</v>
      </c>
      <c r="D136" s="18" t="s">
        <v>158</v>
      </c>
      <c r="E136" s="19">
        <f>SUMIF(DETAILED!O:O,'MTREF BUDGET 2023-24  Summary'!C136,DETAILED!S:S)</f>
        <v>-2718059</v>
      </c>
      <c r="F136" s="19">
        <f>SUMIF(DETAILED!O:O,'MTREF BUDGET 2023-24  Summary'!C136,DETAILED!AE:AE)</f>
        <v>-2718059</v>
      </c>
      <c r="G136" s="19">
        <f>SUMIF(DETAILED!O:O,'MTREF BUDGET 2023-24  Summary'!C136,DETAILED!AL:AL)</f>
        <v>-2718059</v>
      </c>
      <c r="H136" s="19">
        <f>SUMIF(DETAILED!O:O,'MTREF BUDGET 2023-24  Summary'!C136,DETAILED!AM:AM)</f>
        <v>-2843089.7140000002</v>
      </c>
      <c r="I136" s="19">
        <f>SUMIF(DETAILED!O:O,'MTREF BUDGET 2023-24  Summary'!C136,DETAILED!AN:AN)</f>
        <v>-2973871.8408440002</v>
      </c>
    </row>
    <row r="137" spans="2:13" s="20" customFormat="1" ht="15.9" hidden="1" customHeight="1" outlineLevel="2" x14ac:dyDescent="0.3">
      <c r="B137" s="48" t="s">
        <v>159</v>
      </c>
      <c r="C137" s="39"/>
      <c r="D137" s="18" t="s">
        <v>159</v>
      </c>
      <c r="E137" s="19">
        <f>SUMIF(DETAILED!O:O,'MTREF BUDGET 2023-24  Summary'!C137,DETAILED!S:S)</f>
        <v>0</v>
      </c>
      <c r="F137" s="19">
        <f>SUMIF(DETAILED!O:O,'MTREF BUDGET 2023-24  Summary'!C137,DETAILED!AE:AE)</f>
        <v>0</v>
      </c>
      <c r="G137" s="19">
        <f>SUMIF(DETAILED!O:O,'MTREF BUDGET 2023-24  Summary'!C137,DETAILED!AL:AL)</f>
        <v>0</v>
      </c>
      <c r="H137" s="19">
        <f>SUMIF(DETAILED!O:O,'MTREF BUDGET 2023-24  Summary'!C137,DETAILED!AM:AM)</f>
        <v>0</v>
      </c>
      <c r="I137" s="19">
        <f>SUMIF(DETAILED!O:O,'MTREF BUDGET 2023-24  Summary'!C137,DETAILED!AN:AN)</f>
        <v>0</v>
      </c>
    </row>
    <row r="138" spans="2:13" s="20" customFormat="1" ht="15.9" hidden="1" customHeight="1" outlineLevel="2" x14ac:dyDescent="0.3">
      <c r="B138" s="56" t="s">
        <v>160</v>
      </c>
      <c r="C138" s="39" t="s">
        <v>161</v>
      </c>
      <c r="D138" s="18" t="s">
        <v>160</v>
      </c>
      <c r="E138" s="19">
        <f>SUMIF(DETAILED!O:O,'MTREF BUDGET 2023-24  Summary'!C138,DETAILED!S:S)</f>
        <v>-29846304</v>
      </c>
      <c r="F138" s="19">
        <f>SUMIF(DETAILED!O:O,'MTREF BUDGET 2023-24  Summary'!C138,DETAILED!AE:AE)</f>
        <v>-29846304</v>
      </c>
      <c r="G138" s="19">
        <f>SUMIF(DETAILED!O:O,'MTREF BUDGET 2023-24  Summary'!C138,DETAILED!AL:AL)</f>
        <v>-29846304</v>
      </c>
      <c r="H138" s="19">
        <f>SUMIF(DETAILED!O:O,'MTREF BUDGET 2023-24  Summary'!C138,DETAILED!AM:AM)</f>
        <v>-31219233.984000001</v>
      </c>
      <c r="I138" s="19">
        <f>SUMIF(DETAILED!O:O,'MTREF BUDGET 2023-24  Summary'!C138,DETAILED!AN:AN)</f>
        <v>-32655318.747264002</v>
      </c>
    </row>
    <row r="139" spans="2:13" ht="15.9" hidden="1" customHeight="1" outlineLevel="1" collapsed="1" x14ac:dyDescent="0.3">
      <c r="B139" s="26" t="s">
        <v>162</v>
      </c>
      <c r="C139" s="28"/>
      <c r="D139" s="51" t="s">
        <v>162</v>
      </c>
      <c r="E139" s="11">
        <f>SUM(E140:E142)</f>
        <v>-11626163</v>
      </c>
      <c r="F139" s="11">
        <f t="shared" ref="F139:I139" si="12">SUM(F140:F142)</f>
        <v>-11626163</v>
      </c>
      <c r="G139" s="11">
        <f t="shared" si="12"/>
        <v>-8658577</v>
      </c>
      <c r="H139" s="11">
        <f t="shared" si="12"/>
        <v>-9056871.5419999994</v>
      </c>
      <c r="I139" s="11">
        <f t="shared" si="12"/>
        <v>-9473487.6329319999</v>
      </c>
      <c r="K139" s="20"/>
      <c r="L139" s="20"/>
      <c r="M139" s="20"/>
    </row>
    <row r="140" spans="2:13" s="20" customFormat="1" ht="15.9" hidden="1" customHeight="1" outlineLevel="2" x14ac:dyDescent="0.3">
      <c r="B140" s="48" t="s">
        <v>163</v>
      </c>
      <c r="C140" s="39" t="str">
        <f>VLOOKUP(B140,'[19]DETAILED OCT GS560'!F:AC,2,FALSE)</f>
        <v>P138060</v>
      </c>
      <c r="D140" s="18" t="s">
        <v>163</v>
      </c>
      <c r="E140" s="19">
        <f>SUMIF(DETAILED!O:O,'MTREF BUDGET 2023-24  Summary'!C140,DETAILED!S:S)</f>
        <v>0</v>
      </c>
      <c r="F140" s="19">
        <f>SUMIF(DETAILED!O:O,'MTREF BUDGET 2023-24  Summary'!C140,DETAILED!AE:AE)</f>
        <v>0</v>
      </c>
      <c r="G140" s="19">
        <f>SUMIF(DETAILED!O:O,'MTREF BUDGET 2023-24  Summary'!C140,DETAILED!AL:AL)</f>
        <v>0</v>
      </c>
      <c r="H140" s="19">
        <f>SUMIF(DETAILED!O:O,'MTREF BUDGET 2023-24  Summary'!C140,DETAILED!AM:AM)</f>
        <v>0</v>
      </c>
      <c r="I140" s="19">
        <f>SUMIF(DETAILED!O:O,'MTREF BUDGET 2023-24  Summary'!C140,DETAILED!AN:AN)</f>
        <v>0</v>
      </c>
    </row>
    <row r="141" spans="2:13" s="20" customFormat="1" ht="15.9" hidden="1" customHeight="1" outlineLevel="2" x14ac:dyDescent="0.3">
      <c r="B141" s="48" t="s">
        <v>164</v>
      </c>
      <c r="C141" s="39" t="str">
        <f>VLOOKUP(B141,'[19]DETAILED OCT GS560'!F:AC,2,FALSE)</f>
        <v>P138061</v>
      </c>
      <c r="D141" s="18" t="s">
        <v>164</v>
      </c>
      <c r="E141" s="19">
        <f>SUMIF(DETAILED!O:O,'MTREF BUDGET 2023-24  Summary'!C141,DETAILED!S:S)</f>
        <v>-4467586</v>
      </c>
      <c r="F141" s="19">
        <f>SUMIF(DETAILED!O:O,'MTREF BUDGET 2023-24  Summary'!C141,DETAILED!AE:AE)</f>
        <v>-4467586</v>
      </c>
      <c r="G141" s="19">
        <f>SUMIF(DETAILED!O:O,'MTREF BUDGET 2023-24  Summary'!C141,DETAILED!AL:AL)</f>
        <v>-1500000</v>
      </c>
      <c r="H141" s="19">
        <f>SUMIF(DETAILED!O:O,'MTREF BUDGET 2023-24  Summary'!C141,DETAILED!AM:AM)</f>
        <v>-1569000</v>
      </c>
      <c r="I141" s="19">
        <f>SUMIF(DETAILED!O:O,'MTREF BUDGET 2023-24  Summary'!C141,DETAILED!AN:AN)</f>
        <v>-1641174</v>
      </c>
    </row>
    <row r="142" spans="2:13" s="20" customFormat="1" ht="15.9" hidden="1" customHeight="1" outlineLevel="2" x14ac:dyDescent="0.3">
      <c r="B142" s="56" t="s">
        <v>165</v>
      </c>
      <c r="C142" s="39" t="s">
        <v>166</v>
      </c>
      <c r="D142" s="18" t="s">
        <v>165</v>
      </c>
      <c r="E142" s="19">
        <f>SUMIF(DETAILED!O:O,'MTREF BUDGET 2023-24  Summary'!C142,DETAILED!S:S)</f>
        <v>-7158577</v>
      </c>
      <c r="F142" s="19">
        <f>SUMIF(DETAILED!O:O,'MTREF BUDGET 2023-24  Summary'!C142,DETAILED!AE:AE)</f>
        <v>-7158577</v>
      </c>
      <c r="G142" s="19">
        <f>SUMIF(DETAILED!O:O,'MTREF BUDGET 2023-24  Summary'!C142,DETAILED!AL:AL)</f>
        <v>-7158577</v>
      </c>
      <c r="H142" s="19">
        <f>SUMIF(DETAILED!O:O,'MTREF BUDGET 2023-24  Summary'!C142,DETAILED!AM:AM)</f>
        <v>-7487871.5420000004</v>
      </c>
      <c r="I142" s="19">
        <f>SUMIF(DETAILED!O:O,'MTREF BUDGET 2023-24  Summary'!C142,DETAILED!AN:AN)</f>
        <v>-7832313.6329320008</v>
      </c>
    </row>
    <row r="143" spans="2:13" ht="15.9" hidden="1" customHeight="1" outlineLevel="1" collapsed="1" x14ac:dyDescent="0.3">
      <c r="B143" s="26" t="s">
        <v>167</v>
      </c>
      <c r="C143" s="28"/>
      <c r="D143" s="51" t="s">
        <v>167</v>
      </c>
      <c r="E143" s="11">
        <f>SUM(E144:E150)</f>
        <v>22986588</v>
      </c>
      <c r="F143" s="11">
        <f>SUM(F144:F150)</f>
        <v>22986588</v>
      </c>
      <c r="G143" s="11">
        <f>SUM(G144:G150)</f>
        <v>-3494389</v>
      </c>
      <c r="H143" s="11">
        <f>SUM(H144:H150)</f>
        <v>-3655130.8940000003</v>
      </c>
      <c r="I143" s="11">
        <f>SUM(I144:I150)</f>
        <v>-3823266.9151240001</v>
      </c>
      <c r="K143" s="20"/>
      <c r="L143" s="20"/>
      <c r="M143" s="20"/>
    </row>
    <row r="144" spans="2:13" s="20" customFormat="1" ht="15.9" hidden="1" customHeight="1" outlineLevel="2" x14ac:dyDescent="0.3">
      <c r="B144" s="48" t="s">
        <v>168</v>
      </c>
      <c r="C144" s="39" t="str">
        <f>VLOOKUP(B144,'[19]DETAILED OCT GS560'!F:AC,2,FALSE)</f>
        <v>P142456</v>
      </c>
      <c r="D144" s="18" t="s">
        <v>168</v>
      </c>
      <c r="E144" s="19">
        <f>SUMIF(DETAILED!O:O,'MTREF BUDGET 2023-24  Summary'!C144,DETAILED!S:S)</f>
        <v>-2318713</v>
      </c>
      <c r="F144" s="19">
        <f>SUMIF(DETAILED!O:O,'MTREF BUDGET 2023-24  Summary'!C144,DETAILED!AE:AE)</f>
        <v>-2318713</v>
      </c>
      <c r="G144" s="19">
        <f>SUMIF(DETAILED!O:O,'MTREF BUDGET 2023-24  Summary'!C144,DETAILED!AL:AL)</f>
        <v>-2318713</v>
      </c>
      <c r="H144" s="19">
        <f>SUMIF(DETAILED!O:O,'MTREF BUDGET 2023-24  Summary'!C144,DETAILED!AM:AM)</f>
        <v>-2425373.798</v>
      </c>
      <c r="I144" s="19">
        <f>SUMIF(DETAILED!O:O,'MTREF BUDGET 2023-24  Summary'!C144,DETAILED!AN:AN)</f>
        <v>-2536940.9927079999</v>
      </c>
    </row>
    <row r="145" spans="2:13" s="20" customFormat="1" ht="15.9" hidden="1" customHeight="1" outlineLevel="2" x14ac:dyDescent="0.3">
      <c r="B145" s="48" t="s">
        <v>169</v>
      </c>
      <c r="C145" s="39" t="str">
        <f>VLOOKUP(B145,'[19]DETAILED OCT GS560'!F:AC,2,FALSE)</f>
        <v>P142551</v>
      </c>
      <c r="D145" s="18" t="s">
        <v>169</v>
      </c>
      <c r="E145" s="19">
        <f>SUMIF(DETAILED!O:O,'MTREF BUDGET 2023-24  Summary'!C145,DETAILED!S:S)</f>
        <v>0</v>
      </c>
      <c r="F145" s="19">
        <f>SUMIF(DETAILED!O:O,'MTREF BUDGET 2023-24  Summary'!C145,DETAILED!AE:AE)</f>
        <v>0</v>
      </c>
      <c r="G145" s="19">
        <f>SUMIF(DETAILED!O:O,'MTREF BUDGET 2023-24  Summary'!C145,DETAILED!AL:AL)</f>
        <v>0</v>
      </c>
      <c r="H145" s="19">
        <f>SUMIF(DETAILED!O:O,'MTREF BUDGET 2023-24  Summary'!C145,DETAILED!AM:AM)</f>
        <v>0</v>
      </c>
      <c r="I145" s="19">
        <f>SUMIF(DETAILED!O:O,'MTREF BUDGET 2023-24  Summary'!C145,DETAILED!AN:AN)</f>
        <v>0</v>
      </c>
    </row>
    <row r="146" spans="2:13" s="20" customFormat="1" ht="15.9" hidden="1" customHeight="1" outlineLevel="2" x14ac:dyDescent="0.3">
      <c r="B146" s="16" t="s">
        <v>170</v>
      </c>
      <c r="C146" s="39" t="str">
        <f>VLOOKUP(B146,'[19]DETAILED OCT GS560'!F:AC,2,FALSE)</f>
        <v>P142002</v>
      </c>
      <c r="D146" s="18" t="s">
        <v>170</v>
      </c>
      <c r="E146" s="19">
        <f>SUMIF(DETAILED!O:O,'MTREF BUDGET 2023-24  Summary'!C146,DETAILED!S:S)</f>
        <v>-1141439</v>
      </c>
      <c r="F146" s="19">
        <f>SUMIF(DETAILED!O:O,'MTREF BUDGET 2023-24  Summary'!C146,DETAILED!AE:AE)</f>
        <v>-1141439</v>
      </c>
      <c r="G146" s="19">
        <f>SUMIF(DETAILED!O:O,'MTREF BUDGET 2023-24  Summary'!C146,DETAILED!AL:AL)</f>
        <v>-1141439</v>
      </c>
      <c r="H146" s="19">
        <f>SUMIF(DETAILED!O:O,'MTREF BUDGET 2023-24  Summary'!C146,DETAILED!AM:AM)</f>
        <v>-1193945.1940000001</v>
      </c>
      <c r="I146" s="19">
        <f>SUMIF(DETAILED!O:O,'MTREF BUDGET 2023-24  Summary'!C146,DETAILED!AN:AN)</f>
        <v>-1248866.6729240003</v>
      </c>
    </row>
    <row r="147" spans="2:13" s="20" customFormat="1" ht="15.9" hidden="1" customHeight="1" outlineLevel="2" x14ac:dyDescent="0.3">
      <c r="B147" s="48" t="s">
        <v>171</v>
      </c>
      <c r="C147" s="167" t="str">
        <f>VLOOKUP(B147,'[19]DETAILED OCT GS560'!F:AC,2,FALSE)</f>
        <v>P142008</v>
      </c>
      <c r="D147" s="18" t="s">
        <v>171</v>
      </c>
      <c r="E147" s="19">
        <f>SUMIF(DETAILED!O:O,'MTREF BUDGET 2023-24  Summary'!C147,DETAILED!S:S)</f>
        <v>-34237</v>
      </c>
      <c r="F147" s="19">
        <f>SUMIF(DETAILED!O:O,'MTREF BUDGET 2023-24  Summary'!C147,DETAILED!AE:AE)</f>
        <v>-34237</v>
      </c>
      <c r="G147" s="19">
        <f>SUMIF(DETAILED!O:O,'MTREF BUDGET 2023-24  Summary'!C147,DETAILED!AL:AL)</f>
        <v>-34237</v>
      </c>
      <c r="H147" s="19">
        <f>SUMIF(DETAILED!O:O,'MTREF BUDGET 2023-24  Summary'!C147,DETAILED!AM:AM)</f>
        <v>-35811.902000000002</v>
      </c>
      <c r="I147" s="19">
        <f>SUMIF(DETAILED!O:O,'MTREF BUDGET 2023-24  Summary'!C147,DETAILED!AN:AN)</f>
        <v>-37459.249492000003</v>
      </c>
    </row>
    <row r="148" spans="2:13" s="20" customFormat="1" ht="15.9" hidden="1" customHeight="1" outlineLevel="2" x14ac:dyDescent="0.3">
      <c r="B148" s="48" t="s">
        <v>172</v>
      </c>
      <c r="C148" s="57">
        <v>0</v>
      </c>
      <c r="D148" s="32" t="s">
        <v>172</v>
      </c>
      <c r="E148" s="19">
        <f>SUMIF(DETAILED!O:O,'MTREF BUDGET 2023-24  Summary'!C148,DETAILED!S:S)</f>
        <v>0</v>
      </c>
      <c r="F148" s="19">
        <f>SUMIF(DETAILED!O:O,'MTREF BUDGET 2023-24  Summary'!C148,DETAILED!AE:AE)</f>
        <v>0</v>
      </c>
      <c r="G148" s="19">
        <f>SUMIF(DETAILED!O:O,'MTREF BUDGET 2023-24  Summary'!C148,DETAILED!AL:AL)</f>
        <v>0</v>
      </c>
      <c r="H148" s="19">
        <f>SUMIF(DETAILED!O:O,'MTREF BUDGET 2023-24  Summary'!C148,DETAILED!AM:AM)</f>
        <v>0</v>
      </c>
      <c r="I148" s="19">
        <f>SUMIF(DETAILED!O:O,'MTREF BUDGET 2023-24  Summary'!C148,DETAILED!AN:AN)</f>
        <v>0</v>
      </c>
    </row>
    <row r="149" spans="2:13" s="20" customFormat="1" ht="15.9" hidden="1" customHeight="1" outlineLevel="2" x14ac:dyDescent="0.3">
      <c r="B149" s="18" t="s">
        <v>172</v>
      </c>
      <c r="C149" s="39" t="s">
        <v>174</v>
      </c>
      <c r="D149" s="18" t="s">
        <v>172</v>
      </c>
      <c r="E149" s="19">
        <f>SUMIF(DETAILED!O:O,'MTREF BUDGET 2023-24  Summary'!C149,DETAILED!S:S)</f>
        <v>26480977</v>
      </c>
      <c r="F149" s="19">
        <f>SUMIF(DETAILED!O:O,'MTREF BUDGET 2023-24  Summary'!C149,DETAILED!AE:AE)</f>
        <v>26480977</v>
      </c>
      <c r="G149" s="19">
        <f>SUMIF(DETAILED!O:O,'MTREF BUDGET 2023-24  Summary'!C149,DETAILED!AL:AL)</f>
        <v>0</v>
      </c>
      <c r="H149" s="19">
        <f>SUMIF(DETAILED!O:O,'MTREF BUDGET 2023-24  Summary'!C149,DETAILED!AM:AM)</f>
        <v>0</v>
      </c>
      <c r="I149" s="19">
        <f>SUMIF(DETAILED!O:O,'MTREF BUDGET 2023-24  Summary'!C149,DETAILED!AN:AN)</f>
        <v>0</v>
      </c>
    </row>
    <row r="150" spans="2:13" s="20" customFormat="1" ht="15.9" hidden="1" customHeight="1" outlineLevel="1" collapsed="1" x14ac:dyDescent="0.3">
      <c r="B150" s="58" t="s">
        <v>175</v>
      </c>
      <c r="C150" s="31"/>
      <c r="D150" s="59"/>
      <c r="E150" s="54"/>
      <c r="F150" s="54"/>
      <c r="G150" s="54"/>
      <c r="H150" s="54"/>
      <c r="I150" s="54"/>
    </row>
    <row r="151" spans="2:13" ht="15.9" hidden="1" customHeight="1" collapsed="1" x14ac:dyDescent="0.25">
      <c r="B151" s="60" t="s">
        <v>176</v>
      </c>
      <c r="D151" s="41" t="s">
        <v>176</v>
      </c>
      <c r="E151" s="47">
        <f>E94+E106</f>
        <v>-3583520551</v>
      </c>
      <c r="F151" s="47">
        <f>F94+F106</f>
        <v>-3413754310.98</v>
      </c>
      <c r="G151" s="47">
        <f>G94+G106</f>
        <v>-3409625364.0899997</v>
      </c>
      <c r="H151" s="47">
        <f>H94+H106</f>
        <v>-3566468130.8381405</v>
      </c>
      <c r="I151" s="47">
        <f>I94+I106</f>
        <v>-3730525664.8566947</v>
      </c>
      <c r="K151" s="37"/>
      <c r="L151" s="20"/>
      <c r="M151" s="20"/>
    </row>
    <row r="152" spans="2:13" ht="15.9" hidden="1" customHeight="1" x14ac:dyDescent="0.25">
      <c r="B152" s="43"/>
      <c r="D152" s="43"/>
      <c r="E152" s="61"/>
      <c r="F152" s="61">
        <f>F151-(F95+F101+F107+F130+F134+F139+F143)</f>
        <v>0</v>
      </c>
      <c r="G152" s="62">
        <f>G151-(G95+G101+G107+G130+G134+G139+G143)</f>
        <v>0</v>
      </c>
      <c r="H152" s="62">
        <f>H151-(H95+H101+H107+H130+H134+H139+H143)</f>
        <v>0</v>
      </c>
      <c r="I152" s="62">
        <f>I151-(I95+I101+I107+I130+I134+I139+I143)</f>
        <v>0</v>
      </c>
      <c r="K152" s="20"/>
      <c r="L152" s="20"/>
      <c r="M152" s="20"/>
    </row>
    <row r="153" spans="2:13" ht="15.9" hidden="1" customHeight="1" x14ac:dyDescent="0.2">
      <c r="D153" s="206" t="s">
        <v>177</v>
      </c>
      <c r="E153" s="206"/>
      <c r="F153" s="206"/>
      <c r="G153" s="207"/>
      <c r="H153" s="207"/>
      <c r="I153" s="207"/>
      <c r="K153" s="20"/>
      <c r="L153" s="20"/>
      <c r="M153" s="20"/>
    </row>
    <row r="154" spans="2:13" ht="32.4" hidden="1" customHeight="1" x14ac:dyDescent="0.2">
      <c r="B154" s="63"/>
      <c r="D154" s="7" t="s">
        <v>178</v>
      </c>
      <c r="E154" s="7" t="s">
        <v>2155</v>
      </c>
      <c r="F154" s="7" t="s">
        <v>3487</v>
      </c>
      <c r="G154" s="7" t="s">
        <v>5</v>
      </c>
      <c r="H154" s="7" t="s">
        <v>6</v>
      </c>
      <c r="I154" s="7" t="s">
        <v>1984</v>
      </c>
      <c r="K154" s="20"/>
      <c r="L154" s="20"/>
      <c r="M154" s="20"/>
    </row>
    <row r="155" spans="2:13" ht="15.9" hidden="1" customHeight="1" x14ac:dyDescent="0.3">
      <c r="B155" s="26" t="s">
        <v>179</v>
      </c>
      <c r="C155" s="28"/>
      <c r="D155" s="24" t="s">
        <v>179</v>
      </c>
      <c r="E155" s="25">
        <f>SUM(E156:E157)</f>
        <v>29251573</v>
      </c>
      <c r="F155" s="25">
        <f t="shared" ref="F155:I155" si="13">SUM(F156:F157)</f>
        <v>29251573</v>
      </c>
      <c r="G155" s="25">
        <f t="shared" si="13"/>
        <v>165226485</v>
      </c>
      <c r="H155" s="25">
        <f t="shared" si="13"/>
        <v>172826903.31</v>
      </c>
      <c r="I155" s="25">
        <f t="shared" si="13"/>
        <v>180776940.86225998</v>
      </c>
      <c r="K155" s="20"/>
      <c r="L155" s="20"/>
      <c r="M155" s="20"/>
    </row>
    <row r="156" spans="2:13" s="20" customFormat="1" ht="15.9" hidden="1" customHeight="1" outlineLevel="1" x14ac:dyDescent="0.3">
      <c r="B156" s="64" t="s">
        <v>180</v>
      </c>
      <c r="C156" s="39" t="s">
        <v>803</v>
      </c>
      <c r="D156" s="18" t="s">
        <v>182</v>
      </c>
      <c r="E156" s="19">
        <f>SUMIF(DETAILED!O:O,'MTREF BUDGET 2023-24  Summary'!C156,DETAILED!S:S)</f>
        <v>-9665415</v>
      </c>
      <c r="F156" s="19">
        <f>SUMIF(DETAILED!O:O,'MTREF BUDGET 2023-24  Summary'!C156,DETAILED!AE:AE)</f>
        <v>-9665415</v>
      </c>
      <c r="G156" s="19">
        <f>SUMIF(DETAILED!O:O,'MTREF BUDGET 2023-24  Summary'!C156,DETAILED!AL:AL)</f>
        <v>-9773515</v>
      </c>
      <c r="H156" s="19">
        <f>SUMIF(DETAILED!O:O,'MTREF BUDGET 2023-24  Summary'!C156,DETAILED!AM:AM)</f>
        <v>-10223096.689999999</v>
      </c>
      <c r="I156" s="19">
        <f>SUMIF(DETAILED!O:O,'MTREF BUDGET 2023-24  Summary'!C156,DETAILED!AN:AN)</f>
        <v>-10693359.137740001</v>
      </c>
    </row>
    <row r="157" spans="2:13" s="20" customFormat="1" ht="15.9" hidden="1" customHeight="1" outlineLevel="1" x14ac:dyDescent="0.3">
      <c r="B157" s="64" t="s">
        <v>183</v>
      </c>
      <c r="C157" s="39" t="s">
        <v>184</v>
      </c>
      <c r="D157" s="18" t="s">
        <v>185</v>
      </c>
      <c r="E157" s="19">
        <f>SUMIF(DETAILED!O:O,'MTREF BUDGET 2023-24  Summary'!C157,DETAILED!S:S)</f>
        <v>38916988</v>
      </c>
      <c r="F157" s="19">
        <f>SUMIF(DETAILED!O:O,'MTREF BUDGET 2023-24  Summary'!C157,DETAILED!AE:AE)</f>
        <v>38916988</v>
      </c>
      <c r="G157" s="19">
        <f>SUMIF(DETAILED!O:O,'MTREF BUDGET 2023-24  Summary'!C157,DETAILED!AL:AL)</f>
        <v>175000000</v>
      </c>
      <c r="H157" s="19">
        <f>SUMIF(DETAILED!O:O,'MTREF BUDGET 2023-24  Summary'!C157,DETAILED!AM:AM)</f>
        <v>183050000</v>
      </c>
      <c r="I157" s="19">
        <f>SUMIF(DETAILED!O:O,'MTREF BUDGET 2023-24  Summary'!C157,DETAILED!AN:AN)</f>
        <v>191470300</v>
      </c>
    </row>
    <row r="158" spans="2:13" ht="15.9" hidden="1" customHeight="1" collapsed="1" x14ac:dyDescent="0.2">
      <c r="D158" s="65"/>
      <c r="E158" s="66"/>
      <c r="F158" s="66"/>
      <c r="G158" s="66"/>
      <c r="H158" s="66"/>
      <c r="I158" s="66"/>
      <c r="K158" s="20"/>
      <c r="L158" s="20"/>
      <c r="M158" s="20"/>
    </row>
    <row r="159" spans="2:13" ht="15.9" hidden="1" customHeight="1" x14ac:dyDescent="0.2">
      <c r="D159" s="206" t="s">
        <v>2</v>
      </c>
      <c r="E159" s="206"/>
      <c r="F159" s="206"/>
      <c r="G159" s="207"/>
      <c r="H159" s="207"/>
      <c r="I159" s="207"/>
      <c r="K159" s="20"/>
      <c r="L159" s="20"/>
      <c r="M159" s="20"/>
    </row>
    <row r="160" spans="2:13" ht="31.95" hidden="1" customHeight="1" x14ac:dyDescent="0.2">
      <c r="B160" s="63"/>
      <c r="D160" s="7" t="s">
        <v>186</v>
      </c>
      <c r="E160" s="7" t="s">
        <v>2155</v>
      </c>
      <c r="F160" s="7" t="s">
        <v>4</v>
      </c>
      <c r="G160" s="7" t="s">
        <v>5</v>
      </c>
      <c r="H160" s="7" t="s">
        <v>6</v>
      </c>
      <c r="I160" s="7" t="s">
        <v>1984</v>
      </c>
      <c r="K160" s="20"/>
      <c r="L160" s="20"/>
      <c r="M160" s="20"/>
    </row>
    <row r="161" spans="2:13" ht="15.9" hidden="1" customHeight="1" x14ac:dyDescent="0.3">
      <c r="B161" s="26" t="s">
        <v>187</v>
      </c>
      <c r="C161" s="28"/>
      <c r="D161" s="24" t="s">
        <v>188</v>
      </c>
      <c r="E161" s="25">
        <f>E90+E151+E155</f>
        <v>-425275068</v>
      </c>
      <c r="F161" s="25">
        <f>F90+F151+F155</f>
        <v>-300364372</v>
      </c>
      <c r="G161" s="25">
        <f ca="1">G90+G151+G155</f>
        <v>-74133559.805648804</v>
      </c>
      <c r="H161" s="25">
        <f ca="1">H90+H151+H155</f>
        <v>-77619457.002568185</v>
      </c>
      <c r="I161" s="25">
        <f ca="1">I90+I151+I155</f>
        <v>-81061417.146254897</v>
      </c>
      <c r="K161" s="20"/>
      <c r="L161" s="20"/>
      <c r="M161" s="20"/>
    </row>
    <row r="162" spans="2:13" ht="15.9" hidden="1" customHeight="1" x14ac:dyDescent="0.3">
      <c r="B162" s="67"/>
      <c r="C162" s="36"/>
      <c r="D162" s="68"/>
      <c r="E162" s="69"/>
      <c r="F162" s="69"/>
      <c r="G162" s="69"/>
      <c r="H162" s="69"/>
      <c r="I162" s="69"/>
      <c r="K162" s="20"/>
      <c r="L162" s="20"/>
      <c r="M162" s="20"/>
    </row>
    <row r="163" spans="2:13" ht="15.9" hidden="1" customHeight="1" x14ac:dyDescent="0.2">
      <c r="D163" s="206" t="s">
        <v>2</v>
      </c>
      <c r="E163" s="206"/>
      <c r="F163" s="206"/>
      <c r="G163" s="207"/>
      <c r="H163" s="207"/>
      <c r="I163" s="207"/>
      <c r="K163" s="20"/>
      <c r="L163" s="20"/>
      <c r="M163" s="20"/>
    </row>
    <row r="164" spans="2:13" ht="31.95" hidden="1" customHeight="1" x14ac:dyDescent="0.2">
      <c r="B164" s="63"/>
      <c r="D164" s="7" t="s">
        <v>189</v>
      </c>
      <c r="E164" s="7" t="s">
        <v>2155</v>
      </c>
      <c r="F164" s="7" t="s">
        <v>3487</v>
      </c>
      <c r="G164" s="7" t="s">
        <v>5</v>
      </c>
      <c r="H164" s="7" t="s">
        <v>6</v>
      </c>
      <c r="I164" s="7" t="s">
        <v>1984</v>
      </c>
      <c r="K164" s="20"/>
      <c r="L164" s="20"/>
      <c r="M164" s="20"/>
    </row>
    <row r="165" spans="2:13" s="20" customFormat="1" ht="15.9" hidden="1" customHeight="1" outlineLevel="1" x14ac:dyDescent="0.3">
      <c r="B165" s="70" t="s">
        <v>190</v>
      </c>
      <c r="C165" s="71" t="s">
        <v>191</v>
      </c>
      <c r="D165" s="72" t="s">
        <v>190</v>
      </c>
      <c r="E165" s="19">
        <f>SUMIF(DETAILED!O:O,'MTREF BUDGET 2023-24  Summary'!C165,DETAILED!S:S)</f>
        <v>20000000</v>
      </c>
      <c r="F165" s="19">
        <f>SUMIF(DETAILED!O:O,'MTREF BUDGET 2023-24  Summary'!C165,DETAILED!AE:AE)</f>
        <v>26000000</v>
      </c>
      <c r="G165" s="19">
        <f>SUMIF(DETAILED!O:O,'MTREF BUDGET 2023-24  Summary'!C165,DETAILED!AL:AL)</f>
        <v>25000000</v>
      </c>
      <c r="H165" s="19">
        <f>SUMIF(DETAILED!O:O,'MTREF BUDGET 2023-24  Summary'!C165,DETAILED!AM:AM)</f>
        <v>26150000</v>
      </c>
      <c r="I165" s="19">
        <f>SUMIF(DETAILED!O:O,'MTREF BUDGET 2023-24  Summary'!C165,DETAILED!AN:AN)</f>
        <v>27352900</v>
      </c>
    </row>
    <row r="166" spans="2:13" s="20" customFormat="1" ht="15.9" hidden="1" customHeight="1" outlineLevel="1" x14ac:dyDescent="0.3">
      <c r="B166" s="70" t="s">
        <v>192</v>
      </c>
      <c r="C166" s="39"/>
      <c r="D166" s="73" t="s">
        <v>192</v>
      </c>
      <c r="E166" s="19">
        <f>SUMIF(DETAILED!O:O,'MTREF BUDGET 2023-24  Summary'!C166,DETAILED!S:S)</f>
        <v>0</v>
      </c>
      <c r="F166" s="19">
        <f>SUMIF(DETAILED!O:O,'MTREF BUDGET 2023-24  Summary'!C166,DETAILED!AE:AE)</f>
        <v>0</v>
      </c>
      <c r="G166" s="19">
        <f>SUMIF(DETAILED!O:O,'MTREF BUDGET 2023-24  Summary'!C166,DETAILED!AL:AL)</f>
        <v>0</v>
      </c>
      <c r="H166" s="19">
        <f>SUMIF(DETAILED!O:O,'MTREF BUDGET 2023-24  Summary'!C166,DETAILED!AM:AM)</f>
        <v>0</v>
      </c>
      <c r="I166" s="19">
        <f>SUMIF(DETAILED!O:O,'MTREF BUDGET 2023-24  Summary'!C166,DETAILED!AN:AN)</f>
        <v>0</v>
      </c>
    </row>
    <row r="167" spans="2:13" s="20" customFormat="1" ht="15.9" hidden="1" customHeight="1" outlineLevel="1" x14ac:dyDescent="0.3">
      <c r="B167" s="16" t="s">
        <v>193</v>
      </c>
      <c r="C167" s="39" t="s">
        <v>110</v>
      </c>
      <c r="D167" s="29" t="s">
        <v>193</v>
      </c>
      <c r="E167" s="19">
        <f>SUMIF(DETAILED!O:O,'MTREF BUDGET 2023-24  Summary'!C167,DETAILED!S:S)</f>
        <v>14300000</v>
      </c>
      <c r="F167" s="19">
        <f>SUMIF(DETAILED!O:O,'MTREF BUDGET 2023-24  Summary'!C167,DETAILED!AE:AE)</f>
        <v>14300000</v>
      </c>
      <c r="G167" s="19">
        <f>SUMIF(DETAILED!O:O,'MTREF BUDGET 2023-24  Summary'!C167,DETAILED!AL:AL)</f>
        <v>14300000</v>
      </c>
      <c r="H167" s="19">
        <f>SUMIF(DETAILED!O:O,'MTREF BUDGET 2023-24  Summary'!C167,DETAILED!AM:AM)</f>
        <v>14957800</v>
      </c>
      <c r="I167" s="19">
        <f>SUMIF(DETAILED!O:O,'MTREF BUDGET 2023-24  Summary'!C167,DETAILED!AN:AN)</f>
        <v>15645858.800000001</v>
      </c>
    </row>
    <row r="168" spans="2:13" s="20" customFormat="1" ht="15.9" hidden="1" customHeight="1" collapsed="1" x14ac:dyDescent="0.3">
      <c r="B168" s="30"/>
      <c r="C168" s="39"/>
      <c r="D168" s="74" t="s">
        <v>194</v>
      </c>
      <c r="E168" s="11">
        <f>SUM(E165:E167)</f>
        <v>34300000</v>
      </c>
      <c r="F168" s="11">
        <f>SUM(F165:F167)</f>
        <v>40300000</v>
      </c>
      <c r="G168" s="11">
        <f>SUM(G165:G167)</f>
        <v>39300000</v>
      </c>
      <c r="H168" s="11">
        <f>SUM(H165:H167)</f>
        <v>41107800</v>
      </c>
      <c r="I168" s="11">
        <f>SUM(I165:I167)</f>
        <v>42998758.799999997</v>
      </c>
    </row>
    <row r="169" spans="2:13" s="20" customFormat="1" ht="15.9" hidden="1" customHeight="1" x14ac:dyDescent="0.3">
      <c r="B169"/>
      <c r="C169" s="31"/>
      <c r="D169" s="75"/>
      <c r="E169" s="54"/>
      <c r="F169" s="54"/>
      <c r="G169" s="54"/>
      <c r="H169" s="54"/>
      <c r="I169" s="54"/>
    </row>
    <row r="170" spans="2:13" ht="15.9" hidden="1" customHeight="1" x14ac:dyDescent="0.2">
      <c r="D170" s="206" t="s">
        <v>2</v>
      </c>
      <c r="E170" s="206"/>
      <c r="F170" s="206"/>
      <c r="G170" s="207"/>
      <c r="H170" s="207"/>
      <c r="I170" s="207"/>
      <c r="K170" s="20"/>
      <c r="L170" s="20"/>
      <c r="M170" s="20"/>
    </row>
    <row r="171" spans="2:13" ht="31.95" hidden="1" customHeight="1" x14ac:dyDescent="0.2">
      <c r="B171" s="63"/>
      <c r="D171" s="7" t="s">
        <v>195</v>
      </c>
      <c r="E171" s="7" t="s">
        <v>2155</v>
      </c>
      <c r="F171" s="7" t="s">
        <v>3487</v>
      </c>
      <c r="G171" s="7" t="s">
        <v>5</v>
      </c>
      <c r="H171" s="7" t="s">
        <v>6</v>
      </c>
      <c r="I171" s="7" t="s">
        <v>1984</v>
      </c>
      <c r="K171" s="20"/>
      <c r="L171" s="20"/>
      <c r="M171" s="20"/>
    </row>
    <row r="172" spans="2:13" ht="15.9" hidden="1" customHeight="1" x14ac:dyDescent="0.3">
      <c r="B172" s="26" t="s">
        <v>196</v>
      </c>
      <c r="C172" s="28"/>
      <c r="D172" s="24" t="s">
        <v>197</v>
      </c>
      <c r="E172" s="25">
        <f>E161+E168</f>
        <v>-390975068</v>
      </c>
      <c r="F172" s="25">
        <f t="shared" ref="F172:I172" si="14">F161+F168</f>
        <v>-260064372</v>
      </c>
      <c r="G172" s="25">
        <f t="shared" ca="1" si="14"/>
        <v>-34833559.805648804</v>
      </c>
      <c r="H172" s="25">
        <f t="shared" ca="1" si="14"/>
        <v>-36511657.002568185</v>
      </c>
      <c r="I172" s="25">
        <f t="shared" ca="1" si="14"/>
        <v>-38062658.3462549</v>
      </c>
      <c r="K172" s="20"/>
      <c r="L172" s="20"/>
      <c r="M172" s="20"/>
    </row>
    <row r="173" spans="2:13" s="20" customFormat="1" ht="15.9" hidden="1" customHeight="1" x14ac:dyDescent="0.3">
      <c r="B173"/>
      <c r="C173" s="36"/>
      <c r="D173" s="68"/>
      <c r="E173" s="69">
        <f>E168+E176</f>
        <v>265225272</v>
      </c>
      <c r="F173" s="69"/>
      <c r="G173" s="69"/>
      <c r="H173" s="69"/>
      <c r="I173" s="69"/>
    </row>
    <row r="174" spans="2:13" ht="15.9" hidden="1" customHeight="1" x14ac:dyDescent="0.2">
      <c r="D174" s="206" t="s">
        <v>2</v>
      </c>
      <c r="E174" s="206"/>
      <c r="F174" s="206"/>
      <c r="G174" s="207"/>
      <c r="H174" s="207"/>
      <c r="I174" s="207"/>
      <c r="K174" s="20"/>
      <c r="L174" s="20"/>
      <c r="M174" s="20"/>
    </row>
    <row r="175" spans="2:13" ht="31.95" hidden="1" customHeight="1" x14ac:dyDescent="0.2">
      <c r="B175" s="63"/>
      <c r="D175" s="7" t="s">
        <v>198</v>
      </c>
      <c r="E175" s="7" t="s">
        <v>2155</v>
      </c>
      <c r="F175" s="7" t="s">
        <v>3487</v>
      </c>
      <c r="G175" s="7" t="s">
        <v>5</v>
      </c>
      <c r="H175" s="7" t="s">
        <v>6</v>
      </c>
      <c r="I175" s="7" t="s">
        <v>1984</v>
      </c>
      <c r="K175" s="20"/>
      <c r="L175" s="20"/>
      <c r="M175" s="20"/>
    </row>
    <row r="176" spans="2:13" ht="13.95" hidden="1" customHeight="1" x14ac:dyDescent="0.25">
      <c r="B176" s="76" t="s">
        <v>199</v>
      </c>
      <c r="D176" s="77" t="s">
        <v>199</v>
      </c>
      <c r="E176" s="78">
        <f>E177+E197+E206+E210+E222</f>
        <v>230925272</v>
      </c>
      <c r="F176" s="78">
        <f>F177+F197+F206+F210+F222</f>
        <v>162014576</v>
      </c>
      <c r="G176" s="78">
        <f>G177+G197+G206+G210+G222</f>
        <v>173630809</v>
      </c>
      <c r="H176" s="78">
        <f>H177+H197+H206+H210+H222</f>
        <v>181617826.21399999</v>
      </c>
      <c r="I176" s="78">
        <f>I177+I197+I206+I210+I222</f>
        <v>189972246.21984401</v>
      </c>
      <c r="K176" s="20"/>
      <c r="L176" s="20"/>
      <c r="M176" s="20"/>
    </row>
    <row r="177" spans="2:13" ht="14.4" hidden="1" outlineLevel="1" x14ac:dyDescent="0.3">
      <c r="B177" s="26" t="s">
        <v>200</v>
      </c>
      <c r="C177" s="28"/>
      <c r="D177" s="10" t="s">
        <v>200</v>
      </c>
      <c r="E177" s="25">
        <f>SUM(E178:E196)</f>
        <v>99802617</v>
      </c>
      <c r="F177" s="25">
        <f>SUM(F178:F196)</f>
        <v>49052617</v>
      </c>
      <c r="G177" s="25">
        <f>SUM(G178:G196)</f>
        <v>69668850</v>
      </c>
      <c r="H177" s="25">
        <f>SUM(H178:H196)</f>
        <v>72873617.099999994</v>
      </c>
      <c r="I177" s="25">
        <f>SUM(I178:I196)</f>
        <v>76225803.486599997</v>
      </c>
      <c r="K177" s="20"/>
      <c r="L177" s="20"/>
      <c r="M177" s="20"/>
    </row>
    <row r="178" spans="2:13" s="20" customFormat="1" ht="15.9" hidden="1" customHeight="1" outlineLevel="2" x14ac:dyDescent="0.3">
      <c r="B178" s="70" t="s">
        <v>201</v>
      </c>
      <c r="C178" s="39" t="str">
        <f>VLOOKUP(B178,'[19]DETAILED OCT GS560'!F:AC,2,FALSE)</f>
        <v>P272570</v>
      </c>
      <c r="D178" s="18" t="s">
        <v>201</v>
      </c>
      <c r="E178" s="19">
        <f>SUMIF(DETAILED!O:O,'MTREF BUDGET 2023-24  Summary'!C178,DETAILED!S:S)</f>
        <v>5000000</v>
      </c>
      <c r="F178" s="19">
        <f>SUMIF(DETAILED!O:O,'MTREF BUDGET 2023-24  Summary'!C178,DETAILED!AE:AE)</f>
        <v>5000000</v>
      </c>
      <c r="G178" s="19">
        <f>SUMIF(DETAILED!O:O,'MTREF BUDGET 2023-24  Summary'!C178,DETAILED!AL:AL)</f>
        <v>0</v>
      </c>
      <c r="H178" s="19">
        <f>SUMIF(DETAILED!O:O,'MTREF BUDGET 2023-24  Summary'!C178,DETAILED!AM:AM)</f>
        <v>0</v>
      </c>
      <c r="I178" s="19">
        <f>SUMIF(DETAILED!O:O,'MTREF BUDGET 2023-24  Summary'!C178,DETAILED!AN:AN)</f>
        <v>0</v>
      </c>
    </row>
    <row r="179" spans="2:13" s="20" customFormat="1" ht="15.9" hidden="1" customHeight="1" outlineLevel="2" x14ac:dyDescent="0.3">
      <c r="B179" s="40" t="s">
        <v>202</v>
      </c>
      <c r="C179" s="39" t="str">
        <f>VLOOKUP(B179,'[19]DETAILED OCT GS560'!F:AC,2,FALSE)</f>
        <v>P647352QX3</v>
      </c>
      <c r="D179" s="18" t="s">
        <v>202</v>
      </c>
      <c r="E179" s="19">
        <f>SUMIF(DETAILED!O:O,'MTREF BUDGET 2023-24  Summary'!C179,DETAILED!S:S)</f>
        <v>574174</v>
      </c>
      <c r="F179" s="19">
        <f>SUMIF(DETAILED!O:O,'MTREF BUDGET 2023-24  Summary'!C179,DETAILED!AE:AE)</f>
        <v>574174</v>
      </c>
      <c r="G179" s="19">
        <f>SUMIF(DETAILED!O:O,'MTREF BUDGET 2023-24  Summary'!C179,DETAILED!AL:AL)</f>
        <v>1000000</v>
      </c>
      <c r="H179" s="19">
        <f>SUMIF(DETAILED!O:O,'MTREF BUDGET 2023-24  Summary'!C179,DETAILED!AM:AM)</f>
        <v>1046000</v>
      </c>
      <c r="I179" s="19">
        <f>SUMIF(DETAILED!O:O,'MTREF BUDGET 2023-24  Summary'!C179,DETAILED!AN:AN)</f>
        <v>1094116</v>
      </c>
    </row>
    <row r="180" spans="2:13" s="20" customFormat="1" ht="15.9" hidden="1" customHeight="1" outlineLevel="2" x14ac:dyDescent="0.3">
      <c r="B180" s="70" t="s">
        <v>203</v>
      </c>
      <c r="C180" s="39" t="str">
        <f>VLOOKUP(B180,'[19]DETAILED OCT GS560'!F:AC,2,FALSE)</f>
        <v>P645602QY4</v>
      </c>
      <c r="D180" s="18" t="s">
        <v>203</v>
      </c>
      <c r="E180" s="19">
        <f>SUMIF(DETAILED!O:O,'MTREF BUDGET 2023-24  Summary'!C180,DETAILED!S:S)</f>
        <v>3000000</v>
      </c>
      <c r="F180" s="19">
        <f>SUMIF(DETAILED!O:O,'MTREF BUDGET 2023-24  Summary'!C180,DETAILED!AE:AE)</f>
        <v>1000000</v>
      </c>
      <c r="G180" s="19">
        <f>SUMIF(DETAILED!O:O,'MTREF BUDGET 2023-24  Summary'!C180,DETAILED!AL:AL)</f>
        <v>1500000</v>
      </c>
      <c r="H180" s="19">
        <f>SUMIF(DETAILED!O:O,'MTREF BUDGET 2023-24  Summary'!C180,DETAILED!AM:AM)</f>
        <v>1569000</v>
      </c>
      <c r="I180" s="19">
        <f>SUMIF(DETAILED!O:O,'MTREF BUDGET 2023-24  Summary'!C180,DETAILED!AN:AN)</f>
        <v>1641174</v>
      </c>
    </row>
    <row r="181" spans="2:13" s="20" customFormat="1" ht="15.9" hidden="1" customHeight="1" outlineLevel="2" x14ac:dyDescent="0.3">
      <c r="B181" s="16" t="s">
        <v>204</v>
      </c>
      <c r="C181" s="39" t="str">
        <f>VLOOKUP(B181,'[19]DETAILED OCT GS560'!F:AC,2,FALSE)</f>
        <v>P647002QX6</v>
      </c>
      <c r="D181" s="18" t="s">
        <v>204</v>
      </c>
      <c r="E181" s="19">
        <f>SUMIF(DETAILED!O:O,'MTREF BUDGET 2023-24  Summary'!C181,DETAILED!S:S)</f>
        <v>2730000</v>
      </c>
      <c r="F181" s="19">
        <f>SUMIF(DETAILED!O:O,'MTREF BUDGET 2023-24  Summary'!C181,DETAILED!AE:AE)</f>
        <v>2730000</v>
      </c>
      <c r="G181" s="19">
        <f>SUMIF(DETAILED!O:O,'MTREF BUDGET 2023-24  Summary'!C181,DETAILED!AL:AL)</f>
        <v>3000000</v>
      </c>
      <c r="H181" s="19">
        <f>SUMIF(DETAILED!O:O,'MTREF BUDGET 2023-24  Summary'!C181,DETAILED!AM:AM)</f>
        <v>3138000</v>
      </c>
      <c r="I181" s="19">
        <f>SUMIF(DETAILED!O:O,'MTREF BUDGET 2023-24  Summary'!C181,DETAILED!AN:AN)</f>
        <v>3282348</v>
      </c>
    </row>
    <row r="182" spans="2:13" s="20" customFormat="1" ht="15.9" hidden="1" customHeight="1" outlineLevel="2" x14ac:dyDescent="0.3">
      <c r="B182" s="16" t="s">
        <v>205</v>
      </c>
      <c r="C182" s="39" t="str">
        <f>VLOOKUP(B182,'[19]DETAILED OCT GS560'!F:AC,2,FALSE)</f>
        <v>P647102QY3</v>
      </c>
      <c r="D182" s="18" t="s">
        <v>205</v>
      </c>
      <c r="E182" s="19">
        <f>SUMIF(DETAILED!O:O,'MTREF BUDGET 2023-24  Summary'!C182,DETAILED!S:S)</f>
        <v>5390000</v>
      </c>
      <c r="F182" s="19">
        <f>SUMIF(DETAILED!O:O,'MTREF BUDGET 2023-24  Summary'!C182,DETAILED!AE:AE)</f>
        <v>5390000</v>
      </c>
      <c r="G182" s="19">
        <f>SUMIF(DETAILED!O:O,'MTREF BUDGET 2023-24  Summary'!C182,DETAILED!AL:AL)</f>
        <v>2000000</v>
      </c>
      <c r="H182" s="19">
        <f>SUMIF(DETAILED!O:O,'MTREF BUDGET 2023-24  Summary'!C182,DETAILED!AM:AM)</f>
        <v>2092000</v>
      </c>
      <c r="I182" s="19">
        <f>SUMIF(DETAILED!O:O,'MTREF BUDGET 2023-24  Summary'!C182,DETAILED!AN:AN)</f>
        <v>2188232</v>
      </c>
    </row>
    <row r="183" spans="2:13" s="20" customFormat="1" ht="15.9" hidden="1" customHeight="1" outlineLevel="2" x14ac:dyDescent="0.3">
      <c r="B183" s="16" t="s">
        <v>206</v>
      </c>
      <c r="C183" s="39" t="str">
        <f>VLOOKUP(B183,'[19]DETAILED OCT GS560'!F:AC,2,FALSE)</f>
        <v>P652242P49</v>
      </c>
      <c r="D183" s="18" t="s">
        <v>206</v>
      </c>
      <c r="E183" s="19">
        <f>SUMIF(DETAILED!O:O,'MTREF BUDGET 2023-24  Summary'!C183,DETAILED!S:S)</f>
        <v>239593</v>
      </c>
      <c r="F183" s="19">
        <f>SUMIF(DETAILED!O:O,'MTREF BUDGET 2023-24  Summary'!C183,DETAILED!AE:AE)</f>
        <v>239593</v>
      </c>
      <c r="G183" s="19">
        <f>SUMIF(DETAILED!O:O,'MTREF BUDGET 2023-24  Summary'!C183,DETAILED!AL:AL)</f>
        <v>0</v>
      </c>
      <c r="H183" s="19">
        <f>SUMIF(DETAILED!O:O,'MTREF BUDGET 2023-24  Summary'!C183,DETAILED!AM:AM)</f>
        <v>0</v>
      </c>
      <c r="I183" s="19">
        <f>SUMIF(DETAILED!O:O,'MTREF BUDGET 2023-24  Summary'!C183,DETAILED!AN:AN)</f>
        <v>0</v>
      </c>
    </row>
    <row r="184" spans="2:13" s="20" customFormat="1" ht="15.9" hidden="1" customHeight="1" outlineLevel="2" x14ac:dyDescent="0.3">
      <c r="B184" s="16" t="s">
        <v>207</v>
      </c>
      <c r="C184" s="39" t="str">
        <f>VLOOKUP(B184,'[19]DETAILED OCT GS560'!F:AC,2,FALSE)</f>
        <v>P642142QX8</v>
      </c>
      <c r="D184" s="18" t="s">
        <v>207</v>
      </c>
      <c r="E184" s="19">
        <f>SUMIF(DETAILED!O:O,'MTREF BUDGET 2023-24  Summary'!C184,DETAILED!S:S)</f>
        <v>17950000</v>
      </c>
      <c r="F184" s="19">
        <f>SUMIF(DETAILED!O:O,'MTREF BUDGET 2023-24  Summary'!C184,DETAILED!AE:AE)</f>
        <v>17950000</v>
      </c>
      <c r="G184" s="19">
        <f>SUMIF(DETAILED!O:O,'MTREF BUDGET 2023-24  Summary'!C184,DETAILED!AL:AL)</f>
        <v>10000000</v>
      </c>
      <c r="H184" s="19">
        <f>SUMIF(DETAILED!O:O,'MTREF BUDGET 2023-24  Summary'!C184,DETAILED!AM:AM)</f>
        <v>10460000</v>
      </c>
      <c r="I184" s="19">
        <f>SUMIF(DETAILED!O:O,'MTREF BUDGET 2023-24  Summary'!C184,DETAILED!AN:AN)</f>
        <v>10941160</v>
      </c>
    </row>
    <row r="185" spans="2:13" s="20" customFormat="1" ht="15.9" hidden="1" customHeight="1" outlineLevel="2" x14ac:dyDescent="0.3">
      <c r="B185" s="16" t="s">
        <v>208</v>
      </c>
      <c r="C185" s="39" t="str">
        <f>VLOOKUP(B185,'[19]DETAILED OCT GS560'!F:AC,2,FALSE)</f>
        <v>P646002QX1</v>
      </c>
      <c r="D185" s="18" t="s">
        <v>208</v>
      </c>
      <c r="E185" s="19">
        <f>SUMIF(DETAILED!O:O,'MTREF BUDGET 2023-24  Summary'!C185,DETAILED!S:S)</f>
        <v>2250000</v>
      </c>
      <c r="F185" s="19">
        <f>SUMIF(DETAILED!O:O,'MTREF BUDGET 2023-24  Summary'!C185,DETAILED!AE:AE)</f>
        <v>1250000</v>
      </c>
      <c r="G185" s="19">
        <f>SUMIF(DETAILED!O:O,'MTREF BUDGET 2023-24  Summary'!C185,DETAILED!AL:AL)</f>
        <v>1250000</v>
      </c>
      <c r="H185" s="19">
        <f>SUMIF(DETAILED!O:O,'MTREF BUDGET 2023-24  Summary'!C185,DETAILED!AM:AM)</f>
        <v>1307500</v>
      </c>
      <c r="I185" s="19">
        <f>SUMIF(DETAILED!O:O,'MTREF BUDGET 2023-24  Summary'!C185,DETAILED!AN:AN)</f>
        <v>1367645</v>
      </c>
    </row>
    <row r="186" spans="2:13" s="20" customFormat="1" ht="15.9" hidden="1" customHeight="1" outlineLevel="2" x14ac:dyDescent="0.3">
      <c r="B186" s="16" t="s">
        <v>209</v>
      </c>
      <c r="C186" s="39" t="str">
        <f>VLOOKUP(B186,'[19]DETAILED OCT GS560'!F:AC,2,FALSE)</f>
        <v>652242P75</v>
      </c>
      <c r="D186" s="18" t="s">
        <v>209</v>
      </c>
      <c r="E186" s="19">
        <f>DETAILED!S763</f>
        <v>8000000</v>
      </c>
      <c r="F186" s="19">
        <f>SUMIF(DETAILED!O:O,'MTREF BUDGET 2023-24  Summary'!C186,DETAILED!AE:AE)</f>
        <v>0</v>
      </c>
      <c r="G186" s="19">
        <f>DETAILED!AL763</f>
        <v>6500000</v>
      </c>
      <c r="H186" s="19">
        <f>DETAILED!AM763</f>
        <v>6799000</v>
      </c>
      <c r="I186" s="19">
        <f>DETAILED!AN763</f>
        <v>7111754</v>
      </c>
    </row>
    <row r="187" spans="2:13" s="20" customFormat="1" ht="15.9" hidden="1" customHeight="1" outlineLevel="2" x14ac:dyDescent="0.3">
      <c r="B187" s="16" t="s">
        <v>210</v>
      </c>
      <c r="C187" s="39" t="str">
        <f>VLOOKUP(B187,'[19]DETAILED OCT GS560'!F:AC,2,FALSE)</f>
        <v>652242P76</v>
      </c>
      <c r="D187" s="18" t="s">
        <v>210</v>
      </c>
      <c r="E187" s="19">
        <f>DETAILED!S764</f>
        <v>8000000</v>
      </c>
      <c r="F187" s="19">
        <f>SUMIF(DETAILED!O:O,'MTREF BUDGET 2023-24  Summary'!C187,DETAILED!AE:AE)</f>
        <v>0</v>
      </c>
      <c r="G187" s="19">
        <f>DETAILED!AL764</f>
        <v>6500000</v>
      </c>
      <c r="H187" s="19">
        <f>DETAILED!AM764</f>
        <v>6799000</v>
      </c>
      <c r="I187" s="19">
        <f>DETAILED!AN764</f>
        <v>7111754</v>
      </c>
    </row>
    <row r="188" spans="2:13" s="20" customFormat="1" ht="15.9" hidden="1" customHeight="1" outlineLevel="2" x14ac:dyDescent="0.3">
      <c r="B188" s="16" t="s">
        <v>211</v>
      </c>
      <c r="C188" s="39" t="str">
        <f>VLOOKUP(B188,'[19]DETAILED OCT GS560'!F:AC,2,FALSE)</f>
        <v>652242P77</v>
      </c>
      <c r="D188" s="18" t="s">
        <v>211</v>
      </c>
      <c r="E188" s="19">
        <f>DETAILED!S765</f>
        <v>8000000</v>
      </c>
      <c r="F188" s="19">
        <f>SUMIF(DETAILED!O:O,'MTREF BUDGET 2023-24  Summary'!C188,DETAILED!AE:AE)</f>
        <v>0</v>
      </c>
      <c r="G188" s="19">
        <f>DETAILED!AL765</f>
        <v>6500000</v>
      </c>
      <c r="H188" s="19">
        <f>DETAILED!AM765</f>
        <v>6799000</v>
      </c>
      <c r="I188" s="19">
        <f>DETAILED!AN765</f>
        <v>7111754</v>
      </c>
    </row>
    <row r="189" spans="2:13" s="20" customFormat="1" ht="15.9" hidden="1" customHeight="1" outlineLevel="2" x14ac:dyDescent="0.3">
      <c r="B189" s="16" t="s">
        <v>212</v>
      </c>
      <c r="C189" s="39" t="str">
        <f>VLOOKUP(B189,'[19]DETAILED OCT GS560'!F:AC,2,FALSE)</f>
        <v>652242P78</v>
      </c>
      <c r="D189" s="18" t="s">
        <v>212</v>
      </c>
      <c r="E189" s="19">
        <f>DETAILED!S766</f>
        <v>8000000</v>
      </c>
      <c r="F189" s="19">
        <f>SUMIF(DETAILED!O:O,'MTREF BUDGET 2023-24  Summary'!C189,DETAILED!AE:AE)</f>
        <v>0</v>
      </c>
      <c r="G189" s="19">
        <f>DETAILED!AL766</f>
        <v>6500000</v>
      </c>
      <c r="H189" s="19">
        <f>DETAILED!AM766</f>
        <v>6799000</v>
      </c>
      <c r="I189" s="19">
        <f>DETAILED!AN766</f>
        <v>7111754</v>
      </c>
    </row>
    <row r="190" spans="2:13" s="20" customFormat="1" ht="15.9" hidden="1" customHeight="1" outlineLevel="2" x14ac:dyDescent="0.3">
      <c r="B190" s="16" t="s">
        <v>213</v>
      </c>
      <c r="C190" s="39" t="str">
        <f>VLOOKUP(B190,'[19]DETAILED OCT GS560'!F:AC,2,FALSE)</f>
        <v>652242P79</v>
      </c>
      <c r="D190" s="18" t="s">
        <v>213</v>
      </c>
      <c r="E190" s="19">
        <f>DETAILED!S767</f>
        <v>10000000</v>
      </c>
      <c r="F190" s="19">
        <f>SUMIF(DETAILED!O:O,'MTREF BUDGET 2023-24  Summary'!C190,DETAILED!AE:AE)</f>
        <v>0</v>
      </c>
      <c r="G190" s="19">
        <f>DETAILED!AL767</f>
        <v>8000000</v>
      </c>
      <c r="H190" s="19">
        <f>DETAILED!AM767</f>
        <v>8368000</v>
      </c>
      <c r="I190" s="19">
        <f>DETAILED!AN767</f>
        <v>8752928</v>
      </c>
    </row>
    <row r="191" spans="2:13" s="20" customFormat="1" ht="15.9" hidden="1" customHeight="1" outlineLevel="2" x14ac:dyDescent="0.3">
      <c r="B191" s="16" t="s">
        <v>214</v>
      </c>
      <c r="C191" s="39" t="str">
        <f>VLOOKUP(B191,'[19]DETAILED OCT GS560'!F:AC,2,FALSE)</f>
        <v>652242P81</v>
      </c>
      <c r="D191" s="18" t="s">
        <v>214</v>
      </c>
      <c r="E191" s="19">
        <f>DETAILED!S768</f>
        <v>8000000</v>
      </c>
      <c r="F191" s="19">
        <f>DETAILED!AE768</f>
        <v>8000000</v>
      </c>
      <c r="G191" s="19">
        <f>DETAILED!AL768</f>
        <v>8000000</v>
      </c>
      <c r="H191" s="19">
        <f>DETAILED!AM768</f>
        <v>8368000</v>
      </c>
      <c r="I191" s="19">
        <f>DETAILED!AN768</f>
        <v>8752928</v>
      </c>
    </row>
    <row r="192" spans="2:13" s="20" customFormat="1" ht="15.9" hidden="1" customHeight="1" outlineLevel="2" x14ac:dyDescent="0.3">
      <c r="B192" s="79" t="s">
        <v>215</v>
      </c>
      <c r="C192" s="39" t="str">
        <f>VLOOKUP(B192,'[19]DETAILED OCT GS560'!F:AC,2,FALSE)</f>
        <v>P652042P08</v>
      </c>
      <c r="D192" s="18" t="s">
        <v>215</v>
      </c>
      <c r="E192" s="19">
        <f>SUMIF(DETAILED!O:O,'MTREF BUDGET 2023-24  Summary'!C192,DETAILED!S:S)</f>
        <v>2250000</v>
      </c>
      <c r="F192" s="19">
        <f>SUMIF(DETAILED!O:O,'MTREF BUDGET 2023-24  Summary'!C192,DETAILED!AE:AE)</f>
        <v>1500000</v>
      </c>
      <c r="G192" s="19">
        <f>SUMIF(DETAILED!O:O,'MTREF BUDGET 2023-24  Summary'!C192,DETAILED!AL:AL)</f>
        <v>1500000</v>
      </c>
      <c r="H192" s="19">
        <f>SUMIF(DETAILED!O:O,'MTREF BUDGET 2023-24  Summary'!C192,DETAILED!AM:AM)</f>
        <v>1569000</v>
      </c>
      <c r="I192" s="19">
        <f>SUMIF(DETAILED!O:O,'MTREF BUDGET 2023-24  Summary'!C192,DETAILED!AN:AN)</f>
        <v>1641174</v>
      </c>
    </row>
    <row r="193" spans="2:33" s="20" customFormat="1" ht="15.9" hidden="1" customHeight="1" outlineLevel="2" x14ac:dyDescent="0.3">
      <c r="B193" s="79" t="s">
        <v>216</v>
      </c>
      <c r="C193" s="39" t="str">
        <f>VLOOKUP(B193,'[19]DETAILED OCT GS560'!F:AC,2,FALSE)</f>
        <v>P656352QY2</v>
      </c>
      <c r="D193" s="18" t="s">
        <v>216</v>
      </c>
      <c r="E193" s="19">
        <f>SUMIF(DETAILED!O:O,'MTREF BUDGET 2023-24  Summary'!C193,DETAILED!S:S)</f>
        <v>8418850</v>
      </c>
      <c r="F193" s="19">
        <f>SUMIF(DETAILED!O:O,'MTREF BUDGET 2023-24  Summary'!C193,DETAILED!AE:AE)</f>
        <v>5418850</v>
      </c>
      <c r="G193" s="19">
        <f>SUMIF(DETAILED!O:O,'MTREF BUDGET 2023-24  Summary'!C193,DETAILED!AL:AL)</f>
        <v>5418850</v>
      </c>
      <c r="H193" s="19">
        <f>SUMIF(DETAILED!O:O,'MTREF BUDGET 2023-24  Summary'!C193,DETAILED!AM:AM)</f>
        <v>5668117.1000000006</v>
      </c>
      <c r="I193" s="19">
        <f>SUMIF(DETAILED!O:O,'MTREF BUDGET 2023-24  Summary'!C193,DETAILED!AN:AN)</f>
        <v>5928850.4866000004</v>
      </c>
    </row>
    <row r="194" spans="2:33" s="20" customFormat="1" ht="15.9" hidden="1" customHeight="1" outlineLevel="2" x14ac:dyDescent="0.3">
      <c r="B194" s="80" t="s">
        <v>217</v>
      </c>
      <c r="C194" s="39" t="s">
        <v>2134</v>
      </c>
      <c r="D194" s="18" t="s">
        <v>217</v>
      </c>
      <c r="E194" s="19">
        <f>SUMIF(DETAILED!O:O,'MTREF BUDGET 2023-24  Summary'!C194,DETAILED!S:S)</f>
        <v>2000000</v>
      </c>
      <c r="F194" s="19">
        <f>SUMIF(DETAILED!O:O,'MTREF BUDGET 2023-24  Summary'!C194,DETAILED!AE:AE)</f>
        <v>0</v>
      </c>
      <c r="G194" s="19">
        <f>SUMIF(DETAILED!O:O,'MTREF BUDGET 2023-24  Summary'!C194,DETAILED!AL:AL)</f>
        <v>2000000</v>
      </c>
      <c r="H194" s="19">
        <f>SUMIF(DETAILED!O:O,'MTREF BUDGET 2023-24  Summary'!C194,DETAILED!AM:AM)</f>
        <v>2092000</v>
      </c>
      <c r="I194" s="19">
        <f>SUMIF(DETAILED!O:O,'MTREF BUDGET 2023-24  Summary'!C194,DETAILED!AN:AN)</f>
        <v>2188232</v>
      </c>
    </row>
    <row r="195" spans="2:33" s="20" customFormat="1" ht="15.9" hidden="1" customHeight="1" outlineLevel="2" x14ac:dyDescent="0.3">
      <c r="B195" s="16" t="s">
        <v>219</v>
      </c>
      <c r="C195" s="39" t="str">
        <f>VLOOKUP(B195,'[19]DETAILED OCT GS560'!F:AC,2,FALSE)</f>
        <v>P647002QX2</v>
      </c>
      <c r="D195" s="18" t="s">
        <v>219</v>
      </c>
      <c r="E195" s="19">
        <f>SUMIF(DETAILED!O:O,'MTREF BUDGET 2023-24  Summary'!C195,DETAILED!S:S)</f>
        <v>0</v>
      </c>
      <c r="F195" s="19">
        <f>SUMIF(DETAILED!O:O,'MTREF BUDGET 2023-24  Summary'!C195,DETAILED!AE:AE)</f>
        <v>0</v>
      </c>
      <c r="G195" s="19">
        <f>SUMIF(DETAILED!O:O,'MTREF BUDGET 2023-24  Summary'!C195,DETAILED!AL:AL)</f>
        <v>0</v>
      </c>
      <c r="H195" s="19">
        <f>SUMIF(DETAILED!O:O,'MTREF BUDGET 2023-24  Summary'!C195,DETAILED!AM:AM)</f>
        <v>0</v>
      </c>
      <c r="I195" s="19">
        <f>SUMIF(DETAILED!O:O,'MTREF BUDGET 2023-24  Summary'!C195,DETAILED!AN:AN)</f>
        <v>0</v>
      </c>
    </row>
    <row r="196" spans="2:33" s="20" customFormat="1" ht="15.9" hidden="1" customHeight="1" outlineLevel="2" x14ac:dyDescent="0.3">
      <c r="B196" s="81" t="s">
        <v>220</v>
      </c>
      <c r="C196" s="39"/>
      <c r="D196" s="18" t="s">
        <v>220</v>
      </c>
      <c r="E196" s="19">
        <f>SUMIF(DETAILED!O:O,'MTREF BUDGET 2023-24  Summary'!C196,DETAILED!S:S)</f>
        <v>0</v>
      </c>
      <c r="F196" s="19">
        <f>SUMIF(DETAILED!O:O,'MTREF BUDGET 2023-24  Summary'!C196,DETAILED!AE:AE)</f>
        <v>0</v>
      </c>
      <c r="G196" s="19">
        <f>SUMIF(DETAILED!O:O,'MTREF BUDGET 2023-24  Summary'!C196,DETAILED!AL:AL)</f>
        <v>0</v>
      </c>
      <c r="H196" s="19">
        <f>SUMIF(DETAILED!O:O,'MTREF BUDGET 2023-24  Summary'!C196,DETAILED!AM:AM)</f>
        <v>0</v>
      </c>
      <c r="I196" s="19">
        <f>SUMIF(DETAILED!O:O,'MTREF BUDGET 2023-24  Summary'!C196,DETAILED!AN:AN)</f>
        <v>0</v>
      </c>
    </row>
    <row r="197" spans="2:33" ht="15.9" hidden="1" customHeight="1" outlineLevel="1" collapsed="1" x14ac:dyDescent="0.3">
      <c r="B197" s="26" t="s">
        <v>221</v>
      </c>
      <c r="C197" s="28"/>
      <c r="D197" s="10" t="s">
        <v>221</v>
      </c>
      <c r="E197" s="25">
        <f>SUM(E198:E205)</f>
        <v>40134800</v>
      </c>
      <c r="F197" s="25">
        <f t="shared" ref="F197:I197" si="15">SUM(F198:F205)</f>
        <v>56634800</v>
      </c>
      <c r="G197" s="25">
        <f t="shared" si="15"/>
        <v>44134800</v>
      </c>
      <c r="H197" s="25">
        <f t="shared" si="15"/>
        <v>46165000.799999997</v>
      </c>
      <c r="I197" s="25">
        <f t="shared" si="15"/>
        <v>48288590.836800009</v>
      </c>
      <c r="K197" s="20"/>
      <c r="L197" s="20"/>
      <c r="M197" s="20"/>
    </row>
    <row r="198" spans="2:33" s="20" customFormat="1" ht="15.9" hidden="1" customHeight="1" outlineLevel="2" x14ac:dyDescent="0.3">
      <c r="B198" s="16" t="s">
        <v>222</v>
      </c>
      <c r="C198" s="39" t="str">
        <f>VLOOKUP(B198,'[19]DETAILED OCT GS560'!F:AC,2,FALSE)</f>
        <v>P652302P33</v>
      </c>
      <c r="D198" s="18" t="s">
        <v>222</v>
      </c>
      <c r="E198" s="19">
        <f>SUMIF(DETAILED!O:O,'MTREF BUDGET 2023-24  Summary'!C198,DETAILED!S:S)</f>
        <v>15000000</v>
      </c>
      <c r="F198" s="19">
        <f>SUMIF(DETAILED!O:O,'MTREF BUDGET 2023-24  Summary'!C198,DETAILED!AE:AE)</f>
        <v>25000000</v>
      </c>
      <c r="G198" s="19">
        <f>SUMIF(DETAILED!O:O,'MTREF BUDGET 2023-24  Summary'!C198,DETAILED!AL:AL)</f>
        <v>16000000</v>
      </c>
      <c r="H198" s="19">
        <f>SUMIF(DETAILED!O:O,'MTREF BUDGET 2023-24  Summary'!C198,DETAILED!AM:AM)</f>
        <v>16736000</v>
      </c>
      <c r="I198" s="19">
        <f>SUMIF(DETAILED!O:O,'MTREF BUDGET 2023-24  Summary'!C198,DETAILED!AN:AN)</f>
        <v>17505856</v>
      </c>
    </row>
    <row r="199" spans="2:33" s="20" customFormat="1" ht="15.9" hidden="1" customHeight="1" outlineLevel="2" x14ac:dyDescent="0.3">
      <c r="B199" s="16" t="s">
        <v>223</v>
      </c>
      <c r="C199" s="39" t="s">
        <v>224</v>
      </c>
      <c r="D199" s="18" t="s">
        <v>223</v>
      </c>
      <c r="E199" s="19">
        <f>SUMIF(DETAILED!O:O,'MTREF BUDGET 2023-24  Summary'!C199,DETAILED!S:S)</f>
        <v>5000000</v>
      </c>
      <c r="F199" s="19">
        <f>SUMIF(DETAILED!O:O,'MTREF BUDGET 2023-24  Summary'!C199,DETAILED!AE:AE)</f>
        <v>5000000</v>
      </c>
      <c r="G199" s="19">
        <f>SUMIF(DETAILED!O:O,'MTREF BUDGET 2023-24  Summary'!C199,DETAILED!AL:AL)</f>
        <v>5000000</v>
      </c>
      <c r="H199" s="19">
        <f>SUMIF(DETAILED!O:O,'MTREF BUDGET 2023-24  Summary'!C199,DETAILED!AM:AM)</f>
        <v>5230000</v>
      </c>
      <c r="I199" s="19">
        <f>SUMIF(DETAILED!O:O,'MTREF BUDGET 2023-24  Summary'!C199,DETAILED!AN:AN)</f>
        <v>5470580</v>
      </c>
    </row>
    <row r="200" spans="2:33" s="82" customFormat="1" ht="15.9" hidden="1" customHeight="1" outlineLevel="2" x14ac:dyDescent="0.3">
      <c r="B200" s="16" t="s">
        <v>225</v>
      </c>
      <c r="C200" s="39" t="s">
        <v>226</v>
      </c>
      <c r="D200" s="18" t="s">
        <v>225</v>
      </c>
      <c r="E200" s="19">
        <f>SUMIF(DETAILED!O:O,'MTREF BUDGET 2023-24  Summary'!C200,DETAILED!S:S)</f>
        <v>600000</v>
      </c>
      <c r="F200" s="19">
        <f>SUMIF(DETAILED!O:O,'MTREF BUDGET 2023-24  Summary'!C200,DETAILED!AE:AE)</f>
        <v>600000</v>
      </c>
      <c r="G200" s="19">
        <f>SUMIF(DETAILED!O:O,'MTREF BUDGET 2023-24  Summary'!C200,DETAILED!AL:AL)</f>
        <v>600000</v>
      </c>
      <c r="H200" s="19">
        <f>SUMIF(DETAILED!O:O,'MTREF BUDGET 2023-24  Summary'!C200,DETAILED!AM:AM)</f>
        <v>627600</v>
      </c>
      <c r="I200" s="19">
        <f>SUMIF(DETAILED!O:O,'MTREF BUDGET 2023-24  Summary'!C200,DETAILED!AN:AN)</f>
        <v>656469.6</v>
      </c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</row>
    <row r="201" spans="2:33" s="82" customFormat="1" ht="15.9" hidden="1" customHeight="1" outlineLevel="2" x14ac:dyDescent="0.3">
      <c r="B201" s="16" t="s">
        <v>227</v>
      </c>
      <c r="C201" s="39" t="str">
        <f>VLOOKUP(B201,'[19]DETAILED OCT GS560'!F:AC,2,FALSE)</f>
        <v>P652302P35</v>
      </c>
      <c r="D201" s="18" t="s">
        <v>227</v>
      </c>
      <c r="E201" s="19">
        <f>SUMIF(DETAILED!O:O,'MTREF BUDGET 2023-24  Summary'!C201,DETAILED!S:S)</f>
        <v>8000000</v>
      </c>
      <c r="F201" s="19">
        <f>SUMIF(DETAILED!O:O,'MTREF BUDGET 2023-24  Summary'!C201,DETAILED!AE:AE)</f>
        <v>14500000</v>
      </c>
      <c r="G201" s="19">
        <f>SUMIF(DETAILED!O:O,'MTREF BUDGET 2023-24  Summary'!C201,DETAILED!AL:AL)</f>
        <v>11000000</v>
      </c>
      <c r="H201" s="19">
        <f>SUMIF(DETAILED!O:O,'MTREF BUDGET 2023-24  Summary'!C201,DETAILED!AM:AM)</f>
        <v>11506000</v>
      </c>
      <c r="I201" s="19">
        <f>SUMIF(DETAILED!O:O,'MTREF BUDGET 2023-24  Summary'!C201,DETAILED!AN:AN)</f>
        <v>12035276</v>
      </c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</row>
    <row r="202" spans="2:33" s="20" customFormat="1" ht="15.9" hidden="1" customHeight="1" outlineLevel="2" x14ac:dyDescent="0.3">
      <c r="B202" s="16" t="s">
        <v>228</v>
      </c>
      <c r="C202" s="39" t="str">
        <f>VLOOKUP(B202,'[19]DETAILED OCT GS560'!F:AC,2,FALSE)</f>
        <v>P652302P72</v>
      </c>
      <c r="D202" s="18" t="s">
        <v>228</v>
      </c>
      <c r="E202" s="19">
        <f>SUMIF(DETAILED!O:O,'MTREF BUDGET 2023-24  Summary'!C202,DETAILED!S:S)</f>
        <v>500000</v>
      </c>
      <c r="F202" s="19">
        <f>SUMIF(DETAILED!O:O,'MTREF BUDGET 2023-24  Summary'!C202,DETAILED!AE:AE)</f>
        <v>500000</v>
      </c>
      <c r="G202" s="19">
        <f>SUMIF(DETAILED!O:O,'MTREF BUDGET 2023-24  Summary'!C202,DETAILED!AL:AL)</f>
        <v>500000</v>
      </c>
      <c r="H202" s="19">
        <f>SUMIF(DETAILED!O:O,'MTREF BUDGET 2023-24  Summary'!C202,DETAILED!AM:AM)</f>
        <v>523000</v>
      </c>
      <c r="I202" s="19">
        <f>SUMIF(DETAILED!O:O,'MTREF BUDGET 2023-24  Summary'!C202,DETAILED!AN:AN)</f>
        <v>547058</v>
      </c>
    </row>
    <row r="203" spans="2:33" s="20" customFormat="1" ht="15.9" hidden="1" customHeight="1" outlineLevel="2" x14ac:dyDescent="0.3">
      <c r="B203" s="16" t="s">
        <v>229</v>
      </c>
      <c r="C203" s="39" t="s">
        <v>230</v>
      </c>
      <c r="D203" s="18" t="s">
        <v>229</v>
      </c>
      <c r="E203" s="19">
        <f>SUMIF(DETAILED!O:O,'MTREF BUDGET 2023-24  Summary'!C203,DETAILED!S:S)</f>
        <v>3000000</v>
      </c>
      <c r="F203" s="19">
        <f>SUMIF(DETAILED!O:O,'MTREF BUDGET 2023-24  Summary'!C203,DETAILED!AE:AE)</f>
        <v>3000000</v>
      </c>
      <c r="G203" s="19">
        <f>SUMIF(DETAILED!O:O,'MTREF BUDGET 2023-24  Summary'!C203,DETAILED!AL:AL)</f>
        <v>3000000</v>
      </c>
      <c r="H203" s="19">
        <f>SUMIF(DETAILED!O:O,'MTREF BUDGET 2023-24  Summary'!C203,DETAILED!AM:AM)</f>
        <v>3138000</v>
      </c>
      <c r="I203" s="19">
        <f>SUMIF(DETAILED!O:O,'MTREF BUDGET 2023-24  Summary'!C203,DETAILED!AN:AN)</f>
        <v>3282348</v>
      </c>
    </row>
    <row r="204" spans="2:33" s="20" customFormat="1" ht="15.9" hidden="1" customHeight="1" outlineLevel="2" x14ac:dyDescent="0.3">
      <c r="B204" s="16" t="s">
        <v>231</v>
      </c>
      <c r="C204" s="39" t="str">
        <f>VLOOKUP(B204,'[19]DETAILED OCT GS560'!F:AC,2,FALSE)</f>
        <v>P652302P25</v>
      </c>
      <c r="D204" s="18" t="s">
        <v>231</v>
      </c>
      <c r="E204" s="19">
        <f>SUMIF(DETAILED!O:O,'MTREF BUDGET 2023-24  Summary'!C204,DETAILED!S:S)</f>
        <v>1005275</v>
      </c>
      <c r="F204" s="19">
        <f>SUMIF(DETAILED!O:O,'MTREF BUDGET 2023-24  Summary'!C204,DETAILED!AE:AE)</f>
        <v>1005275</v>
      </c>
      <c r="G204" s="19">
        <f>SUMIF(DETAILED!O:O,'MTREF BUDGET 2023-24  Summary'!C204,DETAILED!AL:AL)</f>
        <v>1005275</v>
      </c>
      <c r="H204" s="19">
        <f>SUMIF(DETAILED!O:O,'MTREF BUDGET 2023-24  Summary'!C204,DETAILED!AM:AM)</f>
        <v>1051517.6500000001</v>
      </c>
      <c r="I204" s="19">
        <f>SUMIF(DETAILED!O:O,'MTREF BUDGET 2023-24  Summary'!C204,DETAILED!AN:AN)</f>
        <v>1099887.4619000002</v>
      </c>
    </row>
    <row r="205" spans="2:33" s="20" customFormat="1" ht="15.9" hidden="1" customHeight="1" outlineLevel="2" x14ac:dyDescent="0.3">
      <c r="B205" s="16" t="s">
        <v>232</v>
      </c>
      <c r="C205" s="39" t="str">
        <f>VLOOKUP(B205,'[19]DETAILED OCT GS560'!F:AC,2,FALSE)</f>
        <v>P652302P27</v>
      </c>
      <c r="D205" s="18" t="s">
        <v>232</v>
      </c>
      <c r="E205" s="19">
        <f>SUMIF(DETAILED!O:O,'MTREF BUDGET 2023-24  Summary'!C205,DETAILED!S:S)</f>
        <v>7029525</v>
      </c>
      <c r="F205" s="19">
        <f>SUMIF(DETAILED!O:O,'MTREF BUDGET 2023-24  Summary'!C205,DETAILED!AE:AE)</f>
        <v>7029525</v>
      </c>
      <c r="G205" s="19">
        <f>SUMIF(DETAILED!O:O,'MTREF BUDGET 2023-24  Summary'!C205,DETAILED!AL:AL)</f>
        <v>7029525</v>
      </c>
      <c r="H205" s="19">
        <f>SUMIF(DETAILED!O:O,'MTREF BUDGET 2023-24  Summary'!C205,DETAILED!AM:AM)</f>
        <v>7352883.1500000004</v>
      </c>
      <c r="I205" s="19">
        <f>SUMIF(DETAILED!O:O,'MTREF BUDGET 2023-24  Summary'!C205,DETAILED!AN:AN)</f>
        <v>7691115.7749000005</v>
      </c>
    </row>
    <row r="206" spans="2:33" ht="15.9" hidden="1" customHeight="1" outlineLevel="1" collapsed="1" x14ac:dyDescent="0.3">
      <c r="B206" s="52" t="s">
        <v>233</v>
      </c>
      <c r="C206" s="28"/>
      <c r="D206" s="10" t="s">
        <v>233</v>
      </c>
      <c r="E206" s="25">
        <f>SUM(E207:E209)</f>
        <v>19500000</v>
      </c>
      <c r="F206" s="25">
        <f t="shared" ref="F206:I206" si="16">SUM(F207:F209)</f>
        <v>14500000</v>
      </c>
      <c r="G206" s="25">
        <f t="shared" si="16"/>
        <v>16500000</v>
      </c>
      <c r="H206" s="25">
        <f t="shared" si="16"/>
        <v>17259000</v>
      </c>
      <c r="I206" s="25">
        <f t="shared" si="16"/>
        <v>18052914</v>
      </c>
      <c r="K206" s="20"/>
      <c r="L206" s="20"/>
      <c r="M206" s="20"/>
    </row>
    <row r="207" spans="2:33" s="20" customFormat="1" ht="15.9" hidden="1" customHeight="1" outlineLevel="2" x14ac:dyDescent="0.3">
      <c r="B207" s="29" t="s">
        <v>234</v>
      </c>
      <c r="C207" s="39" t="str">
        <f>VLOOKUP(B207,'[19]DETAILED OCT GS560'!F:AC,2,FALSE)</f>
        <v>P652042P09</v>
      </c>
      <c r="D207" s="18" t="s">
        <v>234</v>
      </c>
      <c r="E207" s="19">
        <f>SUMIF(DETAILED!O:O,'MTREF BUDGET 2023-24  Summary'!C207,DETAILED!S:S)</f>
        <v>5000000</v>
      </c>
      <c r="F207" s="19">
        <f>SUMIF(DETAILED!O:O,'MTREF BUDGET 2023-24  Summary'!C207,DETAILED!AE:AE)</f>
        <v>0</v>
      </c>
      <c r="G207" s="19">
        <f>SUMIF(DETAILED!O:O,'MTREF BUDGET 2023-24  Summary'!C207,DETAILED!AL:AL)</f>
        <v>5000000</v>
      </c>
      <c r="H207" s="19">
        <f>SUMIF(DETAILED!O:O,'MTREF BUDGET 2023-24  Summary'!C207,DETAILED!AM:AM)</f>
        <v>5230000</v>
      </c>
      <c r="I207" s="19">
        <f>SUMIF(DETAILED!O:O,'MTREF BUDGET 2023-24  Summary'!C207,DETAILED!AN:AN)</f>
        <v>5470580</v>
      </c>
    </row>
    <row r="208" spans="2:33" s="20" customFormat="1" ht="15.9" hidden="1" customHeight="1" outlineLevel="2" x14ac:dyDescent="0.3">
      <c r="B208" s="16" t="s">
        <v>235</v>
      </c>
      <c r="C208" s="39" t="s">
        <v>2140</v>
      </c>
      <c r="D208" s="18" t="s">
        <v>235</v>
      </c>
      <c r="E208" s="19">
        <f>SUMIF(DETAILED!O:O,'MTREF BUDGET 2023-24  Summary'!C208,DETAILED!S:S)</f>
        <v>2500000</v>
      </c>
      <c r="F208" s="19">
        <f>SUMIF(DETAILED!O:O,'MTREF BUDGET 2023-24  Summary'!C208,DETAILED!AE:AE)</f>
        <v>2500000</v>
      </c>
      <c r="G208" s="19">
        <f>SUMIF(DETAILED!O:O,'MTREF BUDGET 2023-24  Summary'!C208,DETAILED!AL:AL)</f>
        <v>2500000</v>
      </c>
      <c r="H208" s="19">
        <f>SUMIF(DETAILED!O:O,'MTREF BUDGET 2023-24  Summary'!C208,DETAILED!AM:AM)</f>
        <v>2615000</v>
      </c>
      <c r="I208" s="19">
        <f>SUMIF(DETAILED!O:O,'MTREF BUDGET 2023-24  Summary'!C208,DETAILED!AN:AN)</f>
        <v>2735290</v>
      </c>
    </row>
    <row r="209" spans="2:13" s="20" customFormat="1" ht="15.9" hidden="1" customHeight="1" outlineLevel="2" x14ac:dyDescent="0.3">
      <c r="B209" s="16" t="s">
        <v>236</v>
      </c>
      <c r="C209" s="39" t="str">
        <f>VLOOKUP(B209,'[19]DETAILED OCT GS560'!F:AC,2,FALSE)</f>
        <v>P652242P52</v>
      </c>
      <c r="D209" s="18" t="s">
        <v>236</v>
      </c>
      <c r="E209" s="19">
        <f>SUMIF(DETAILED!O:O,'MTREF BUDGET 2023-24  Summary'!C209,DETAILED!S:S)</f>
        <v>12000000</v>
      </c>
      <c r="F209" s="19">
        <f>SUMIF(DETAILED!O:O,'MTREF BUDGET 2023-24  Summary'!C209,DETAILED!AE:AE)</f>
        <v>12000000</v>
      </c>
      <c r="G209" s="19">
        <f>SUMIF(DETAILED!O:O,'MTREF BUDGET 2023-24  Summary'!C209,DETAILED!AL:AL)</f>
        <v>9000000</v>
      </c>
      <c r="H209" s="19">
        <f>SUMIF(DETAILED!O:O,'MTREF BUDGET 2023-24  Summary'!C209,DETAILED!AM:AM)</f>
        <v>9414000</v>
      </c>
      <c r="I209" s="19">
        <f>SUMIF(DETAILED!O:O,'MTREF BUDGET 2023-24  Summary'!C209,DETAILED!AN:AN)</f>
        <v>9847044</v>
      </c>
    </row>
    <row r="210" spans="2:13" ht="15.9" hidden="1" customHeight="1" outlineLevel="1" collapsed="1" x14ac:dyDescent="0.3">
      <c r="B210" s="26" t="s">
        <v>237</v>
      </c>
      <c r="C210" s="28"/>
      <c r="D210" s="10" t="s">
        <v>237</v>
      </c>
      <c r="E210" s="25">
        <f>SUM(E211:E221)</f>
        <v>64387855</v>
      </c>
      <c r="F210" s="25">
        <f t="shared" ref="F210:I210" si="17">SUM(F211:F221)</f>
        <v>34727159</v>
      </c>
      <c r="G210" s="25">
        <f t="shared" si="17"/>
        <v>36227159</v>
      </c>
      <c r="H210" s="25">
        <f t="shared" si="17"/>
        <v>37893608.314000003</v>
      </c>
      <c r="I210" s="25">
        <f t="shared" si="17"/>
        <v>39636714.296443999</v>
      </c>
      <c r="K210" s="20"/>
      <c r="L210" s="20"/>
      <c r="M210" s="20"/>
    </row>
    <row r="211" spans="2:13" s="20" customFormat="1" ht="15.9" hidden="1" customHeight="1" outlineLevel="2" x14ac:dyDescent="0.3">
      <c r="B211" s="83" t="s">
        <v>238</v>
      </c>
      <c r="C211" s="39" t="str">
        <f>VLOOKUP(B211,'[19]DETAILED OCT GS560'!F:AC,2,FALSE)</f>
        <v>P652302P30</v>
      </c>
      <c r="D211" s="18" t="s">
        <v>238</v>
      </c>
      <c r="E211" s="19">
        <f>SUMIF(DETAILED!O:O,'MTREF BUDGET 2023-24  Summary'!C211,DETAILED!S:S)</f>
        <v>800000</v>
      </c>
      <c r="F211" s="19">
        <f>SUMIF(DETAILED!O:O,'MTREF BUDGET 2023-24  Summary'!C211,DETAILED!AE:AE)</f>
        <v>800000</v>
      </c>
      <c r="G211" s="19">
        <f>SUMIF(DETAILED!O:O,'MTREF BUDGET 2023-24  Summary'!C211,DETAILED!AL:AL)</f>
        <v>800000</v>
      </c>
      <c r="H211" s="19">
        <f>SUMIF(DETAILED!O:O,'MTREF BUDGET 2023-24  Summary'!C211,DETAILED!AM:AM)</f>
        <v>836800</v>
      </c>
      <c r="I211" s="19">
        <f>SUMIF(DETAILED!O:O,'MTREF BUDGET 2023-24  Summary'!C211,DETAILED!AN:AN)</f>
        <v>875292.8</v>
      </c>
    </row>
    <row r="212" spans="2:13" s="20" customFormat="1" ht="15.9" hidden="1" customHeight="1" outlineLevel="2" x14ac:dyDescent="0.3">
      <c r="B212" s="84" t="s">
        <v>239</v>
      </c>
      <c r="C212" s="39" t="str">
        <f>'[19]DETAILED OCT GS560'!H826</f>
        <v>P652302P34</v>
      </c>
      <c r="D212" s="18" t="s">
        <v>239</v>
      </c>
      <c r="E212" s="19">
        <f>SUMIF(DETAILED!O:O,'MTREF BUDGET 2023-24  Summary'!C212,DETAILED!S:S)</f>
        <v>1000000</v>
      </c>
      <c r="F212" s="19">
        <f>SUMIF(DETAILED!O:O,'MTREF BUDGET 2023-24  Summary'!C212,DETAILED!AE:AE)</f>
        <v>1000000</v>
      </c>
      <c r="G212" s="19">
        <f>SUMIF(DETAILED!O:O,'MTREF BUDGET 2023-24  Summary'!C212,DETAILED!AL:AL)</f>
        <v>1000000</v>
      </c>
      <c r="H212" s="19">
        <f>SUMIF(DETAILED!O:O,'MTREF BUDGET 2023-24  Summary'!C212,DETAILED!AM:AM)</f>
        <v>1046000</v>
      </c>
      <c r="I212" s="19">
        <f>SUMIF(DETAILED!O:O,'MTREF BUDGET 2023-24  Summary'!C212,DETAILED!AN:AN)</f>
        <v>1094116</v>
      </c>
    </row>
    <row r="213" spans="2:13" s="20" customFormat="1" ht="15.9" hidden="1" customHeight="1" outlineLevel="2" x14ac:dyDescent="0.3">
      <c r="B213" s="38" t="s">
        <v>240</v>
      </c>
      <c r="C213" s="39" t="str">
        <f>VLOOKUP(B213,'[19]DETAILED OCT GS560'!F:AC,2,FALSE)</f>
        <v>P652302P36</v>
      </c>
      <c r="D213" s="18" t="s">
        <v>240</v>
      </c>
      <c r="E213" s="19">
        <f>SUMIF(DETAILED!O:O,'MTREF BUDGET 2023-24  Summary'!C213,DETAILED!S:S)</f>
        <v>2176900</v>
      </c>
      <c r="F213" s="19">
        <f>SUMIF(DETAILED!O:O,'MTREF BUDGET 2023-24  Summary'!C213,DETAILED!AE:AE)</f>
        <v>2176900</v>
      </c>
      <c r="G213" s="19">
        <f>SUMIF(DETAILED!O:O,'MTREF BUDGET 2023-24  Summary'!C213,DETAILED!AL:AL)</f>
        <v>2176900</v>
      </c>
      <c r="H213" s="19">
        <f>SUMIF(DETAILED!O:O,'MTREF BUDGET 2023-24  Summary'!C213,DETAILED!AM:AM)</f>
        <v>2277037.4</v>
      </c>
      <c r="I213" s="19">
        <f>SUMIF(DETAILED!O:O,'MTREF BUDGET 2023-24  Summary'!C213,DETAILED!AN:AN)</f>
        <v>2381781.1203999999</v>
      </c>
    </row>
    <row r="214" spans="2:13" s="20" customFormat="1" ht="15.9" hidden="1" customHeight="1" outlineLevel="2" x14ac:dyDescent="0.3">
      <c r="B214" s="38" t="s">
        <v>241</v>
      </c>
      <c r="C214" s="39" t="str">
        <f>VLOOKUP(B214,'[19]DETAILED OCT GS560'!F:AC,2,FALSE)</f>
        <v>P652042P04</v>
      </c>
      <c r="D214" s="18" t="s">
        <v>241</v>
      </c>
      <c r="E214" s="19">
        <f>SUMIF(DETAILED!O:O,'MTREF BUDGET 2023-24  Summary'!C214,DETAILED!S:S)</f>
        <v>2750000</v>
      </c>
      <c r="F214" s="19">
        <f>SUMIF(DETAILED!O:O,'MTREF BUDGET 2023-24  Summary'!C214,DETAILED!AE:AE)</f>
        <v>2750000</v>
      </c>
      <c r="G214" s="19">
        <f>SUMIF(DETAILED!O:O,'MTREF BUDGET 2023-24  Summary'!C214,DETAILED!AL:AL)</f>
        <v>2750000</v>
      </c>
      <c r="H214" s="19">
        <f>SUMIF(DETAILED!O:O,'MTREF BUDGET 2023-24  Summary'!C214,DETAILED!AM:AM)</f>
        <v>2876500</v>
      </c>
      <c r="I214" s="19">
        <f>SUMIF(DETAILED!O:O,'MTREF BUDGET 2023-24  Summary'!C214,DETAILED!AN:AN)</f>
        <v>3008819</v>
      </c>
    </row>
    <row r="215" spans="2:13" s="20" customFormat="1" ht="15.9" hidden="1" customHeight="1" outlineLevel="2" x14ac:dyDescent="0.3">
      <c r="B215" s="38" t="s">
        <v>242</v>
      </c>
      <c r="C215" s="39" t="str">
        <f>VLOOKUP(B215,'[19]DETAILED OCT GS560'!F:AC,2,FALSE)</f>
        <v>P652142P60</v>
      </c>
      <c r="D215" s="18" t="s">
        <v>242</v>
      </c>
      <c r="E215" s="19">
        <f>SUMIF(DETAILED!O:O,'MTREF BUDGET 2023-24  Summary'!C215,DETAILED!S:S)</f>
        <v>2250000</v>
      </c>
      <c r="F215" s="19">
        <f>SUMIF(DETAILED!O:O,'MTREF BUDGET 2023-24  Summary'!C215,DETAILED!AE:AE)</f>
        <v>2250000</v>
      </c>
      <c r="G215" s="19">
        <f>SUMIF(DETAILED!O:O,'MTREF BUDGET 2023-24  Summary'!C215,DETAILED!AL:AL)</f>
        <v>2250000</v>
      </c>
      <c r="H215" s="19">
        <f>SUMIF(DETAILED!O:O,'MTREF BUDGET 2023-24  Summary'!C215,DETAILED!AM:AM)</f>
        <v>2353500</v>
      </c>
      <c r="I215" s="19">
        <f>SUMIF(DETAILED!O:O,'MTREF BUDGET 2023-24  Summary'!C215,DETAILED!AN:AN)</f>
        <v>2461761</v>
      </c>
    </row>
    <row r="216" spans="2:13" s="20" customFormat="1" ht="15.9" hidden="1" customHeight="1" outlineLevel="2" x14ac:dyDescent="0.3">
      <c r="B216" s="38" t="s">
        <v>243</v>
      </c>
      <c r="C216" s="39" t="str">
        <f>VLOOKUP(B216,'[19]DETAILED OCT GS560'!F:AC,2,FALSE)</f>
        <v>P652402P80</v>
      </c>
      <c r="D216" s="18" t="s">
        <v>243</v>
      </c>
      <c r="E216" s="19">
        <f>SUMIF(DETAILED!O:O,'MTREF BUDGET 2023-24  Summary'!C216,DETAILED!S:S)</f>
        <v>500000</v>
      </c>
      <c r="F216" s="19">
        <f>SUMIF(DETAILED!O:O,'MTREF BUDGET 2023-24  Summary'!C216,DETAILED!AE:AE)</f>
        <v>0</v>
      </c>
      <c r="G216" s="19">
        <f>SUMIF(DETAILED!O:O,'MTREF BUDGET 2023-24  Summary'!C216,DETAILED!AL:AL)</f>
        <v>500000</v>
      </c>
      <c r="H216" s="19">
        <f>SUMIF(DETAILED!O:O,'MTREF BUDGET 2023-24  Summary'!C216,DETAILED!AM:AM)</f>
        <v>523000</v>
      </c>
      <c r="I216" s="19">
        <f>SUMIF(DETAILED!O:O,'MTREF BUDGET 2023-24  Summary'!C216,DETAILED!AN:AN)</f>
        <v>547058</v>
      </c>
    </row>
    <row r="217" spans="2:13" s="20" customFormat="1" ht="15.9" hidden="1" customHeight="1" outlineLevel="2" x14ac:dyDescent="0.3">
      <c r="B217" s="16" t="s">
        <v>244</v>
      </c>
      <c r="C217" s="39" t="s">
        <v>245</v>
      </c>
      <c r="D217" s="18" t="s">
        <v>244</v>
      </c>
      <c r="E217" s="19">
        <f>SUMIF(DETAILED!O:O,'MTREF BUDGET 2023-24  Summary'!C217,DETAILED!S:S)</f>
        <v>2500000</v>
      </c>
      <c r="F217" s="19">
        <f>SUMIF(DETAILED!O:O,'MTREF BUDGET 2023-24  Summary'!C217,DETAILED!AE:AE)</f>
        <v>2500000</v>
      </c>
      <c r="G217" s="19">
        <f>SUMIF(DETAILED!O:O,'MTREF BUDGET 2023-24  Summary'!C217,DETAILED!AL:AL)</f>
        <v>2500000</v>
      </c>
      <c r="H217" s="19">
        <f>SUMIF(DETAILED!O:O,'MTREF BUDGET 2023-24  Summary'!C217,DETAILED!AM:AM)</f>
        <v>2615000</v>
      </c>
      <c r="I217" s="19">
        <f>SUMIF(DETAILED!O:O,'MTREF BUDGET 2023-24  Summary'!C217,DETAILED!AN:AN)</f>
        <v>2735290</v>
      </c>
    </row>
    <row r="218" spans="2:13" s="20" customFormat="1" ht="15.9" hidden="1" customHeight="1" outlineLevel="2" x14ac:dyDescent="0.3">
      <c r="B218" s="16" t="s">
        <v>246</v>
      </c>
      <c r="C218" s="39" t="str">
        <f>VLOOKUP(B218,'[19]DETAILED OCT GS560'!F:AC,2,FALSE)</f>
        <v>P652242P45</v>
      </c>
      <c r="D218" s="18" t="s">
        <v>246</v>
      </c>
      <c r="E218" s="19">
        <f>SUMIF(DETAILED!O:O,'MTREF BUDGET 2023-24  Summary'!C218,DETAILED!S:S)</f>
        <v>1000000</v>
      </c>
      <c r="F218" s="19">
        <f>SUMIF(DETAILED!O:O,'MTREF BUDGET 2023-24  Summary'!C218,DETAILED!AE:AE)</f>
        <v>1000000</v>
      </c>
      <c r="G218" s="19">
        <f>SUMIF(DETAILED!O:O,'MTREF BUDGET 2023-24  Summary'!C218,DETAILED!AL:AL)</f>
        <v>1000000</v>
      </c>
      <c r="H218" s="19">
        <f>SUMIF(DETAILED!O:O,'MTREF BUDGET 2023-24  Summary'!C218,DETAILED!AM:AM)</f>
        <v>1046000</v>
      </c>
      <c r="I218" s="19">
        <f>SUMIF(DETAILED!O:O,'MTREF BUDGET 2023-24  Summary'!C218,DETAILED!AN:AN)</f>
        <v>1094116</v>
      </c>
    </row>
    <row r="219" spans="2:13" s="20" customFormat="1" ht="15.9" hidden="1" customHeight="1" outlineLevel="2" x14ac:dyDescent="0.3">
      <c r="B219" s="16" t="s">
        <v>247</v>
      </c>
      <c r="C219" s="39" t="str">
        <f>VLOOKUP(B219,'[19]DETAILED OCT GS560'!F:AC,2,FALSE)</f>
        <v>P656352QH6</v>
      </c>
      <c r="D219" s="18" t="s">
        <v>247</v>
      </c>
      <c r="E219" s="19">
        <f>SUMIF(DETAILED!O:O,'MTREF BUDGET 2023-24  Summary'!C219,DETAILED!S:S)</f>
        <v>12247311</v>
      </c>
      <c r="F219" s="19">
        <f>SUMIF(DETAILED!O:O,'MTREF BUDGET 2023-24  Summary'!C219,DETAILED!AE:AE)</f>
        <v>2837950</v>
      </c>
      <c r="G219" s="19">
        <f>SUMIF(DETAILED!O:O,'MTREF BUDGET 2023-24  Summary'!C219,DETAILED!AL:AL)</f>
        <v>2837950</v>
      </c>
      <c r="H219" s="19">
        <f>SUMIF(DETAILED!O:O,'MTREF BUDGET 2023-24  Summary'!C219,DETAILED!AM:AM)</f>
        <v>2968495.7</v>
      </c>
      <c r="I219" s="19">
        <f>SUMIF(DETAILED!O:O,'MTREF BUDGET 2023-24  Summary'!C219,DETAILED!AN:AN)</f>
        <v>3105046.5022000005</v>
      </c>
    </row>
    <row r="220" spans="2:13" s="20" customFormat="1" ht="15.9" hidden="1" customHeight="1" outlineLevel="2" x14ac:dyDescent="0.3">
      <c r="B220" s="16" t="s">
        <v>248</v>
      </c>
      <c r="C220" s="39" t="str">
        <f>VLOOKUP(B220,'[19]DETAILED OCT GS560'!F:AC,2,FALSE)</f>
        <v>P656352QH7</v>
      </c>
      <c r="D220" s="18" t="s">
        <v>248</v>
      </c>
      <c r="E220" s="19">
        <f>SUMIF(DETAILED!O:O,'MTREF BUDGET 2023-24  Summary'!C220,DETAILED!S:S)</f>
        <v>30163644</v>
      </c>
      <c r="F220" s="19">
        <f>SUMIF(DETAILED!O:O,'MTREF BUDGET 2023-24  Summary'!C220,DETAILED!AE:AE)</f>
        <v>10412309</v>
      </c>
      <c r="G220" s="19">
        <f>SUMIF(DETAILED!O:O,'MTREF BUDGET 2023-24  Summary'!C220,DETAILED!AL:AL)</f>
        <v>10412309</v>
      </c>
      <c r="H220" s="19">
        <f>SUMIF(DETAILED!O:O,'MTREF BUDGET 2023-24  Summary'!C220,DETAILED!AM:AM)</f>
        <v>10891275.214</v>
      </c>
      <c r="I220" s="19">
        <f>SUMIF(DETAILED!O:O,'MTREF BUDGET 2023-24  Summary'!C220,DETAILED!AN:AN)</f>
        <v>11392273.873844</v>
      </c>
    </row>
    <row r="221" spans="2:13" s="20" customFormat="1" ht="15.9" hidden="1" customHeight="1" outlineLevel="2" x14ac:dyDescent="0.3">
      <c r="B221" s="16" t="s">
        <v>249</v>
      </c>
      <c r="C221" s="39" t="str">
        <f>VLOOKUP(B221,'[19]DETAILED OCT GS560'!F:AC,2,FALSE)</f>
        <v>P652102P15</v>
      </c>
      <c r="D221" s="18" t="s">
        <v>249</v>
      </c>
      <c r="E221" s="19">
        <f>SUMIF(DETAILED!O:O,'MTREF BUDGET 2023-24  Summary'!C221,DETAILED!S:S)</f>
        <v>9000000</v>
      </c>
      <c r="F221" s="19">
        <f>SUMIF(DETAILED!O:O,'MTREF BUDGET 2023-24  Summary'!C221,DETAILED!AE:AE)</f>
        <v>9000000</v>
      </c>
      <c r="G221" s="19">
        <f>SUMIF(DETAILED!O:O,'MTREF BUDGET 2023-24  Summary'!C221,DETAILED!AL:AL)</f>
        <v>10000000</v>
      </c>
      <c r="H221" s="19">
        <f>SUMIF(DETAILED!O:O,'MTREF BUDGET 2023-24  Summary'!C221,DETAILED!AM:AM)</f>
        <v>10460000</v>
      </c>
      <c r="I221" s="19">
        <f>SUMIF(DETAILED!O:O,'MTREF BUDGET 2023-24  Summary'!C221,DETAILED!AN:AN)</f>
        <v>10941160</v>
      </c>
    </row>
    <row r="222" spans="2:13" ht="15.9" hidden="1" customHeight="1" outlineLevel="1" collapsed="1" x14ac:dyDescent="0.3">
      <c r="B222" s="52" t="s">
        <v>250</v>
      </c>
      <c r="C222" s="39"/>
      <c r="D222" s="10" t="s">
        <v>250</v>
      </c>
      <c r="E222" s="25">
        <f>E223</f>
        <v>7100000</v>
      </c>
      <c r="F222" s="25">
        <f t="shared" ref="F222:I222" si="18">F223</f>
        <v>7100000</v>
      </c>
      <c r="G222" s="25">
        <f t="shared" si="18"/>
        <v>7100000</v>
      </c>
      <c r="H222" s="25">
        <f t="shared" si="18"/>
        <v>7426600</v>
      </c>
      <c r="I222" s="25">
        <f t="shared" si="18"/>
        <v>7768223.6000000006</v>
      </c>
      <c r="J222" s="85"/>
      <c r="K222" s="20"/>
      <c r="L222" s="20"/>
      <c r="M222" s="20"/>
    </row>
    <row r="223" spans="2:13" s="20" customFormat="1" ht="15.9" hidden="1" customHeight="1" outlineLevel="2" x14ac:dyDescent="0.3">
      <c r="B223" s="81" t="s">
        <v>251</v>
      </c>
      <c r="C223" s="39" t="str">
        <f>VLOOKUP(B223,'[19]DETAILED OCT GS560'!F:AC,2,FALSE)</f>
        <v>P652242P50</v>
      </c>
      <c r="D223" s="18" t="s">
        <v>251</v>
      </c>
      <c r="E223" s="19">
        <f>SUMIF(DETAILED!O:O,'MTREF BUDGET 2023-24  Summary'!C223,DETAILED!S:S)</f>
        <v>7100000</v>
      </c>
      <c r="F223" s="19">
        <f>SUMIF(DETAILED!O:O,'MTREF BUDGET 2023-24  Summary'!C223,DETAILED!AE:AE)</f>
        <v>7100000</v>
      </c>
      <c r="G223" s="19">
        <f>SUMIF(DETAILED!O:O,'MTREF BUDGET 2023-24  Summary'!C223,DETAILED!AL:AL)</f>
        <v>7100000</v>
      </c>
      <c r="H223" s="19">
        <f>SUMIF(DETAILED!O:O,'MTREF BUDGET 2023-24  Summary'!C223,DETAILED!AM:AM)</f>
        <v>7426600</v>
      </c>
      <c r="I223" s="19">
        <f>SUMIF(DETAILED!O:O,'MTREF BUDGET 2023-24  Summary'!C223,DETAILED!AN:AN)</f>
        <v>7768223.6000000006</v>
      </c>
    </row>
    <row r="224" spans="2:13" s="20" customFormat="1" ht="15.9" hidden="1" customHeight="1" outlineLevel="2" x14ac:dyDescent="0.2">
      <c r="B224" s="70" t="s">
        <v>252</v>
      </c>
      <c r="D224" s="18"/>
      <c r="E224" s="19"/>
      <c r="F224" s="19"/>
      <c r="G224" s="19"/>
      <c r="H224" s="19"/>
      <c r="I224" s="19"/>
    </row>
    <row r="225" spans="2:13" s="20" customFormat="1" ht="15.9" hidden="1" customHeight="1" outlineLevel="1" collapsed="1" x14ac:dyDescent="0.2">
      <c r="B225" s="86"/>
      <c r="D225" s="48"/>
      <c r="E225" s="53"/>
      <c r="F225" s="53"/>
      <c r="G225" s="53"/>
      <c r="H225" s="53"/>
      <c r="I225" s="53"/>
    </row>
    <row r="226" spans="2:13" s="20" customFormat="1" ht="15.9" hidden="1" customHeight="1" collapsed="1" x14ac:dyDescent="0.2">
      <c r="B226" s="86"/>
      <c r="D226" s="59"/>
      <c r="E226" s="54"/>
      <c r="F226" s="54"/>
      <c r="G226" s="54"/>
      <c r="H226" s="54"/>
      <c r="I226" s="54"/>
    </row>
    <row r="227" spans="2:13" ht="15.9" hidden="1" customHeight="1" x14ac:dyDescent="0.2">
      <c r="D227" s="206" t="s">
        <v>2</v>
      </c>
      <c r="E227" s="206"/>
      <c r="F227" s="206"/>
      <c r="G227" s="207"/>
      <c r="H227" s="207"/>
      <c r="I227" s="207"/>
      <c r="K227" s="20"/>
      <c r="L227" s="20"/>
      <c r="M227" s="20"/>
    </row>
    <row r="228" spans="2:13" ht="31.95" hidden="1" customHeight="1" x14ac:dyDescent="0.2">
      <c r="B228" s="63"/>
      <c r="D228" s="7" t="s">
        <v>253</v>
      </c>
      <c r="E228" s="7" t="s">
        <v>2155</v>
      </c>
      <c r="F228" s="7" t="s">
        <v>4</v>
      </c>
      <c r="G228" s="7" t="s">
        <v>5</v>
      </c>
      <c r="H228" s="7" t="s">
        <v>6</v>
      </c>
      <c r="I228" s="7" t="s">
        <v>1984</v>
      </c>
      <c r="K228" s="20"/>
      <c r="L228" s="20"/>
      <c r="M228" s="20"/>
    </row>
    <row r="229" spans="2:13" ht="15.9" hidden="1" customHeight="1" thickBot="1" x14ac:dyDescent="0.3">
      <c r="B229" s="87" t="s">
        <v>254</v>
      </c>
      <c r="D229" s="87" t="s">
        <v>255</v>
      </c>
      <c r="E229" s="88">
        <f>E172+E176</f>
        <v>-160049796</v>
      </c>
      <c r="F229" s="88">
        <f>F172+F176</f>
        <v>-98049796</v>
      </c>
      <c r="G229" s="88">
        <f ca="1">G172+G176</f>
        <v>138797249.1943512</v>
      </c>
      <c r="H229" s="88">
        <f ca="1">H172+H176</f>
        <v>145106169.2114318</v>
      </c>
      <c r="I229" s="88">
        <f ca="1">I172+I176</f>
        <v>151909587.8735891</v>
      </c>
      <c r="K229" s="20"/>
      <c r="L229" s="20"/>
      <c r="M229" s="20"/>
    </row>
    <row r="230" spans="2:13" ht="12.6" hidden="1" thickTop="1" x14ac:dyDescent="0.25">
      <c r="B230" s="89"/>
      <c r="D230" s="89"/>
      <c r="E230" s="61"/>
      <c r="F230" s="61"/>
      <c r="G230" s="69">
        <v>-83000000</v>
      </c>
      <c r="H230" s="69"/>
      <c r="I230" s="69"/>
      <c r="K230" s="20"/>
      <c r="L230" s="20"/>
      <c r="M230" s="20"/>
    </row>
    <row r="231" spans="2:13" ht="12" hidden="1" customHeight="1" x14ac:dyDescent="0.25">
      <c r="B231" s="90" t="s">
        <v>256</v>
      </c>
      <c r="D231" s="4" t="s">
        <v>256</v>
      </c>
      <c r="E231" s="91"/>
      <c r="F231" s="61"/>
      <c r="G231" s="61">
        <f ca="1">G229-G230</f>
        <v>221797249.1943512</v>
      </c>
      <c r="H231" s="91"/>
      <c r="I231" s="91"/>
      <c r="K231" s="20"/>
      <c r="L231" s="20"/>
      <c r="M231" s="20"/>
    </row>
    <row r="232" spans="2:13" ht="12" hidden="1" customHeight="1" x14ac:dyDescent="0.2">
      <c r="B232" s="90"/>
      <c r="E232" s="92"/>
      <c r="F232" s="93"/>
      <c r="G232" s="93"/>
      <c r="H232" s="92"/>
      <c r="I232" s="92"/>
      <c r="K232" s="20"/>
      <c r="L232" s="20"/>
      <c r="M232" s="20"/>
    </row>
    <row r="233" spans="2:13" ht="12" hidden="1" customHeight="1" x14ac:dyDescent="0.25">
      <c r="B233" s="90" t="s">
        <v>257</v>
      </c>
      <c r="D233" s="4" t="s">
        <v>257</v>
      </c>
      <c r="E233" s="94"/>
      <c r="F233" s="95"/>
      <c r="G233" s="94">
        <f ca="1">G229+G230</f>
        <v>55797249.194351196</v>
      </c>
      <c r="H233" s="94"/>
      <c r="I233" s="94"/>
      <c r="K233" s="20"/>
      <c r="L233" s="20"/>
      <c r="M233" s="20"/>
    </row>
    <row r="234" spans="2:13" ht="12" hidden="1" customHeight="1" x14ac:dyDescent="0.2">
      <c r="E234" s="96"/>
      <c r="F234" s="2"/>
      <c r="G234" s="2"/>
      <c r="H234" s="96"/>
      <c r="I234" s="96"/>
      <c r="K234" s="20"/>
      <c r="L234" s="20"/>
      <c r="M234" s="20"/>
    </row>
    <row r="235" spans="2:13" ht="12" hidden="1" customHeight="1" x14ac:dyDescent="0.25">
      <c r="B235" s="14"/>
      <c r="D235" s="97"/>
      <c r="E235" s="96"/>
      <c r="F235" s="2"/>
      <c r="G235" s="2"/>
      <c r="H235" s="96"/>
      <c r="I235" s="96"/>
      <c r="K235" s="20"/>
      <c r="L235" s="20"/>
      <c r="M235" s="20"/>
    </row>
    <row r="236" spans="2:13" ht="12" hidden="1" customHeight="1" x14ac:dyDescent="0.2">
      <c r="E236" s="96"/>
      <c r="F236" s="2"/>
      <c r="G236" s="2"/>
      <c r="H236" s="96"/>
      <c r="I236" s="96"/>
      <c r="K236" s="20"/>
      <c r="L236" s="20"/>
      <c r="M236" s="20"/>
    </row>
    <row r="237" spans="2:13" ht="15.75" hidden="1" customHeight="1" x14ac:dyDescent="0.3">
      <c r="B237" s="98"/>
      <c r="D237" s="99"/>
      <c r="E237" s="96"/>
      <c r="F237" s="2"/>
      <c r="G237" s="2"/>
      <c r="H237" s="96"/>
      <c r="I237" s="96"/>
      <c r="K237" s="20"/>
      <c r="L237" s="20"/>
      <c r="M237" s="20"/>
    </row>
    <row r="238" spans="2:13" ht="12" hidden="1" customHeight="1" x14ac:dyDescent="0.2">
      <c r="E238" s="96"/>
      <c r="F238" s="2"/>
      <c r="G238" s="2"/>
      <c r="H238" s="96"/>
      <c r="I238" s="96"/>
      <c r="K238" s="20"/>
      <c r="L238" s="20"/>
      <c r="M238" s="20"/>
    </row>
    <row r="239" spans="2:13" hidden="1" x14ac:dyDescent="0.2">
      <c r="E239" s="96" t="e">
        <f>E177+E197+E210+E218+E219+E221+#REF!+E223</f>
        <v>#REF!</v>
      </c>
      <c r="F239" s="2"/>
      <c r="G239" s="2"/>
      <c r="H239" s="96"/>
      <c r="I239" s="100"/>
      <c r="K239" s="20"/>
      <c r="L239" s="20"/>
      <c r="M239" s="20"/>
    </row>
    <row r="240" spans="2:13" ht="13.8" x14ac:dyDescent="0.25">
      <c r="B240" s="101"/>
      <c r="C240" s="102" t="s">
        <v>258</v>
      </c>
      <c r="D240" s="103"/>
      <c r="E240" s="104"/>
      <c r="F240" s="105"/>
      <c r="G240" s="105"/>
      <c r="H240" s="104"/>
      <c r="I240" s="106"/>
      <c r="K240" s="20"/>
      <c r="L240" s="20"/>
      <c r="M240" s="20"/>
    </row>
    <row r="241" spans="2:13" ht="13.8" x14ac:dyDescent="0.25">
      <c r="B241" s="107"/>
      <c r="C241" s="108"/>
      <c r="D241" s="109"/>
      <c r="E241" s="110"/>
      <c r="F241" s="111"/>
      <c r="G241" s="111"/>
      <c r="H241" s="110"/>
      <c r="I241" s="112"/>
      <c r="K241" s="20"/>
      <c r="L241" s="20"/>
      <c r="M241" s="20"/>
    </row>
    <row r="242" spans="2:13" ht="13.8" x14ac:dyDescent="0.25">
      <c r="B242" s="107"/>
      <c r="C242" s="113"/>
      <c r="D242" s="109"/>
      <c r="E242" s="110"/>
      <c r="F242" s="111"/>
      <c r="G242" s="111"/>
      <c r="H242" s="110"/>
      <c r="I242" s="112"/>
      <c r="K242" s="20"/>
      <c r="L242" s="20"/>
      <c r="M242" s="20"/>
    </row>
    <row r="243" spans="2:13" ht="13.8" x14ac:dyDescent="0.25">
      <c r="B243" s="114"/>
      <c r="C243" s="108" t="s">
        <v>259</v>
      </c>
      <c r="D243" s="115"/>
      <c r="E243" s="116"/>
      <c r="F243" s="117"/>
      <c r="G243" s="117"/>
      <c r="H243" s="118"/>
      <c r="I243" s="112"/>
      <c r="K243" s="20"/>
      <c r="L243" s="20"/>
      <c r="M243" s="20"/>
    </row>
    <row r="244" spans="2:13" ht="13.8" x14ac:dyDescent="0.25">
      <c r="B244" s="107"/>
      <c r="C244" s="113"/>
      <c r="D244" s="109"/>
      <c r="E244" s="118"/>
      <c r="F244" s="119"/>
      <c r="G244" s="119"/>
      <c r="H244" s="118"/>
      <c r="I244" s="112"/>
      <c r="K244" s="20"/>
      <c r="L244" s="20"/>
      <c r="M244" s="20"/>
    </row>
    <row r="245" spans="2:13" ht="13.8" x14ac:dyDescent="0.25">
      <c r="B245" s="114"/>
      <c r="C245" s="108" t="s">
        <v>260</v>
      </c>
      <c r="D245" s="115"/>
      <c r="E245" s="116"/>
      <c r="F245" s="117"/>
      <c r="G245" s="117"/>
      <c r="H245" s="118"/>
      <c r="I245" s="112"/>
      <c r="K245" s="20"/>
      <c r="L245" s="20"/>
      <c r="M245" s="20"/>
    </row>
    <row r="246" spans="2:13" ht="13.8" x14ac:dyDescent="0.25">
      <c r="B246" s="114"/>
      <c r="C246" s="108" t="s">
        <v>261</v>
      </c>
      <c r="D246" s="115"/>
      <c r="E246" s="116"/>
      <c r="F246" s="117"/>
      <c r="G246" s="117"/>
      <c r="H246" s="118"/>
      <c r="I246" s="112"/>
      <c r="K246" s="20"/>
      <c r="L246" s="20"/>
      <c r="M246" s="20"/>
    </row>
    <row r="247" spans="2:13" ht="13.8" x14ac:dyDescent="0.25">
      <c r="B247" s="114"/>
      <c r="C247" s="108" t="s">
        <v>262</v>
      </c>
      <c r="D247" s="115"/>
      <c r="E247" s="116"/>
      <c r="F247" s="117"/>
      <c r="G247" s="117"/>
      <c r="H247" s="118"/>
      <c r="I247" s="112"/>
      <c r="K247" s="20"/>
      <c r="L247" s="20"/>
      <c r="M247" s="20"/>
    </row>
    <row r="248" spans="2:13" ht="13.8" x14ac:dyDescent="0.25">
      <c r="B248" s="120"/>
      <c r="C248" s="121"/>
      <c r="D248" s="122"/>
      <c r="E248" s="123"/>
      <c r="F248" s="124"/>
      <c r="G248" s="124"/>
      <c r="H248" s="123"/>
      <c r="I248" s="125"/>
      <c r="K248" s="20"/>
      <c r="L248" s="20"/>
      <c r="M248" s="20"/>
    </row>
    <row r="249" spans="2:13" ht="13.8" x14ac:dyDescent="0.25">
      <c r="B249" s="126"/>
      <c r="C249" s="127" t="s">
        <v>263</v>
      </c>
      <c r="D249" s="128"/>
      <c r="E249" s="118"/>
      <c r="F249" s="119"/>
      <c r="G249" s="119"/>
      <c r="H249" s="118"/>
      <c r="I249" s="112"/>
      <c r="K249" s="20"/>
      <c r="L249" s="20"/>
      <c r="M249" s="20"/>
    </row>
    <row r="250" spans="2:13" ht="13.8" x14ac:dyDescent="0.25">
      <c r="B250" s="129"/>
      <c r="C250" s="130"/>
      <c r="D250" s="131"/>
      <c r="E250" s="118"/>
      <c r="F250" s="119"/>
      <c r="G250" s="119"/>
      <c r="H250" s="118"/>
      <c r="I250" s="112"/>
      <c r="K250" s="20"/>
      <c r="L250" s="20"/>
      <c r="M250" s="20"/>
    </row>
    <row r="251" spans="2:13" ht="13.8" x14ac:dyDescent="0.25">
      <c r="B251" s="129"/>
      <c r="C251" s="130"/>
      <c r="D251" s="131"/>
      <c r="E251" s="118"/>
      <c r="F251" s="119"/>
      <c r="G251" s="119"/>
      <c r="H251" s="118"/>
      <c r="I251" s="112"/>
      <c r="K251" s="20"/>
      <c r="L251" s="20"/>
      <c r="M251" s="20"/>
    </row>
    <row r="252" spans="2:13" ht="13.8" x14ac:dyDescent="0.25">
      <c r="B252" s="126"/>
      <c r="C252" s="127" t="s">
        <v>264</v>
      </c>
      <c r="D252" s="128"/>
      <c r="E252" s="118"/>
      <c r="F252" s="119"/>
      <c r="G252" s="119"/>
      <c r="H252" s="118"/>
      <c r="I252" s="112"/>
      <c r="K252" s="20"/>
      <c r="L252" s="20"/>
      <c r="M252" s="20"/>
    </row>
    <row r="253" spans="2:13" ht="13.8" x14ac:dyDescent="0.25">
      <c r="B253" s="129"/>
      <c r="C253" s="130"/>
      <c r="D253" s="131"/>
      <c r="E253" s="118"/>
      <c r="F253" s="119"/>
      <c r="G253" s="119"/>
      <c r="H253" s="118"/>
      <c r="I253" s="112"/>
      <c r="K253" s="20"/>
      <c r="L253" s="20"/>
      <c r="M253" s="20"/>
    </row>
    <row r="254" spans="2:13" ht="13.8" x14ac:dyDescent="0.25">
      <c r="B254" s="126"/>
      <c r="C254" s="127" t="s">
        <v>260</v>
      </c>
      <c r="D254" s="128"/>
      <c r="E254" s="118"/>
      <c r="F254" s="119"/>
      <c r="G254" s="119"/>
      <c r="H254" s="118"/>
      <c r="I254" s="112"/>
      <c r="K254" s="20"/>
      <c r="L254" s="20"/>
      <c r="M254" s="20"/>
    </row>
    <row r="255" spans="2:13" ht="13.8" x14ac:dyDescent="0.25">
      <c r="B255" s="126"/>
      <c r="C255" s="127" t="s">
        <v>265</v>
      </c>
      <c r="D255" s="128"/>
      <c r="E255" s="118"/>
      <c r="F255" s="119"/>
      <c r="G255" s="119"/>
      <c r="H255" s="118"/>
      <c r="I255" s="112"/>
      <c r="K255" s="20"/>
      <c r="L255" s="20"/>
      <c r="M255" s="20"/>
    </row>
    <row r="256" spans="2:13" ht="13.8" x14ac:dyDescent="0.25">
      <c r="B256" s="126"/>
      <c r="C256" s="127" t="s">
        <v>266</v>
      </c>
      <c r="D256" s="128"/>
      <c r="E256" s="118"/>
      <c r="F256" s="119"/>
      <c r="G256" s="119"/>
      <c r="H256" s="118"/>
      <c r="I256" s="112"/>
      <c r="K256" s="20"/>
      <c r="L256" s="20"/>
      <c r="M256" s="20"/>
    </row>
    <row r="257" spans="2:13" ht="13.8" x14ac:dyDescent="0.25">
      <c r="B257" s="126"/>
      <c r="C257" s="127"/>
      <c r="D257" s="128"/>
      <c r="E257" s="118"/>
      <c r="F257" s="119"/>
      <c r="G257" s="119"/>
      <c r="H257" s="118"/>
      <c r="I257" s="112"/>
      <c r="K257" s="20"/>
      <c r="L257" s="20"/>
      <c r="M257" s="20"/>
    </row>
    <row r="258" spans="2:13" ht="13.8" x14ac:dyDescent="0.25">
      <c r="B258" s="126"/>
      <c r="C258" s="127"/>
      <c r="D258" s="128"/>
      <c r="E258" s="118"/>
      <c r="F258" s="119"/>
      <c r="G258" s="119"/>
      <c r="H258" s="118"/>
      <c r="I258" s="112"/>
      <c r="K258" s="20"/>
      <c r="L258" s="20"/>
      <c r="M258" s="20"/>
    </row>
    <row r="259" spans="2:13" ht="13.8" x14ac:dyDescent="0.25">
      <c r="B259" s="126"/>
      <c r="C259" s="127" t="s">
        <v>267</v>
      </c>
      <c r="D259" s="128"/>
      <c r="E259" s="118"/>
      <c r="F259" s="119"/>
      <c r="G259" s="119"/>
      <c r="H259" s="118"/>
      <c r="I259" s="112"/>
      <c r="K259" s="20"/>
      <c r="L259" s="20"/>
      <c r="M259" s="20"/>
    </row>
    <row r="260" spans="2:13" ht="13.8" x14ac:dyDescent="0.25">
      <c r="B260" s="129"/>
      <c r="C260" s="130"/>
      <c r="D260" s="131"/>
      <c r="E260" s="118"/>
      <c r="F260" s="119"/>
      <c r="G260" s="119"/>
      <c r="H260" s="118"/>
      <c r="I260" s="112"/>
      <c r="K260" s="20"/>
      <c r="L260" s="20"/>
      <c r="M260" s="20"/>
    </row>
    <row r="261" spans="2:13" ht="12" customHeight="1" x14ac:dyDescent="0.25">
      <c r="B261" s="129"/>
      <c r="C261" s="130" t="s">
        <v>268</v>
      </c>
      <c r="D261" s="131"/>
      <c r="E261" s="118"/>
      <c r="F261" s="119"/>
      <c r="G261" s="119"/>
      <c r="H261" s="118"/>
      <c r="I261" s="112"/>
      <c r="K261" s="20"/>
      <c r="L261" s="20"/>
      <c r="M261" s="20"/>
    </row>
    <row r="262" spans="2:13" ht="12" customHeight="1" x14ac:dyDescent="0.25">
      <c r="B262" s="126"/>
      <c r="C262" s="127" t="s">
        <v>269</v>
      </c>
      <c r="D262" s="128"/>
      <c r="E262" s="118"/>
      <c r="F262" s="119"/>
      <c r="G262" s="119"/>
      <c r="H262" s="118"/>
      <c r="I262" s="112"/>
      <c r="K262" s="20"/>
      <c r="L262" s="20"/>
      <c r="M262" s="20"/>
    </row>
    <row r="263" spans="2:13" ht="12" customHeight="1" x14ac:dyDescent="0.25">
      <c r="B263" s="132"/>
      <c r="C263" s="133" t="s">
        <v>270</v>
      </c>
      <c r="D263" s="134"/>
      <c r="E263" s="118"/>
      <c r="F263" s="119"/>
      <c r="G263" s="119"/>
      <c r="H263" s="118"/>
      <c r="I263" s="112"/>
      <c r="K263" s="20"/>
      <c r="L263" s="20"/>
      <c r="M263" s="20"/>
    </row>
    <row r="264" spans="2:13" ht="12" customHeight="1" x14ac:dyDescent="0.25">
      <c r="B264" s="107"/>
      <c r="C264" s="107"/>
      <c r="D264" s="109"/>
      <c r="E264" s="118"/>
      <c r="F264" s="119"/>
      <c r="G264" s="119"/>
      <c r="H264" s="118"/>
      <c r="I264" s="112"/>
      <c r="K264" s="20"/>
      <c r="L264" s="20"/>
      <c r="M264" s="20"/>
    </row>
    <row r="265" spans="2:13" ht="12" customHeight="1" x14ac:dyDescent="0.25">
      <c r="B265" s="114"/>
      <c r="C265" s="107"/>
      <c r="D265" s="115"/>
      <c r="E265" s="118"/>
      <c r="F265" s="119"/>
      <c r="G265" s="119"/>
      <c r="H265" s="118"/>
      <c r="I265" s="112"/>
      <c r="K265" s="20"/>
      <c r="L265" s="20"/>
      <c r="M265" s="20"/>
    </row>
    <row r="266" spans="2:13" ht="12" customHeight="1" x14ac:dyDescent="0.25">
      <c r="B266" s="107"/>
      <c r="C266" s="107"/>
      <c r="D266" s="109"/>
      <c r="E266" s="118"/>
      <c r="F266" s="119"/>
      <c r="G266" s="119"/>
      <c r="H266" s="118"/>
      <c r="I266" s="112"/>
      <c r="K266" s="20"/>
      <c r="L266" s="20"/>
      <c r="M266" s="20"/>
    </row>
    <row r="267" spans="2:13" ht="12" customHeight="1" x14ac:dyDescent="0.25">
      <c r="B267" s="107"/>
      <c r="C267" s="107"/>
      <c r="D267" s="109"/>
      <c r="E267" s="118"/>
      <c r="F267" s="119"/>
      <c r="G267" s="119"/>
      <c r="H267" s="118"/>
      <c r="I267" s="112"/>
      <c r="K267" s="20"/>
      <c r="L267" s="20"/>
      <c r="M267" s="20"/>
    </row>
    <row r="268" spans="2:13" ht="12" customHeight="1" x14ac:dyDescent="0.25">
      <c r="B268" s="107"/>
      <c r="C268" s="107"/>
      <c r="D268" s="109"/>
      <c r="E268" s="118"/>
      <c r="F268" s="119"/>
      <c r="G268" s="119"/>
      <c r="H268" s="118"/>
      <c r="I268" s="112"/>
      <c r="K268" s="20"/>
      <c r="L268" s="20"/>
      <c r="M268" s="20"/>
    </row>
    <row r="269" spans="2:13" ht="12" customHeight="1" x14ac:dyDescent="0.25">
      <c r="B269" s="107"/>
      <c r="C269" s="107"/>
      <c r="D269" s="109"/>
      <c r="E269" s="118"/>
      <c r="F269" s="119"/>
      <c r="G269" s="119"/>
      <c r="H269" s="118"/>
      <c r="I269" s="112"/>
      <c r="K269" s="20"/>
      <c r="L269" s="20"/>
      <c r="M269" s="20"/>
    </row>
    <row r="270" spans="2:13" ht="12" customHeight="1" x14ac:dyDescent="0.25">
      <c r="B270" s="107"/>
      <c r="C270" s="107"/>
      <c r="D270" s="109"/>
      <c r="E270" s="118"/>
      <c r="F270" s="119"/>
      <c r="G270" s="119"/>
      <c r="H270" s="118"/>
      <c r="I270" s="112"/>
      <c r="K270" s="20"/>
      <c r="L270" s="20"/>
      <c r="M270" s="20"/>
    </row>
    <row r="271" spans="2:13" ht="12" customHeight="1" x14ac:dyDescent="0.25">
      <c r="B271" s="114"/>
      <c r="C271" s="107"/>
      <c r="D271" s="115"/>
      <c r="E271" s="118"/>
      <c r="F271" s="119"/>
      <c r="G271" s="119"/>
      <c r="H271" s="118"/>
      <c r="I271" s="112"/>
      <c r="K271" s="20"/>
      <c r="L271" s="20"/>
      <c r="M271" s="20"/>
    </row>
    <row r="272" spans="2:13" ht="12" customHeight="1" x14ac:dyDescent="0.25">
      <c r="B272" s="107"/>
      <c r="C272" s="107"/>
      <c r="D272" s="109"/>
      <c r="E272" s="118"/>
      <c r="F272" s="119"/>
      <c r="G272" s="119"/>
      <c r="H272" s="118"/>
      <c r="I272" s="112"/>
      <c r="K272" s="20"/>
      <c r="L272" s="20"/>
      <c r="M272" s="20"/>
    </row>
    <row r="273" spans="2:13" ht="12" customHeight="1" x14ac:dyDescent="0.25">
      <c r="B273" s="107"/>
      <c r="C273" s="107"/>
      <c r="D273" s="109"/>
      <c r="E273" s="118"/>
      <c r="F273" s="119"/>
      <c r="G273" s="119"/>
      <c r="H273" s="118"/>
      <c r="I273" s="112"/>
      <c r="K273" s="20"/>
      <c r="L273" s="20"/>
      <c r="M273" s="20"/>
    </row>
    <row r="274" spans="2:13" ht="12" customHeight="1" x14ac:dyDescent="0.25">
      <c r="B274" s="107"/>
      <c r="C274" s="107"/>
      <c r="D274" s="109"/>
      <c r="E274" s="118"/>
      <c r="F274" s="119"/>
      <c r="G274" s="119"/>
      <c r="H274" s="118"/>
      <c r="I274" s="112"/>
      <c r="K274" s="20"/>
      <c r="L274" s="20"/>
      <c r="M274" s="20"/>
    </row>
    <row r="275" spans="2:13" ht="12" customHeight="1" x14ac:dyDescent="0.25">
      <c r="B275" s="107"/>
      <c r="C275" s="107"/>
      <c r="D275" s="109"/>
      <c r="E275" s="118"/>
      <c r="F275" s="119"/>
      <c r="G275" s="119"/>
      <c r="H275" s="118"/>
      <c r="I275" s="112"/>
      <c r="K275" s="20"/>
      <c r="L275" s="20"/>
      <c r="M275" s="20"/>
    </row>
    <row r="276" spans="2:13" ht="12" customHeight="1" x14ac:dyDescent="0.25">
      <c r="B276" s="107"/>
      <c r="C276" s="107"/>
      <c r="D276" s="109"/>
      <c r="E276" s="118"/>
      <c r="F276" s="119"/>
      <c r="G276" s="119"/>
      <c r="H276" s="118"/>
      <c r="I276" s="112"/>
      <c r="K276" s="20"/>
      <c r="L276" s="20"/>
      <c r="M276" s="20"/>
    </row>
    <row r="277" spans="2:13" ht="12" customHeight="1" x14ac:dyDescent="0.25">
      <c r="B277" s="107"/>
      <c r="C277" s="107"/>
      <c r="D277" s="109"/>
      <c r="E277" s="118"/>
      <c r="F277" s="119"/>
      <c r="G277" s="119"/>
      <c r="H277" s="118"/>
      <c r="I277" s="112"/>
      <c r="K277" s="20"/>
      <c r="L277" s="20"/>
      <c r="M277" s="20"/>
    </row>
    <row r="278" spans="2:13" ht="12" customHeight="1" x14ac:dyDescent="0.25">
      <c r="B278" s="107"/>
      <c r="C278" s="107"/>
      <c r="D278" s="109"/>
      <c r="E278" s="118"/>
      <c r="F278" s="119"/>
      <c r="G278" s="119"/>
      <c r="H278" s="118"/>
      <c r="I278" s="112"/>
      <c r="K278" s="20"/>
      <c r="L278" s="20"/>
      <c r="M278" s="20"/>
    </row>
    <row r="279" spans="2:13" ht="12" customHeight="1" x14ac:dyDescent="0.25">
      <c r="B279" s="107" t="s">
        <v>271</v>
      </c>
      <c r="C279" s="107"/>
      <c r="D279" s="109" t="s">
        <v>271</v>
      </c>
      <c r="E279" s="118"/>
      <c r="F279" s="119"/>
      <c r="G279" s="119"/>
      <c r="H279" s="118"/>
      <c r="I279" s="112"/>
      <c r="K279" s="20"/>
      <c r="L279" s="20"/>
      <c r="M279" s="20"/>
    </row>
    <row r="280" spans="2:13" ht="12" customHeight="1" x14ac:dyDescent="0.25">
      <c r="B280" s="107" t="s">
        <v>272</v>
      </c>
      <c r="C280" s="107"/>
      <c r="D280" s="109" t="s">
        <v>272</v>
      </c>
      <c r="E280" s="135"/>
      <c r="F280" s="136"/>
      <c r="G280" s="136"/>
      <c r="H280" s="135"/>
      <c r="I280" s="137"/>
      <c r="K280" s="20"/>
      <c r="L280" s="20"/>
      <c r="M280" s="20"/>
    </row>
    <row r="281" spans="2:13" ht="12" customHeight="1" x14ac:dyDescent="0.25">
      <c r="B281" s="114" t="s">
        <v>273</v>
      </c>
      <c r="C281" s="107"/>
      <c r="D281" s="115" t="s">
        <v>273</v>
      </c>
      <c r="E281" s="118"/>
      <c r="F281" s="119"/>
      <c r="G281" s="119"/>
      <c r="H281" s="118"/>
      <c r="I281" s="112"/>
      <c r="K281" s="20"/>
      <c r="L281" s="20"/>
      <c r="M281" s="20"/>
    </row>
    <row r="282" spans="2:13" ht="12" customHeight="1" x14ac:dyDescent="0.25">
      <c r="B282" s="107"/>
      <c r="C282" s="107"/>
      <c r="D282" s="109"/>
      <c r="E282" s="118"/>
      <c r="F282" s="119"/>
      <c r="G282" s="119"/>
      <c r="H282" s="118"/>
      <c r="I282" s="112"/>
      <c r="K282" s="20"/>
      <c r="L282" s="20"/>
      <c r="M282" s="20"/>
    </row>
    <row r="283" spans="2:13" ht="12" customHeight="1" x14ac:dyDescent="0.25">
      <c r="B283" s="107"/>
      <c r="C283" s="107"/>
      <c r="D283" s="109"/>
      <c r="E283" s="118"/>
      <c r="F283" s="119"/>
      <c r="G283" s="119"/>
      <c r="H283" s="118"/>
      <c r="I283" s="112"/>
      <c r="K283" s="20"/>
      <c r="L283" s="20"/>
      <c r="M283" s="20"/>
    </row>
    <row r="284" spans="2:13" ht="12" customHeight="1" x14ac:dyDescent="0.25">
      <c r="B284" s="107" t="s">
        <v>274</v>
      </c>
      <c r="C284" s="107"/>
      <c r="D284" s="109" t="s">
        <v>274</v>
      </c>
      <c r="E284" s="118"/>
      <c r="F284" s="119"/>
      <c r="G284" s="119"/>
      <c r="H284" s="118"/>
      <c r="I284" s="112"/>
      <c r="K284" s="20"/>
      <c r="L284" s="20"/>
      <c r="M284" s="20"/>
    </row>
    <row r="285" spans="2:13" ht="12" customHeight="1" x14ac:dyDescent="0.25">
      <c r="B285" s="107"/>
      <c r="C285" s="107"/>
      <c r="D285" s="109"/>
      <c r="E285" s="118"/>
      <c r="F285" s="119"/>
      <c r="G285" s="119"/>
      <c r="H285" s="118"/>
      <c r="I285" s="112"/>
      <c r="K285" s="20"/>
      <c r="L285" s="20"/>
      <c r="M285" s="20"/>
    </row>
    <row r="286" spans="2:13" ht="12" customHeight="1" x14ac:dyDescent="0.25">
      <c r="B286" s="107" t="s">
        <v>275</v>
      </c>
      <c r="C286" s="107"/>
      <c r="D286" s="109" t="s">
        <v>275</v>
      </c>
      <c r="E286" s="118"/>
      <c r="F286" s="119"/>
      <c r="G286" s="119"/>
      <c r="H286" s="118"/>
      <c r="I286" s="112"/>
      <c r="K286" s="20"/>
      <c r="L286" s="20"/>
      <c r="M286" s="20"/>
    </row>
    <row r="287" spans="2:13" ht="12" customHeight="1" x14ac:dyDescent="0.25">
      <c r="B287" s="107"/>
      <c r="C287" s="107"/>
      <c r="D287" s="109"/>
      <c r="E287" s="118"/>
      <c r="F287" s="119"/>
      <c r="G287" s="119"/>
      <c r="H287" s="118"/>
      <c r="I287" s="112"/>
      <c r="K287" s="20"/>
      <c r="L287" s="20"/>
      <c r="M287" s="20"/>
    </row>
    <row r="288" spans="2:13" ht="12" customHeight="1" x14ac:dyDescent="0.25">
      <c r="B288" s="107" t="s">
        <v>276</v>
      </c>
      <c r="C288" s="107"/>
      <c r="D288" s="109" t="s">
        <v>276</v>
      </c>
      <c r="E288" s="118"/>
      <c r="F288" s="119"/>
      <c r="G288" s="119"/>
      <c r="H288" s="118"/>
      <c r="I288" s="112"/>
      <c r="K288" s="20"/>
      <c r="L288" s="20"/>
      <c r="M288" s="20"/>
    </row>
    <row r="289" spans="2:13" ht="12" customHeight="1" x14ac:dyDescent="0.25">
      <c r="B289" s="107"/>
      <c r="C289" s="107"/>
      <c r="D289" s="109"/>
      <c r="E289" s="118"/>
      <c r="F289" s="119"/>
      <c r="G289" s="119"/>
      <c r="H289" s="118"/>
      <c r="I289" s="112"/>
      <c r="K289" s="20"/>
      <c r="L289" s="20"/>
      <c r="M289" s="20"/>
    </row>
    <row r="290" spans="2:13" ht="12" customHeight="1" x14ac:dyDescent="0.25">
      <c r="B290" s="107" t="s">
        <v>277</v>
      </c>
      <c r="C290" s="107"/>
      <c r="D290" s="109" t="s">
        <v>277</v>
      </c>
      <c r="E290" s="118"/>
      <c r="F290" s="119"/>
      <c r="G290" s="119"/>
      <c r="H290" s="118"/>
      <c r="I290" s="112"/>
      <c r="K290" s="20"/>
      <c r="L290" s="20"/>
      <c r="M290" s="20"/>
    </row>
    <row r="291" spans="2:13" ht="12" customHeight="1" x14ac:dyDescent="0.25">
      <c r="B291" s="107"/>
      <c r="C291" s="107"/>
      <c r="D291" s="109"/>
      <c r="E291" s="118"/>
      <c r="F291" s="119"/>
      <c r="G291" s="119"/>
      <c r="H291" s="118"/>
      <c r="I291" s="112"/>
      <c r="K291" s="20"/>
      <c r="L291" s="20"/>
      <c r="M291" s="20"/>
    </row>
    <row r="292" spans="2:13" ht="12" customHeight="1" x14ac:dyDescent="0.25">
      <c r="B292" s="107"/>
      <c r="C292" s="107"/>
      <c r="D292" s="109"/>
      <c r="E292" s="118"/>
      <c r="F292" s="119"/>
      <c r="G292" s="119"/>
      <c r="H292" s="118"/>
      <c r="I292" s="112"/>
      <c r="K292" s="20"/>
      <c r="L292" s="20"/>
      <c r="M292" s="20"/>
    </row>
    <row r="293" spans="2:13" ht="12" customHeight="1" x14ac:dyDescent="0.25">
      <c r="B293" s="107"/>
      <c r="C293" s="107"/>
      <c r="D293" s="109"/>
      <c r="E293" s="118"/>
      <c r="F293" s="119"/>
      <c r="G293" s="119"/>
      <c r="H293" s="118"/>
      <c r="I293" s="112"/>
      <c r="K293" s="20"/>
      <c r="L293" s="20"/>
      <c r="M293" s="20"/>
    </row>
    <row r="294" spans="2:13" ht="13.8" x14ac:dyDescent="0.25">
      <c r="B294" s="107"/>
      <c r="C294" s="127" t="s">
        <v>260</v>
      </c>
      <c r="D294" s="109"/>
      <c r="E294" s="110"/>
      <c r="F294" s="111"/>
      <c r="G294" s="111"/>
      <c r="H294" s="110"/>
      <c r="I294" s="112"/>
      <c r="K294" s="20"/>
      <c r="L294" s="20"/>
      <c r="M294" s="20"/>
    </row>
    <row r="295" spans="2:13" ht="13.8" x14ac:dyDescent="0.25">
      <c r="B295" s="107"/>
      <c r="C295" s="127" t="s">
        <v>269</v>
      </c>
      <c r="D295" s="109"/>
      <c r="E295" s="118"/>
      <c r="F295" s="119"/>
      <c r="G295" s="119"/>
      <c r="H295" s="118"/>
      <c r="I295" s="112"/>
      <c r="K295" s="20"/>
      <c r="L295" s="20"/>
      <c r="M295" s="20"/>
    </row>
    <row r="296" spans="2:13" ht="13.8" x14ac:dyDescent="0.25">
      <c r="B296" s="107"/>
      <c r="C296" s="127" t="s">
        <v>270</v>
      </c>
      <c r="D296" s="109"/>
      <c r="E296" s="110"/>
      <c r="F296" s="111"/>
      <c r="G296" s="111"/>
      <c r="H296" s="110"/>
      <c r="I296" s="112"/>
      <c r="K296" s="20"/>
      <c r="L296" s="20"/>
      <c r="M296" s="20"/>
    </row>
    <row r="297" spans="2:13" ht="13.8" x14ac:dyDescent="0.25">
      <c r="B297" s="138"/>
      <c r="C297" s="133"/>
      <c r="D297" s="139"/>
      <c r="E297" s="123"/>
      <c r="F297" s="124"/>
      <c r="G297" s="124"/>
      <c r="H297" s="123"/>
      <c r="I297" s="125"/>
      <c r="K297" s="20"/>
      <c r="L297" s="20"/>
      <c r="M297" s="20"/>
    </row>
    <row r="298" spans="2:13" x14ac:dyDescent="0.2">
      <c r="E298" s="96"/>
      <c r="F298" s="2"/>
      <c r="G298" s="2"/>
      <c r="H298" s="96"/>
      <c r="I298" s="96"/>
      <c r="K298" s="20"/>
      <c r="L298" s="20"/>
      <c r="M298" s="20"/>
    </row>
    <row r="299" spans="2:13" x14ac:dyDescent="0.2">
      <c r="E299" s="96"/>
      <c r="F299" s="2"/>
      <c r="G299" s="2"/>
      <c r="H299" s="96"/>
      <c r="I299" s="96"/>
      <c r="K299" s="20"/>
      <c r="L299" s="20"/>
      <c r="M299" s="20"/>
    </row>
    <row r="300" spans="2:13" x14ac:dyDescent="0.2">
      <c r="E300" s="96"/>
      <c r="F300" s="2"/>
      <c r="G300" s="2"/>
      <c r="H300" s="96"/>
      <c r="I300" s="96"/>
      <c r="K300" s="20"/>
      <c r="L300" s="20"/>
      <c r="M300" s="20"/>
    </row>
    <row r="301" spans="2:13" x14ac:dyDescent="0.2">
      <c r="E301" s="96"/>
      <c r="F301" s="2"/>
      <c r="G301" s="2"/>
      <c r="H301" s="96"/>
      <c r="I301" s="96"/>
      <c r="K301" s="20"/>
      <c r="L301" s="20"/>
      <c r="M301" s="20"/>
    </row>
    <row r="302" spans="2:13" x14ac:dyDescent="0.2">
      <c r="E302" s="96"/>
      <c r="F302" s="2"/>
      <c r="G302" s="2"/>
      <c r="H302" s="96"/>
      <c r="I302" s="96"/>
      <c r="K302" s="20"/>
      <c r="L302" s="20"/>
      <c r="M302" s="20"/>
    </row>
    <row r="303" spans="2:13" x14ac:dyDescent="0.2">
      <c r="E303" s="96"/>
      <c r="F303" s="2"/>
      <c r="G303" s="2"/>
      <c r="H303" s="96"/>
      <c r="I303" s="96"/>
      <c r="K303" s="20"/>
      <c r="L303" s="20"/>
      <c r="M303" s="20"/>
    </row>
    <row r="304" spans="2:13" x14ac:dyDescent="0.2">
      <c r="E304" s="96"/>
      <c r="F304" s="2"/>
      <c r="G304" s="2"/>
      <c r="H304" s="96"/>
      <c r="I304" s="96"/>
      <c r="K304" s="20"/>
      <c r="L304" s="20"/>
      <c r="M304" s="20"/>
    </row>
    <row r="305" spans="2:13" x14ac:dyDescent="0.2">
      <c r="E305" s="96"/>
      <c r="F305" s="2"/>
      <c r="G305" s="2"/>
      <c r="H305" s="96"/>
      <c r="I305" s="96"/>
      <c r="K305" s="20"/>
      <c r="L305" s="20"/>
      <c r="M305" s="20"/>
    </row>
    <row r="306" spans="2:13" x14ac:dyDescent="0.2">
      <c r="E306" s="96"/>
      <c r="F306" s="2"/>
      <c r="G306" s="2"/>
      <c r="H306" s="96"/>
      <c r="I306" s="96"/>
      <c r="K306" s="20"/>
      <c r="L306" s="20"/>
      <c r="M306" s="20"/>
    </row>
    <row r="307" spans="2:13" x14ac:dyDescent="0.2">
      <c r="E307" s="96"/>
      <c r="F307" s="2"/>
      <c r="G307" s="2"/>
      <c r="H307" s="96"/>
      <c r="I307" s="96"/>
      <c r="K307" s="20"/>
      <c r="L307" s="20"/>
      <c r="M307" s="20"/>
    </row>
    <row r="308" spans="2:13" x14ac:dyDescent="0.2">
      <c r="E308" s="96"/>
      <c r="F308" s="2"/>
      <c r="G308" s="2"/>
      <c r="H308" s="96"/>
      <c r="I308" s="96"/>
      <c r="K308" s="20"/>
      <c r="L308" s="20"/>
      <c r="M308" s="20"/>
    </row>
    <row r="309" spans="2:13" x14ac:dyDescent="0.2">
      <c r="E309" s="96"/>
      <c r="F309" s="2"/>
      <c r="G309" s="2"/>
      <c r="H309" s="96"/>
      <c r="I309" s="96"/>
      <c r="K309" s="20"/>
      <c r="L309" s="20"/>
      <c r="M309" s="20"/>
    </row>
    <row r="310" spans="2:13" x14ac:dyDescent="0.2">
      <c r="E310" s="96"/>
      <c r="F310" s="2"/>
      <c r="G310" s="2"/>
      <c r="H310" s="96"/>
      <c r="I310" s="96"/>
      <c r="K310" s="20"/>
      <c r="L310" s="20"/>
      <c r="M310" s="20"/>
    </row>
    <row r="311" spans="2:13" x14ac:dyDescent="0.2">
      <c r="E311" s="96"/>
      <c r="F311" s="2"/>
      <c r="G311" s="2"/>
      <c r="H311" s="96"/>
      <c r="I311" s="96"/>
      <c r="K311" s="20"/>
      <c r="L311" s="20"/>
      <c r="M311" s="20"/>
    </row>
    <row r="312" spans="2:13" x14ac:dyDescent="0.2">
      <c r="E312" s="96"/>
      <c r="F312" s="2"/>
      <c r="G312" s="2"/>
      <c r="H312" s="96"/>
      <c r="I312" s="96"/>
      <c r="K312" s="20"/>
      <c r="L312" s="20"/>
      <c r="M312" s="20"/>
    </row>
    <row r="313" spans="2:13" x14ac:dyDescent="0.2">
      <c r="E313" s="96"/>
      <c r="F313" s="2"/>
      <c r="G313" s="2"/>
      <c r="H313" s="96"/>
      <c r="I313" s="96"/>
      <c r="K313" s="20"/>
      <c r="L313" s="20"/>
      <c r="M313" s="20"/>
    </row>
    <row r="314" spans="2:13" ht="14.4" x14ac:dyDescent="0.3">
      <c r="B314" s="21" t="s">
        <v>278</v>
      </c>
      <c r="D314" s="140" t="s">
        <v>278</v>
      </c>
      <c r="E314" s="141"/>
      <c r="F314" s="95"/>
      <c r="G314" s="95"/>
      <c r="H314" s="141"/>
      <c r="I314" s="141"/>
      <c r="K314" s="20"/>
      <c r="L314" s="20"/>
      <c r="M314" s="20"/>
    </row>
    <row r="315" spans="2:13" x14ac:dyDescent="0.2">
      <c r="E315" s="96"/>
      <c r="F315" s="2"/>
      <c r="G315" s="2"/>
      <c r="H315" s="96"/>
      <c r="I315" s="96"/>
      <c r="K315" s="20"/>
      <c r="L315" s="20"/>
      <c r="M315" s="20"/>
    </row>
    <row r="316" spans="2:13" x14ac:dyDescent="0.2">
      <c r="E316" s="96"/>
      <c r="F316" s="2"/>
      <c r="G316" s="2"/>
      <c r="H316" s="96"/>
      <c r="I316" s="96"/>
      <c r="K316" s="20"/>
      <c r="L316" s="20"/>
      <c r="M316" s="20"/>
    </row>
    <row r="317" spans="2:13" x14ac:dyDescent="0.2">
      <c r="D317" s="4" t="s">
        <v>279</v>
      </c>
      <c r="E317" s="96"/>
      <c r="F317" s="2"/>
      <c r="G317" s="2"/>
      <c r="H317" s="96"/>
      <c r="I317" s="96"/>
      <c r="K317" s="20"/>
      <c r="L317" s="20"/>
      <c r="M317" s="20"/>
    </row>
    <row r="318" spans="2:13" x14ac:dyDescent="0.2">
      <c r="D318" s="4" t="s">
        <v>280</v>
      </c>
      <c r="E318" s="96"/>
      <c r="F318" s="2"/>
      <c r="G318" s="2"/>
      <c r="H318" s="96"/>
      <c r="I318" s="96"/>
      <c r="K318" s="20"/>
      <c r="L318" s="20"/>
      <c r="M318" s="20"/>
    </row>
    <row r="319" spans="2:13" x14ac:dyDescent="0.2">
      <c r="D319" s="4" t="s">
        <v>281</v>
      </c>
      <c r="E319" s="96"/>
      <c r="F319" s="2"/>
      <c r="G319" s="2"/>
      <c r="H319" s="96"/>
      <c r="I319" s="96"/>
      <c r="K319" s="20"/>
      <c r="L319" s="20"/>
      <c r="M319" s="20"/>
    </row>
    <row r="320" spans="2:13" x14ac:dyDescent="0.2">
      <c r="D320" s="4" t="s">
        <v>282</v>
      </c>
      <c r="E320" s="96"/>
      <c r="F320" s="2"/>
      <c r="G320" s="2"/>
      <c r="H320" s="96"/>
      <c r="I320" s="96"/>
      <c r="K320" s="20"/>
      <c r="L320" s="20"/>
      <c r="M320" s="20"/>
    </row>
    <row r="321" spans="4:13" x14ac:dyDescent="0.2">
      <c r="E321" s="96"/>
      <c r="F321" s="2"/>
      <c r="G321" s="2"/>
      <c r="H321" s="96"/>
      <c r="I321" s="96"/>
      <c r="K321" s="20"/>
      <c r="L321" s="20"/>
      <c r="M321" s="20"/>
    </row>
    <row r="322" spans="4:13" x14ac:dyDescent="0.2">
      <c r="E322" s="96"/>
      <c r="F322" s="2"/>
      <c r="G322" s="2"/>
      <c r="H322" s="96"/>
      <c r="I322" s="96"/>
      <c r="K322" s="20"/>
      <c r="L322" s="20"/>
      <c r="M322" s="20"/>
    </row>
    <row r="323" spans="4:13" x14ac:dyDescent="0.2">
      <c r="D323" s="4" t="s">
        <v>283</v>
      </c>
      <c r="E323" s="96"/>
      <c r="F323" s="2"/>
      <c r="G323" s="2"/>
      <c r="H323" s="96"/>
      <c r="I323" s="96"/>
      <c r="K323" s="20"/>
      <c r="L323" s="20"/>
      <c r="M323" s="20"/>
    </row>
    <row r="324" spans="4:13" x14ac:dyDescent="0.2">
      <c r="D324" s="4" t="s">
        <v>284</v>
      </c>
      <c r="E324" s="96"/>
      <c r="F324" s="2"/>
      <c r="G324" s="2"/>
      <c r="H324" s="96"/>
      <c r="I324" s="96"/>
      <c r="K324" s="20"/>
      <c r="L324" s="20"/>
      <c r="M324" s="20"/>
    </row>
    <row r="325" spans="4:13" x14ac:dyDescent="0.2">
      <c r="D325" s="4" t="s">
        <v>285</v>
      </c>
      <c r="E325" s="96"/>
      <c r="F325" s="2"/>
      <c r="G325" s="2"/>
      <c r="H325" s="96"/>
      <c r="I325" s="96"/>
      <c r="K325" s="20"/>
      <c r="L325" s="20"/>
      <c r="M325" s="20"/>
    </row>
    <row r="326" spans="4:13" x14ac:dyDescent="0.2">
      <c r="E326" s="96"/>
      <c r="F326" s="2"/>
      <c r="G326" s="2"/>
      <c r="H326" s="96"/>
      <c r="I326" s="96"/>
      <c r="K326" s="20"/>
      <c r="L326" s="20"/>
      <c r="M326" s="20"/>
    </row>
    <row r="327" spans="4:13" x14ac:dyDescent="0.2">
      <c r="E327" s="96"/>
      <c r="F327" s="2"/>
      <c r="G327" s="2"/>
      <c r="H327" s="96"/>
      <c r="I327" s="96"/>
      <c r="K327" s="20"/>
      <c r="L327" s="20"/>
      <c r="M327" s="20"/>
    </row>
    <row r="328" spans="4:13" x14ac:dyDescent="0.2">
      <c r="E328" s="96"/>
      <c r="F328" s="2"/>
      <c r="G328" s="2"/>
      <c r="H328" s="2"/>
      <c r="I328" s="2"/>
      <c r="K328" s="20"/>
      <c r="L328" s="20"/>
      <c r="M328" s="20"/>
    </row>
    <row r="329" spans="4:13" x14ac:dyDescent="0.2">
      <c r="E329" s="96"/>
      <c r="F329" s="2">
        <v>-63738572.359999999</v>
      </c>
      <c r="G329" s="2"/>
      <c r="H329" s="96"/>
      <c r="I329" s="96"/>
    </row>
    <row r="330" spans="4:13" x14ac:dyDescent="0.2">
      <c r="E330" s="2"/>
      <c r="F330" s="2">
        <f>F229-F329</f>
        <v>-34311223.640000001</v>
      </c>
      <c r="G330" s="2"/>
      <c r="H330" s="142"/>
      <c r="I330" s="96"/>
    </row>
    <row r="331" spans="4:13" x14ac:dyDescent="0.2">
      <c r="E331" s="96"/>
      <c r="F331" s="2"/>
      <c r="G331" s="2"/>
      <c r="H331" s="142"/>
      <c r="I331" s="96"/>
    </row>
    <row r="332" spans="4:13" x14ac:dyDescent="0.2">
      <c r="E332" s="96"/>
      <c r="F332" s="143"/>
      <c r="G332" s="2"/>
      <c r="H332" s="54"/>
      <c r="I332" s="96"/>
    </row>
    <row r="333" spans="4:13" x14ac:dyDescent="0.2">
      <c r="E333" s="96"/>
      <c r="F333" s="2"/>
      <c r="G333" s="2"/>
      <c r="H333" s="142"/>
      <c r="I333" s="96"/>
    </row>
    <row r="334" spans="4:13" x14ac:dyDescent="0.2">
      <c r="E334" s="96"/>
      <c r="F334" s="2"/>
      <c r="G334" s="2"/>
      <c r="H334" s="142"/>
      <c r="I334" s="96"/>
    </row>
    <row r="335" spans="4:13" x14ac:dyDescent="0.2">
      <c r="E335" s="96"/>
      <c r="F335" s="2"/>
      <c r="G335" s="2"/>
      <c r="H335" s="96"/>
      <c r="I335" s="96"/>
    </row>
    <row r="337" spans="14:33" s="143" customFormat="1" x14ac:dyDescent="0.2"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</row>
    <row r="338" spans="14:33" s="143" customFormat="1" x14ac:dyDescent="0.2"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</row>
    <row r="339" spans="14:33" s="143" customFormat="1" x14ac:dyDescent="0.2"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</row>
    <row r="340" spans="14:33" s="143" customFormat="1" x14ac:dyDescent="0.2"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</row>
    <row r="341" spans="14:33" s="143" customFormat="1" x14ac:dyDescent="0.2"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</row>
    <row r="342" spans="14:33" s="143" customFormat="1" x14ac:dyDescent="0.2"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</row>
    <row r="343" spans="14:33" s="143" customFormat="1" x14ac:dyDescent="0.2"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</row>
    <row r="344" spans="14:33" s="143" customFormat="1" x14ac:dyDescent="0.2"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</row>
    <row r="345" spans="14:33" s="143" customFormat="1" x14ac:dyDescent="0.2"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</row>
    <row r="346" spans="14:33" s="143" customFormat="1" x14ac:dyDescent="0.2"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</row>
    <row r="347" spans="14:33" s="143" customFormat="1" x14ac:dyDescent="0.2"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</row>
    <row r="348" spans="14:33" s="143" customFormat="1" x14ac:dyDescent="0.2"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</row>
    <row r="349" spans="14:33" s="143" customFormat="1" x14ac:dyDescent="0.2"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</row>
    <row r="350" spans="14:33" s="143" customFormat="1" x14ac:dyDescent="0.2"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</row>
    <row r="351" spans="14:33" s="143" customFormat="1" x14ac:dyDescent="0.2"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</row>
    <row r="352" spans="14:33" s="143" customFormat="1" x14ac:dyDescent="0.2"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</row>
    <row r="353" spans="14:33" s="143" customFormat="1" x14ac:dyDescent="0.2"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</row>
    <row r="354" spans="14:33" s="143" customFormat="1" x14ac:dyDescent="0.2"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</row>
    <row r="355" spans="14:33" s="143" customFormat="1" x14ac:dyDescent="0.2"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</row>
    <row r="356" spans="14:33" s="143" customFormat="1" x14ac:dyDescent="0.2"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</row>
    <row r="357" spans="14:33" s="143" customFormat="1" x14ac:dyDescent="0.2"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</row>
    <row r="358" spans="14:33" s="143" customFormat="1" x14ac:dyDescent="0.2"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</row>
    <row r="359" spans="14:33" s="143" customFormat="1" x14ac:dyDescent="0.2"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</row>
    <row r="360" spans="14:33" s="143" customFormat="1" x14ac:dyDescent="0.2"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</row>
    <row r="361" spans="14:33" s="143" customFormat="1" x14ac:dyDescent="0.2"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</row>
    <row r="362" spans="14:33" s="143" customFormat="1" x14ac:dyDescent="0.2"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</row>
    <row r="363" spans="14:33" s="143" customFormat="1" x14ac:dyDescent="0.2"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</row>
    <row r="364" spans="14:33" s="143" customFormat="1" x14ac:dyDescent="0.2"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</row>
    <row r="365" spans="14:33" s="143" customFormat="1" x14ac:dyDescent="0.2"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</row>
    <row r="366" spans="14:33" s="143" customFormat="1" x14ac:dyDescent="0.2"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</row>
    <row r="367" spans="14:33" s="143" customFormat="1" x14ac:dyDescent="0.2"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</row>
    <row r="368" spans="14:33" s="143" customFormat="1" x14ac:dyDescent="0.2"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</row>
    <row r="369" spans="14:33" s="143" customFormat="1" x14ac:dyDescent="0.2"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</row>
    <row r="370" spans="14:33" s="143" customFormat="1" x14ac:dyDescent="0.2"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</row>
    <row r="371" spans="14:33" s="143" customFormat="1" x14ac:dyDescent="0.2"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</row>
    <row r="372" spans="14:33" s="143" customFormat="1" x14ac:dyDescent="0.2"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</row>
    <row r="373" spans="14:33" s="143" customFormat="1" x14ac:dyDescent="0.2"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</row>
    <row r="374" spans="14:33" s="143" customFormat="1" x14ac:dyDescent="0.2"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</row>
    <row r="375" spans="14:33" s="143" customFormat="1" x14ac:dyDescent="0.2"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</row>
    <row r="376" spans="14:33" s="143" customFormat="1" x14ac:dyDescent="0.2"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</row>
    <row r="377" spans="14:33" s="143" customFormat="1" x14ac:dyDescent="0.2"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</row>
  </sheetData>
  <autoFilter ref="A1:AG377" xr:uid="{A767BA4A-FE0E-4889-99EA-A3E1B661689D}"/>
  <conditionalFormatting sqref="C7">
    <cfRule type="duplicateValues" dxfId="64" priority="50"/>
  </conditionalFormatting>
  <conditionalFormatting sqref="C37">
    <cfRule type="duplicateValues" dxfId="63" priority="49"/>
  </conditionalFormatting>
  <conditionalFormatting sqref="C51">
    <cfRule type="duplicateValues" dxfId="62" priority="48"/>
  </conditionalFormatting>
  <conditionalFormatting sqref="C69">
    <cfRule type="duplicateValues" dxfId="61" priority="47"/>
  </conditionalFormatting>
  <conditionalFormatting sqref="C75">
    <cfRule type="duplicateValues" dxfId="60" priority="46"/>
  </conditionalFormatting>
  <conditionalFormatting sqref="C76">
    <cfRule type="duplicateValues" dxfId="59" priority="45"/>
  </conditionalFormatting>
  <conditionalFormatting sqref="C85">
    <cfRule type="duplicateValues" dxfId="58" priority="44"/>
  </conditionalFormatting>
  <conditionalFormatting sqref="C94">
    <cfRule type="duplicateValues" dxfId="57" priority="43"/>
  </conditionalFormatting>
  <conditionalFormatting sqref="C101">
    <cfRule type="duplicateValues" dxfId="56" priority="42"/>
  </conditionalFormatting>
  <conditionalFormatting sqref="C107:C108">
    <cfRule type="duplicateValues" dxfId="55" priority="41"/>
  </conditionalFormatting>
  <conditionalFormatting sqref="C122">
    <cfRule type="duplicateValues" dxfId="54" priority="40"/>
  </conditionalFormatting>
  <conditionalFormatting sqref="C130">
    <cfRule type="duplicateValues" dxfId="53" priority="39"/>
  </conditionalFormatting>
  <conditionalFormatting sqref="C134">
    <cfRule type="duplicateValues" dxfId="52" priority="38"/>
  </conditionalFormatting>
  <conditionalFormatting sqref="C139">
    <cfRule type="duplicateValues" dxfId="51" priority="37"/>
  </conditionalFormatting>
  <conditionalFormatting sqref="C143">
    <cfRule type="duplicateValues" dxfId="50" priority="36"/>
  </conditionalFormatting>
  <conditionalFormatting sqref="C155">
    <cfRule type="duplicateValues" dxfId="49" priority="35"/>
  </conditionalFormatting>
  <conditionalFormatting sqref="C172:C173">
    <cfRule type="duplicateValues" dxfId="48" priority="34"/>
  </conditionalFormatting>
  <conditionalFormatting sqref="C177">
    <cfRule type="duplicateValues" dxfId="47" priority="33"/>
  </conditionalFormatting>
  <conditionalFormatting sqref="C197">
    <cfRule type="duplicateValues" dxfId="46" priority="32"/>
  </conditionalFormatting>
  <conditionalFormatting sqref="C206">
    <cfRule type="duplicateValues" dxfId="45" priority="31"/>
  </conditionalFormatting>
  <conditionalFormatting sqref="C210">
    <cfRule type="duplicateValues" dxfId="44" priority="30"/>
  </conditionalFormatting>
  <conditionalFormatting sqref="C47:C50">
    <cfRule type="duplicateValues" dxfId="43" priority="29"/>
  </conditionalFormatting>
  <conditionalFormatting sqref="C77:C84">
    <cfRule type="duplicateValues" dxfId="42" priority="28"/>
  </conditionalFormatting>
  <conditionalFormatting sqref="C98:C100">
    <cfRule type="duplicateValues" dxfId="41" priority="27"/>
  </conditionalFormatting>
  <conditionalFormatting sqref="C103:C104">
    <cfRule type="duplicateValues" dxfId="40" priority="26"/>
  </conditionalFormatting>
  <conditionalFormatting sqref="C140:C141">
    <cfRule type="duplicateValues" dxfId="39" priority="24"/>
  </conditionalFormatting>
  <conditionalFormatting sqref="C144:C147">
    <cfRule type="duplicateValues" dxfId="38" priority="23"/>
  </conditionalFormatting>
  <conditionalFormatting sqref="C179">
    <cfRule type="duplicateValues" dxfId="37" priority="21"/>
  </conditionalFormatting>
  <conditionalFormatting sqref="C178">
    <cfRule type="duplicateValues" dxfId="36" priority="20"/>
  </conditionalFormatting>
  <conditionalFormatting sqref="C180:C182 C195">
    <cfRule type="duplicateValues" dxfId="35" priority="18"/>
  </conditionalFormatting>
  <conditionalFormatting sqref="C183">
    <cfRule type="duplicateValues" dxfId="34" priority="17"/>
  </conditionalFormatting>
  <conditionalFormatting sqref="C184:C187">
    <cfRule type="duplicateValues" dxfId="33" priority="16"/>
  </conditionalFormatting>
  <conditionalFormatting sqref="C198">
    <cfRule type="duplicateValues" dxfId="32" priority="15"/>
  </conditionalFormatting>
  <conditionalFormatting sqref="C200:C205">
    <cfRule type="duplicateValues" dxfId="31" priority="14"/>
  </conditionalFormatting>
  <conditionalFormatting sqref="C211:C215">
    <cfRule type="duplicateValues" dxfId="30" priority="13"/>
  </conditionalFormatting>
  <conditionalFormatting sqref="C218:C223 C209">
    <cfRule type="duplicateValues" dxfId="29" priority="12"/>
  </conditionalFormatting>
  <conditionalFormatting sqref="C97">
    <cfRule type="duplicateValues" dxfId="28" priority="11"/>
  </conditionalFormatting>
  <conditionalFormatting sqref="C127:C129">
    <cfRule type="duplicateValues" dxfId="27" priority="10"/>
  </conditionalFormatting>
  <conditionalFormatting sqref="C131:C133">
    <cfRule type="duplicateValues" dxfId="26" priority="9"/>
  </conditionalFormatting>
  <conditionalFormatting sqref="C196">
    <cfRule type="duplicateValues" dxfId="25" priority="8"/>
  </conditionalFormatting>
  <conditionalFormatting sqref="C135">
    <cfRule type="duplicateValues" dxfId="24" priority="7"/>
  </conditionalFormatting>
  <conditionalFormatting sqref="C86:C89">
    <cfRule type="duplicateValues" dxfId="23" priority="51"/>
  </conditionalFormatting>
  <conditionalFormatting sqref="C199">
    <cfRule type="duplicateValues" dxfId="22" priority="52"/>
  </conditionalFormatting>
  <conditionalFormatting sqref="C216:C217">
    <cfRule type="duplicateValues" dxfId="21" priority="53"/>
  </conditionalFormatting>
  <conditionalFormatting sqref="C188:C193">
    <cfRule type="duplicateValues" dxfId="20" priority="54"/>
  </conditionalFormatting>
  <conditionalFormatting sqref="C207">
    <cfRule type="duplicateValues" dxfId="19" priority="6"/>
  </conditionalFormatting>
  <conditionalFormatting sqref="C46">
    <cfRule type="duplicateValues" dxfId="18" priority="55"/>
  </conditionalFormatting>
  <conditionalFormatting sqref="C70:C74 C10:C20 C22:C36 C38:C45 C52:C68">
    <cfRule type="duplicateValues" dxfId="17" priority="56"/>
  </conditionalFormatting>
  <conditionalFormatting sqref="C142">
    <cfRule type="duplicateValues" dxfId="16" priority="5"/>
  </conditionalFormatting>
  <conditionalFormatting sqref="C136:C138">
    <cfRule type="duplicateValues" dxfId="15" priority="57"/>
  </conditionalFormatting>
  <conditionalFormatting sqref="C150">
    <cfRule type="duplicateValues" dxfId="14" priority="4"/>
  </conditionalFormatting>
  <conditionalFormatting sqref="C96">
    <cfRule type="duplicateValues" dxfId="13" priority="3"/>
  </conditionalFormatting>
  <conditionalFormatting sqref="C106">
    <cfRule type="duplicateValues" dxfId="12" priority="2"/>
  </conditionalFormatting>
  <conditionalFormatting sqref="C161:C162">
    <cfRule type="duplicateValues" dxfId="11" priority="58"/>
  </conditionalFormatting>
  <conditionalFormatting sqref="C165:C169">
    <cfRule type="duplicateValues" dxfId="10" priority="59"/>
  </conditionalFormatting>
  <conditionalFormatting sqref="C121">
    <cfRule type="duplicateValues" dxfId="9" priority="60"/>
  </conditionalFormatting>
  <pageMargins left="0.70866141732283472" right="0.70866141732283472" top="0.74803149606299213" bottom="0.74803149606299213" header="0.31496062992125984" footer="0.31496062992125984"/>
  <pageSetup paperSize="9" scale="68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05068-F75A-412B-8535-84E119847CC3}">
  <dimension ref="A1:U20"/>
  <sheetViews>
    <sheetView topLeftCell="C1" workbookViewId="0">
      <selection activeCell="J10" sqref="J10"/>
    </sheetView>
  </sheetViews>
  <sheetFormatPr defaultColWidth="9.109375" defaultRowHeight="12" x14ac:dyDescent="0.25"/>
  <cols>
    <col min="1" max="1" width="6.33203125" style="290" bestFit="1" customWidth="1"/>
    <col min="2" max="2" width="4.21875" style="290" bestFit="1" customWidth="1"/>
    <col min="3" max="3" width="6" style="290" bestFit="1" customWidth="1"/>
    <col min="4" max="4" width="4.6640625" style="290" bestFit="1" customWidth="1"/>
    <col min="5" max="6" width="6.77734375" style="290" bestFit="1" customWidth="1"/>
    <col min="7" max="7" width="12.33203125" style="290" bestFit="1" customWidth="1"/>
    <col min="8" max="8" width="12.88671875" style="290" bestFit="1" customWidth="1"/>
    <col min="9" max="9" width="23.88671875" style="290" bestFit="1" customWidth="1"/>
    <col min="10" max="10" width="11.109375" style="346" bestFit="1" customWidth="1"/>
    <col min="11" max="11" width="25.21875" style="346" bestFit="1" customWidth="1"/>
    <col min="12" max="12" width="5.77734375" style="290" bestFit="1" customWidth="1"/>
    <col min="13" max="15" width="8.77734375" style="290" bestFit="1" customWidth="1"/>
    <col min="16" max="16" width="7.77734375" style="290" bestFit="1" customWidth="1"/>
    <col min="17" max="17" width="8" style="290" bestFit="1" customWidth="1"/>
    <col min="18" max="19" width="9.109375" style="290" bestFit="1" customWidth="1"/>
    <col min="20" max="20" width="7" style="290" bestFit="1" customWidth="1"/>
    <col min="21" max="21" width="9.88671875" style="290" bestFit="1" customWidth="1"/>
    <col min="22" max="16384" width="9.109375" style="290"/>
  </cols>
  <sheetData>
    <row r="1" spans="1:21" s="296" customFormat="1" ht="25.5" customHeight="1" x14ac:dyDescent="0.3">
      <c r="A1" s="296" t="s">
        <v>2170</v>
      </c>
      <c r="B1" s="296" t="s">
        <v>2171</v>
      </c>
      <c r="C1" s="296" t="s">
        <v>2172</v>
      </c>
      <c r="D1" s="297" t="s">
        <v>2173</v>
      </c>
      <c r="E1" s="297" t="s">
        <v>2174</v>
      </c>
      <c r="F1" s="297" t="s">
        <v>2175</v>
      </c>
      <c r="G1" s="297" t="s">
        <v>2177</v>
      </c>
      <c r="H1" s="297" t="s">
        <v>2176</v>
      </c>
      <c r="I1" s="297" t="s">
        <v>2178</v>
      </c>
      <c r="J1" s="342" t="s">
        <v>2179</v>
      </c>
      <c r="K1" s="343" t="s">
        <v>3383</v>
      </c>
      <c r="L1" s="264" t="s">
        <v>2180</v>
      </c>
      <c r="M1" s="264" t="s">
        <v>2181</v>
      </c>
      <c r="N1" s="264" t="s">
        <v>2182</v>
      </c>
      <c r="O1" s="264" t="s">
        <v>2183</v>
      </c>
      <c r="P1" s="264" t="s">
        <v>2184</v>
      </c>
      <c r="Q1" s="264" t="s">
        <v>2185</v>
      </c>
      <c r="R1" s="264" t="s">
        <v>2186</v>
      </c>
      <c r="S1" s="264" t="s">
        <v>2187</v>
      </c>
      <c r="T1" s="264" t="s">
        <v>3384</v>
      </c>
    </row>
    <row r="2" spans="1:21" s="275" customFormat="1" x14ac:dyDescent="0.25">
      <c r="A2" s="268">
        <v>501101</v>
      </c>
      <c r="B2" s="268">
        <v>1101</v>
      </c>
      <c r="C2" s="268">
        <v>27067</v>
      </c>
      <c r="D2" s="268" t="s">
        <v>894</v>
      </c>
      <c r="E2" s="268" t="s">
        <v>1290</v>
      </c>
      <c r="F2" s="268" t="s">
        <v>2243</v>
      </c>
      <c r="G2" s="268" t="s">
        <v>3385</v>
      </c>
      <c r="H2" s="268" t="s">
        <v>3386</v>
      </c>
      <c r="I2" s="268" t="s">
        <v>3387</v>
      </c>
      <c r="J2" s="272">
        <v>2345220</v>
      </c>
      <c r="K2" s="272">
        <f t="shared" ref="K2:K7" si="0">J2*4.6%+J2</f>
        <v>2453100.12</v>
      </c>
      <c r="L2" s="268">
        <v>0</v>
      </c>
      <c r="M2" s="268">
        <v>0</v>
      </c>
      <c r="N2" s="268">
        <f>2000*12</f>
        <v>24000</v>
      </c>
      <c r="O2" s="268">
        <f t="shared" ref="O2:O3" si="1">10.8*12</f>
        <v>129.60000000000002</v>
      </c>
      <c r="P2" s="268">
        <f>10000*12</f>
        <v>120000</v>
      </c>
      <c r="Q2" s="268">
        <v>0</v>
      </c>
      <c r="R2" s="268">
        <v>0</v>
      </c>
      <c r="S2" s="268">
        <v>0</v>
      </c>
      <c r="T2" s="268">
        <f t="shared" ref="T2:T3" si="2">177.12*12</f>
        <v>2125.44</v>
      </c>
    </row>
    <row r="3" spans="1:21" s="275" customFormat="1" x14ac:dyDescent="0.25">
      <c r="A3" s="268">
        <v>501441</v>
      </c>
      <c r="B3" s="268">
        <v>1441</v>
      </c>
      <c r="C3" s="268">
        <v>200482</v>
      </c>
      <c r="D3" s="268" t="s">
        <v>894</v>
      </c>
      <c r="E3" s="268" t="s">
        <v>1290</v>
      </c>
      <c r="F3" s="268" t="s">
        <v>2976</v>
      </c>
      <c r="G3" s="268" t="s">
        <v>3388</v>
      </c>
      <c r="H3" s="268" t="s">
        <v>3386</v>
      </c>
      <c r="I3" s="268" t="s">
        <v>3389</v>
      </c>
      <c r="J3" s="272">
        <v>1596747</v>
      </c>
      <c r="K3" s="272">
        <f t="shared" si="0"/>
        <v>1670197.362</v>
      </c>
      <c r="L3" s="268">
        <v>0</v>
      </c>
      <c r="M3" s="268">
        <v>0</v>
      </c>
      <c r="N3" s="298">
        <f>1200*12</f>
        <v>14400</v>
      </c>
      <c r="O3" s="298">
        <f t="shared" si="1"/>
        <v>129.60000000000002</v>
      </c>
      <c r="P3" s="298">
        <f>12000*12</f>
        <v>144000</v>
      </c>
      <c r="Q3" s="298">
        <v>0</v>
      </c>
      <c r="R3" s="298">
        <v>0</v>
      </c>
      <c r="S3" s="298">
        <v>0</v>
      </c>
      <c r="T3" s="298">
        <f t="shared" si="2"/>
        <v>2125.44</v>
      </c>
    </row>
    <row r="4" spans="1:21" s="275" customFormat="1" ht="14.4" x14ac:dyDescent="0.3">
      <c r="A4" s="268">
        <v>501302</v>
      </c>
      <c r="B4" s="268">
        <v>1302</v>
      </c>
      <c r="C4" s="268">
        <v>200500</v>
      </c>
      <c r="D4" s="268" t="s">
        <v>894</v>
      </c>
      <c r="E4" s="268" t="s">
        <v>1278</v>
      </c>
      <c r="F4" s="268" t="s">
        <v>3390</v>
      </c>
      <c r="G4" s="268" t="s">
        <v>3391</v>
      </c>
      <c r="H4" s="268" t="s">
        <v>3386</v>
      </c>
      <c r="I4" s="268" t="s">
        <v>3392</v>
      </c>
      <c r="J4" s="272">
        <v>1596747</v>
      </c>
      <c r="K4" s="272">
        <f t="shared" si="0"/>
        <v>1670197.362</v>
      </c>
      <c r="L4" s="268">
        <v>0</v>
      </c>
      <c r="M4" s="268">
        <v>0</v>
      </c>
      <c r="N4" s="268">
        <f>1200*12</f>
        <v>14400</v>
      </c>
      <c r="O4" s="268">
        <f>10.8*12</f>
        <v>129.60000000000002</v>
      </c>
      <c r="P4" s="268">
        <f>12000*12</f>
        <v>144000</v>
      </c>
      <c r="Q4" s="268">
        <v>0</v>
      </c>
      <c r="R4" s="268">
        <v>0</v>
      </c>
      <c r="S4" s="268">
        <v>0</v>
      </c>
      <c r="T4" s="268">
        <f>177.12*12</f>
        <v>2125.44</v>
      </c>
      <c r="U4"/>
    </row>
    <row r="5" spans="1:21" s="275" customFormat="1" x14ac:dyDescent="0.25">
      <c r="A5" s="268">
        <v>501002</v>
      </c>
      <c r="B5" s="268">
        <v>1002</v>
      </c>
      <c r="C5" s="268">
        <v>200438</v>
      </c>
      <c r="D5" s="268" t="s">
        <v>894</v>
      </c>
      <c r="E5" s="268" t="s">
        <v>1290</v>
      </c>
      <c r="F5" s="268" t="s">
        <v>2273</v>
      </c>
      <c r="G5" s="268" t="s">
        <v>3393</v>
      </c>
      <c r="H5" s="268" t="s">
        <v>3386</v>
      </c>
      <c r="I5" s="268" t="s">
        <v>3394</v>
      </c>
      <c r="J5" s="272">
        <v>1479002</v>
      </c>
      <c r="K5" s="272">
        <f t="shared" si="0"/>
        <v>1547036.0919999999</v>
      </c>
      <c r="L5" s="268">
        <v>0</v>
      </c>
      <c r="M5" s="268">
        <v>0</v>
      </c>
      <c r="N5" s="268">
        <f>1200*12</f>
        <v>14400</v>
      </c>
      <c r="O5" s="268">
        <f t="shared" ref="O5:O7" si="3">10.8*12</f>
        <v>129.60000000000002</v>
      </c>
      <c r="P5" s="268">
        <f>11500*12</f>
        <v>138000</v>
      </c>
      <c r="Q5" s="268">
        <v>0</v>
      </c>
      <c r="R5" s="268">
        <v>0</v>
      </c>
      <c r="S5" s="268">
        <v>0</v>
      </c>
      <c r="T5" s="268">
        <f t="shared" ref="T5:T7" si="4">177.12*12</f>
        <v>2125.44</v>
      </c>
    </row>
    <row r="6" spans="1:21" s="275" customFormat="1" x14ac:dyDescent="0.25">
      <c r="A6" s="268">
        <v>501405</v>
      </c>
      <c r="B6" s="268">
        <v>1405</v>
      </c>
      <c r="C6" s="268">
        <v>200405</v>
      </c>
      <c r="D6" s="268" t="s">
        <v>894</v>
      </c>
      <c r="E6" s="268" t="s">
        <v>1290</v>
      </c>
      <c r="F6" s="268" t="s">
        <v>2984</v>
      </c>
      <c r="G6" s="268" t="s">
        <v>2821</v>
      </c>
      <c r="H6" s="268" t="s">
        <v>3386</v>
      </c>
      <c r="I6" s="268" t="s">
        <v>3395</v>
      </c>
      <c r="J6" s="272">
        <v>1223327</v>
      </c>
      <c r="K6" s="272">
        <f t="shared" si="0"/>
        <v>1279600.0419999999</v>
      </c>
      <c r="L6" s="268">
        <v>0</v>
      </c>
      <c r="M6" s="268">
        <v>0</v>
      </c>
      <c r="N6" s="268">
        <f>1200*12</f>
        <v>14400</v>
      </c>
      <c r="O6" s="298">
        <f t="shared" si="3"/>
        <v>129.60000000000002</v>
      </c>
      <c r="P6" s="268">
        <f>26400*12</f>
        <v>316800</v>
      </c>
      <c r="Q6" s="298">
        <v>0</v>
      </c>
      <c r="R6" s="298">
        <v>0</v>
      </c>
      <c r="S6" s="298">
        <v>0</v>
      </c>
      <c r="T6" s="298">
        <f t="shared" si="4"/>
        <v>2125.44</v>
      </c>
    </row>
    <row r="7" spans="1:21" s="275" customFormat="1" x14ac:dyDescent="0.25">
      <c r="A7" s="268">
        <v>501501</v>
      </c>
      <c r="B7" s="268">
        <v>1501</v>
      </c>
      <c r="C7" s="268">
        <v>200404</v>
      </c>
      <c r="D7" s="268" t="s">
        <v>894</v>
      </c>
      <c r="E7" s="268" t="s">
        <v>1278</v>
      </c>
      <c r="F7" s="268" t="s">
        <v>2336</v>
      </c>
      <c r="G7" s="268" t="s">
        <v>3396</v>
      </c>
      <c r="H7" s="268" t="s">
        <v>3386</v>
      </c>
      <c r="I7" s="268" t="s">
        <v>3397</v>
      </c>
      <c r="J7" s="272">
        <v>1223327</v>
      </c>
      <c r="K7" s="272">
        <f t="shared" si="0"/>
        <v>1279600.0419999999</v>
      </c>
      <c r="L7" s="268">
        <v>0</v>
      </c>
      <c r="M7" s="268">
        <v>0</v>
      </c>
      <c r="N7" s="268">
        <f>1200*12</f>
        <v>14400</v>
      </c>
      <c r="O7" s="268">
        <f t="shared" si="3"/>
        <v>129.60000000000002</v>
      </c>
      <c r="P7" s="268">
        <f>20000*12</f>
        <v>240000</v>
      </c>
      <c r="Q7" s="268">
        <v>0</v>
      </c>
      <c r="R7" s="268">
        <v>0</v>
      </c>
      <c r="S7" s="268">
        <v>0</v>
      </c>
      <c r="T7" s="268">
        <f t="shared" si="4"/>
        <v>2125.44</v>
      </c>
    </row>
    <row r="8" spans="1:21" s="275" customFormat="1" x14ac:dyDescent="0.25">
      <c r="G8" s="299"/>
      <c r="H8" s="299"/>
      <c r="I8" s="299"/>
      <c r="J8" s="344"/>
      <c r="K8" s="344"/>
      <c r="L8" s="299"/>
      <c r="M8" s="299"/>
      <c r="N8" s="299"/>
      <c r="O8" s="299"/>
      <c r="P8" s="299"/>
      <c r="Q8" s="299"/>
      <c r="R8" s="299"/>
      <c r="S8" s="299"/>
      <c r="T8" s="299"/>
    </row>
    <row r="9" spans="1:21" s="275" customFormat="1" x14ac:dyDescent="0.25">
      <c r="G9" s="285" t="s">
        <v>3374</v>
      </c>
      <c r="H9" s="285"/>
      <c r="I9" s="285"/>
      <c r="J9" s="345">
        <f t="shared" ref="J9:S9" si="5">SUM(J2:J7)</f>
        <v>9464370</v>
      </c>
      <c r="K9" s="345">
        <f t="shared" si="5"/>
        <v>9899731.0199999996</v>
      </c>
      <c r="L9" s="301">
        <f t="shared" si="5"/>
        <v>0</v>
      </c>
      <c r="M9" s="301">
        <f t="shared" si="5"/>
        <v>0</v>
      </c>
      <c r="N9" s="301">
        <f t="shared" si="5"/>
        <v>96000</v>
      </c>
      <c r="O9" s="301">
        <f t="shared" si="5"/>
        <v>777.60000000000014</v>
      </c>
      <c r="P9" s="301">
        <f t="shared" si="5"/>
        <v>1102800</v>
      </c>
      <c r="Q9" s="301">
        <f t="shared" si="5"/>
        <v>0</v>
      </c>
      <c r="R9" s="301">
        <f t="shared" si="5"/>
        <v>0</v>
      </c>
      <c r="S9" s="301">
        <f t="shared" si="5"/>
        <v>0</v>
      </c>
      <c r="T9" s="301">
        <f>SUM(T2:T8)</f>
        <v>12752.640000000001</v>
      </c>
    </row>
    <row r="10" spans="1:21" s="275" customFormat="1" x14ac:dyDescent="0.25">
      <c r="G10" s="285" t="s">
        <v>3375</v>
      </c>
      <c r="H10" s="285"/>
      <c r="I10" s="285"/>
      <c r="J10" s="345">
        <f>J9*4.7%+J9</f>
        <v>9909195.3900000006</v>
      </c>
      <c r="K10" s="345">
        <f>K9*4.9%+K9</f>
        <v>10384817.839979999</v>
      </c>
      <c r="L10" s="300">
        <f t="shared" ref="L10:S11" si="6">L9*3.8%+L9</f>
        <v>0</v>
      </c>
      <c r="M10" s="300">
        <f t="shared" si="6"/>
        <v>0</v>
      </c>
      <c r="N10" s="300">
        <f t="shared" ref="N10:S11" si="7">N9*4.9%+N9</f>
        <v>100704</v>
      </c>
      <c r="O10" s="300">
        <f t="shared" si="7"/>
        <v>815.70240000000013</v>
      </c>
      <c r="P10" s="300">
        <f t="shared" si="7"/>
        <v>1156837.2</v>
      </c>
      <c r="Q10" s="300">
        <f t="shared" si="7"/>
        <v>0</v>
      </c>
      <c r="R10" s="300">
        <f t="shared" si="7"/>
        <v>0</v>
      </c>
      <c r="S10" s="300">
        <f t="shared" si="7"/>
        <v>0</v>
      </c>
      <c r="T10" s="300">
        <f>T9*4.9%+T9</f>
        <v>13377.519360000002</v>
      </c>
    </row>
    <row r="11" spans="1:21" s="275" customFormat="1" x14ac:dyDescent="0.25">
      <c r="G11" s="285" t="s">
        <v>3376</v>
      </c>
      <c r="H11" s="285"/>
      <c r="I11" s="285"/>
      <c r="J11" s="345">
        <f>J10*4.9%+J10</f>
        <v>10394745.96411</v>
      </c>
      <c r="K11" s="345">
        <f>K10*4.9%+K10</f>
        <v>10893673.914139019</v>
      </c>
      <c r="L11" s="300">
        <f t="shared" si="6"/>
        <v>0</v>
      </c>
      <c r="M11" s="300">
        <f t="shared" si="6"/>
        <v>0</v>
      </c>
      <c r="N11" s="300">
        <f t="shared" si="7"/>
        <v>105638.496</v>
      </c>
      <c r="O11" s="300">
        <f t="shared" si="7"/>
        <v>855.67181760000017</v>
      </c>
      <c r="P11" s="300">
        <f t="shared" si="7"/>
        <v>1213522.2227999999</v>
      </c>
      <c r="Q11" s="300">
        <f t="shared" si="6"/>
        <v>0</v>
      </c>
      <c r="R11" s="300">
        <f t="shared" si="6"/>
        <v>0</v>
      </c>
      <c r="S11" s="300">
        <f t="shared" si="6"/>
        <v>0</v>
      </c>
      <c r="T11" s="300">
        <f>T10*4.9%+T10</f>
        <v>14033.017808640003</v>
      </c>
    </row>
    <row r="12" spans="1:21" s="275" customFormat="1" x14ac:dyDescent="0.25">
      <c r="G12" s="290" t="s">
        <v>3377</v>
      </c>
      <c r="J12" s="291" t="s">
        <v>3378</v>
      </c>
      <c r="K12" s="432" t="s">
        <v>3379</v>
      </c>
      <c r="L12" s="432"/>
      <c r="M12" s="303" t="s">
        <v>3374</v>
      </c>
      <c r="N12" s="303" t="s">
        <v>3375</v>
      </c>
      <c r="O12" s="303" t="s">
        <v>3376</v>
      </c>
    </row>
    <row r="13" spans="1:21" s="275" customFormat="1" x14ac:dyDescent="0.25">
      <c r="G13" s="290"/>
      <c r="J13" s="294">
        <v>102</v>
      </c>
      <c r="K13" s="294" t="s">
        <v>3380</v>
      </c>
      <c r="L13" s="304"/>
      <c r="M13" s="305">
        <f>J9</f>
        <v>9464370</v>
      </c>
      <c r="N13" s="305">
        <f>J10</f>
        <v>9909195.3900000006</v>
      </c>
      <c r="O13" s="305">
        <f>J11</f>
        <v>10394745.96411</v>
      </c>
    </row>
    <row r="14" spans="1:21" s="275" customFormat="1" x14ac:dyDescent="0.25">
      <c r="G14" s="290"/>
      <c r="J14" s="294">
        <v>104</v>
      </c>
      <c r="K14" s="294" t="s">
        <v>3381</v>
      </c>
      <c r="L14" s="304"/>
      <c r="M14" s="305">
        <f>SUM(L9:T9)</f>
        <v>1212330.24</v>
      </c>
      <c r="N14" s="305">
        <f>SUM(L10:T10)</f>
        <v>1271734.4217600001</v>
      </c>
      <c r="O14" s="305">
        <f>SUM(L11:T11)</f>
        <v>1334049.4084262399</v>
      </c>
    </row>
    <row r="15" spans="1:21" s="275" customFormat="1" x14ac:dyDescent="0.25">
      <c r="J15" s="433" t="s">
        <v>3382</v>
      </c>
      <c r="K15" s="434"/>
      <c r="L15" s="435"/>
      <c r="M15" s="305">
        <f>SUM(M13:M14)</f>
        <v>10676700.24</v>
      </c>
      <c r="N15" s="306">
        <f>SUM(N13:N14)</f>
        <v>11180929.811760001</v>
      </c>
      <c r="O15" s="305">
        <f>SUM(O13:O14)</f>
        <v>11728795.37253624</v>
      </c>
    </row>
    <row r="20" spans="10:10" x14ac:dyDescent="0.25">
      <c r="J20" s="346">
        <f>J9+N9+O9+P9+T9</f>
        <v>10676700.24</v>
      </c>
    </row>
  </sheetData>
  <mergeCells count="2">
    <mergeCell ref="K12:L12"/>
    <mergeCell ref="J15:L1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E729-B3AE-4D74-B518-F256F9CD04B7}">
  <dimension ref="A1:U703"/>
  <sheetViews>
    <sheetView topLeftCell="A667" workbookViewId="0">
      <selection activeCell="J699" sqref="J699"/>
    </sheetView>
  </sheetViews>
  <sheetFormatPr defaultColWidth="9.109375" defaultRowHeight="12" x14ac:dyDescent="0.25"/>
  <cols>
    <col min="1" max="1" width="8.5546875" style="338" bestFit="1" customWidth="1"/>
    <col min="2" max="2" width="6.44140625" style="277" bestFit="1" customWidth="1"/>
    <col min="3" max="3" width="8.21875" style="277" bestFit="1" customWidth="1"/>
    <col min="4" max="4" width="6.88671875" style="275" bestFit="1" customWidth="1"/>
    <col min="5" max="6" width="9" style="275" bestFit="1" customWidth="1"/>
    <col min="7" max="7" width="7.88671875" style="275" bestFit="1" customWidth="1"/>
    <col min="8" max="8" width="13.88671875" style="275" bestFit="1" customWidth="1"/>
    <col min="9" max="9" width="24.6640625" style="275" bestFit="1" customWidth="1"/>
    <col min="10" max="10" width="14.44140625" style="281" bestFit="1" customWidth="1"/>
    <col min="11" max="11" width="26.33203125" style="293" bestFit="1" customWidth="1"/>
    <col min="12" max="12" width="12" style="293" bestFit="1" customWidth="1"/>
    <col min="13" max="13" width="11.5546875" style="281" bestFit="1" customWidth="1"/>
    <col min="14" max="14" width="11.5546875" style="293" bestFit="1" customWidth="1"/>
    <col min="15" max="15" width="11.5546875" style="281" bestFit="1" customWidth="1"/>
    <col min="16" max="16" width="11.33203125" style="293" bestFit="1" customWidth="1"/>
    <col min="17" max="17" width="12.44140625" style="281" bestFit="1" customWidth="1"/>
    <col min="18" max="18" width="12.44140625" style="293" bestFit="1" customWidth="1"/>
    <col min="19" max="19" width="10" style="293" bestFit="1" customWidth="1"/>
    <col min="20" max="20" width="11.109375" style="277" bestFit="1" customWidth="1"/>
    <col min="21" max="16384" width="9.109375" style="277"/>
  </cols>
  <sheetData>
    <row r="1" spans="1:21" s="266" customFormat="1" ht="18" customHeight="1" x14ac:dyDescent="0.3">
      <c r="A1" s="333" t="s">
        <v>2170</v>
      </c>
      <c r="B1" s="263" t="s">
        <v>2171</v>
      </c>
      <c r="C1" s="263" t="s">
        <v>2172</v>
      </c>
      <c r="D1" s="264" t="s">
        <v>2173</v>
      </c>
      <c r="E1" s="264" t="s">
        <v>2174</v>
      </c>
      <c r="F1" s="264" t="s">
        <v>2175</v>
      </c>
      <c r="G1" s="264" t="s">
        <v>2176</v>
      </c>
      <c r="H1" s="264" t="s">
        <v>2177</v>
      </c>
      <c r="I1" s="264" t="s">
        <v>2178</v>
      </c>
      <c r="J1" s="265" t="s">
        <v>2179</v>
      </c>
      <c r="K1" s="265" t="s">
        <v>2180</v>
      </c>
      <c r="L1" s="265" t="s">
        <v>2181</v>
      </c>
      <c r="M1" s="265" t="s">
        <v>2182</v>
      </c>
      <c r="N1" s="265" t="s">
        <v>2183</v>
      </c>
      <c r="O1" s="265" t="s">
        <v>2184</v>
      </c>
      <c r="P1" s="265" t="s">
        <v>2185</v>
      </c>
      <c r="Q1" s="265" t="s">
        <v>2186</v>
      </c>
      <c r="R1" s="265" t="s">
        <v>2187</v>
      </c>
      <c r="S1" s="265" t="s">
        <v>2188</v>
      </c>
    </row>
    <row r="2" spans="1:21" s="270" customFormat="1" x14ac:dyDescent="0.25">
      <c r="A2" s="334">
        <v>501443</v>
      </c>
      <c r="B2" s="267">
        <v>1443</v>
      </c>
      <c r="C2" s="267">
        <v>53798</v>
      </c>
      <c r="D2" s="268" t="s">
        <v>894</v>
      </c>
      <c r="E2" s="268" t="s">
        <v>1290</v>
      </c>
      <c r="F2" s="268" t="s">
        <v>2189</v>
      </c>
      <c r="G2" s="268" t="s">
        <v>2190</v>
      </c>
      <c r="H2" s="268" t="s">
        <v>2191</v>
      </c>
      <c r="I2" s="268" t="s">
        <v>2192</v>
      </c>
      <c r="J2" s="269">
        <v>1575711</v>
      </c>
      <c r="K2" s="269">
        <v>0</v>
      </c>
      <c r="L2" s="269">
        <v>0</v>
      </c>
      <c r="M2" s="269">
        <f t="shared" ref="M2:M10" si="0">1000*12</f>
        <v>12000</v>
      </c>
      <c r="N2" s="269">
        <v>0</v>
      </c>
      <c r="O2" s="269">
        <v>0</v>
      </c>
      <c r="P2" s="269">
        <v>0</v>
      </c>
      <c r="Q2" s="269">
        <v>0</v>
      </c>
      <c r="R2" s="269">
        <v>0</v>
      </c>
      <c r="S2" s="269">
        <v>0</v>
      </c>
    </row>
    <row r="3" spans="1:21" s="270" customFormat="1" x14ac:dyDescent="0.25">
      <c r="A3" s="334">
        <v>501442</v>
      </c>
      <c r="B3" s="267">
        <v>1442</v>
      </c>
      <c r="C3" s="267">
        <v>26505</v>
      </c>
      <c r="D3" s="268" t="s">
        <v>894</v>
      </c>
      <c r="E3" s="268" t="s">
        <v>1290</v>
      </c>
      <c r="F3" s="268" t="s">
        <v>2193</v>
      </c>
      <c r="G3" s="268" t="s">
        <v>2190</v>
      </c>
      <c r="H3" s="268" t="s">
        <v>2194</v>
      </c>
      <c r="I3" s="268" t="s">
        <v>2195</v>
      </c>
      <c r="J3" s="269">
        <v>1575703</v>
      </c>
      <c r="K3" s="269">
        <v>0</v>
      </c>
      <c r="L3" s="269">
        <v>0</v>
      </c>
      <c r="M3" s="269">
        <f t="shared" si="0"/>
        <v>12000</v>
      </c>
      <c r="N3" s="269">
        <v>0</v>
      </c>
      <c r="O3" s="269">
        <v>0</v>
      </c>
      <c r="P3" s="269">
        <v>0</v>
      </c>
      <c r="Q3" s="269">
        <v>0</v>
      </c>
      <c r="R3" s="269">
        <v>0</v>
      </c>
      <c r="S3" s="269">
        <v>0</v>
      </c>
    </row>
    <row r="4" spans="1:21" s="270" customFormat="1" x14ac:dyDescent="0.25">
      <c r="A4" s="334">
        <v>501445</v>
      </c>
      <c r="B4" s="267">
        <v>1445</v>
      </c>
      <c r="C4" s="267">
        <v>54098</v>
      </c>
      <c r="D4" s="268" t="s">
        <v>894</v>
      </c>
      <c r="E4" s="268" t="s">
        <v>1290</v>
      </c>
      <c r="F4" s="268" t="s">
        <v>1298</v>
      </c>
      <c r="G4" s="268" t="s">
        <v>2190</v>
      </c>
      <c r="H4" s="268" t="s">
        <v>2196</v>
      </c>
      <c r="I4" s="268" t="s">
        <v>2197</v>
      </c>
      <c r="J4" s="269">
        <v>1575703</v>
      </c>
      <c r="K4" s="269">
        <v>0</v>
      </c>
      <c r="L4" s="269">
        <v>0</v>
      </c>
      <c r="M4" s="269">
        <f t="shared" si="0"/>
        <v>12000</v>
      </c>
      <c r="N4" s="269">
        <v>0</v>
      </c>
      <c r="O4" s="269">
        <v>0</v>
      </c>
      <c r="P4" s="269">
        <v>0</v>
      </c>
      <c r="Q4" s="269">
        <v>0</v>
      </c>
      <c r="R4" s="269">
        <v>0</v>
      </c>
      <c r="S4" s="269">
        <v>0</v>
      </c>
    </row>
    <row r="5" spans="1:21" s="270" customFormat="1" x14ac:dyDescent="0.25">
      <c r="A5" s="334">
        <v>501204</v>
      </c>
      <c r="B5" s="267">
        <v>1204</v>
      </c>
      <c r="C5" s="267">
        <v>200001</v>
      </c>
      <c r="D5" s="268" t="s">
        <v>894</v>
      </c>
      <c r="E5" s="268" t="s">
        <v>1278</v>
      </c>
      <c r="F5" s="268" t="s">
        <v>2193</v>
      </c>
      <c r="G5" s="268" t="s">
        <v>2190</v>
      </c>
      <c r="H5" s="268" t="s">
        <v>2198</v>
      </c>
      <c r="I5" s="268" t="s">
        <v>2199</v>
      </c>
      <c r="J5" s="269">
        <v>1575703</v>
      </c>
      <c r="K5" s="269">
        <v>0</v>
      </c>
      <c r="L5" s="269">
        <v>0</v>
      </c>
      <c r="M5" s="269">
        <f t="shared" si="0"/>
        <v>12000</v>
      </c>
      <c r="N5" s="269">
        <v>0</v>
      </c>
      <c r="O5" s="269">
        <v>0</v>
      </c>
      <c r="P5" s="269">
        <v>0</v>
      </c>
      <c r="Q5" s="269">
        <v>0</v>
      </c>
      <c r="R5" s="269">
        <v>0</v>
      </c>
      <c r="S5" s="269">
        <v>0</v>
      </c>
    </row>
    <row r="6" spans="1:21" s="270" customFormat="1" x14ac:dyDescent="0.25">
      <c r="A6" s="334">
        <v>501205</v>
      </c>
      <c r="B6" s="267">
        <v>1205</v>
      </c>
      <c r="C6" s="267">
        <v>200052</v>
      </c>
      <c r="D6" s="268" t="s">
        <v>894</v>
      </c>
      <c r="E6" s="268" t="s">
        <v>1290</v>
      </c>
      <c r="F6" s="268" t="s">
        <v>2200</v>
      </c>
      <c r="G6" s="268" t="s">
        <v>2190</v>
      </c>
      <c r="H6" s="268" t="s">
        <v>2201</v>
      </c>
      <c r="I6" s="268" t="s">
        <v>2202</v>
      </c>
      <c r="J6" s="269">
        <v>1575703</v>
      </c>
      <c r="K6" s="269">
        <v>0</v>
      </c>
      <c r="L6" s="269">
        <v>0</v>
      </c>
      <c r="M6" s="269">
        <f t="shared" si="0"/>
        <v>12000</v>
      </c>
      <c r="N6" s="269">
        <v>0</v>
      </c>
      <c r="O6" s="269">
        <v>0</v>
      </c>
      <c r="P6" s="269">
        <v>0</v>
      </c>
      <c r="Q6" s="269">
        <v>0</v>
      </c>
      <c r="R6" s="269">
        <v>0</v>
      </c>
      <c r="S6" s="269">
        <v>0</v>
      </c>
    </row>
    <row r="7" spans="1:21" s="270" customFormat="1" x14ac:dyDescent="0.25">
      <c r="A7" s="334">
        <v>501506</v>
      </c>
      <c r="B7" s="267">
        <v>1101</v>
      </c>
      <c r="C7" s="267">
        <v>3829</v>
      </c>
      <c r="D7" s="268" t="s">
        <v>894</v>
      </c>
      <c r="E7" s="268" t="s">
        <v>1290</v>
      </c>
      <c r="F7" s="268" t="s">
        <v>2203</v>
      </c>
      <c r="G7" s="268" t="s">
        <v>2190</v>
      </c>
      <c r="H7" s="268" t="s">
        <v>2204</v>
      </c>
      <c r="I7" s="268" t="s">
        <v>2205</v>
      </c>
      <c r="J7" s="269">
        <v>1454412</v>
      </c>
      <c r="K7" s="269">
        <v>0</v>
      </c>
      <c r="L7" s="269">
        <v>0</v>
      </c>
      <c r="M7" s="269">
        <f t="shared" si="0"/>
        <v>12000</v>
      </c>
      <c r="N7" s="269">
        <v>0</v>
      </c>
      <c r="O7" s="269">
        <v>0</v>
      </c>
      <c r="P7" s="269">
        <v>0</v>
      </c>
      <c r="Q7" s="269">
        <v>0</v>
      </c>
      <c r="R7" s="269">
        <v>0</v>
      </c>
      <c r="S7" s="269">
        <v>0</v>
      </c>
    </row>
    <row r="8" spans="1:21" s="270" customFormat="1" x14ac:dyDescent="0.25">
      <c r="A8" s="334">
        <v>501303</v>
      </c>
      <c r="B8" s="267">
        <v>1303</v>
      </c>
      <c r="C8" s="267">
        <v>45609</v>
      </c>
      <c r="D8" s="268" t="s">
        <v>894</v>
      </c>
      <c r="E8" s="268" t="s">
        <v>1278</v>
      </c>
      <c r="F8" s="268" t="s">
        <v>1290</v>
      </c>
      <c r="G8" s="268" t="s">
        <v>2190</v>
      </c>
      <c r="H8" s="268" t="s">
        <v>2206</v>
      </c>
      <c r="I8" s="268" t="s">
        <v>2207</v>
      </c>
      <c r="J8" s="269">
        <v>1454412</v>
      </c>
      <c r="K8" s="269">
        <v>0</v>
      </c>
      <c r="L8" s="269">
        <v>0</v>
      </c>
      <c r="M8" s="269">
        <f t="shared" si="0"/>
        <v>12000</v>
      </c>
      <c r="N8" s="269">
        <v>0</v>
      </c>
      <c r="O8" s="269">
        <v>0</v>
      </c>
      <c r="P8" s="269">
        <v>0</v>
      </c>
      <c r="Q8" s="269">
        <v>0</v>
      </c>
      <c r="R8" s="269">
        <v>0</v>
      </c>
      <c r="S8" s="269">
        <v>0</v>
      </c>
    </row>
    <row r="9" spans="1:21" s="270" customFormat="1" x14ac:dyDescent="0.25">
      <c r="A9" s="334">
        <v>501406</v>
      </c>
      <c r="B9" s="267">
        <v>1406</v>
      </c>
      <c r="C9" s="267">
        <v>54917</v>
      </c>
      <c r="D9" s="268" t="s">
        <v>894</v>
      </c>
      <c r="E9" s="268" t="s">
        <v>1278</v>
      </c>
      <c r="F9" s="268" t="s">
        <v>2208</v>
      </c>
      <c r="G9" s="268" t="s">
        <v>2190</v>
      </c>
      <c r="H9" s="268" t="s">
        <v>2209</v>
      </c>
      <c r="I9" s="268" t="s">
        <v>2210</v>
      </c>
      <c r="J9" s="269">
        <v>1454412</v>
      </c>
      <c r="K9" s="269">
        <v>0</v>
      </c>
      <c r="L9" s="269">
        <v>0</v>
      </c>
      <c r="M9" s="269">
        <f t="shared" si="0"/>
        <v>12000</v>
      </c>
      <c r="N9" s="269">
        <v>0</v>
      </c>
      <c r="O9" s="269">
        <v>0</v>
      </c>
      <c r="P9" s="269">
        <v>0</v>
      </c>
      <c r="Q9" s="269">
        <v>0</v>
      </c>
      <c r="R9" s="269">
        <v>0</v>
      </c>
      <c r="S9" s="269">
        <v>0</v>
      </c>
    </row>
    <row r="10" spans="1:21" s="270" customFormat="1" x14ac:dyDescent="0.25">
      <c r="A10" s="334">
        <v>110721</v>
      </c>
      <c r="B10" s="267">
        <v>1107</v>
      </c>
      <c r="C10" s="267">
        <v>200390</v>
      </c>
      <c r="D10" s="268" t="s">
        <v>894</v>
      </c>
      <c r="E10" s="268" t="s">
        <v>1278</v>
      </c>
      <c r="F10" s="268" t="s">
        <v>2211</v>
      </c>
      <c r="G10" s="268" t="s">
        <v>2190</v>
      </c>
      <c r="H10" s="268" t="s">
        <v>2212</v>
      </c>
      <c r="I10" s="268" t="s">
        <v>2213</v>
      </c>
      <c r="J10" s="269">
        <v>1454412</v>
      </c>
      <c r="K10" s="269">
        <v>0</v>
      </c>
      <c r="L10" s="269">
        <v>0</v>
      </c>
      <c r="M10" s="269">
        <f t="shared" si="0"/>
        <v>12000</v>
      </c>
      <c r="N10" s="269">
        <v>0</v>
      </c>
      <c r="O10" s="269">
        <v>0</v>
      </c>
      <c r="P10" s="269">
        <v>0</v>
      </c>
      <c r="Q10" s="269">
        <v>0</v>
      </c>
      <c r="R10" s="269">
        <v>0</v>
      </c>
      <c r="S10" s="269">
        <v>0</v>
      </c>
    </row>
    <row r="11" spans="1:21" s="270" customFormat="1" x14ac:dyDescent="0.25">
      <c r="A11" s="334">
        <v>501502</v>
      </c>
      <c r="B11" s="267">
        <v>1502</v>
      </c>
      <c r="C11" s="267">
        <v>59624</v>
      </c>
      <c r="D11" s="268" t="s">
        <v>894</v>
      </c>
      <c r="E11" s="268" t="s">
        <v>1290</v>
      </c>
      <c r="F11" s="268" t="s">
        <v>2214</v>
      </c>
      <c r="G11" s="268" t="s">
        <v>2190</v>
      </c>
      <c r="H11" s="268" t="s">
        <v>2215</v>
      </c>
      <c r="I11" s="268" t="s">
        <v>2216</v>
      </c>
      <c r="J11" s="269">
        <v>1334968</v>
      </c>
      <c r="K11" s="269">
        <v>0</v>
      </c>
      <c r="L11" s="269">
        <v>0</v>
      </c>
      <c r="M11" s="269">
        <f>750*12</f>
        <v>9000</v>
      </c>
      <c r="N11" s="269">
        <v>0</v>
      </c>
      <c r="O11" s="269">
        <v>0</v>
      </c>
      <c r="P11" s="269">
        <v>0</v>
      </c>
      <c r="Q11" s="269">
        <v>0</v>
      </c>
      <c r="R11" s="269">
        <v>0</v>
      </c>
      <c r="S11" s="269">
        <v>0</v>
      </c>
    </row>
    <row r="12" spans="1:21" s="270" customFormat="1" x14ac:dyDescent="0.25">
      <c r="A12" s="335">
        <v>501304</v>
      </c>
      <c r="B12" s="271">
        <v>1304</v>
      </c>
      <c r="C12" s="271">
        <v>2134</v>
      </c>
      <c r="D12" s="268" t="s">
        <v>894</v>
      </c>
      <c r="E12" s="268" t="s">
        <v>1278</v>
      </c>
      <c r="F12" s="268" t="s">
        <v>2217</v>
      </c>
      <c r="G12" s="268">
        <v>3</v>
      </c>
      <c r="H12" s="268" t="s">
        <v>2218</v>
      </c>
      <c r="I12" s="268" t="s">
        <v>2219</v>
      </c>
      <c r="J12" s="272">
        <v>822240</v>
      </c>
      <c r="K12" s="272">
        <f t="shared" ref="K12:K59" si="1">J12/12</f>
        <v>68520</v>
      </c>
      <c r="L12" s="272">
        <f t="shared" ref="L12:L59" si="2">1011.77*12</f>
        <v>12141.24</v>
      </c>
      <c r="M12" s="269">
        <f>750*12</f>
        <v>9000</v>
      </c>
      <c r="N12" s="272">
        <f t="shared" ref="N12:N59" si="3">10.8*12</f>
        <v>129.60000000000002</v>
      </c>
      <c r="O12" s="272">
        <f t="shared" ref="O12:O18" si="4">19524*12</f>
        <v>234288</v>
      </c>
      <c r="P12" s="273">
        <f t="shared" ref="P12:P59" si="5">J12*1.75%</f>
        <v>14389.2</v>
      </c>
      <c r="Q12" s="272">
        <f t="shared" ref="Q12:Q59" si="6">5007*12</f>
        <v>60084</v>
      </c>
      <c r="R12" s="272">
        <f>18.07%*J12</f>
        <v>148578.76800000001</v>
      </c>
      <c r="S12" s="272">
        <f t="shared" ref="S12:S59" si="7">177.12*12</f>
        <v>2125.44</v>
      </c>
    </row>
    <row r="13" spans="1:21" s="275" customFormat="1" ht="14.4" x14ac:dyDescent="0.3">
      <c r="A13" s="336">
        <v>501203</v>
      </c>
      <c r="B13" s="268">
        <v>1203</v>
      </c>
      <c r="C13" s="268">
        <v>200047</v>
      </c>
      <c r="D13" s="268" t="s">
        <v>876</v>
      </c>
      <c r="E13" s="268" t="s">
        <v>1278</v>
      </c>
      <c r="F13" s="268" t="s">
        <v>2220</v>
      </c>
      <c r="G13" s="268">
        <v>3</v>
      </c>
      <c r="H13" s="268" t="s">
        <v>2221</v>
      </c>
      <c r="I13" s="268" t="s">
        <v>2222</v>
      </c>
      <c r="J13" s="272">
        <v>822240</v>
      </c>
      <c r="K13" s="272">
        <f t="shared" si="1"/>
        <v>68520</v>
      </c>
      <c r="L13" s="272">
        <f t="shared" si="2"/>
        <v>12141.24</v>
      </c>
      <c r="M13" s="272">
        <f>750*12</f>
        <v>9000</v>
      </c>
      <c r="N13" s="272">
        <f t="shared" si="3"/>
        <v>129.60000000000002</v>
      </c>
      <c r="O13" s="274">
        <f t="shared" si="4"/>
        <v>234288</v>
      </c>
      <c r="P13" s="269">
        <f t="shared" si="5"/>
        <v>14389.2</v>
      </c>
      <c r="Q13" s="269">
        <f t="shared" si="6"/>
        <v>60084</v>
      </c>
      <c r="R13" s="272">
        <f>J13*18%</f>
        <v>148003.19999999998</v>
      </c>
      <c r="S13" s="269">
        <f t="shared" si="7"/>
        <v>2125.44</v>
      </c>
      <c r="T13"/>
      <c r="U13"/>
    </row>
    <row r="14" spans="1:21" x14ac:dyDescent="0.25">
      <c r="A14" s="337">
        <v>501445</v>
      </c>
      <c r="B14" s="276">
        <v>1445</v>
      </c>
      <c r="C14" s="276">
        <v>3586</v>
      </c>
      <c r="D14" s="268" t="s">
        <v>894</v>
      </c>
      <c r="E14" s="268" t="s">
        <v>1290</v>
      </c>
      <c r="F14" s="268" t="s">
        <v>2223</v>
      </c>
      <c r="G14" s="268">
        <v>3</v>
      </c>
      <c r="H14" s="268" t="s">
        <v>2224</v>
      </c>
      <c r="I14" s="268" t="s">
        <v>2225</v>
      </c>
      <c r="J14" s="269">
        <v>822240</v>
      </c>
      <c r="K14" s="273">
        <f t="shared" si="1"/>
        <v>68520</v>
      </c>
      <c r="L14" s="272">
        <f t="shared" si="2"/>
        <v>12141.24</v>
      </c>
      <c r="M14" s="269">
        <f>750*12</f>
        <v>9000</v>
      </c>
      <c r="N14" s="273">
        <f t="shared" si="3"/>
        <v>129.60000000000002</v>
      </c>
      <c r="O14" s="269">
        <f t="shared" si="4"/>
        <v>234288</v>
      </c>
      <c r="P14" s="273">
        <f t="shared" si="5"/>
        <v>14389.2</v>
      </c>
      <c r="Q14" s="272">
        <f t="shared" si="6"/>
        <v>60084</v>
      </c>
      <c r="R14" s="273">
        <f t="shared" ref="R14:R59" si="8">18.07%*J14</f>
        <v>148578.76800000001</v>
      </c>
      <c r="S14" s="273">
        <f t="shared" si="7"/>
        <v>2125.44</v>
      </c>
      <c r="T14" s="270"/>
      <c r="U14" s="270"/>
    </row>
    <row r="15" spans="1:21" s="270" customFormat="1" x14ac:dyDescent="0.25">
      <c r="A15" s="335">
        <v>501443</v>
      </c>
      <c r="B15" s="271">
        <v>1443</v>
      </c>
      <c r="C15" s="271">
        <v>7689</v>
      </c>
      <c r="D15" s="268" t="s">
        <v>1698</v>
      </c>
      <c r="E15" s="268" t="s">
        <v>1290</v>
      </c>
      <c r="F15" s="268" t="s">
        <v>2226</v>
      </c>
      <c r="G15" s="268">
        <v>3</v>
      </c>
      <c r="H15" s="268" t="s">
        <v>2227</v>
      </c>
      <c r="I15" s="268" t="s">
        <v>2228</v>
      </c>
      <c r="J15" s="272">
        <v>822240</v>
      </c>
      <c r="K15" s="272">
        <f t="shared" si="1"/>
        <v>68520</v>
      </c>
      <c r="L15" s="272">
        <f t="shared" si="2"/>
        <v>12141.24</v>
      </c>
      <c r="M15" s="269">
        <f>750*12</f>
        <v>9000</v>
      </c>
      <c r="N15" s="272">
        <f t="shared" si="3"/>
        <v>129.60000000000002</v>
      </c>
      <c r="O15" s="272">
        <f t="shared" si="4"/>
        <v>234288</v>
      </c>
      <c r="P15" s="273">
        <f t="shared" si="5"/>
        <v>14389.2</v>
      </c>
      <c r="Q15" s="272">
        <f t="shared" si="6"/>
        <v>60084</v>
      </c>
      <c r="R15" s="272">
        <f t="shared" si="8"/>
        <v>148578.76800000001</v>
      </c>
      <c r="S15" s="272">
        <f t="shared" si="7"/>
        <v>2125.44</v>
      </c>
    </row>
    <row r="16" spans="1:21" s="270" customFormat="1" x14ac:dyDescent="0.25">
      <c r="A16" s="335">
        <v>501445</v>
      </c>
      <c r="B16" s="271">
        <v>1445</v>
      </c>
      <c r="C16" s="271">
        <v>11882</v>
      </c>
      <c r="D16" s="268" t="s">
        <v>1698</v>
      </c>
      <c r="E16" s="268" t="s">
        <v>1290</v>
      </c>
      <c r="F16" s="268" t="s">
        <v>2229</v>
      </c>
      <c r="G16" s="268">
        <v>3</v>
      </c>
      <c r="H16" s="268" t="s">
        <v>2230</v>
      </c>
      <c r="I16" s="268" t="s">
        <v>2231</v>
      </c>
      <c r="J16" s="272">
        <v>822240</v>
      </c>
      <c r="K16" s="272">
        <f t="shared" si="1"/>
        <v>68520</v>
      </c>
      <c r="L16" s="272">
        <f t="shared" si="2"/>
        <v>12141.24</v>
      </c>
      <c r="M16" s="269">
        <v>750</v>
      </c>
      <c r="N16" s="272">
        <f t="shared" si="3"/>
        <v>129.60000000000002</v>
      </c>
      <c r="O16" s="272">
        <f t="shared" si="4"/>
        <v>234288</v>
      </c>
      <c r="P16" s="273">
        <f t="shared" si="5"/>
        <v>14389.2</v>
      </c>
      <c r="Q16" s="272">
        <f t="shared" si="6"/>
        <v>60084</v>
      </c>
      <c r="R16" s="272">
        <f t="shared" si="8"/>
        <v>148578.76800000001</v>
      </c>
      <c r="S16" s="272">
        <f t="shared" si="7"/>
        <v>2125.44</v>
      </c>
    </row>
    <row r="17" spans="1:21" s="270" customFormat="1" x14ac:dyDescent="0.25">
      <c r="A17" s="335">
        <v>501444</v>
      </c>
      <c r="B17" s="271">
        <v>1444</v>
      </c>
      <c r="C17" s="271">
        <v>19981</v>
      </c>
      <c r="D17" s="268" t="s">
        <v>1698</v>
      </c>
      <c r="E17" s="268" t="s">
        <v>1290</v>
      </c>
      <c r="F17" s="268" t="s">
        <v>2232</v>
      </c>
      <c r="G17" s="268">
        <v>3</v>
      </c>
      <c r="H17" s="268" t="s">
        <v>2233</v>
      </c>
      <c r="I17" s="268" t="s">
        <v>2234</v>
      </c>
      <c r="J17" s="272">
        <v>822240</v>
      </c>
      <c r="K17" s="272">
        <f t="shared" si="1"/>
        <v>68520</v>
      </c>
      <c r="L17" s="272">
        <f t="shared" si="2"/>
        <v>12141.24</v>
      </c>
      <c r="M17" s="269">
        <f>750*12</f>
        <v>9000</v>
      </c>
      <c r="N17" s="272">
        <f t="shared" si="3"/>
        <v>129.60000000000002</v>
      </c>
      <c r="O17" s="272">
        <f t="shared" si="4"/>
        <v>234288</v>
      </c>
      <c r="P17" s="273">
        <f t="shared" si="5"/>
        <v>14389.2</v>
      </c>
      <c r="Q17" s="272">
        <f t="shared" si="6"/>
        <v>60084</v>
      </c>
      <c r="R17" s="272">
        <f t="shared" si="8"/>
        <v>148578.76800000001</v>
      </c>
      <c r="S17" s="272">
        <f t="shared" si="7"/>
        <v>2125.44</v>
      </c>
    </row>
    <row r="18" spans="1:21" s="270" customFormat="1" x14ac:dyDescent="0.25">
      <c r="A18" s="335">
        <v>501443</v>
      </c>
      <c r="B18" s="271">
        <v>1443</v>
      </c>
      <c r="C18" s="271">
        <v>26521</v>
      </c>
      <c r="D18" s="268" t="s">
        <v>894</v>
      </c>
      <c r="E18" s="268" t="s">
        <v>1290</v>
      </c>
      <c r="F18" s="268" t="s">
        <v>2193</v>
      </c>
      <c r="G18" s="268">
        <v>3</v>
      </c>
      <c r="H18" s="268" t="s">
        <v>2235</v>
      </c>
      <c r="I18" s="268" t="s">
        <v>2236</v>
      </c>
      <c r="J18" s="272">
        <v>822240</v>
      </c>
      <c r="K18" s="272">
        <f t="shared" si="1"/>
        <v>68520</v>
      </c>
      <c r="L18" s="272">
        <f t="shared" si="2"/>
        <v>12141.24</v>
      </c>
      <c r="M18" s="269">
        <f>750*12</f>
        <v>9000</v>
      </c>
      <c r="N18" s="272">
        <f t="shared" si="3"/>
        <v>129.60000000000002</v>
      </c>
      <c r="O18" s="272">
        <f t="shared" si="4"/>
        <v>234288</v>
      </c>
      <c r="P18" s="273">
        <f t="shared" si="5"/>
        <v>14389.2</v>
      </c>
      <c r="Q18" s="272">
        <f t="shared" si="6"/>
        <v>60084</v>
      </c>
      <c r="R18" s="272">
        <f t="shared" si="8"/>
        <v>148578.76800000001</v>
      </c>
      <c r="S18" s="272">
        <f t="shared" si="7"/>
        <v>2125.44</v>
      </c>
    </row>
    <row r="19" spans="1:21" s="270" customFormat="1" x14ac:dyDescent="0.25">
      <c r="A19" s="335">
        <v>501412</v>
      </c>
      <c r="B19" s="271">
        <v>1412</v>
      </c>
      <c r="C19" s="271">
        <v>45269</v>
      </c>
      <c r="D19" s="268" t="s">
        <v>894</v>
      </c>
      <c r="E19" s="268" t="s">
        <v>1290</v>
      </c>
      <c r="F19" s="268" t="s">
        <v>2237</v>
      </c>
      <c r="G19" s="268">
        <v>3</v>
      </c>
      <c r="H19" s="268" t="s">
        <v>2238</v>
      </c>
      <c r="I19" s="268" t="s">
        <v>2239</v>
      </c>
      <c r="J19" s="272">
        <v>822240</v>
      </c>
      <c r="K19" s="272">
        <f t="shared" si="1"/>
        <v>68520</v>
      </c>
      <c r="L19" s="272">
        <f t="shared" si="2"/>
        <v>12141.24</v>
      </c>
      <c r="M19" s="269">
        <v>0</v>
      </c>
      <c r="N19" s="272">
        <f t="shared" si="3"/>
        <v>129.60000000000002</v>
      </c>
      <c r="O19" s="272">
        <v>19524</v>
      </c>
      <c r="P19" s="273">
        <f t="shared" si="5"/>
        <v>14389.2</v>
      </c>
      <c r="Q19" s="272">
        <f t="shared" si="6"/>
        <v>60084</v>
      </c>
      <c r="R19" s="272">
        <f t="shared" si="8"/>
        <v>148578.76800000001</v>
      </c>
      <c r="S19" s="272">
        <f t="shared" si="7"/>
        <v>2125.44</v>
      </c>
    </row>
    <row r="20" spans="1:21" x14ac:dyDescent="0.25">
      <c r="A20" s="337">
        <v>110821</v>
      </c>
      <c r="B20" s="276">
        <v>1108</v>
      </c>
      <c r="C20" s="276">
        <v>50270</v>
      </c>
      <c r="D20" s="268" t="s">
        <v>894</v>
      </c>
      <c r="E20" s="268" t="s">
        <v>1290</v>
      </c>
      <c r="F20" s="268" t="s">
        <v>2240</v>
      </c>
      <c r="G20" s="268">
        <v>3</v>
      </c>
      <c r="H20" s="268" t="s">
        <v>2241</v>
      </c>
      <c r="I20" s="268" t="s">
        <v>2242</v>
      </c>
      <c r="J20" s="269">
        <v>822240</v>
      </c>
      <c r="K20" s="273">
        <f t="shared" si="1"/>
        <v>68520</v>
      </c>
      <c r="L20" s="272">
        <f t="shared" si="2"/>
        <v>12141.24</v>
      </c>
      <c r="M20" s="269">
        <f t="shared" ref="M20:M26" si="9">750*12</f>
        <v>9000</v>
      </c>
      <c r="N20" s="273">
        <f t="shared" si="3"/>
        <v>129.60000000000002</v>
      </c>
      <c r="O20" s="269">
        <f t="shared" ref="O20:O30" si="10">19524*12</f>
        <v>234288</v>
      </c>
      <c r="P20" s="273">
        <f t="shared" si="5"/>
        <v>14389.2</v>
      </c>
      <c r="Q20" s="272">
        <f t="shared" si="6"/>
        <v>60084</v>
      </c>
      <c r="R20" s="273">
        <f t="shared" si="8"/>
        <v>148578.76800000001</v>
      </c>
      <c r="S20" s="273">
        <f t="shared" si="7"/>
        <v>2125.44</v>
      </c>
      <c r="T20" s="270"/>
      <c r="U20" s="270"/>
    </row>
    <row r="21" spans="1:21" s="270" customFormat="1" x14ac:dyDescent="0.25">
      <c r="A21" s="335">
        <v>501443</v>
      </c>
      <c r="B21" s="271">
        <v>1443</v>
      </c>
      <c r="C21" s="271">
        <v>50445</v>
      </c>
      <c r="D21" s="268" t="s">
        <v>894</v>
      </c>
      <c r="E21" s="268" t="s">
        <v>1290</v>
      </c>
      <c r="F21" s="268" t="s">
        <v>2243</v>
      </c>
      <c r="G21" s="268">
        <v>3</v>
      </c>
      <c r="H21" s="268" t="s">
        <v>2244</v>
      </c>
      <c r="I21" s="268" t="s">
        <v>2245</v>
      </c>
      <c r="J21" s="272">
        <v>822240</v>
      </c>
      <c r="K21" s="272">
        <f t="shared" si="1"/>
        <v>68520</v>
      </c>
      <c r="L21" s="272">
        <f t="shared" si="2"/>
        <v>12141.24</v>
      </c>
      <c r="M21" s="269">
        <f t="shared" si="9"/>
        <v>9000</v>
      </c>
      <c r="N21" s="272">
        <f t="shared" si="3"/>
        <v>129.60000000000002</v>
      </c>
      <c r="O21" s="272">
        <f t="shared" si="10"/>
        <v>234288</v>
      </c>
      <c r="P21" s="273">
        <f t="shared" si="5"/>
        <v>14389.2</v>
      </c>
      <c r="Q21" s="272">
        <f t="shared" si="6"/>
        <v>60084</v>
      </c>
      <c r="R21" s="272">
        <f t="shared" si="8"/>
        <v>148578.76800000001</v>
      </c>
      <c r="S21" s="272">
        <f t="shared" si="7"/>
        <v>2125.44</v>
      </c>
    </row>
    <row r="22" spans="1:21" s="270" customFormat="1" x14ac:dyDescent="0.25">
      <c r="A22" s="335">
        <v>501443</v>
      </c>
      <c r="B22" s="271">
        <v>1457</v>
      </c>
      <c r="C22" s="271">
        <v>54195</v>
      </c>
      <c r="D22" s="268" t="s">
        <v>894</v>
      </c>
      <c r="E22" s="268" t="s">
        <v>1278</v>
      </c>
      <c r="F22" s="268" t="s">
        <v>2246</v>
      </c>
      <c r="G22" s="268">
        <v>3</v>
      </c>
      <c r="H22" s="268" t="s">
        <v>2247</v>
      </c>
      <c r="I22" s="268" t="s">
        <v>2228</v>
      </c>
      <c r="J22" s="272">
        <v>822240</v>
      </c>
      <c r="K22" s="272">
        <f t="shared" si="1"/>
        <v>68520</v>
      </c>
      <c r="L22" s="272">
        <f t="shared" si="2"/>
        <v>12141.24</v>
      </c>
      <c r="M22" s="269">
        <f t="shared" si="9"/>
        <v>9000</v>
      </c>
      <c r="N22" s="272">
        <f t="shared" si="3"/>
        <v>129.60000000000002</v>
      </c>
      <c r="O22" s="272">
        <f t="shared" si="10"/>
        <v>234288</v>
      </c>
      <c r="P22" s="273">
        <f t="shared" si="5"/>
        <v>14389.2</v>
      </c>
      <c r="Q22" s="272">
        <f t="shared" si="6"/>
        <v>60084</v>
      </c>
      <c r="R22" s="272">
        <f t="shared" si="8"/>
        <v>148578.76800000001</v>
      </c>
      <c r="S22" s="272">
        <f t="shared" si="7"/>
        <v>2125.44</v>
      </c>
    </row>
    <row r="23" spans="1:21" s="270" customFormat="1" x14ac:dyDescent="0.25">
      <c r="A23" s="335">
        <v>501406</v>
      </c>
      <c r="B23" s="271">
        <v>1406</v>
      </c>
      <c r="C23" s="271">
        <v>56672</v>
      </c>
      <c r="D23" s="268" t="s">
        <v>894</v>
      </c>
      <c r="E23" s="268" t="s">
        <v>1290</v>
      </c>
      <c r="F23" s="268" t="s">
        <v>2248</v>
      </c>
      <c r="G23" s="268">
        <v>3</v>
      </c>
      <c r="H23" s="268" t="s">
        <v>2249</v>
      </c>
      <c r="I23" s="268" t="s">
        <v>2250</v>
      </c>
      <c r="J23" s="272">
        <v>822240</v>
      </c>
      <c r="K23" s="272">
        <f t="shared" si="1"/>
        <v>68520</v>
      </c>
      <c r="L23" s="272">
        <f t="shared" si="2"/>
        <v>12141.24</v>
      </c>
      <c r="M23" s="269">
        <f t="shared" si="9"/>
        <v>9000</v>
      </c>
      <c r="N23" s="272">
        <f t="shared" si="3"/>
        <v>129.60000000000002</v>
      </c>
      <c r="O23" s="272">
        <f t="shared" si="10"/>
        <v>234288</v>
      </c>
      <c r="P23" s="273">
        <f t="shared" si="5"/>
        <v>14389.2</v>
      </c>
      <c r="Q23" s="272">
        <f t="shared" si="6"/>
        <v>60084</v>
      </c>
      <c r="R23" s="272">
        <f t="shared" si="8"/>
        <v>148578.76800000001</v>
      </c>
      <c r="S23" s="272">
        <f t="shared" si="7"/>
        <v>2125.44</v>
      </c>
    </row>
    <row r="24" spans="1:21" s="270" customFormat="1" x14ac:dyDescent="0.25">
      <c r="A24" s="335">
        <v>501304</v>
      </c>
      <c r="B24" s="271">
        <v>1304</v>
      </c>
      <c r="C24" s="271">
        <v>57639</v>
      </c>
      <c r="D24" s="268" t="s">
        <v>894</v>
      </c>
      <c r="E24" s="268" t="s">
        <v>1278</v>
      </c>
      <c r="F24" s="268" t="s">
        <v>2251</v>
      </c>
      <c r="G24" s="268">
        <v>3</v>
      </c>
      <c r="H24" s="268" t="s">
        <v>2252</v>
      </c>
      <c r="I24" s="268" t="s">
        <v>2253</v>
      </c>
      <c r="J24" s="272">
        <v>822240</v>
      </c>
      <c r="K24" s="272">
        <f t="shared" si="1"/>
        <v>68520</v>
      </c>
      <c r="L24" s="272">
        <f t="shared" si="2"/>
        <v>12141.24</v>
      </c>
      <c r="M24" s="269">
        <f t="shared" si="9"/>
        <v>9000</v>
      </c>
      <c r="N24" s="272">
        <f t="shared" si="3"/>
        <v>129.60000000000002</v>
      </c>
      <c r="O24" s="272">
        <f t="shared" si="10"/>
        <v>234288</v>
      </c>
      <c r="P24" s="273">
        <f t="shared" si="5"/>
        <v>14389.2</v>
      </c>
      <c r="Q24" s="272">
        <f t="shared" si="6"/>
        <v>60084</v>
      </c>
      <c r="R24" s="272">
        <f t="shared" si="8"/>
        <v>148578.76800000001</v>
      </c>
      <c r="S24" s="272">
        <f t="shared" si="7"/>
        <v>2125.44</v>
      </c>
    </row>
    <row r="25" spans="1:21" x14ac:dyDescent="0.25">
      <c r="A25" s="335">
        <v>501443</v>
      </c>
      <c r="B25" s="271">
        <v>1443</v>
      </c>
      <c r="C25" s="271">
        <v>90405</v>
      </c>
      <c r="D25" s="268" t="s">
        <v>876</v>
      </c>
      <c r="E25" s="268" t="s">
        <v>1290</v>
      </c>
      <c r="F25" s="268" t="s">
        <v>2254</v>
      </c>
      <c r="G25" s="268">
        <v>3</v>
      </c>
      <c r="H25" s="268" t="s">
        <v>2255</v>
      </c>
      <c r="I25" s="268" t="s">
        <v>2228</v>
      </c>
      <c r="J25" s="272">
        <v>822240</v>
      </c>
      <c r="K25" s="272">
        <f t="shared" si="1"/>
        <v>68520</v>
      </c>
      <c r="L25" s="272">
        <f t="shared" si="2"/>
        <v>12141.24</v>
      </c>
      <c r="M25" s="269">
        <f t="shared" si="9"/>
        <v>9000</v>
      </c>
      <c r="N25" s="272">
        <f t="shared" si="3"/>
        <v>129.60000000000002</v>
      </c>
      <c r="O25" s="272">
        <f t="shared" si="10"/>
        <v>234288</v>
      </c>
      <c r="P25" s="273">
        <f t="shared" si="5"/>
        <v>14389.2</v>
      </c>
      <c r="Q25" s="272">
        <f t="shared" si="6"/>
        <v>60084</v>
      </c>
      <c r="R25" s="272">
        <f t="shared" si="8"/>
        <v>148578.76800000001</v>
      </c>
      <c r="S25" s="272">
        <f t="shared" si="7"/>
        <v>2125.44</v>
      </c>
      <c r="T25" s="270"/>
      <c r="U25" s="270"/>
    </row>
    <row r="26" spans="1:21" x14ac:dyDescent="0.25">
      <c r="A26" s="335">
        <v>501503</v>
      </c>
      <c r="B26" s="271">
        <v>1503</v>
      </c>
      <c r="C26" s="271">
        <v>200008</v>
      </c>
      <c r="D26" s="268" t="s">
        <v>894</v>
      </c>
      <c r="E26" s="268" t="s">
        <v>1290</v>
      </c>
      <c r="F26" s="268" t="s">
        <v>2256</v>
      </c>
      <c r="G26" s="268">
        <v>3</v>
      </c>
      <c r="H26" s="268" t="s">
        <v>2257</v>
      </c>
      <c r="I26" s="268" t="s">
        <v>2258</v>
      </c>
      <c r="J26" s="272">
        <v>822240</v>
      </c>
      <c r="K26" s="272">
        <f t="shared" si="1"/>
        <v>68520</v>
      </c>
      <c r="L26" s="272">
        <f t="shared" si="2"/>
        <v>12141.24</v>
      </c>
      <c r="M26" s="269">
        <f t="shared" si="9"/>
        <v>9000</v>
      </c>
      <c r="N26" s="272">
        <f t="shared" si="3"/>
        <v>129.60000000000002</v>
      </c>
      <c r="O26" s="272">
        <f t="shared" si="10"/>
        <v>234288</v>
      </c>
      <c r="P26" s="273">
        <f t="shared" si="5"/>
        <v>14389.2</v>
      </c>
      <c r="Q26" s="272">
        <f t="shared" si="6"/>
        <v>60084</v>
      </c>
      <c r="R26" s="272">
        <f t="shared" si="8"/>
        <v>148578.76800000001</v>
      </c>
      <c r="S26" s="272">
        <f t="shared" si="7"/>
        <v>2125.44</v>
      </c>
      <c r="T26" s="270"/>
      <c r="U26" s="270"/>
    </row>
    <row r="27" spans="1:21" s="270" customFormat="1" x14ac:dyDescent="0.25">
      <c r="A27" s="335">
        <v>110721</v>
      </c>
      <c r="B27" s="271">
        <v>1203</v>
      </c>
      <c r="C27" s="271">
        <v>200048</v>
      </c>
      <c r="D27" s="268" t="s">
        <v>1698</v>
      </c>
      <c r="E27" s="268" t="s">
        <v>1290</v>
      </c>
      <c r="F27" s="268" t="s">
        <v>898</v>
      </c>
      <c r="G27" s="268">
        <v>3</v>
      </c>
      <c r="H27" s="268" t="s">
        <v>2259</v>
      </c>
      <c r="I27" s="268" t="s">
        <v>2260</v>
      </c>
      <c r="J27" s="272">
        <v>822240</v>
      </c>
      <c r="K27" s="272">
        <f t="shared" si="1"/>
        <v>68520</v>
      </c>
      <c r="L27" s="272">
        <f t="shared" si="2"/>
        <v>12141.24</v>
      </c>
      <c r="M27" s="269">
        <f>1000*12</f>
        <v>12000</v>
      </c>
      <c r="N27" s="272">
        <f t="shared" si="3"/>
        <v>129.60000000000002</v>
      </c>
      <c r="O27" s="272">
        <f t="shared" si="10"/>
        <v>234288</v>
      </c>
      <c r="P27" s="273">
        <f t="shared" si="5"/>
        <v>14389.2</v>
      </c>
      <c r="Q27" s="272">
        <f t="shared" si="6"/>
        <v>60084</v>
      </c>
      <c r="R27" s="272">
        <f t="shared" si="8"/>
        <v>148578.76800000001</v>
      </c>
      <c r="S27" s="272">
        <f t="shared" si="7"/>
        <v>2125.44</v>
      </c>
    </row>
    <row r="28" spans="1:21" s="270" customFormat="1" x14ac:dyDescent="0.25">
      <c r="A28" s="335">
        <v>501205</v>
      </c>
      <c r="B28" s="271">
        <v>1305</v>
      </c>
      <c r="C28" s="271">
        <v>200142</v>
      </c>
      <c r="D28" s="268" t="s">
        <v>894</v>
      </c>
      <c r="E28" s="268" t="s">
        <v>1290</v>
      </c>
      <c r="F28" s="268" t="s">
        <v>2261</v>
      </c>
      <c r="G28" s="268">
        <v>3</v>
      </c>
      <c r="H28" s="268" t="s">
        <v>2262</v>
      </c>
      <c r="I28" s="268" t="s">
        <v>2263</v>
      </c>
      <c r="J28" s="272">
        <v>822240</v>
      </c>
      <c r="K28" s="272">
        <f t="shared" si="1"/>
        <v>68520</v>
      </c>
      <c r="L28" s="272">
        <f t="shared" si="2"/>
        <v>12141.24</v>
      </c>
      <c r="M28" s="269">
        <f>750*12</f>
        <v>9000</v>
      </c>
      <c r="N28" s="272">
        <f t="shared" si="3"/>
        <v>129.60000000000002</v>
      </c>
      <c r="O28" s="272">
        <f t="shared" si="10"/>
        <v>234288</v>
      </c>
      <c r="P28" s="273">
        <f t="shared" si="5"/>
        <v>14389.2</v>
      </c>
      <c r="Q28" s="272">
        <f t="shared" si="6"/>
        <v>60084</v>
      </c>
      <c r="R28" s="272">
        <f t="shared" si="8"/>
        <v>148578.76800000001</v>
      </c>
      <c r="S28" s="272">
        <f t="shared" si="7"/>
        <v>2125.44</v>
      </c>
    </row>
    <row r="29" spans="1:21" s="270" customFormat="1" x14ac:dyDescent="0.25">
      <c r="A29" s="335">
        <v>501205</v>
      </c>
      <c r="B29" s="271">
        <v>1205</v>
      </c>
      <c r="C29" s="271">
        <v>200185</v>
      </c>
      <c r="D29" s="268" t="s">
        <v>894</v>
      </c>
      <c r="E29" s="268" t="s">
        <v>1290</v>
      </c>
      <c r="F29" s="268" t="s">
        <v>731</v>
      </c>
      <c r="G29" s="268">
        <v>3</v>
      </c>
      <c r="H29" s="268" t="s">
        <v>2264</v>
      </c>
      <c r="I29" s="268" t="s">
        <v>2265</v>
      </c>
      <c r="J29" s="272">
        <v>822240</v>
      </c>
      <c r="K29" s="272">
        <f t="shared" si="1"/>
        <v>68520</v>
      </c>
      <c r="L29" s="272">
        <f t="shared" si="2"/>
        <v>12141.24</v>
      </c>
      <c r="M29" s="269">
        <f>750*12</f>
        <v>9000</v>
      </c>
      <c r="N29" s="272">
        <f t="shared" si="3"/>
        <v>129.60000000000002</v>
      </c>
      <c r="O29" s="272">
        <f t="shared" si="10"/>
        <v>234288</v>
      </c>
      <c r="P29" s="273">
        <f t="shared" si="5"/>
        <v>14389.2</v>
      </c>
      <c r="Q29" s="272">
        <f t="shared" si="6"/>
        <v>60084</v>
      </c>
      <c r="R29" s="272">
        <f t="shared" si="8"/>
        <v>148578.76800000001</v>
      </c>
      <c r="S29" s="272">
        <f t="shared" si="7"/>
        <v>2125.44</v>
      </c>
    </row>
    <row r="30" spans="1:21" s="270" customFormat="1" x14ac:dyDescent="0.25">
      <c r="A30" s="337">
        <v>501502</v>
      </c>
      <c r="B30" s="276">
        <v>1502</v>
      </c>
      <c r="C30" s="276">
        <v>200407</v>
      </c>
      <c r="D30" s="268" t="s">
        <v>894</v>
      </c>
      <c r="E30" s="268" t="s">
        <v>1278</v>
      </c>
      <c r="F30" s="268" t="s">
        <v>2266</v>
      </c>
      <c r="G30" s="268">
        <v>3</v>
      </c>
      <c r="H30" s="268" t="s">
        <v>2267</v>
      </c>
      <c r="I30" s="268" t="s">
        <v>2268</v>
      </c>
      <c r="J30" s="269">
        <v>822240</v>
      </c>
      <c r="K30" s="273">
        <f t="shared" si="1"/>
        <v>68520</v>
      </c>
      <c r="L30" s="272">
        <f t="shared" si="2"/>
        <v>12141.24</v>
      </c>
      <c r="M30" s="269">
        <f>750*12</f>
        <v>9000</v>
      </c>
      <c r="N30" s="273">
        <f t="shared" si="3"/>
        <v>129.60000000000002</v>
      </c>
      <c r="O30" s="269">
        <f t="shared" si="10"/>
        <v>234288</v>
      </c>
      <c r="P30" s="273">
        <f t="shared" si="5"/>
        <v>14389.2</v>
      </c>
      <c r="Q30" s="272">
        <f t="shared" si="6"/>
        <v>60084</v>
      </c>
      <c r="R30" s="273">
        <f t="shared" si="8"/>
        <v>148578.76800000001</v>
      </c>
      <c r="S30" s="273">
        <f t="shared" si="7"/>
        <v>2125.44</v>
      </c>
    </row>
    <row r="31" spans="1:21" s="270" customFormat="1" x14ac:dyDescent="0.25">
      <c r="A31" s="335">
        <v>501412</v>
      </c>
      <c r="B31" s="271">
        <v>1412</v>
      </c>
      <c r="C31" s="271">
        <v>52087</v>
      </c>
      <c r="D31" s="268" t="s">
        <v>894</v>
      </c>
      <c r="E31" s="268" t="s">
        <v>1278</v>
      </c>
      <c r="F31" s="268" t="s">
        <v>2193</v>
      </c>
      <c r="G31" s="268">
        <v>3</v>
      </c>
      <c r="H31" s="268" t="s">
        <v>2269</v>
      </c>
      <c r="I31" s="268" t="s">
        <v>2270</v>
      </c>
      <c r="J31" s="272">
        <v>772776</v>
      </c>
      <c r="K31" s="272">
        <f t="shared" si="1"/>
        <v>64398</v>
      </c>
      <c r="L31" s="272">
        <f t="shared" si="2"/>
        <v>12141.24</v>
      </c>
      <c r="M31" s="269">
        <v>0</v>
      </c>
      <c r="N31" s="272">
        <f t="shared" si="3"/>
        <v>129.60000000000002</v>
      </c>
      <c r="O31" s="272">
        <f>18380*12</f>
        <v>220560</v>
      </c>
      <c r="P31" s="273">
        <f t="shared" si="5"/>
        <v>13523.580000000002</v>
      </c>
      <c r="Q31" s="272">
        <f t="shared" si="6"/>
        <v>60084</v>
      </c>
      <c r="R31" s="272">
        <f t="shared" si="8"/>
        <v>139640.6232</v>
      </c>
      <c r="S31" s="272">
        <f t="shared" si="7"/>
        <v>2125.44</v>
      </c>
    </row>
    <row r="32" spans="1:21" s="270" customFormat="1" x14ac:dyDescent="0.25">
      <c r="A32" s="335">
        <v>501205</v>
      </c>
      <c r="B32" s="271">
        <v>1205</v>
      </c>
      <c r="C32" s="271">
        <v>86121</v>
      </c>
      <c r="D32" s="268" t="s">
        <v>894</v>
      </c>
      <c r="E32" s="268" t="s">
        <v>1278</v>
      </c>
      <c r="F32" s="268" t="s">
        <v>1304</v>
      </c>
      <c r="G32" s="268">
        <v>3</v>
      </c>
      <c r="H32" s="268" t="s">
        <v>2271</v>
      </c>
      <c r="I32" s="268" t="s">
        <v>2272</v>
      </c>
      <c r="J32" s="272">
        <v>748056</v>
      </c>
      <c r="K32" s="272">
        <f t="shared" si="1"/>
        <v>62338</v>
      </c>
      <c r="L32" s="272">
        <f t="shared" si="2"/>
        <v>12141.24</v>
      </c>
      <c r="M32" s="269">
        <f>750*12</f>
        <v>9000</v>
      </c>
      <c r="N32" s="272">
        <f t="shared" si="3"/>
        <v>129.60000000000002</v>
      </c>
      <c r="O32" s="272">
        <f>17694*12</f>
        <v>212328</v>
      </c>
      <c r="P32" s="273">
        <f t="shared" si="5"/>
        <v>13090.980000000001</v>
      </c>
      <c r="Q32" s="272">
        <f t="shared" si="6"/>
        <v>60084</v>
      </c>
      <c r="R32" s="272">
        <f t="shared" si="8"/>
        <v>135173.71919999999</v>
      </c>
      <c r="S32" s="272">
        <f t="shared" si="7"/>
        <v>2125.44</v>
      </c>
    </row>
    <row r="33" spans="1:21" s="270" customFormat="1" x14ac:dyDescent="0.25">
      <c r="A33" s="337">
        <v>501304</v>
      </c>
      <c r="B33" s="276">
        <v>1304</v>
      </c>
      <c r="C33" s="276">
        <v>200035</v>
      </c>
      <c r="D33" s="268" t="s">
        <v>894</v>
      </c>
      <c r="E33" s="268" t="s">
        <v>1290</v>
      </c>
      <c r="F33" s="268" t="s">
        <v>2273</v>
      </c>
      <c r="G33" s="268">
        <v>3</v>
      </c>
      <c r="H33" s="268" t="s">
        <v>2274</v>
      </c>
      <c r="I33" s="268" t="s">
        <v>2275</v>
      </c>
      <c r="J33" s="269">
        <v>748056</v>
      </c>
      <c r="K33" s="273">
        <f t="shared" si="1"/>
        <v>62338</v>
      </c>
      <c r="L33" s="272">
        <f t="shared" si="2"/>
        <v>12141.24</v>
      </c>
      <c r="M33" s="269">
        <f>750*12</f>
        <v>9000</v>
      </c>
      <c r="N33" s="273">
        <f t="shared" si="3"/>
        <v>129.60000000000002</v>
      </c>
      <c r="O33" s="269">
        <f>17694*12</f>
        <v>212328</v>
      </c>
      <c r="P33" s="273">
        <f t="shared" si="5"/>
        <v>13090.980000000001</v>
      </c>
      <c r="Q33" s="272">
        <f t="shared" si="6"/>
        <v>60084</v>
      </c>
      <c r="R33" s="273">
        <f t="shared" si="8"/>
        <v>135173.71919999999</v>
      </c>
      <c r="S33" s="273">
        <f t="shared" si="7"/>
        <v>2125.44</v>
      </c>
    </row>
    <row r="34" spans="1:21" s="270" customFormat="1" x14ac:dyDescent="0.25">
      <c r="A34" s="335">
        <v>501442</v>
      </c>
      <c r="B34" s="271">
        <v>1442</v>
      </c>
      <c r="C34" s="271">
        <v>8345</v>
      </c>
      <c r="D34" s="268" t="s">
        <v>1698</v>
      </c>
      <c r="E34" s="268" t="s">
        <v>1290</v>
      </c>
      <c r="F34" s="268" t="s">
        <v>1698</v>
      </c>
      <c r="G34" s="268">
        <v>5</v>
      </c>
      <c r="H34" s="268" t="s">
        <v>2276</v>
      </c>
      <c r="I34" s="268" t="s">
        <v>2277</v>
      </c>
      <c r="J34" s="272">
        <v>634740</v>
      </c>
      <c r="K34" s="272">
        <f t="shared" si="1"/>
        <v>52895</v>
      </c>
      <c r="L34" s="272">
        <f t="shared" si="2"/>
        <v>12141.24</v>
      </c>
      <c r="M34" s="269">
        <f>500*12</f>
        <v>6000</v>
      </c>
      <c r="N34" s="272">
        <f t="shared" si="3"/>
        <v>129.60000000000002</v>
      </c>
      <c r="O34" s="272">
        <f>17694*12</f>
        <v>212328</v>
      </c>
      <c r="P34" s="273">
        <f t="shared" si="5"/>
        <v>11107.95</v>
      </c>
      <c r="Q34" s="272">
        <f t="shared" si="6"/>
        <v>60084</v>
      </c>
      <c r="R34" s="272">
        <f t="shared" si="8"/>
        <v>114697.518</v>
      </c>
      <c r="S34" s="272">
        <f t="shared" si="7"/>
        <v>2125.44</v>
      </c>
    </row>
    <row r="35" spans="1:21" x14ac:dyDescent="0.25">
      <c r="A35" s="335">
        <v>501204</v>
      </c>
      <c r="B35" s="271">
        <v>1204</v>
      </c>
      <c r="C35" s="271">
        <v>12632</v>
      </c>
      <c r="D35" s="268" t="s">
        <v>1698</v>
      </c>
      <c r="E35" s="268" t="s">
        <v>1290</v>
      </c>
      <c r="F35" s="268" t="s">
        <v>2278</v>
      </c>
      <c r="G35" s="268">
        <v>5</v>
      </c>
      <c r="H35" s="268" t="s">
        <v>2279</v>
      </c>
      <c r="I35" s="268" t="s">
        <v>2280</v>
      </c>
      <c r="J35" s="272">
        <v>634740</v>
      </c>
      <c r="K35" s="272">
        <f t="shared" si="1"/>
        <v>52895</v>
      </c>
      <c r="L35" s="272">
        <f t="shared" si="2"/>
        <v>12141.24</v>
      </c>
      <c r="M35" s="269">
        <v>0</v>
      </c>
      <c r="N35" s="272">
        <f t="shared" si="3"/>
        <v>129.60000000000002</v>
      </c>
      <c r="O35" s="272">
        <f>15179*12</f>
        <v>182148</v>
      </c>
      <c r="P35" s="273">
        <f t="shared" si="5"/>
        <v>11107.95</v>
      </c>
      <c r="Q35" s="272">
        <f t="shared" si="6"/>
        <v>60084</v>
      </c>
      <c r="R35" s="272">
        <f t="shared" si="8"/>
        <v>114697.518</v>
      </c>
      <c r="S35" s="272">
        <f t="shared" si="7"/>
        <v>2125.44</v>
      </c>
      <c r="T35" s="270"/>
      <c r="U35" s="270"/>
    </row>
    <row r="36" spans="1:21" s="270" customFormat="1" x14ac:dyDescent="0.25">
      <c r="A36" s="335">
        <v>501445</v>
      </c>
      <c r="B36" s="271">
        <v>1445</v>
      </c>
      <c r="C36" s="271">
        <v>17996</v>
      </c>
      <c r="D36" s="268" t="s">
        <v>1698</v>
      </c>
      <c r="E36" s="268" t="s">
        <v>1290</v>
      </c>
      <c r="F36" s="268" t="s">
        <v>2281</v>
      </c>
      <c r="G36" s="268">
        <v>5</v>
      </c>
      <c r="H36" s="268" t="s">
        <v>2282</v>
      </c>
      <c r="I36" s="268" t="s">
        <v>2283</v>
      </c>
      <c r="J36" s="272">
        <v>634740</v>
      </c>
      <c r="K36" s="272">
        <f t="shared" si="1"/>
        <v>52895</v>
      </c>
      <c r="L36" s="272">
        <f t="shared" si="2"/>
        <v>12141.24</v>
      </c>
      <c r="M36" s="269">
        <v>0</v>
      </c>
      <c r="N36" s="272">
        <f t="shared" si="3"/>
        <v>129.60000000000002</v>
      </c>
      <c r="O36" s="272">
        <f>15179*12</f>
        <v>182148</v>
      </c>
      <c r="P36" s="273">
        <f t="shared" si="5"/>
        <v>11107.95</v>
      </c>
      <c r="Q36" s="272">
        <f t="shared" si="6"/>
        <v>60084</v>
      </c>
      <c r="R36" s="272">
        <f t="shared" si="8"/>
        <v>114697.518</v>
      </c>
      <c r="S36" s="272">
        <f t="shared" si="7"/>
        <v>2125.44</v>
      </c>
    </row>
    <row r="37" spans="1:21" s="270" customFormat="1" x14ac:dyDescent="0.25">
      <c r="A37" s="337">
        <v>501502</v>
      </c>
      <c r="B37" s="276">
        <v>1502</v>
      </c>
      <c r="C37" s="276">
        <v>23126</v>
      </c>
      <c r="D37" s="268" t="s">
        <v>1698</v>
      </c>
      <c r="E37" s="268" t="s">
        <v>1278</v>
      </c>
      <c r="F37" s="268" t="s">
        <v>876</v>
      </c>
      <c r="G37" s="268">
        <v>5</v>
      </c>
      <c r="H37" s="268" t="s">
        <v>2284</v>
      </c>
      <c r="I37" s="268" t="s">
        <v>2285</v>
      </c>
      <c r="J37" s="269">
        <v>634740</v>
      </c>
      <c r="K37" s="273">
        <f t="shared" si="1"/>
        <v>52895</v>
      </c>
      <c r="L37" s="272">
        <f t="shared" si="2"/>
        <v>12141.24</v>
      </c>
      <c r="M37" s="269">
        <f>450*12</f>
        <v>5400</v>
      </c>
      <c r="N37" s="273">
        <f t="shared" si="3"/>
        <v>129.60000000000002</v>
      </c>
      <c r="O37" s="269">
        <f>15179*12</f>
        <v>182148</v>
      </c>
      <c r="P37" s="273">
        <f t="shared" si="5"/>
        <v>11107.95</v>
      </c>
      <c r="Q37" s="272">
        <f t="shared" si="6"/>
        <v>60084</v>
      </c>
      <c r="R37" s="273">
        <f t="shared" si="8"/>
        <v>114697.518</v>
      </c>
      <c r="S37" s="273">
        <f t="shared" si="7"/>
        <v>2125.44</v>
      </c>
    </row>
    <row r="38" spans="1:21" s="270" customFormat="1" x14ac:dyDescent="0.25">
      <c r="A38" s="335">
        <v>501407</v>
      </c>
      <c r="B38" s="271">
        <v>1407</v>
      </c>
      <c r="C38" s="271">
        <v>29078</v>
      </c>
      <c r="D38" s="268" t="s">
        <v>894</v>
      </c>
      <c r="E38" s="268" t="s">
        <v>1278</v>
      </c>
      <c r="F38" s="268" t="s">
        <v>2286</v>
      </c>
      <c r="G38" s="268">
        <v>5</v>
      </c>
      <c r="H38" s="268" t="s">
        <v>2287</v>
      </c>
      <c r="I38" s="268" t="s">
        <v>2288</v>
      </c>
      <c r="J38" s="272">
        <v>634740</v>
      </c>
      <c r="K38" s="272">
        <f t="shared" si="1"/>
        <v>52895</v>
      </c>
      <c r="L38" s="272">
        <f t="shared" si="2"/>
        <v>12141.24</v>
      </c>
      <c r="M38" s="269">
        <f>750*12</f>
        <v>9000</v>
      </c>
      <c r="N38" s="272">
        <f t="shared" si="3"/>
        <v>129.60000000000002</v>
      </c>
      <c r="O38" s="272">
        <f>14974*12</f>
        <v>179688</v>
      </c>
      <c r="P38" s="273">
        <f t="shared" si="5"/>
        <v>11107.95</v>
      </c>
      <c r="Q38" s="272">
        <f t="shared" si="6"/>
        <v>60084</v>
      </c>
      <c r="R38" s="272">
        <f t="shared" si="8"/>
        <v>114697.518</v>
      </c>
      <c r="S38" s="272">
        <f t="shared" si="7"/>
        <v>2125.44</v>
      </c>
    </row>
    <row r="39" spans="1:21" s="270" customFormat="1" x14ac:dyDescent="0.25">
      <c r="A39" s="335">
        <v>501203</v>
      </c>
      <c r="B39" s="271">
        <v>1203</v>
      </c>
      <c r="C39" s="271">
        <v>29528</v>
      </c>
      <c r="D39" s="268" t="s">
        <v>894</v>
      </c>
      <c r="E39" s="268" t="s">
        <v>1278</v>
      </c>
      <c r="F39" s="268" t="s">
        <v>2289</v>
      </c>
      <c r="G39" s="268">
        <v>5</v>
      </c>
      <c r="H39" s="268" t="s">
        <v>2290</v>
      </c>
      <c r="I39" s="268" t="s">
        <v>2291</v>
      </c>
      <c r="J39" s="272">
        <v>634740</v>
      </c>
      <c r="K39" s="272">
        <f t="shared" si="1"/>
        <v>52895</v>
      </c>
      <c r="L39" s="272">
        <f t="shared" si="2"/>
        <v>12141.24</v>
      </c>
      <c r="M39" s="269">
        <v>0</v>
      </c>
      <c r="N39" s="272">
        <f t="shared" si="3"/>
        <v>129.60000000000002</v>
      </c>
      <c r="O39" s="273">
        <v>0</v>
      </c>
      <c r="P39" s="273">
        <f t="shared" si="5"/>
        <v>11107.95</v>
      </c>
      <c r="Q39" s="272">
        <f t="shared" si="6"/>
        <v>60084</v>
      </c>
      <c r="R39" s="272">
        <f t="shared" si="8"/>
        <v>114697.518</v>
      </c>
      <c r="S39" s="272">
        <f t="shared" si="7"/>
        <v>2125.44</v>
      </c>
    </row>
    <row r="40" spans="1:21" s="270" customFormat="1" x14ac:dyDescent="0.25">
      <c r="A40" s="337">
        <v>501206</v>
      </c>
      <c r="B40" s="276">
        <v>1206</v>
      </c>
      <c r="C40" s="276">
        <v>38593</v>
      </c>
      <c r="D40" s="268" t="s">
        <v>876</v>
      </c>
      <c r="E40" s="268" t="s">
        <v>1290</v>
      </c>
      <c r="F40" s="268" t="s">
        <v>2292</v>
      </c>
      <c r="G40" s="268">
        <v>5</v>
      </c>
      <c r="H40" s="268" t="s">
        <v>2293</v>
      </c>
      <c r="I40" s="268" t="s">
        <v>2294</v>
      </c>
      <c r="J40" s="269">
        <v>634740</v>
      </c>
      <c r="K40" s="273">
        <f t="shared" si="1"/>
        <v>52895</v>
      </c>
      <c r="L40" s="272">
        <f t="shared" si="2"/>
        <v>12141.24</v>
      </c>
      <c r="M40" s="269">
        <f>750*12</f>
        <v>9000</v>
      </c>
      <c r="N40" s="273">
        <f t="shared" si="3"/>
        <v>129.60000000000002</v>
      </c>
      <c r="O40" s="269">
        <f>17694*12</f>
        <v>212328</v>
      </c>
      <c r="P40" s="273">
        <f t="shared" si="5"/>
        <v>11107.95</v>
      </c>
      <c r="Q40" s="272">
        <f t="shared" si="6"/>
        <v>60084</v>
      </c>
      <c r="R40" s="273">
        <f t="shared" si="8"/>
        <v>114697.518</v>
      </c>
      <c r="S40" s="273">
        <f t="shared" si="7"/>
        <v>2125.44</v>
      </c>
    </row>
    <row r="41" spans="1:21" s="270" customFormat="1" x14ac:dyDescent="0.25">
      <c r="A41" s="337">
        <v>501502</v>
      </c>
      <c r="B41" s="276">
        <v>1502</v>
      </c>
      <c r="C41" s="276">
        <v>43643</v>
      </c>
      <c r="D41" s="268" t="s">
        <v>894</v>
      </c>
      <c r="E41" s="268" t="s">
        <v>1278</v>
      </c>
      <c r="F41" s="268" t="s">
        <v>2266</v>
      </c>
      <c r="G41" s="268">
        <v>5</v>
      </c>
      <c r="H41" s="268" t="s">
        <v>2295</v>
      </c>
      <c r="I41" s="268" t="s">
        <v>2296</v>
      </c>
      <c r="J41" s="269">
        <v>634740</v>
      </c>
      <c r="K41" s="273">
        <f t="shared" si="1"/>
        <v>52895</v>
      </c>
      <c r="L41" s="272">
        <f t="shared" si="2"/>
        <v>12141.24</v>
      </c>
      <c r="M41" s="269">
        <f>350*12</f>
        <v>4200</v>
      </c>
      <c r="N41" s="273">
        <f t="shared" si="3"/>
        <v>129.60000000000002</v>
      </c>
      <c r="O41" s="269">
        <f t="shared" ref="O41:O59" si="11">15179*12</f>
        <v>182148</v>
      </c>
      <c r="P41" s="273">
        <f t="shared" si="5"/>
        <v>11107.95</v>
      </c>
      <c r="Q41" s="272">
        <f t="shared" si="6"/>
        <v>60084</v>
      </c>
      <c r="R41" s="273">
        <f t="shared" si="8"/>
        <v>114697.518</v>
      </c>
      <c r="S41" s="273">
        <f t="shared" si="7"/>
        <v>2125.44</v>
      </c>
    </row>
    <row r="42" spans="1:21" s="270" customFormat="1" x14ac:dyDescent="0.25">
      <c r="A42" s="335">
        <v>501442</v>
      </c>
      <c r="B42" s="271">
        <v>1442</v>
      </c>
      <c r="C42" s="271">
        <v>50322</v>
      </c>
      <c r="D42" s="268" t="s">
        <v>894</v>
      </c>
      <c r="E42" s="268" t="s">
        <v>1278</v>
      </c>
      <c r="F42" s="268" t="s">
        <v>2297</v>
      </c>
      <c r="G42" s="268">
        <v>5</v>
      </c>
      <c r="H42" s="268" t="s">
        <v>2298</v>
      </c>
      <c r="I42" s="268" t="s">
        <v>2277</v>
      </c>
      <c r="J42" s="272">
        <v>634740</v>
      </c>
      <c r="K42" s="272">
        <f t="shared" si="1"/>
        <v>52895</v>
      </c>
      <c r="L42" s="272">
        <f t="shared" si="2"/>
        <v>12141.24</v>
      </c>
      <c r="M42" s="269">
        <v>0</v>
      </c>
      <c r="N42" s="272">
        <f t="shared" si="3"/>
        <v>129.60000000000002</v>
      </c>
      <c r="O42" s="272">
        <f t="shared" si="11"/>
        <v>182148</v>
      </c>
      <c r="P42" s="273">
        <f t="shared" si="5"/>
        <v>11107.95</v>
      </c>
      <c r="Q42" s="272">
        <f t="shared" si="6"/>
        <v>60084</v>
      </c>
      <c r="R42" s="272">
        <f t="shared" si="8"/>
        <v>114697.518</v>
      </c>
      <c r="S42" s="272">
        <f t="shared" si="7"/>
        <v>2125.44</v>
      </c>
    </row>
    <row r="43" spans="1:21" s="270" customFormat="1" x14ac:dyDescent="0.25">
      <c r="A43" s="337">
        <v>501101</v>
      </c>
      <c r="B43" s="276">
        <v>1101</v>
      </c>
      <c r="C43" s="276">
        <v>51677</v>
      </c>
      <c r="D43" s="268" t="s">
        <v>894</v>
      </c>
      <c r="E43" s="268" t="s">
        <v>1290</v>
      </c>
      <c r="F43" s="268" t="s">
        <v>2299</v>
      </c>
      <c r="G43" s="268">
        <v>5</v>
      </c>
      <c r="H43" s="268" t="s">
        <v>2300</v>
      </c>
      <c r="I43" s="268" t="s">
        <v>2301</v>
      </c>
      <c r="J43" s="269">
        <v>634740</v>
      </c>
      <c r="K43" s="273">
        <f t="shared" si="1"/>
        <v>52895</v>
      </c>
      <c r="L43" s="272">
        <f t="shared" si="2"/>
        <v>12141.24</v>
      </c>
      <c r="M43" s="269">
        <f>350*12</f>
        <v>4200</v>
      </c>
      <c r="N43" s="273">
        <f t="shared" si="3"/>
        <v>129.60000000000002</v>
      </c>
      <c r="O43" s="269">
        <f t="shared" si="11"/>
        <v>182148</v>
      </c>
      <c r="P43" s="273">
        <f t="shared" si="5"/>
        <v>11107.95</v>
      </c>
      <c r="Q43" s="272">
        <f t="shared" si="6"/>
        <v>60084</v>
      </c>
      <c r="R43" s="273">
        <f t="shared" si="8"/>
        <v>114697.518</v>
      </c>
      <c r="S43" s="273">
        <f t="shared" si="7"/>
        <v>2125.44</v>
      </c>
    </row>
    <row r="44" spans="1:21" s="270" customFormat="1" x14ac:dyDescent="0.25">
      <c r="A44" s="337">
        <v>501101</v>
      </c>
      <c r="B44" s="276">
        <v>1101</v>
      </c>
      <c r="C44" s="276">
        <v>51761</v>
      </c>
      <c r="D44" s="268" t="s">
        <v>894</v>
      </c>
      <c r="E44" s="268" t="s">
        <v>1290</v>
      </c>
      <c r="F44" s="268" t="s">
        <v>2302</v>
      </c>
      <c r="G44" s="268">
        <v>5</v>
      </c>
      <c r="H44" s="268" t="s">
        <v>2303</v>
      </c>
      <c r="I44" s="268" t="s">
        <v>2301</v>
      </c>
      <c r="J44" s="269">
        <v>634740</v>
      </c>
      <c r="K44" s="273">
        <f t="shared" si="1"/>
        <v>52895</v>
      </c>
      <c r="L44" s="272">
        <f t="shared" si="2"/>
        <v>12141.24</v>
      </c>
      <c r="M44" s="269">
        <f>350*12</f>
        <v>4200</v>
      </c>
      <c r="N44" s="273">
        <f t="shared" si="3"/>
        <v>129.60000000000002</v>
      </c>
      <c r="O44" s="269">
        <f t="shared" si="11"/>
        <v>182148</v>
      </c>
      <c r="P44" s="273">
        <f t="shared" si="5"/>
        <v>11107.95</v>
      </c>
      <c r="Q44" s="272">
        <f t="shared" si="6"/>
        <v>60084</v>
      </c>
      <c r="R44" s="273">
        <f t="shared" si="8"/>
        <v>114697.518</v>
      </c>
      <c r="S44" s="273">
        <f t="shared" si="7"/>
        <v>2125.44</v>
      </c>
    </row>
    <row r="45" spans="1:21" x14ac:dyDescent="0.25">
      <c r="A45" s="335">
        <v>501442</v>
      </c>
      <c r="B45" s="271">
        <v>1442</v>
      </c>
      <c r="C45" s="271">
        <v>54563</v>
      </c>
      <c r="D45" s="268" t="s">
        <v>894</v>
      </c>
      <c r="E45" s="268" t="s">
        <v>1290</v>
      </c>
      <c r="F45" s="268" t="s">
        <v>2304</v>
      </c>
      <c r="G45" s="268">
        <v>5</v>
      </c>
      <c r="H45" s="268" t="s">
        <v>2305</v>
      </c>
      <c r="I45" s="268" t="s">
        <v>2277</v>
      </c>
      <c r="J45" s="272">
        <v>634740</v>
      </c>
      <c r="K45" s="272">
        <f t="shared" si="1"/>
        <v>52895</v>
      </c>
      <c r="L45" s="272">
        <f t="shared" si="2"/>
        <v>12141.24</v>
      </c>
      <c r="M45" s="269">
        <v>0</v>
      </c>
      <c r="N45" s="272">
        <f t="shared" si="3"/>
        <v>129.60000000000002</v>
      </c>
      <c r="O45" s="272">
        <f t="shared" si="11"/>
        <v>182148</v>
      </c>
      <c r="P45" s="273">
        <f t="shared" si="5"/>
        <v>11107.95</v>
      </c>
      <c r="Q45" s="272">
        <f t="shared" si="6"/>
        <v>60084</v>
      </c>
      <c r="R45" s="272">
        <f t="shared" si="8"/>
        <v>114697.518</v>
      </c>
      <c r="S45" s="272">
        <f t="shared" si="7"/>
        <v>2125.44</v>
      </c>
      <c r="T45" s="270"/>
      <c r="U45" s="270"/>
    </row>
    <row r="46" spans="1:21" s="270" customFormat="1" x14ac:dyDescent="0.25">
      <c r="A46" s="335">
        <v>501304</v>
      </c>
      <c r="B46" s="271">
        <v>1304</v>
      </c>
      <c r="C46" s="271">
        <v>59190</v>
      </c>
      <c r="D46" s="268" t="s">
        <v>894</v>
      </c>
      <c r="E46" s="268" t="s">
        <v>1278</v>
      </c>
      <c r="F46" s="268" t="s">
        <v>2306</v>
      </c>
      <c r="G46" s="268">
        <v>5</v>
      </c>
      <c r="H46" s="268" t="s">
        <v>2307</v>
      </c>
      <c r="I46" s="268" t="s">
        <v>2308</v>
      </c>
      <c r="J46" s="272">
        <v>634740</v>
      </c>
      <c r="K46" s="272">
        <f t="shared" si="1"/>
        <v>52895</v>
      </c>
      <c r="L46" s="272">
        <f t="shared" si="2"/>
        <v>12141.24</v>
      </c>
      <c r="M46" s="269">
        <v>0</v>
      </c>
      <c r="N46" s="272">
        <f t="shared" si="3"/>
        <v>129.60000000000002</v>
      </c>
      <c r="O46" s="272">
        <f t="shared" si="11"/>
        <v>182148</v>
      </c>
      <c r="P46" s="273">
        <f t="shared" si="5"/>
        <v>11107.95</v>
      </c>
      <c r="Q46" s="272">
        <f t="shared" si="6"/>
        <v>60084</v>
      </c>
      <c r="R46" s="272">
        <f t="shared" si="8"/>
        <v>114697.518</v>
      </c>
      <c r="S46" s="272">
        <f t="shared" si="7"/>
        <v>2125.44</v>
      </c>
    </row>
    <row r="47" spans="1:21" s="270" customFormat="1" x14ac:dyDescent="0.25">
      <c r="A47" s="335">
        <v>501202</v>
      </c>
      <c r="B47" s="271">
        <v>1202</v>
      </c>
      <c r="C47" s="271">
        <v>59323</v>
      </c>
      <c r="D47" s="268" t="s">
        <v>894</v>
      </c>
      <c r="E47" s="268" t="s">
        <v>1278</v>
      </c>
      <c r="F47" s="268" t="s">
        <v>2243</v>
      </c>
      <c r="G47" s="268">
        <v>5</v>
      </c>
      <c r="H47" s="268" t="s">
        <v>2309</v>
      </c>
      <c r="I47" s="268" t="s">
        <v>2310</v>
      </c>
      <c r="J47" s="272">
        <v>634740</v>
      </c>
      <c r="K47" s="272">
        <f t="shared" si="1"/>
        <v>52895</v>
      </c>
      <c r="L47" s="272">
        <f t="shared" si="2"/>
        <v>12141.24</v>
      </c>
      <c r="M47" s="269">
        <f>750*12</f>
        <v>9000</v>
      </c>
      <c r="N47" s="272">
        <f t="shared" si="3"/>
        <v>129.60000000000002</v>
      </c>
      <c r="O47" s="272">
        <f t="shared" si="11"/>
        <v>182148</v>
      </c>
      <c r="P47" s="273">
        <f t="shared" si="5"/>
        <v>11107.95</v>
      </c>
      <c r="Q47" s="272">
        <f t="shared" si="6"/>
        <v>60084</v>
      </c>
      <c r="R47" s="272">
        <f t="shared" si="8"/>
        <v>114697.518</v>
      </c>
      <c r="S47" s="272">
        <f t="shared" si="7"/>
        <v>2125.44</v>
      </c>
    </row>
    <row r="48" spans="1:21" s="270" customFormat="1" x14ac:dyDescent="0.25">
      <c r="A48" s="335">
        <v>501204</v>
      </c>
      <c r="B48" s="271">
        <v>1204</v>
      </c>
      <c r="C48" s="271">
        <v>59860</v>
      </c>
      <c r="D48" s="268" t="s">
        <v>894</v>
      </c>
      <c r="E48" s="268" t="s">
        <v>1290</v>
      </c>
      <c r="F48" s="268" t="s">
        <v>2311</v>
      </c>
      <c r="G48" s="268">
        <v>5</v>
      </c>
      <c r="H48" s="268" t="s">
        <v>2312</v>
      </c>
      <c r="I48" s="268" t="s">
        <v>2313</v>
      </c>
      <c r="J48" s="272">
        <v>634740</v>
      </c>
      <c r="K48" s="272">
        <f t="shared" si="1"/>
        <v>52895</v>
      </c>
      <c r="L48" s="272">
        <f t="shared" si="2"/>
        <v>12141.24</v>
      </c>
      <c r="M48" s="269">
        <v>0</v>
      </c>
      <c r="N48" s="272">
        <f t="shared" si="3"/>
        <v>129.60000000000002</v>
      </c>
      <c r="O48" s="272">
        <f t="shared" si="11"/>
        <v>182148</v>
      </c>
      <c r="P48" s="273">
        <f t="shared" si="5"/>
        <v>11107.95</v>
      </c>
      <c r="Q48" s="272">
        <f t="shared" si="6"/>
        <v>60084</v>
      </c>
      <c r="R48" s="272">
        <f t="shared" si="8"/>
        <v>114697.518</v>
      </c>
      <c r="S48" s="272">
        <f t="shared" si="7"/>
        <v>2125.44</v>
      </c>
    </row>
    <row r="49" spans="1:19" s="270" customFormat="1" x14ac:dyDescent="0.25">
      <c r="A49" s="335">
        <v>501407</v>
      </c>
      <c r="B49" s="271">
        <v>1407</v>
      </c>
      <c r="C49" s="271">
        <v>84547</v>
      </c>
      <c r="D49" s="268" t="s">
        <v>894</v>
      </c>
      <c r="E49" s="268" t="s">
        <v>1290</v>
      </c>
      <c r="F49" s="268" t="s">
        <v>2314</v>
      </c>
      <c r="G49" s="268">
        <v>5</v>
      </c>
      <c r="H49" s="268" t="s">
        <v>2315</v>
      </c>
      <c r="I49" s="268" t="s">
        <v>2277</v>
      </c>
      <c r="J49" s="272">
        <v>634740</v>
      </c>
      <c r="K49" s="272">
        <f t="shared" si="1"/>
        <v>52895</v>
      </c>
      <c r="L49" s="272">
        <f t="shared" si="2"/>
        <v>12141.24</v>
      </c>
      <c r="M49" s="269">
        <v>0</v>
      </c>
      <c r="N49" s="272">
        <f t="shared" si="3"/>
        <v>129.60000000000002</v>
      </c>
      <c r="O49" s="272">
        <f t="shared" si="11"/>
        <v>182148</v>
      </c>
      <c r="P49" s="273">
        <f t="shared" si="5"/>
        <v>11107.95</v>
      </c>
      <c r="Q49" s="272">
        <f t="shared" si="6"/>
        <v>60084</v>
      </c>
      <c r="R49" s="272">
        <f t="shared" si="8"/>
        <v>114697.518</v>
      </c>
      <c r="S49" s="272">
        <f t="shared" si="7"/>
        <v>2125.44</v>
      </c>
    </row>
    <row r="50" spans="1:19" s="270" customFormat="1" x14ac:dyDescent="0.25">
      <c r="A50" s="335">
        <v>501204</v>
      </c>
      <c r="B50" s="271">
        <v>1204</v>
      </c>
      <c r="C50" s="271">
        <v>200002</v>
      </c>
      <c r="D50" s="268" t="s">
        <v>894</v>
      </c>
      <c r="E50" s="268" t="s">
        <v>1290</v>
      </c>
      <c r="F50" s="268" t="s">
        <v>2217</v>
      </c>
      <c r="G50" s="268">
        <v>5</v>
      </c>
      <c r="H50" s="268" t="s">
        <v>2316</v>
      </c>
      <c r="I50" s="268" t="s">
        <v>2317</v>
      </c>
      <c r="J50" s="272">
        <v>634740</v>
      </c>
      <c r="K50" s="272">
        <f t="shared" si="1"/>
        <v>52895</v>
      </c>
      <c r="L50" s="272">
        <f t="shared" si="2"/>
        <v>12141.24</v>
      </c>
      <c r="M50" s="269">
        <v>0</v>
      </c>
      <c r="N50" s="272">
        <f t="shared" si="3"/>
        <v>129.60000000000002</v>
      </c>
      <c r="O50" s="272">
        <f t="shared" si="11"/>
        <v>182148</v>
      </c>
      <c r="P50" s="273">
        <f t="shared" si="5"/>
        <v>11107.95</v>
      </c>
      <c r="Q50" s="272">
        <f t="shared" si="6"/>
        <v>60084</v>
      </c>
      <c r="R50" s="272">
        <f t="shared" si="8"/>
        <v>114697.518</v>
      </c>
      <c r="S50" s="272">
        <f t="shared" si="7"/>
        <v>2125.44</v>
      </c>
    </row>
    <row r="51" spans="1:19" s="270" customFormat="1" x14ac:dyDescent="0.25">
      <c r="A51" s="335">
        <v>501205</v>
      </c>
      <c r="B51" s="271">
        <v>1205</v>
      </c>
      <c r="C51" s="271">
        <v>200003</v>
      </c>
      <c r="D51" s="268" t="s">
        <v>894</v>
      </c>
      <c r="E51" s="268" t="s">
        <v>1290</v>
      </c>
      <c r="F51" s="268" t="s">
        <v>2318</v>
      </c>
      <c r="G51" s="268">
        <v>5</v>
      </c>
      <c r="H51" s="268" t="s">
        <v>2319</v>
      </c>
      <c r="I51" s="268" t="s">
        <v>2320</v>
      </c>
      <c r="J51" s="272">
        <v>634740</v>
      </c>
      <c r="K51" s="272">
        <f t="shared" si="1"/>
        <v>52895</v>
      </c>
      <c r="L51" s="272">
        <f t="shared" si="2"/>
        <v>12141.24</v>
      </c>
      <c r="M51" s="269">
        <v>0</v>
      </c>
      <c r="N51" s="272">
        <f t="shared" si="3"/>
        <v>129.60000000000002</v>
      </c>
      <c r="O51" s="272">
        <f t="shared" si="11"/>
        <v>182148</v>
      </c>
      <c r="P51" s="273">
        <f t="shared" si="5"/>
        <v>11107.95</v>
      </c>
      <c r="Q51" s="272">
        <f t="shared" si="6"/>
        <v>60084</v>
      </c>
      <c r="R51" s="272">
        <f t="shared" si="8"/>
        <v>114697.518</v>
      </c>
      <c r="S51" s="272">
        <f t="shared" si="7"/>
        <v>2125.44</v>
      </c>
    </row>
    <row r="52" spans="1:19" s="270" customFormat="1" x14ac:dyDescent="0.25">
      <c r="A52" s="335">
        <v>501205</v>
      </c>
      <c r="B52" s="271">
        <v>1205</v>
      </c>
      <c r="C52" s="271">
        <v>200004</v>
      </c>
      <c r="D52" s="268" t="s">
        <v>894</v>
      </c>
      <c r="E52" s="268" t="s">
        <v>1290</v>
      </c>
      <c r="F52" s="268" t="s">
        <v>2321</v>
      </c>
      <c r="G52" s="268">
        <v>5</v>
      </c>
      <c r="H52" s="268" t="s">
        <v>2322</v>
      </c>
      <c r="I52" s="268" t="s">
        <v>2323</v>
      </c>
      <c r="J52" s="272">
        <v>634740</v>
      </c>
      <c r="K52" s="272">
        <f t="shared" si="1"/>
        <v>52895</v>
      </c>
      <c r="L52" s="272">
        <f t="shared" si="2"/>
        <v>12141.24</v>
      </c>
      <c r="M52" s="269">
        <v>0</v>
      </c>
      <c r="N52" s="272">
        <f t="shared" si="3"/>
        <v>129.60000000000002</v>
      </c>
      <c r="O52" s="272">
        <f t="shared" si="11"/>
        <v>182148</v>
      </c>
      <c r="P52" s="273">
        <f t="shared" si="5"/>
        <v>11107.95</v>
      </c>
      <c r="Q52" s="272">
        <f t="shared" si="6"/>
        <v>60084</v>
      </c>
      <c r="R52" s="272">
        <f t="shared" si="8"/>
        <v>114697.518</v>
      </c>
      <c r="S52" s="272">
        <f t="shared" si="7"/>
        <v>2125.44</v>
      </c>
    </row>
    <row r="53" spans="1:19" s="270" customFormat="1" x14ac:dyDescent="0.25">
      <c r="A53" s="335">
        <v>501203</v>
      </c>
      <c r="B53" s="271">
        <v>1203</v>
      </c>
      <c r="C53" s="271">
        <v>200005</v>
      </c>
      <c r="D53" s="268" t="s">
        <v>894</v>
      </c>
      <c r="E53" s="268" t="s">
        <v>1290</v>
      </c>
      <c r="F53" s="268" t="s">
        <v>2324</v>
      </c>
      <c r="G53" s="268">
        <v>5</v>
      </c>
      <c r="H53" s="268" t="s">
        <v>2325</v>
      </c>
      <c r="I53" s="268" t="s">
        <v>2326</v>
      </c>
      <c r="J53" s="272">
        <v>634740</v>
      </c>
      <c r="K53" s="272">
        <f t="shared" si="1"/>
        <v>52895</v>
      </c>
      <c r="L53" s="272">
        <f t="shared" si="2"/>
        <v>12141.24</v>
      </c>
      <c r="M53" s="269">
        <v>0</v>
      </c>
      <c r="N53" s="272">
        <f t="shared" si="3"/>
        <v>129.60000000000002</v>
      </c>
      <c r="O53" s="272">
        <f t="shared" si="11"/>
        <v>182148</v>
      </c>
      <c r="P53" s="273">
        <f t="shared" si="5"/>
        <v>11107.95</v>
      </c>
      <c r="Q53" s="272">
        <f t="shared" si="6"/>
        <v>60084</v>
      </c>
      <c r="R53" s="272">
        <f t="shared" si="8"/>
        <v>114697.518</v>
      </c>
      <c r="S53" s="272">
        <f t="shared" si="7"/>
        <v>2125.44</v>
      </c>
    </row>
    <row r="54" spans="1:19" s="270" customFormat="1" x14ac:dyDescent="0.25">
      <c r="A54" s="335">
        <v>501204</v>
      </c>
      <c r="B54" s="271">
        <v>1204</v>
      </c>
      <c r="C54" s="271">
        <v>200006</v>
      </c>
      <c r="D54" s="268" t="s">
        <v>894</v>
      </c>
      <c r="E54" s="268" t="s">
        <v>1290</v>
      </c>
      <c r="F54" s="268" t="s">
        <v>2327</v>
      </c>
      <c r="G54" s="268">
        <v>5</v>
      </c>
      <c r="H54" s="268" t="s">
        <v>2328</v>
      </c>
      <c r="I54" s="268" t="s">
        <v>2329</v>
      </c>
      <c r="J54" s="272">
        <v>634740</v>
      </c>
      <c r="K54" s="272">
        <f t="shared" si="1"/>
        <v>52895</v>
      </c>
      <c r="L54" s="272">
        <f t="shared" si="2"/>
        <v>12141.24</v>
      </c>
      <c r="M54" s="269">
        <v>0</v>
      </c>
      <c r="N54" s="272">
        <f t="shared" si="3"/>
        <v>129.60000000000002</v>
      </c>
      <c r="O54" s="272">
        <f t="shared" si="11"/>
        <v>182148</v>
      </c>
      <c r="P54" s="273">
        <f t="shared" si="5"/>
        <v>11107.95</v>
      </c>
      <c r="Q54" s="272">
        <f t="shared" si="6"/>
        <v>60084</v>
      </c>
      <c r="R54" s="272">
        <f t="shared" si="8"/>
        <v>114697.518</v>
      </c>
      <c r="S54" s="272">
        <f t="shared" si="7"/>
        <v>2125.44</v>
      </c>
    </row>
    <row r="55" spans="1:19" s="270" customFormat="1" x14ac:dyDescent="0.25">
      <c r="A55" s="335">
        <v>501407</v>
      </c>
      <c r="B55" s="271">
        <v>1407</v>
      </c>
      <c r="C55" s="271">
        <v>200024</v>
      </c>
      <c r="D55" s="268" t="s">
        <v>894</v>
      </c>
      <c r="E55" s="268" t="s">
        <v>1290</v>
      </c>
      <c r="F55" s="268" t="s">
        <v>2330</v>
      </c>
      <c r="G55" s="268">
        <v>5</v>
      </c>
      <c r="H55" s="268" t="s">
        <v>2331</v>
      </c>
      <c r="I55" s="268" t="s">
        <v>2332</v>
      </c>
      <c r="J55" s="272">
        <v>634740</v>
      </c>
      <c r="K55" s="272">
        <f t="shared" si="1"/>
        <v>52895</v>
      </c>
      <c r="L55" s="272">
        <f t="shared" si="2"/>
        <v>12141.24</v>
      </c>
      <c r="M55" s="269">
        <v>0</v>
      </c>
      <c r="N55" s="272">
        <f t="shared" si="3"/>
        <v>129.60000000000002</v>
      </c>
      <c r="O55" s="272">
        <f t="shared" si="11"/>
        <v>182148</v>
      </c>
      <c r="P55" s="273">
        <f t="shared" si="5"/>
        <v>11107.95</v>
      </c>
      <c r="Q55" s="272">
        <f t="shared" si="6"/>
        <v>60084</v>
      </c>
      <c r="R55" s="272">
        <f t="shared" si="8"/>
        <v>114697.518</v>
      </c>
      <c r="S55" s="272">
        <f t="shared" si="7"/>
        <v>2125.44</v>
      </c>
    </row>
    <row r="56" spans="1:19" s="270" customFormat="1" x14ac:dyDescent="0.25">
      <c r="A56" s="335">
        <v>501204</v>
      </c>
      <c r="B56" s="271">
        <v>1204</v>
      </c>
      <c r="C56" s="271">
        <v>200180</v>
      </c>
      <c r="D56" s="268" t="s">
        <v>894</v>
      </c>
      <c r="E56" s="268" t="s">
        <v>1278</v>
      </c>
      <c r="F56" s="268" t="s">
        <v>2333</v>
      </c>
      <c r="G56" s="268">
        <v>5</v>
      </c>
      <c r="H56" s="268" t="s">
        <v>2334</v>
      </c>
      <c r="I56" s="268" t="s">
        <v>2335</v>
      </c>
      <c r="J56" s="272">
        <v>634740</v>
      </c>
      <c r="K56" s="272">
        <f t="shared" si="1"/>
        <v>52895</v>
      </c>
      <c r="L56" s="272">
        <f t="shared" si="2"/>
        <v>12141.24</v>
      </c>
      <c r="M56" s="269">
        <v>0</v>
      </c>
      <c r="N56" s="272">
        <f t="shared" si="3"/>
        <v>129.60000000000002</v>
      </c>
      <c r="O56" s="272">
        <f t="shared" si="11"/>
        <v>182148</v>
      </c>
      <c r="P56" s="273">
        <f t="shared" si="5"/>
        <v>11107.95</v>
      </c>
      <c r="Q56" s="272">
        <f t="shared" si="6"/>
        <v>60084</v>
      </c>
      <c r="R56" s="272">
        <f t="shared" si="8"/>
        <v>114697.518</v>
      </c>
      <c r="S56" s="272">
        <f t="shared" si="7"/>
        <v>2125.44</v>
      </c>
    </row>
    <row r="57" spans="1:19" s="270" customFormat="1" x14ac:dyDescent="0.25">
      <c r="A57" s="335" t="str">
        <f>CONCATENATE(50,B57)</f>
        <v>501408</v>
      </c>
      <c r="B57" s="271">
        <v>1408</v>
      </c>
      <c r="C57" s="271">
        <v>200387</v>
      </c>
      <c r="D57" s="268" t="s">
        <v>894</v>
      </c>
      <c r="E57" s="268" t="s">
        <v>1290</v>
      </c>
      <c r="F57" s="268" t="s">
        <v>2336</v>
      </c>
      <c r="G57" s="268">
        <v>5</v>
      </c>
      <c r="H57" s="268" t="s">
        <v>2337</v>
      </c>
      <c r="I57" s="268" t="s">
        <v>2338</v>
      </c>
      <c r="J57" s="272">
        <v>634740</v>
      </c>
      <c r="K57" s="272">
        <f t="shared" si="1"/>
        <v>52895</v>
      </c>
      <c r="L57" s="272">
        <f t="shared" si="2"/>
        <v>12141.24</v>
      </c>
      <c r="M57" s="269">
        <v>0</v>
      </c>
      <c r="N57" s="272">
        <f t="shared" si="3"/>
        <v>129.60000000000002</v>
      </c>
      <c r="O57" s="272">
        <f t="shared" si="11"/>
        <v>182148</v>
      </c>
      <c r="P57" s="273">
        <f t="shared" si="5"/>
        <v>11107.95</v>
      </c>
      <c r="Q57" s="272">
        <f t="shared" si="6"/>
        <v>60084</v>
      </c>
      <c r="R57" s="272">
        <f t="shared" si="8"/>
        <v>114697.518</v>
      </c>
      <c r="S57" s="272">
        <f t="shared" si="7"/>
        <v>2125.44</v>
      </c>
    </row>
    <row r="58" spans="1:19" s="270" customFormat="1" x14ac:dyDescent="0.25">
      <c r="A58" s="335">
        <v>110721</v>
      </c>
      <c r="B58" s="271">
        <v>1107</v>
      </c>
      <c r="C58" s="271">
        <v>200392</v>
      </c>
      <c r="D58" s="268" t="s">
        <v>894</v>
      </c>
      <c r="E58" s="268" t="s">
        <v>1290</v>
      </c>
      <c r="F58" s="268" t="s">
        <v>2339</v>
      </c>
      <c r="G58" s="268">
        <v>5</v>
      </c>
      <c r="H58" s="268" t="s">
        <v>2340</v>
      </c>
      <c r="I58" s="268" t="s">
        <v>2341</v>
      </c>
      <c r="J58" s="272">
        <v>634740</v>
      </c>
      <c r="K58" s="272">
        <f t="shared" si="1"/>
        <v>52895</v>
      </c>
      <c r="L58" s="272">
        <f t="shared" si="2"/>
        <v>12141.24</v>
      </c>
      <c r="M58" s="269">
        <v>0</v>
      </c>
      <c r="N58" s="272">
        <f t="shared" si="3"/>
        <v>129.60000000000002</v>
      </c>
      <c r="O58" s="272">
        <f t="shared" si="11"/>
        <v>182148</v>
      </c>
      <c r="P58" s="273">
        <f t="shared" si="5"/>
        <v>11107.95</v>
      </c>
      <c r="Q58" s="272">
        <f t="shared" si="6"/>
        <v>60084</v>
      </c>
      <c r="R58" s="272">
        <f t="shared" si="8"/>
        <v>114697.518</v>
      </c>
      <c r="S58" s="272">
        <f t="shared" si="7"/>
        <v>2125.44</v>
      </c>
    </row>
    <row r="59" spans="1:19" s="270" customFormat="1" x14ac:dyDescent="0.25">
      <c r="A59" s="335">
        <v>501407</v>
      </c>
      <c r="B59" s="271">
        <v>1407</v>
      </c>
      <c r="C59" s="271">
        <v>59705</v>
      </c>
      <c r="D59" s="268" t="s">
        <v>894</v>
      </c>
      <c r="E59" s="268" t="s">
        <v>1290</v>
      </c>
      <c r="F59" s="268" t="s">
        <v>2342</v>
      </c>
      <c r="G59" s="268">
        <v>6</v>
      </c>
      <c r="H59" s="268" t="s">
        <v>2343</v>
      </c>
      <c r="I59" s="268" t="s">
        <v>2344</v>
      </c>
      <c r="J59" s="272">
        <v>634740</v>
      </c>
      <c r="K59" s="272">
        <f t="shared" si="1"/>
        <v>52895</v>
      </c>
      <c r="L59" s="272">
        <f t="shared" si="2"/>
        <v>12141.24</v>
      </c>
      <c r="M59" s="269">
        <v>0</v>
      </c>
      <c r="N59" s="272">
        <f t="shared" si="3"/>
        <v>129.60000000000002</v>
      </c>
      <c r="O59" s="272">
        <f t="shared" si="11"/>
        <v>182148</v>
      </c>
      <c r="P59" s="273">
        <f t="shared" si="5"/>
        <v>11107.95</v>
      </c>
      <c r="Q59" s="272">
        <f t="shared" si="6"/>
        <v>60084</v>
      </c>
      <c r="R59" s="272">
        <f t="shared" si="8"/>
        <v>114697.518</v>
      </c>
      <c r="S59" s="272">
        <f t="shared" si="7"/>
        <v>2125.44</v>
      </c>
    </row>
    <row r="60" spans="1:19" s="270" customFormat="1" x14ac:dyDescent="0.25">
      <c r="A60" s="337">
        <v>501457</v>
      </c>
      <c r="B60" s="276">
        <v>1501</v>
      </c>
      <c r="C60" s="276">
        <v>2781</v>
      </c>
      <c r="D60" s="268" t="s">
        <v>876</v>
      </c>
      <c r="E60" s="268" t="s">
        <v>1278</v>
      </c>
      <c r="F60" s="268" t="s">
        <v>2345</v>
      </c>
      <c r="G60" s="268" t="s">
        <v>2190</v>
      </c>
      <c r="H60" s="268" t="s">
        <v>2346</v>
      </c>
      <c r="I60" s="268" t="s">
        <v>2347</v>
      </c>
      <c r="J60" s="269">
        <v>609136</v>
      </c>
      <c r="K60" s="273">
        <v>0</v>
      </c>
      <c r="L60" s="272">
        <v>0</v>
      </c>
      <c r="M60" s="269">
        <f>320.7*12</f>
        <v>3848.3999999999996</v>
      </c>
      <c r="N60" s="272">
        <v>0</v>
      </c>
      <c r="O60" s="273">
        <v>0</v>
      </c>
      <c r="P60" s="273">
        <v>0</v>
      </c>
      <c r="Q60" s="272">
        <v>0</v>
      </c>
      <c r="R60" s="273">
        <v>0</v>
      </c>
      <c r="S60" s="273">
        <v>0</v>
      </c>
    </row>
    <row r="61" spans="1:19" s="270" customFormat="1" x14ac:dyDescent="0.25">
      <c r="A61" s="335">
        <v>501406</v>
      </c>
      <c r="B61" s="271">
        <v>1406</v>
      </c>
      <c r="C61" s="271">
        <v>33433</v>
      </c>
      <c r="D61" s="268" t="s">
        <v>894</v>
      </c>
      <c r="E61" s="268" t="s">
        <v>1278</v>
      </c>
      <c r="F61" s="268" t="s">
        <v>2348</v>
      </c>
      <c r="G61" s="268">
        <v>5</v>
      </c>
      <c r="H61" s="268" t="s">
        <v>2349</v>
      </c>
      <c r="I61" s="268" t="s">
        <v>2350</v>
      </c>
      <c r="J61" s="272">
        <v>599340</v>
      </c>
      <c r="K61" s="272">
        <f>J61/12</f>
        <v>49945</v>
      </c>
      <c r="L61" s="272">
        <f>1011.77*12</f>
        <v>12141.24</v>
      </c>
      <c r="M61" s="269">
        <v>0</v>
      </c>
      <c r="N61" s="272">
        <f>10.8*12</f>
        <v>129.60000000000002</v>
      </c>
      <c r="O61" s="272">
        <f>14264*12</f>
        <v>171168</v>
      </c>
      <c r="P61" s="273">
        <f>J61*1.75%</f>
        <v>10488.45</v>
      </c>
      <c r="Q61" s="272">
        <f>5007*12</f>
        <v>60084</v>
      </c>
      <c r="R61" s="272">
        <f>18.07%*J61</f>
        <v>108300.738</v>
      </c>
      <c r="S61" s="272">
        <f>177.12*12</f>
        <v>2125.44</v>
      </c>
    </row>
    <row r="62" spans="1:19" s="270" customFormat="1" x14ac:dyDescent="0.25">
      <c r="A62" s="335">
        <v>501406</v>
      </c>
      <c r="B62" s="271">
        <v>1406</v>
      </c>
      <c r="C62" s="271">
        <v>200442</v>
      </c>
      <c r="D62" s="268" t="s">
        <v>1698</v>
      </c>
      <c r="E62" s="268" t="s">
        <v>1278</v>
      </c>
      <c r="F62" s="268" t="s">
        <v>2351</v>
      </c>
      <c r="G62" s="268">
        <v>5</v>
      </c>
      <c r="H62" s="268" t="s">
        <v>2352</v>
      </c>
      <c r="I62" s="268" t="s">
        <v>2350</v>
      </c>
      <c r="J62" s="272">
        <v>599340</v>
      </c>
      <c r="K62" s="272">
        <f>J62/12</f>
        <v>49945</v>
      </c>
      <c r="L62" s="272">
        <f>1011.77*12</f>
        <v>12141.24</v>
      </c>
      <c r="M62" s="269">
        <v>0</v>
      </c>
      <c r="N62" s="272">
        <f>10.8*12</f>
        <v>129.60000000000002</v>
      </c>
      <c r="O62" s="272">
        <f>14264*12</f>
        <v>171168</v>
      </c>
      <c r="P62" s="273">
        <f>J62*1.75%</f>
        <v>10488.45</v>
      </c>
      <c r="Q62" s="272">
        <f>5007*12</f>
        <v>60084</v>
      </c>
      <c r="R62" s="272">
        <f>18.07%*J62</f>
        <v>108300.738</v>
      </c>
      <c r="S62" s="272">
        <f>177.12*12</f>
        <v>2125.44</v>
      </c>
    </row>
    <row r="63" spans="1:19" s="270" customFormat="1" x14ac:dyDescent="0.25">
      <c r="A63" s="335">
        <v>501101</v>
      </c>
      <c r="B63" s="271">
        <v>1101</v>
      </c>
      <c r="C63" s="271">
        <v>19790</v>
      </c>
      <c r="D63" s="268" t="s">
        <v>1698</v>
      </c>
      <c r="E63" s="268" t="s">
        <v>1278</v>
      </c>
      <c r="F63" s="268" t="s">
        <v>1286</v>
      </c>
      <c r="G63" s="268" t="s">
        <v>2190</v>
      </c>
      <c r="H63" s="268" t="s">
        <v>2353</v>
      </c>
      <c r="I63" s="268" t="s">
        <v>2354</v>
      </c>
      <c r="J63" s="272">
        <v>588798</v>
      </c>
      <c r="K63" s="272">
        <v>0</v>
      </c>
      <c r="L63" s="272">
        <v>0</v>
      </c>
      <c r="M63" s="269">
        <v>0</v>
      </c>
      <c r="N63" s="272">
        <v>0</v>
      </c>
      <c r="O63" s="273">
        <v>0</v>
      </c>
      <c r="P63" s="273">
        <v>0</v>
      </c>
      <c r="Q63" s="272">
        <v>0</v>
      </c>
      <c r="R63" s="272">
        <v>0</v>
      </c>
      <c r="S63" s="272">
        <v>0</v>
      </c>
    </row>
    <row r="64" spans="1:19" s="270" customFormat="1" x14ac:dyDescent="0.25">
      <c r="A64" s="335">
        <v>501445</v>
      </c>
      <c r="B64" s="271">
        <v>1445</v>
      </c>
      <c r="C64" s="271">
        <v>16379</v>
      </c>
      <c r="D64" s="268" t="s">
        <v>1698</v>
      </c>
      <c r="E64" s="268" t="s">
        <v>1290</v>
      </c>
      <c r="F64" s="268" t="s">
        <v>2355</v>
      </c>
      <c r="G64" s="268">
        <v>5</v>
      </c>
      <c r="H64" s="268" t="s">
        <v>2356</v>
      </c>
      <c r="I64" s="268" t="s">
        <v>2357</v>
      </c>
      <c r="J64" s="272">
        <v>581580</v>
      </c>
      <c r="K64" s="272">
        <f t="shared" ref="K64:K127" si="12">J64/12</f>
        <v>48465</v>
      </c>
      <c r="L64" s="272">
        <f t="shared" ref="L64:L127" si="13">1011.77*12</f>
        <v>12141.24</v>
      </c>
      <c r="M64" s="269">
        <f>450*12</f>
        <v>5400</v>
      </c>
      <c r="N64" s="272">
        <f>10.8*12</f>
        <v>129.60000000000002</v>
      </c>
      <c r="O64" s="272">
        <f>13921*12</f>
        <v>167052</v>
      </c>
      <c r="P64" s="273">
        <f t="shared" ref="P64:P127" si="14">J64*1.75%</f>
        <v>10177.650000000001</v>
      </c>
      <c r="Q64" s="272">
        <f t="shared" ref="Q64:Q127" si="15">5007*12</f>
        <v>60084</v>
      </c>
      <c r="R64" s="272">
        <f t="shared" ref="R64:R127" si="16">18.07%*J64</f>
        <v>105091.50599999999</v>
      </c>
      <c r="S64" s="272">
        <f>177.12*12</f>
        <v>2125.44</v>
      </c>
    </row>
    <row r="65" spans="1:21" s="270" customFormat="1" x14ac:dyDescent="0.25">
      <c r="A65" s="335">
        <v>501442</v>
      </c>
      <c r="B65" s="271">
        <v>1442</v>
      </c>
      <c r="C65" s="271">
        <v>35172</v>
      </c>
      <c r="D65" s="268" t="s">
        <v>894</v>
      </c>
      <c r="E65" s="268" t="s">
        <v>1290</v>
      </c>
      <c r="F65" s="268" t="s">
        <v>2358</v>
      </c>
      <c r="G65" s="268">
        <v>5</v>
      </c>
      <c r="H65" s="268" t="s">
        <v>2359</v>
      </c>
      <c r="I65" s="268" t="s">
        <v>2357</v>
      </c>
      <c r="J65" s="272">
        <v>581580</v>
      </c>
      <c r="K65" s="272">
        <f t="shared" si="12"/>
        <v>48465</v>
      </c>
      <c r="L65" s="272">
        <f t="shared" si="13"/>
        <v>12141.24</v>
      </c>
      <c r="M65" s="269">
        <f>500*12</f>
        <v>6000</v>
      </c>
      <c r="N65" s="272">
        <f>10.8*12</f>
        <v>129.60000000000002</v>
      </c>
      <c r="O65" s="272">
        <f>13921*12</f>
        <v>167052</v>
      </c>
      <c r="P65" s="273">
        <f t="shared" si="14"/>
        <v>10177.650000000001</v>
      </c>
      <c r="Q65" s="272">
        <f t="shared" si="15"/>
        <v>60084</v>
      </c>
      <c r="R65" s="272">
        <f t="shared" si="16"/>
        <v>105091.50599999999</v>
      </c>
      <c r="S65" s="272">
        <f t="shared" ref="S65:S128" si="17">177.12*12</f>
        <v>2125.44</v>
      </c>
    </row>
    <row r="66" spans="1:21" s="270" customFormat="1" x14ac:dyDescent="0.25">
      <c r="A66" s="335">
        <v>501445</v>
      </c>
      <c r="B66" s="271">
        <v>1445</v>
      </c>
      <c r="C66" s="271">
        <v>58793</v>
      </c>
      <c r="D66" s="268" t="s">
        <v>894</v>
      </c>
      <c r="E66" s="268" t="s">
        <v>1290</v>
      </c>
      <c r="F66" s="268" t="s">
        <v>2360</v>
      </c>
      <c r="G66" s="268">
        <v>5</v>
      </c>
      <c r="H66" s="268" t="s">
        <v>2361</v>
      </c>
      <c r="I66" s="268" t="s">
        <v>2357</v>
      </c>
      <c r="J66" s="272">
        <v>581580</v>
      </c>
      <c r="K66" s="272">
        <f t="shared" si="12"/>
        <v>48465</v>
      </c>
      <c r="L66" s="272">
        <f t="shared" si="13"/>
        <v>12141.24</v>
      </c>
      <c r="M66" s="269">
        <f>450*12</f>
        <v>5400</v>
      </c>
      <c r="N66" s="272">
        <f>10.8*12</f>
        <v>129.60000000000002</v>
      </c>
      <c r="O66" s="272">
        <f>13921*12</f>
        <v>167052</v>
      </c>
      <c r="P66" s="273">
        <f t="shared" si="14"/>
        <v>10177.650000000001</v>
      </c>
      <c r="Q66" s="272">
        <f t="shared" si="15"/>
        <v>60084</v>
      </c>
      <c r="R66" s="272">
        <f t="shared" si="16"/>
        <v>105091.50599999999</v>
      </c>
      <c r="S66" s="272">
        <f t="shared" si="17"/>
        <v>2125.44</v>
      </c>
    </row>
    <row r="67" spans="1:21" x14ac:dyDescent="0.25">
      <c r="A67" s="335">
        <v>501101</v>
      </c>
      <c r="B67" s="271">
        <v>1101</v>
      </c>
      <c r="C67" s="271">
        <v>83768</v>
      </c>
      <c r="D67" s="268" t="s">
        <v>894</v>
      </c>
      <c r="E67" s="268" t="s">
        <v>1290</v>
      </c>
      <c r="F67" s="268" t="s">
        <v>2362</v>
      </c>
      <c r="G67" s="268">
        <v>5</v>
      </c>
      <c r="H67" s="268" t="s">
        <v>2363</v>
      </c>
      <c r="I67" s="268" t="s">
        <v>2301</v>
      </c>
      <c r="J67" s="272">
        <v>581580</v>
      </c>
      <c r="K67" s="272">
        <f t="shared" si="12"/>
        <v>48465</v>
      </c>
      <c r="L67" s="272">
        <f t="shared" si="13"/>
        <v>12141.24</v>
      </c>
      <c r="M67" s="269">
        <v>0</v>
      </c>
      <c r="N67" s="272">
        <f>10.8*12</f>
        <v>129.60000000000002</v>
      </c>
      <c r="O67" s="272">
        <f>13921*12</f>
        <v>167052</v>
      </c>
      <c r="P67" s="273">
        <f t="shared" si="14"/>
        <v>10177.650000000001</v>
      </c>
      <c r="Q67" s="272">
        <f t="shared" si="15"/>
        <v>60084</v>
      </c>
      <c r="R67" s="272">
        <f t="shared" si="16"/>
        <v>105091.50599999999</v>
      </c>
      <c r="S67" s="272">
        <f t="shared" si="17"/>
        <v>2125.44</v>
      </c>
      <c r="T67" s="270"/>
      <c r="U67" s="270"/>
    </row>
    <row r="68" spans="1:21" s="270" customFormat="1" x14ac:dyDescent="0.25">
      <c r="A68" s="335">
        <v>501445</v>
      </c>
      <c r="B68" s="271">
        <v>1445</v>
      </c>
      <c r="C68" s="271">
        <v>84107</v>
      </c>
      <c r="D68" s="268" t="s">
        <v>894</v>
      </c>
      <c r="E68" s="268" t="s">
        <v>1290</v>
      </c>
      <c r="F68" s="268" t="s">
        <v>2364</v>
      </c>
      <c r="G68" s="268">
        <v>5</v>
      </c>
      <c r="H68" s="268" t="s">
        <v>2365</v>
      </c>
      <c r="I68" s="268" t="s">
        <v>2366</v>
      </c>
      <c r="J68" s="272">
        <v>581580</v>
      </c>
      <c r="K68" s="272">
        <f t="shared" si="12"/>
        <v>48465</v>
      </c>
      <c r="L68" s="272">
        <f t="shared" si="13"/>
        <v>12141.24</v>
      </c>
      <c r="M68" s="269">
        <v>0</v>
      </c>
      <c r="N68" s="272">
        <f>10.8*12</f>
        <v>129.60000000000002</v>
      </c>
      <c r="O68" s="272">
        <f>13921*12</f>
        <v>167052</v>
      </c>
      <c r="P68" s="273">
        <f t="shared" si="14"/>
        <v>10177.650000000001</v>
      </c>
      <c r="Q68" s="272">
        <f t="shared" si="15"/>
        <v>60084</v>
      </c>
      <c r="R68" s="272">
        <f t="shared" si="16"/>
        <v>105091.50599999999</v>
      </c>
      <c r="S68" s="272">
        <f t="shared" si="17"/>
        <v>2125.44</v>
      </c>
    </row>
    <row r="69" spans="1:21" s="270" customFormat="1" x14ac:dyDescent="0.25">
      <c r="A69" s="335">
        <v>501406</v>
      </c>
      <c r="B69" s="271">
        <v>1406</v>
      </c>
      <c r="C69" s="271">
        <v>200124</v>
      </c>
      <c r="D69" s="268" t="s">
        <v>894</v>
      </c>
      <c r="E69" s="268" t="s">
        <v>1278</v>
      </c>
      <c r="F69" s="268" t="s">
        <v>2367</v>
      </c>
      <c r="G69" s="268">
        <v>5</v>
      </c>
      <c r="H69" s="268" t="s">
        <v>2368</v>
      </c>
      <c r="I69" s="268" t="s">
        <v>2369</v>
      </c>
      <c r="J69" s="272">
        <v>581580</v>
      </c>
      <c r="K69" s="272">
        <f t="shared" si="12"/>
        <v>48465</v>
      </c>
      <c r="L69" s="272">
        <f t="shared" si="13"/>
        <v>12141.24</v>
      </c>
      <c r="M69" s="269">
        <v>0</v>
      </c>
      <c r="N69" s="272">
        <f t="shared" ref="N69:N132" si="18">10.8*12</f>
        <v>129.60000000000002</v>
      </c>
      <c r="O69" s="273">
        <v>0</v>
      </c>
      <c r="P69" s="273">
        <f t="shared" si="14"/>
        <v>10177.650000000001</v>
      </c>
      <c r="Q69" s="272">
        <f t="shared" si="15"/>
        <v>60084</v>
      </c>
      <c r="R69" s="272">
        <f t="shared" si="16"/>
        <v>105091.50599999999</v>
      </c>
      <c r="S69" s="272">
        <f t="shared" si="17"/>
        <v>2125.44</v>
      </c>
    </row>
    <row r="70" spans="1:21" x14ac:dyDescent="0.25">
      <c r="A70" s="335">
        <v>501406</v>
      </c>
      <c r="B70" s="271">
        <v>1406</v>
      </c>
      <c r="C70" s="271">
        <v>200157</v>
      </c>
      <c r="D70" s="268" t="s">
        <v>894</v>
      </c>
      <c r="E70" s="268" t="s">
        <v>1278</v>
      </c>
      <c r="F70" s="268" t="s">
        <v>2370</v>
      </c>
      <c r="G70" s="268">
        <v>5</v>
      </c>
      <c r="H70" s="268" t="s">
        <v>2371</v>
      </c>
      <c r="I70" s="268" t="s">
        <v>2369</v>
      </c>
      <c r="J70" s="272">
        <v>581580</v>
      </c>
      <c r="K70" s="272">
        <f t="shared" si="12"/>
        <v>48465</v>
      </c>
      <c r="L70" s="272">
        <f t="shared" si="13"/>
        <v>12141.24</v>
      </c>
      <c r="M70" s="269">
        <v>0</v>
      </c>
      <c r="N70" s="272">
        <f t="shared" si="18"/>
        <v>129.60000000000002</v>
      </c>
      <c r="O70" s="273">
        <v>0</v>
      </c>
      <c r="P70" s="273">
        <f t="shared" si="14"/>
        <v>10177.650000000001</v>
      </c>
      <c r="Q70" s="272">
        <f t="shared" si="15"/>
        <v>60084</v>
      </c>
      <c r="R70" s="272">
        <f t="shared" si="16"/>
        <v>105091.50599999999</v>
      </c>
      <c r="S70" s="272">
        <f t="shared" si="17"/>
        <v>2125.44</v>
      </c>
      <c r="T70" s="270"/>
      <c r="U70" s="270"/>
    </row>
    <row r="71" spans="1:21" s="270" customFormat="1" x14ac:dyDescent="0.25">
      <c r="A71" s="335" t="str">
        <f>CONCATENATE(50,B71)</f>
        <v>501445</v>
      </c>
      <c r="B71" s="271">
        <v>1445</v>
      </c>
      <c r="C71" s="271">
        <v>200386</v>
      </c>
      <c r="D71" s="268" t="s">
        <v>894</v>
      </c>
      <c r="E71" s="268" t="s">
        <v>1290</v>
      </c>
      <c r="F71" s="268" t="s">
        <v>1304</v>
      </c>
      <c r="G71" s="268">
        <v>5</v>
      </c>
      <c r="H71" s="268" t="s">
        <v>2293</v>
      </c>
      <c r="I71" s="268" t="s">
        <v>2372</v>
      </c>
      <c r="J71" s="272">
        <v>581580</v>
      </c>
      <c r="K71" s="272">
        <f t="shared" si="12"/>
        <v>48465</v>
      </c>
      <c r="L71" s="272">
        <f t="shared" si="13"/>
        <v>12141.24</v>
      </c>
      <c r="M71" s="269">
        <v>0</v>
      </c>
      <c r="N71" s="272">
        <f t="shared" si="18"/>
        <v>129.60000000000002</v>
      </c>
      <c r="O71" s="272">
        <f>13921*12</f>
        <v>167052</v>
      </c>
      <c r="P71" s="273">
        <f t="shared" si="14"/>
        <v>10177.650000000001</v>
      </c>
      <c r="Q71" s="272">
        <f t="shared" si="15"/>
        <v>60084</v>
      </c>
      <c r="R71" s="272">
        <f t="shared" si="16"/>
        <v>105091.50599999999</v>
      </c>
      <c r="S71" s="272">
        <f t="shared" si="17"/>
        <v>2125.44</v>
      </c>
    </row>
    <row r="72" spans="1:21" s="270" customFormat="1" x14ac:dyDescent="0.25">
      <c r="A72" s="335">
        <v>501206</v>
      </c>
      <c r="B72" s="271">
        <v>1206</v>
      </c>
      <c r="C72" s="271">
        <v>12360</v>
      </c>
      <c r="D72" s="268" t="s">
        <v>1698</v>
      </c>
      <c r="E72" s="268" t="s">
        <v>1290</v>
      </c>
      <c r="F72" s="268" t="s">
        <v>2373</v>
      </c>
      <c r="G72" s="268">
        <v>6</v>
      </c>
      <c r="H72" s="268" t="s">
        <v>2374</v>
      </c>
      <c r="I72" s="268" t="s">
        <v>2375</v>
      </c>
      <c r="J72" s="272">
        <v>563832</v>
      </c>
      <c r="K72" s="272">
        <f t="shared" si="12"/>
        <v>46986</v>
      </c>
      <c r="L72" s="272">
        <f t="shared" si="13"/>
        <v>12141.24</v>
      </c>
      <c r="M72" s="269">
        <v>0</v>
      </c>
      <c r="N72" s="272">
        <f t="shared" si="18"/>
        <v>129.60000000000002</v>
      </c>
      <c r="O72" s="273">
        <v>0</v>
      </c>
      <c r="P72" s="273">
        <f t="shared" si="14"/>
        <v>9867.0600000000013</v>
      </c>
      <c r="Q72" s="272">
        <f t="shared" si="15"/>
        <v>60084</v>
      </c>
      <c r="R72" s="272">
        <f t="shared" si="16"/>
        <v>101884.4424</v>
      </c>
      <c r="S72" s="272">
        <f t="shared" si="17"/>
        <v>2125.44</v>
      </c>
    </row>
    <row r="73" spans="1:21" s="270" customFormat="1" x14ac:dyDescent="0.25">
      <c r="A73" s="335">
        <v>501445</v>
      </c>
      <c r="B73" s="271">
        <v>1445</v>
      </c>
      <c r="C73" s="271">
        <v>14805</v>
      </c>
      <c r="D73" s="268" t="s">
        <v>1698</v>
      </c>
      <c r="E73" s="268" t="s">
        <v>1290</v>
      </c>
      <c r="F73" s="268" t="s">
        <v>327</v>
      </c>
      <c r="G73" s="268">
        <v>6</v>
      </c>
      <c r="H73" s="268" t="s">
        <v>2376</v>
      </c>
      <c r="I73" s="268" t="s">
        <v>2377</v>
      </c>
      <c r="J73" s="272">
        <v>563832</v>
      </c>
      <c r="K73" s="272">
        <f t="shared" si="12"/>
        <v>46986</v>
      </c>
      <c r="L73" s="272">
        <f t="shared" si="13"/>
        <v>12141.24</v>
      </c>
      <c r="M73" s="269">
        <f>450*12</f>
        <v>5400</v>
      </c>
      <c r="N73" s="272">
        <f t="shared" si="18"/>
        <v>129.60000000000002</v>
      </c>
      <c r="O73" s="272">
        <f>10098*12</f>
        <v>121176</v>
      </c>
      <c r="P73" s="273">
        <f t="shared" si="14"/>
        <v>9867.0600000000013</v>
      </c>
      <c r="Q73" s="272">
        <f t="shared" si="15"/>
        <v>60084</v>
      </c>
      <c r="R73" s="272">
        <f t="shared" si="16"/>
        <v>101884.4424</v>
      </c>
      <c r="S73" s="272">
        <f t="shared" si="17"/>
        <v>2125.44</v>
      </c>
    </row>
    <row r="74" spans="1:21" s="270" customFormat="1" x14ac:dyDescent="0.25">
      <c r="A74" s="335">
        <v>501203</v>
      </c>
      <c r="B74" s="271">
        <v>1203</v>
      </c>
      <c r="C74" s="271">
        <v>23469</v>
      </c>
      <c r="D74" s="268" t="s">
        <v>894</v>
      </c>
      <c r="E74" s="268" t="s">
        <v>1278</v>
      </c>
      <c r="F74" s="268" t="s">
        <v>2378</v>
      </c>
      <c r="G74" s="268">
        <v>6</v>
      </c>
      <c r="H74" s="268" t="s">
        <v>2379</v>
      </c>
      <c r="I74" s="268" t="s">
        <v>2380</v>
      </c>
      <c r="J74" s="272">
        <v>563832</v>
      </c>
      <c r="K74" s="272">
        <f t="shared" si="12"/>
        <v>46986</v>
      </c>
      <c r="L74" s="272">
        <f t="shared" si="13"/>
        <v>12141.24</v>
      </c>
      <c r="M74" s="269">
        <v>0</v>
      </c>
      <c r="N74" s="272">
        <f t="shared" si="18"/>
        <v>129.60000000000002</v>
      </c>
      <c r="O74" s="273">
        <v>0</v>
      </c>
      <c r="P74" s="273">
        <f t="shared" si="14"/>
        <v>9867.0600000000013</v>
      </c>
      <c r="Q74" s="272">
        <f t="shared" si="15"/>
        <v>60084</v>
      </c>
      <c r="R74" s="272">
        <f t="shared" si="16"/>
        <v>101884.4424</v>
      </c>
      <c r="S74" s="272">
        <f t="shared" si="17"/>
        <v>2125.44</v>
      </c>
    </row>
    <row r="75" spans="1:21" s="270" customFormat="1" x14ac:dyDescent="0.25">
      <c r="A75" s="335">
        <v>501442</v>
      </c>
      <c r="B75" s="271">
        <v>1442</v>
      </c>
      <c r="C75" s="271">
        <v>27892</v>
      </c>
      <c r="D75" s="268" t="s">
        <v>894</v>
      </c>
      <c r="E75" s="268" t="s">
        <v>1290</v>
      </c>
      <c r="F75" s="268" t="s">
        <v>2381</v>
      </c>
      <c r="G75" s="268">
        <v>6</v>
      </c>
      <c r="H75" s="268" t="s">
        <v>2382</v>
      </c>
      <c r="I75" s="268" t="s">
        <v>2288</v>
      </c>
      <c r="J75" s="272">
        <v>563832</v>
      </c>
      <c r="K75" s="272">
        <f t="shared" si="12"/>
        <v>46986</v>
      </c>
      <c r="L75" s="272">
        <f t="shared" si="13"/>
        <v>12141.24</v>
      </c>
      <c r="M75" s="269">
        <v>0</v>
      </c>
      <c r="N75" s="272">
        <f t="shared" si="18"/>
        <v>129.60000000000002</v>
      </c>
      <c r="O75" s="272">
        <f>10098*12</f>
        <v>121176</v>
      </c>
      <c r="P75" s="273">
        <f t="shared" si="14"/>
        <v>9867.0600000000013</v>
      </c>
      <c r="Q75" s="272">
        <f t="shared" si="15"/>
        <v>60084</v>
      </c>
      <c r="R75" s="272">
        <f t="shared" si="16"/>
        <v>101884.4424</v>
      </c>
      <c r="S75" s="272">
        <f t="shared" si="17"/>
        <v>2125.44</v>
      </c>
    </row>
    <row r="76" spans="1:21" s="270" customFormat="1" x14ac:dyDescent="0.25">
      <c r="A76" s="337">
        <v>501103</v>
      </c>
      <c r="B76" s="276">
        <v>1103</v>
      </c>
      <c r="C76" s="276">
        <v>29719</v>
      </c>
      <c r="D76" s="268" t="s">
        <v>894</v>
      </c>
      <c r="E76" s="268" t="s">
        <v>1278</v>
      </c>
      <c r="F76" s="268" t="s">
        <v>2383</v>
      </c>
      <c r="G76" s="268">
        <v>6</v>
      </c>
      <c r="H76" s="268" t="s">
        <v>2384</v>
      </c>
      <c r="I76" s="268" t="s">
        <v>2385</v>
      </c>
      <c r="J76" s="269">
        <v>563832</v>
      </c>
      <c r="K76" s="273">
        <f t="shared" si="12"/>
        <v>46986</v>
      </c>
      <c r="L76" s="272">
        <f t="shared" si="13"/>
        <v>12141.24</v>
      </c>
      <c r="M76" s="269">
        <f>450*12</f>
        <v>5400</v>
      </c>
      <c r="N76" s="273">
        <f t="shared" si="18"/>
        <v>129.60000000000002</v>
      </c>
      <c r="O76" s="269">
        <f>10098*12</f>
        <v>121176</v>
      </c>
      <c r="P76" s="273">
        <f t="shared" si="14"/>
        <v>9867.0600000000013</v>
      </c>
      <c r="Q76" s="272">
        <f t="shared" si="15"/>
        <v>60084</v>
      </c>
      <c r="R76" s="273">
        <f t="shared" si="16"/>
        <v>101884.4424</v>
      </c>
      <c r="S76" s="273">
        <f t="shared" si="17"/>
        <v>2125.44</v>
      </c>
    </row>
    <row r="77" spans="1:21" s="270" customFormat="1" x14ac:dyDescent="0.25">
      <c r="A77" s="335">
        <v>501445</v>
      </c>
      <c r="B77" s="271">
        <v>1445</v>
      </c>
      <c r="C77" s="271">
        <v>35473</v>
      </c>
      <c r="D77" s="268" t="s">
        <v>894</v>
      </c>
      <c r="E77" s="268" t="s">
        <v>1290</v>
      </c>
      <c r="F77" s="268" t="s">
        <v>2386</v>
      </c>
      <c r="G77" s="268">
        <v>6</v>
      </c>
      <c r="H77" s="268" t="s">
        <v>2387</v>
      </c>
      <c r="I77" s="268" t="s">
        <v>2288</v>
      </c>
      <c r="J77" s="272">
        <v>563832</v>
      </c>
      <c r="K77" s="272">
        <f t="shared" si="12"/>
        <v>46986</v>
      </c>
      <c r="L77" s="272">
        <f t="shared" si="13"/>
        <v>12141.24</v>
      </c>
      <c r="M77" s="269">
        <f>450*12</f>
        <v>5400</v>
      </c>
      <c r="N77" s="272">
        <f t="shared" si="18"/>
        <v>129.60000000000002</v>
      </c>
      <c r="O77" s="272">
        <f>10098*12</f>
        <v>121176</v>
      </c>
      <c r="P77" s="273">
        <f t="shared" si="14"/>
        <v>9867.0600000000013</v>
      </c>
      <c r="Q77" s="272">
        <f t="shared" si="15"/>
        <v>60084</v>
      </c>
      <c r="R77" s="272">
        <f t="shared" si="16"/>
        <v>101884.4424</v>
      </c>
      <c r="S77" s="272">
        <f t="shared" si="17"/>
        <v>2125.44</v>
      </c>
    </row>
    <row r="78" spans="1:21" s="270" customFormat="1" x14ac:dyDescent="0.25">
      <c r="A78" s="335">
        <v>501103</v>
      </c>
      <c r="B78" s="271">
        <v>1103</v>
      </c>
      <c r="C78" s="271">
        <v>36715</v>
      </c>
      <c r="D78" s="268" t="s">
        <v>894</v>
      </c>
      <c r="E78" s="268" t="s">
        <v>1290</v>
      </c>
      <c r="F78" s="268" t="s">
        <v>2388</v>
      </c>
      <c r="G78" s="268">
        <v>6</v>
      </c>
      <c r="H78" s="268" t="s">
        <v>2389</v>
      </c>
      <c r="I78" s="268" t="s">
        <v>2390</v>
      </c>
      <c r="J78" s="272">
        <v>563832</v>
      </c>
      <c r="K78" s="272">
        <f t="shared" si="12"/>
        <v>46986</v>
      </c>
      <c r="L78" s="272">
        <f t="shared" si="13"/>
        <v>12141.24</v>
      </c>
      <c r="M78" s="269">
        <f>500*12</f>
        <v>6000</v>
      </c>
      <c r="N78" s="272">
        <f t="shared" si="18"/>
        <v>129.60000000000002</v>
      </c>
      <c r="O78" s="272">
        <f>10098*12</f>
        <v>121176</v>
      </c>
      <c r="P78" s="273">
        <f t="shared" si="14"/>
        <v>9867.0600000000013</v>
      </c>
      <c r="Q78" s="272">
        <f t="shared" si="15"/>
        <v>60084</v>
      </c>
      <c r="R78" s="272">
        <f t="shared" si="16"/>
        <v>101884.4424</v>
      </c>
      <c r="S78" s="272">
        <f t="shared" si="17"/>
        <v>2125.44</v>
      </c>
    </row>
    <row r="79" spans="1:21" s="270" customFormat="1" x14ac:dyDescent="0.25">
      <c r="A79" s="335">
        <v>501204</v>
      </c>
      <c r="B79" s="271">
        <v>1204</v>
      </c>
      <c r="C79" s="271">
        <v>38399</v>
      </c>
      <c r="D79" s="268" t="s">
        <v>894</v>
      </c>
      <c r="E79" s="268" t="s">
        <v>1278</v>
      </c>
      <c r="F79" s="268" t="s">
        <v>2391</v>
      </c>
      <c r="G79" s="268">
        <v>6</v>
      </c>
      <c r="H79" s="268" t="s">
        <v>2392</v>
      </c>
      <c r="I79" s="268" t="s">
        <v>2393</v>
      </c>
      <c r="J79" s="272">
        <v>563832</v>
      </c>
      <c r="K79" s="272">
        <f t="shared" si="12"/>
        <v>46986</v>
      </c>
      <c r="L79" s="272">
        <f t="shared" si="13"/>
        <v>12141.24</v>
      </c>
      <c r="M79" s="269">
        <v>0</v>
      </c>
      <c r="N79" s="272">
        <f t="shared" si="18"/>
        <v>129.60000000000002</v>
      </c>
      <c r="O79" s="273">
        <v>0</v>
      </c>
      <c r="P79" s="273">
        <f t="shared" si="14"/>
        <v>9867.0600000000013</v>
      </c>
      <c r="Q79" s="272">
        <f t="shared" si="15"/>
        <v>60084</v>
      </c>
      <c r="R79" s="272">
        <f t="shared" si="16"/>
        <v>101884.4424</v>
      </c>
      <c r="S79" s="272">
        <f t="shared" si="17"/>
        <v>2125.44</v>
      </c>
    </row>
    <row r="80" spans="1:21" x14ac:dyDescent="0.25">
      <c r="A80" s="335">
        <v>501443</v>
      </c>
      <c r="B80" s="271">
        <v>1443</v>
      </c>
      <c r="C80" s="271">
        <v>43889</v>
      </c>
      <c r="D80" s="268" t="s">
        <v>894</v>
      </c>
      <c r="E80" s="268" t="s">
        <v>1290</v>
      </c>
      <c r="F80" s="268" t="s">
        <v>2394</v>
      </c>
      <c r="G80" s="268">
        <v>6</v>
      </c>
      <c r="H80" s="268" t="s">
        <v>2395</v>
      </c>
      <c r="I80" s="268" t="s">
        <v>2396</v>
      </c>
      <c r="J80" s="272">
        <v>563832</v>
      </c>
      <c r="K80" s="272">
        <f t="shared" si="12"/>
        <v>46986</v>
      </c>
      <c r="L80" s="272">
        <f t="shared" si="13"/>
        <v>12141.24</v>
      </c>
      <c r="M80" s="269">
        <f>500*12</f>
        <v>6000</v>
      </c>
      <c r="N80" s="272">
        <f t="shared" si="18"/>
        <v>129.60000000000002</v>
      </c>
      <c r="O80" s="272">
        <f>10098*12</f>
        <v>121176</v>
      </c>
      <c r="P80" s="273">
        <f t="shared" si="14"/>
        <v>9867.0600000000013</v>
      </c>
      <c r="Q80" s="272">
        <f t="shared" si="15"/>
        <v>60084</v>
      </c>
      <c r="R80" s="272">
        <f t="shared" si="16"/>
        <v>101884.4424</v>
      </c>
      <c r="S80" s="272">
        <f t="shared" si="17"/>
        <v>2125.44</v>
      </c>
      <c r="T80" s="270"/>
      <c r="U80" s="270"/>
    </row>
    <row r="81" spans="1:21" s="270" customFormat="1" x14ac:dyDescent="0.25">
      <c r="A81" s="335">
        <v>501442</v>
      </c>
      <c r="B81" s="271">
        <v>1442</v>
      </c>
      <c r="C81" s="271">
        <v>47775</v>
      </c>
      <c r="D81" s="268" t="s">
        <v>894</v>
      </c>
      <c r="E81" s="268" t="s">
        <v>1278</v>
      </c>
      <c r="F81" s="268" t="s">
        <v>2397</v>
      </c>
      <c r="G81" s="268">
        <v>6</v>
      </c>
      <c r="H81" s="268" t="s">
        <v>2398</v>
      </c>
      <c r="I81" s="268" t="s">
        <v>2399</v>
      </c>
      <c r="J81" s="272">
        <v>563832</v>
      </c>
      <c r="K81" s="272">
        <f t="shared" si="12"/>
        <v>46986</v>
      </c>
      <c r="L81" s="272">
        <f t="shared" si="13"/>
        <v>12141.24</v>
      </c>
      <c r="M81" s="269">
        <v>0</v>
      </c>
      <c r="N81" s="272">
        <f t="shared" si="18"/>
        <v>129.60000000000002</v>
      </c>
      <c r="O81" s="272">
        <f>10098*12</f>
        <v>121176</v>
      </c>
      <c r="P81" s="273">
        <f t="shared" si="14"/>
        <v>9867.0600000000013</v>
      </c>
      <c r="Q81" s="272">
        <f t="shared" si="15"/>
        <v>60084</v>
      </c>
      <c r="R81" s="272">
        <f t="shared" si="16"/>
        <v>101884.4424</v>
      </c>
      <c r="S81" s="272">
        <f t="shared" si="17"/>
        <v>2125.44</v>
      </c>
    </row>
    <row r="82" spans="1:21" x14ac:dyDescent="0.25">
      <c r="A82" s="335">
        <v>501445</v>
      </c>
      <c r="B82" s="271">
        <v>1445</v>
      </c>
      <c r="C82" s="271">
        <v>50283</v>
      </c>
      <c r="D82" s="268" t="s">
        <v>894</v>
      </c>
      <c r="E82" s="268" t="s">
        <v>1278</v>
      </c>
      <c r="F82" s="268" t="s">
        <v>426</v>
      </c>
      <c r="G82" s="268">
        <v>6</v>
      </c>
      <c r="H82" s="268" t="s">
        <v>2400</v>
      </c>
      <c r="I82" s="268" t="s">
        <v>2401</v>
      </c>
      <c r="J82" s="272">
        <v>563832</v>
      </c>
      <c r="K82" s="272">
        <f t="shared" si="12"/>
        <v>46986</v>
      </c>
      <c r="L82" s="272">
        <f t="shared" si="13"/>
        <v>12141.24</v>
      </c>
      <c r="M82" s="269">
        <v>0</v>
      </c>
      <c r="N82" s="272">
        <f t="shared" si="18"/>
        <v>129.60000000000002</v>
      </c>
      <c r="O82" s="272">
        <f>10098*12</f>
        <v>121176</v>
      </c>
      <c r="P82" s="273">
        <f t="shared" si="14"/>
        <v>9867.0600000000013</v>
      </c>
      <c r="Q82" s="272">
        <f t="shared" si="15"/>
        <v>60084</v>
      </c>
      <c r="R82" s="272">
        <f t="shared" si="16"/>
        <v>101884.4424</v>
      </c>
      <c r="S82" s="272">
        <f t="shared" si="17"/>
        <v>2125.44</v>
      </c>
      <c r="T82" s="270"/>
      <c r="U82" s="270"/>
    </row>
    <row r="83" spans="1:21" s="270" customFormat="1" x14ac:dyDescent="0.25">
      <c r="A83" s="335">
        <v>501305</v>
      </c>
      <c r="B83" s="271">
        <v>1305</v>
      </c>
      <c r="C83" s="271">
        <v>51994</v>
      </c>
      <c r="D83" s="268" t="s">
        <v>894</v>
      </c>
      <c r="E83" s="268" t="s">
        <v>1290</v>
      </c>
      <c r="F83" s="268" t="s">
        <v>2402</v>
      </c>
      <c r="G83" s="268">
        <v>6</v>
      </c>
      <c r="H83" s="268" t="s">
        <v>2403</v>
      </c>
      <c r="I83" s="268" t="s">
        <v>2404</v>
      </c>
      <c r="J83" s="272">
        <v>563832</v>
      </c>
      <c r="K83" s="272">
        <f t="shared" si="12"/>
        <v>46986</v>
      </c>
      <c r="L83" s="272">
        <f t="shared" si="13"/>
        <v>12141.24</v>
      </c>
      <c r="M83" s="269">
        <v>0</v>
      </c>
      <c r="N83" s="272">
        <f t="shared" si="18"/>
        <v>129.60000000000002</v>
      </c>
      <c r="O83" s="273">
        <v>0</v>
      </c>
      <c r="P83" s="273">
        <f t="shared" si="14"/>
        <v>9867.0600000000013</v>
      </c>
      <c r="Q83" s="272">
        <f t="shared" si="15"/>
        <v>60084</v>
      </c>
      <c r="R83" s="272">
        <f t="shared" si="16"/>
        <v>101884.4424</v>
      </c>
      <c r="S83" s="272">
        <f t="shared" si="17"/>
        <v>2125.44</v>
      </c>
    </row>
    <row r="84" spans="1:21" x14ac:dyDescent="0.25">
      <c r="A84" s="335">
        <v>501304</v>
      </c>
      <c r="B84" s="271">
        <v>1304</v>
      </c>
      <c r="C84" s="271">
        <v>54577</v>
      </c>
      <c r="D84" s="268" t="s">
        <v>894</v>
      </c>
      <c r="E84" s="268" t="s">
        <v>1290</v>
      </c>
      <c r="F84" s="268" t="s">
        <v>2405</v>
      </c>
      <c r="G84" s="268">
        <v>6</v>
      </c>
      <c r="H84" s="268" t="s">
        <v>2406</v>
      </c>
      <c r="I84" s="268" t="s">
        <v>2407</v>
      </c>
      <c r="J84" s="272">
        <v>563832</v>
      </c>
      <c r="K84" s="272">
        <f t="shared" si="12"/>
        <v>46986</v>
      </c>
      <c r="L84" s="272">
        <f t="shared" si="13"/>
        <v>12141.24</v>
      </c>
      <c r="M84" s="269">
        <v>0</v>
      </c>
      <c r="N84" s="272">
        <f t="shared" si="18"/>
        <v>129.60000000000002</v>
      </c>
      <c r="O84" s="272">
        <f>13921*12</f>
        <v>167052</v>
      </c>
      <c r="P84" s="273">
        <f t="shared" si="14"/>
        <v>9867.0600000000013</v>
      </c>
      <c r="Q84" s="272">
        <f t="shared" si="15"/>
        <v>60084</v>
      </c>
      <c r="R84" s="272">
        <f t="shared" si="16"/>
        <v>101884.4424</v>
      </c>
      <c r="S84" s="272">
        <f t="shared" si="17"/>
        <v>2125.44</v>
      </c>
      <c r="T84" s="270"/>
      <c r="U84" s="270"/>
    </row>
    <row r="85" spans="1:21" s="270" customFormat="1" x14ac:dyDescent="0.25">
      <c r="A85" s="335">
        <v>501442</v>
      </c>
      <c r="B85" s="271">
        <v>1442</v>
      </c>
      <c r="C85" s="271">
        <v>84589</v>
      </c>
      <c r="D85" s="268" t="s">
        <v>894</v>
      </c>
      <c r="E85" s="268" t="s">
        <v>1290</v>
      </c>
      <c r="F85" s="268" t="s">
        <v>2408</v>
      </c>
      <c r="G85" s="268">
        <v>6</v>
      </c>
      <c r="H85" s="268" t="s">
        <v>2409</v>
      </c>
      <c r="I85" s="268" t="s">
        <v>2410</v>
      </c>
      <c r="J85" s="272">
        <v>563832</v>
      </c>
      <c r="K85" s="272">
        <f t="shared" si="12"/>
        <v>46986</v>
      </c>
      <c r="L85" s="272">
        <f t="shared" si="13"/>
        <v>12141.24</v>
      </c>
      <c r="M85" s="269">
        <v>0</v>
      </c>
      <c r="N85" s="272">
        <f t="shared" si="18"/>
        <v>129.60000000000002</v>
      </c>
      <c r="O85" s="272">
        <f>10098*12</f>
        <v>121176</v>
      </c>
      <c r="P85" s="273">
        <f t="shared" si="14"/>
        <v>9867.0600000000013</v>
      </c>
      <c r="Q85" s="272">
        <f t="shared" si="15"/>
        <v>60084</v>
      </c>
      <c r="R85" s="272">
        <f t="shared" si="16"/>
        <v>101884.4424</v>
      </c>
      <c r="S85" s="272">
        <f t="shared" si="17"/>
        <v>2125.44</v>
      </c>
    </row>
    <row r="86" spans="1:21" s="270" customFormat="1" x14ac:dyDescent="0.25">
      <c r="A86" s="335">
        <v>501206</v>
      </c>
      <c r="B86" s="271">
        <v>1206</v>
      </c>
      <c r="C86" s="271">
        <v>85672</v>
      </c>
      <c r="D86" s="268" t="s">
        <v>894</v>
      </c>
      <c r="E86" s="268" t="s">
        <v>1278</v>
      </c>
      <c r="F86" s="268" t="s">
        <v>2411</v>
      </c>
      <c r="G86" s="268">
        <v>6</v>
      </c>
      <c r="H86" s="268" t="s">
        <v>2412</v>
      </c>
      <c r="I86" s="268" t="s">
        <v>2375</v>
      </c>
      <c r="J86" s="272">
        <v>563832</v>
      </c>
      <c r="K86" s="272">
        <f t="shared" si="12"/>
        <v>46986</v>
      </c>
      <c r="L86" s="272">
        <f t="shared" si="13"/>
        <v>12141.24</v>
      </c>
      <c r="M86" s="269">
        <v>0</v>
      </c>
      <c r="N86" s="272">
        <f t="shared" si="18"/>
        <v>129.60000000000002</v>
      </c>
      <c r="O86" s="273">
        <v>0</v>
      </c>
      <c r="P86" s="273">
        <f t="shared" si="14"/>
        <v>9867.0600000000013</v>
      </c>
      <c r="Q86" s="272">
        <f t="shared" si="15"/>
        <v>60084</v>
      </c>
      <c r="R86" s="272">
        <f t="shared" si="16"/>
        <v>101884.4424</v>
      </c>
      <c r="S86" s="272">
        <f t="shared" si="17"/>
        <v>2125.44</v>
      </c>
    </row>
    <row r="87" spans="1:21" s="270" customFormat="1" x14ac:dyDescent="0.25">
      <c r="A87" s="335">
        <v>501206</v>
      </c>
      <c r="B87" s="271">
        <v>1206</v>
      </c>
      <c r="C87" s="271">
        <v>87256</v>
      </c>
      <c r="D87" s="268" t="s">
        <v>894</v>
      </c>
      <c r="E87" s="268" t="s">
        <v>1290</v>
      </c>
      <c r="F87" s="268" t="s">
        <v>2413</v>
      </c>
      <c r="G87" s="268">
        <v>6</v>
      </c>
      <c r="H87" s="268" t="s">
        <v>2414</v>
      </c>
      <c r="I87" s="268" t="s">
        <v>2375</v>
      </c>
      <c r="J87" s="272">
        <v>563832</v>
      </c>
      <c r="K87" s="272">
        <f t="shared" si="12"/>
        <v>46986</v>
      </c>
      <c r="L87" s="272">
        <f t="shared" si="13"/>
        <v>12141.24</v>
      </c>
      <c r="M87" s="269">
        <v>0</v>
      </c>
      <c r="N87" s="272">
        <f t="shared" si="18"/>
        <v>129.60000000000002</v>
      </c>
      <c r="O87" s="273">
        <v>0</v>
      </c>
      <c r="P87" s="273">
        <f t="shared" si="14"/>
        <v>9867.0600000000013</v>
      </c>
      <c r="Q87" s="272">
        <f t="shared" si="15"/>
        <v>60084</v>
      </c>
      <c r="R87" s="272">
        <f t="shared" si="16"/>
        <v>101884.4424</v>
      </c>
      <c r="S87" s="272">
        <f t="shared" si="17"/>
        <v>2125.44</v>
      </c>
    </row>
    <row r="88" spans="1:21" s="270" customFormat="1" x14ac:dyDescent="0.25">
      <c r="A88" s="335">
        <v>501105</v>
      </c>
      <c r="B88" s="271">
        <v>1105</v>
      </c>
      <c r="C88" s="271">
        <v>88640</v>
      </c>
      <c r="D88" s="268" t="s">
        <v>894</v>
      </c>
      <c r="E88" s="268" t="s">
        <v>1290</v>
      </c>
      <c r="F88" s="268" t="s">
        <v>2415</v>
      </c>
      <c r="G88" s="268">
        <v>6</v>
      </c>
      <c r="H88" s="268" t="s">
        <v>2416</v>
      </c>
      <c r="I88" s="268" t="s">
        <v>2417</v>
      </c>
      <c r="J88" s="272">
        <v>563832</v>
      </c>
      <c r="K88" s="272">
        <f t="shared" si="12"/>
        <v>46986</v>
      </c>
      <c r="L88" s="272">
        <f t="shared" si="13"/>
        <v>12141.24</v>
      </c>
      <c r="M88" s="269">
        <f>350*12</f>
        <v>4200</v>
      </c>
      <c r="N88" s="272">
        <f t="shared" si="18"/>
        <v>129.60000000000002</v>
      </c>
      <c r="O88" s="272">
        <f>10098*12</f>
        <v>121176</v>
      </c>
      <c r="P88" s="273">
        <f t="shared" si="14"/>
        <v>9867.0600000000013</v>
      </c>
      <c r="Q88" s="272">
        <f t="shared" si="15"/>
        <v>60084</v>
      </c>
      <c r="R88" s="272">
        <f t="shared" si="16"/>
        <v>101884.4424</v>
      </c>
      <c r="S88" s="272">
        <f t="shared" si="17"/>
        <v>2125.44</v>
      </c>
    </row>
    <row r="89" spans="1:21" s="270" customFormat="1" x14ac:dyDescent="0.25">
      <c r="A89" s="335">
        <v>501206</v>
      </c>
      <c r="B89" s="271">
        <v>1206</v>
      </c>
      <c r="C89" s="271">
        <v>92652</v>
      </c>
      <c r="D89" s="268" t="s">
        <v>876</v>
      </c>
      <c r="E89" s="268" t="s">
        <v>1290</v>
      </c>
      <c r="F89" s="268" t="s">
        <v>898</v>
      </c>
      <c r="G89" s="268">
        <v>6</v>
      </c>
      <c r="H89" s="268" t="s">
        <v>2418</v>
      </c>
      <c r="I89" s="268" t="s">
        <v>2375</v>
      </c>
      <c r="J89" s="272">
        <v>563832</v>
      </c>
      <c r="K89" s="272">
        <f t="shared" si="12"/>
        <v>46986</v>
      </c>
      <c r="L89" s="272">
        <f t="shared" si="13"/>
        <v>12141.24</v>
      </c>
      <c r="M89" s="269">
        <v>0</v>
      </c>
      <c r="N89" s="272">
        <f t="shared" si="18"/>
        <v>129.60000000000002</v>
      </c>
      <c r="O89" s="273">
        <v>0</v>
      </c>
      <c r="P89" s="273">
        <f t="shared" si="14"/>
        <v>9867.0600000000013</v>
      </c>
      <c r="Q89" s="272">
        <f t="shared" si="15"/>
        <v>60084</v>
      </c>
      <c r="R89" s="272">
        <f t="shared" si="16"/>
        <v>101884.4424</v>
      </c>
      <c r="S89" s="272">
        <f t="shared" si="17"/>
        <v>2125.44</v>
      </c>
    </row>
    <row r="90" spans="1:21" x14ac:dyDescent="0.25">
      <c r="A90" s="337">
        <v>501002</v>
      </c>
      <c r="B90" s="276">
        <v>1002</v>
      </c>
      <c r="C90" s="276">
        <v>200049</v>
      </c>
      <c r="D90" s="268" t="s">
        <v>894</v>
      </c>
      <c r="E90" s="268" t="s">
        <v>1278</v>
      </c>
      <c r="F90" s="268" t="s">
        <v>2419</v>
      </c>
      <c r="G90" s="268">
        <v>6</v>
      </c>
      <c r="H90" s="268" t="s">
        <v>2420</v>
      </c>
      <c r="I90" s="268" t="s">
        <v>2421</v>
      </c>
      <c r="J90" s="269">
        <v>563832</v>
      </c>
      <c r="K90" s="273">
        <f t="shared" si="12"/>
        <v>46986</v>
      </c>
      <c r="L90" s="272">
        <f t="shared" si="13"/>
        <v>12141.24</v>
      </c>
      <c r="M90" s="269">
        <f>750*12</f>
        <v>9000</v>
      </c>
      <c r="N90" s="273">
        <f t="shared" si="18"/>
        <v>129.60000000000002</v>
      </c>
      <c r="O90" s="273">
        <v>0</v>
      </c>
      <c r="P90" s="273">
        <f t="shared" si="14"/>
        <v>9867.0600000000013</v>
      </c>
      <c r="Q90" s="272">
        <f t="shared" si="15"/>
        <v>60084</v>
      </c>
      <c r="R90" s="273">
        <f t="shared" si="16"/>
        <v>101884.4424</v>
      </c>
      <c r="S90" s="273">
        <f t="shared" si="17"/>
        <v>2125.44</v>
      </c>
      <c r="T90" s="270"/>
      <c r="U90" s="270"/>
    </row>
    <row r="91" spans="1:21" s="270" customFormat="1" x14ac:dyDescent="0.25">
      <c r="A91" s="335">
        <v>501506</v>
      </c>
      <c r="B91" s="271">
        <v>1506</v>
      </c>
      <c r="C91" s="271">
        <v>200053</v>
      </c>
      <c r="D91" s="268" t="s">
        <v>894</v>
      </c>
      <c r="E91" s="268" t="s">
        <v>1278</v>
      </c>
      <c r="F91" s="268" t="s">
        <v>2422</v>
      </c>
      <c r="G91" s="268">
        <v>6</v>
      </c>
      <c r="H91" s="268" t="s">
        <v>2423</v>
      </c>
      <c r="I91" s="268" t="s">
        <v>2424</v>
      </c>
      <c r="J91" s="272">
        <v>563832</v>
      </c>
      <c r="K91" s="272">
        <f t="shared" si="12"/>
        <v>46986</v>
      </c>
      <c r="L91" s="272">
        <f t="shared" si="13"/>
        <v>12141.24</v>
      </c>
      <c r="M91" s="269">
        <v>0</v>
      </c>
      <c r="N91" s="272">
        <f t="shared" si="18"/>
        <v>129.60000000000002</v>
      </c>
      <c r="O91" s="272">
        <f>10098*12</f>
        <v>121176</v>
      </c>
      <c r="P91" s="273">
        <f t="shared" si="14"/>
        <v>9867.0600000000013</v>
      </c>
      <c r="Q91" s="272">
        <f t="shared" si="15"/>
        <v>60084</v>
      </c>
      <c r="R91" s="272">
        <f t="shared" si="16"/>
        <v>101884.4424</v>
      </c>
      <c r="S91" s="272">
        <f t="shared" si="17"/>
        <v>2125.44</v>
      </c>
    </row>
    <row r="92" spans="1:21" s="270" customFormat="1" x14ac:dyDescent="0.25">
      <c r="A92" s="335">
        <v>501442</v>
      </c>
      <c r="B92" s="271">
        <v>1442</v>
      </c>
      <c r="C92" s="271">
        <v>200105</v>
      </c>
      <c r="D92" s="268" t="s">
        <v>894</v>
      </c>
      <c r="E92" s="268" t="s">
        <v>1290</v>
      </c>
      <c r="F92" s="268" t="s">
        <v>2425</v>
      </c>
      <c r="G92" s="268">
        <v>6</v>
      </c>
      <c r="H92" s="268" t="s">
        <v>2426</v>
      </c>
      <c r="I92" s="268" t="s">
        <v>2427</v>
      </c>
      <c r="J92" s="272">
        <v>563832</v>
      </c>
      <c r="K92" s="272">
        <f t="shared" si="12"/>
        <v>46986</v>
      </c>
      <c r="L92" s="272">
        <f t="shared" si="13"/>
        <v>12141.24</v>
      </c>
      <c r="M92" s="269">
        <v>0</v>
      </c>
      <c r="N92" s="272">
        <f t="shared" si="18"/>
        <v>129.60000000000002</v>
      </c>
      <c r="O92" s="272">
        <f>10098*12</f>
        <v>121176</v>
      </c>
      <c r="P92" s="273">
        <f t="shared" si="14"/>
        <v>9867.0600000000013</v>
      </c>
      <c r="Q92" s="272">
        <f t="shared" si="15"/>
        <v>60084</v>
      </c>
      <c r="R92" s="272">
        <f t="shared" si="16"/>
        <v>101884.4424</v>
      </c>
      <c r="S92" s="272">
        <f t="shared" si="17"/>
        <v>2125.44</v>
      </c>
    </row>
    <row r="93" spans="1:21" s="270" customFormat="1" x14ac:dyDescent="0.25">
      <c r="A93" s="335">
        <v>501205</v>
      </c>
      <c r="B93" s="271">
        <v>1205</v>
      </c>
      <c r="C93" s="271">
        <v>200177</v>
      </c>
      <c r="D93" s="268" t="s">
        <v>894</v>
      </c>
      <c r="E93" s="268" t="s">
        <v>1290</v>
      </c>
      <c r="F93" s="268" t="s">
        <v>2428</v>
      </c>
      <c r="G93" s="268">
        <v>6</v>
      </c>
      <c r="H93" s="268" t="s">
        <v>2429</v>
      </c>
      <c r="I93" s="268" t="s">
        <v>2430</v>
      </c>
      <c r="J93" s="272">
        <v>563832</v>
      </c>
      <c r="K93" s="272">
        <f t="shared" si="12"/>
        <v>46986</v>
      </c>
      <c r="L93" s="272">
        <f t="shared" si="13"/>
        <v>12141.24</v>
      </c>
      <c r="M93" s="269">
        <v>0</v>
      </c>
      <c r="N93" s="272">
        <f t="shared" si="18"/>
        <v>129.60000000000002</v>
      </c>
      <c r="O93" s="273">
        <v>0</v>
      </c>
      <c r="P93" s="273">
        <f t="shared" si="14"/>
        <v>9867.0600000000013</v>
      </c>
      <c r="Q93" s="272">
        <f t="shared" si="15"/>
        <v>60084</v>
      </c>
      <c r="R93" s="272">
        <f t="shared" si="16"/>
        <v>101884.4424</v>
      </c>
      <c r="S93" s="272">
        <f t="shared" si="17"/>
        <v>2125.44</v>
      </c>
    </row>
    <row r="94" spans="1:21" s="270" customFormat="1" x14ac:dyDescent="0.25">
      <c r="A94" s="335">
        <v>501204</v>
      </c>
      <c r="B94" s="271">
        <v>1204</v>
      </c>
      <c r="C94" s="271">
        <v>200178</v>
      </c>
      <c r="D94" s="268" t="s">
        <v>894</v>
      </c>
      <c r="E94" s="268" t="s">
        <v>1290</v>
      </c>
      <c r="F94" s="268" t="s">
        <v>2431</v>
      </c>
      <c r="G94" s="268">
        <v>6</v>
      </c>
      <c r="H94" s="268" t="s">
        <v>2432</v>
      </c>
      <c r="I94" s="268" t="s">
        <v>2433</v>
      </c>
      <c r="J94" s="272">
        <v>563832</v>
      </c>
      <c r="K94" s="272">
        <f t="shared" si="12"/>
        <v>46986</v>
      </c>
      <c r="L94" s="272">
        <f t="shared" si="13"/>
        <v>12141.24</v>
      </c>
      <c r="M94" s="269">
        <v>0</v>
      </c>
      <c r="N94" s="272">
        <f t="shared" si="18"/>
        <v>129.60000000000002</v>
      </c>
      <c r="O94" s="273">
        <v>0</v>
      </c>
      <c r="P94" s="273">
        <f t="shared" si="14"/>
        <v>9867.0600000000013</v>
      </c>
      <c r="Q94" s="272">
        <f t="shared" si="15"/>
        <v>60084</v>
      </c>
      <c r="R94" s="272">
        <f t="shared" si="16"/>
        <v>101884.4424</v>
      </c>
      <c r="S94" s="272">
        <f t="shared" si="17"/>
        <v>2125.44</v>
      </c>
    </row>
    <row r="95" spans="1:21" s="270" customFormat="1" x14ac:dyDescent="0.25">
      <c r="A95" s="335">
        <v>501205</v>
      </c>
      <c r="B95" s="271">
        <v>1205</v>
      </c>
      <c r="C95" s="271">
        <v>200184</v>
      </c>
      <c r="D95" s="268" t="s">
        <v>894</v>
      </c>
      <c r="E95" s="268" t="s">
        <v>1278</v>
      </c>
      <c r="F95" s="268" t="s">
        <v>2434</v>
      </c>
      <c r="G95" s="268">
        <v>6</v>
      </c>
      <c r="H95" s="268" t="s">
        <v>2435</v>
      </c>
      <c r="I95" s="268" t="s">
        <v>2436</v>
      </c>
      <c r="J95" s="272">
        <v>563832</v>
      </c>
      <c r="K95" s="272">
        <f t="shared" si="12"/>
        <v>46986</v>
      </c>
      <c r="L95" s="272">
        <f t="shared" si="13"/>
        <v>12141.24</v>
      </c>
      <c r="M95" s="269">
        <v>0</v>
      </c>
      <c r="N95" s="272">
        <f t="shared" si="18"/>
        <v>129.60000000000002</v>
      </c>
      <c r="O95" s="272">
        <f>13921*12</f>
        <v>167052</v>
      </c>
      <c r="P95" s="273">
        <f t="shared" si="14"/>
        <v>9867.0600000000013</v>
      </c>
      <c r="Q95" s="272">
        <f t="shared" si="15"/>
        <v>60084</v>
      </c>
      <c r="R95" s="272">
        <f t="shared" si="16"/>
        <v>101884.4424</v>
      </c>
      <c r="S95" s="272">
        <f t="shared" si="17"/>
        <v>2125.44</v>
      </c>
    </row>
    <row r="96" spans="1:21" x14ac:dyDescent="0.25">
      <c r="A96" s="335">
        <v>501206</v>
      </c>
      <c r="B96" s="271">
        <v>1206</v>
      </c>
      <c r="C96" s="271">
        <v>200195</v>
      </c>
      <c r="D96" s="268" t="s">
        <v>894</v>
      </c>
      <c r="E96" s="268" t="s">
        <v>1278</v>
      </c>
      <c r="F96" s="268" t="s">
        <v>2437</v>
      </c>
      <c r="G96" s="268">
        <v>6</v>
      </c>
      <c r="H96" s="268" t="s">
        <v>2438</v>
      </c>
      <c r="I96" s="268" t="s">
        <v>2375</v>
      </c>
      <c r="J96" s="272">
        <v>563832</v>
      </c>
      <c r="K96" s="272">
        <f t="shared" si="12"/>
        <v>46986</v>
      </c>
      <c r="L96" s="272">
        <f t="shared" si="13"/>
        <v>12141.24</v>
      </c>
      <c r="M96" s="269">
        <v>0</v>
      </c>
      <c r="N96" s="272">
        <f t="shared" si="18"/>
        <v>129.60000000000002</v>
      </c>
      <c r="O96" s="272">
        <f>13921*12</f>
        <v>167052</v>
      </c>
      <c r="P96" s="273">
        <f t="shared" si="14"/>
        <v>9867.0600000000013</v>
      </c>
      <c r="Q96" s="272">
        <f t="shared" si="15"/>
        <v>60084</v>
      </c>
      <c r="R96" s="272">
        <f t="shared" si="16"/>
        <v>101884.4424</v>
      </c>
      <c r="S96" s="272">
        <f t="shared" si="17"/>
        <v>2125.44</v>
      </c>
      <c r="T96" s="270"/>
      <c r="U96" s="270"/>
    </row>
    <row r="97" spans="1:21" x14ac:dyDescent="0.25">
      <c r="A97" s="335">
        <v>501204</v>
      </c>
      <c r="B97" s="271">
        <v>1204</v>
      </c>
      <c r="C97" s="271">
        <v>200197</v>
      </c>
      <c r="D97" s="268" t="s">
        <v>894</v>
      </c>
      <c r="E97" s="268" t="s">
        <v>1278</v>
      </c>
      <c r="F97" s="268" t="s">
        <v>2439</v>
      </c>
      <c r="G97" s="268">
        <v>6</v>
      </c>
      <c r="H97" s="268" t="s">
        <v>2440</v>
      </c>
      <c r="I97" s="268" t="s">
        <v>2441</v>
      </c>
      <c r="J97" s="272">
        <v>563832</v>
      </c>
      <c r="K97" s="272">
        <f t="shared" si="12"/>
        <v>46986</v>
      </c>
      <c r="L97" s="272">
        <f t="shared" si="13"/>
        <v>12141.24</v>
      </c>
      <c r="M97" s="269">
        <v>0</v>
      </c>
      <c r="N97" s="272">
        <f t="shared" si="18"/>
        <v>129.60000000000002</v>
      </c>
      <c r="O97" s="273">
        <v>0</v>
      </c>
      <c r="P97" s="273">
        <f t="shared" si="14"/>
        <v>9867.0600000000013</v>
      </c>
      <c r="Q97" s="272">
        <f t="shared" si="15"/>
        <v>60084</v>
      </c>
      <c r="R97" s="272">
        <f t="shared" si="16"/>
        <v>101884.4424</v>
      </c>
      <c r="S97" s="272">
        <f t="shared" si="17"/>
        <v>2125.44</v>
      </c>
      <c r="T97" s="270"/>
      <c r="U97" s="270"/>
    </row>
    <row r="98" spans="1:21" s="270" customFormat="1" x14ac:dyDescent="0.25">
      <c r="A98" s="335" t="str">
        <f>CONCATENATE(50,B98)</f>
        <v>501305</v>
      </c>
      <c r="B98" s="271">
        <v>1305</v>
      </c>
      <c r="C98" s="271">
        <v>200238</v>
      </c>
      <c r="D98" s="268" t="s">
        <v>1698</v>
      </c>
      <c r="E98" s="268" t="s">
        <v>1290</v>
      </c>
      <c r="F98" s="268" t="s">
        <v>2442</v>
      </c>
      <c r="G98" s="268">
        <v>6</v>
      </c>
      <c r="H98" s="268" t="s">
        <v>2443</v>
      </c>
      <c r="I98" s="268" t="s">
        <v>2444</v>
      </c>
      <c r="J98" s="272">
        <v>563832</v>
      </c>
      <c r="K98" s="272">
        <f t="shared" si="12"/>
        <v>46986</v>
      </c>
      <c r="L98" s="272">
        <f t="shared" si="13"/>
        <v>12141.24</v>
      </c>
      <c r="M98" s="269">
        <v>0</v>
      </c>
      <c r="N98" s="272">
        <f t="shared" si="18"/>
        <v>129.60000000000002</v>
      </c>
      <c r="O98" s="272">
        <f>13921*12</f>
        <v>167052</v>
      </c>
      <c r="P98" s="273">
        <f t="shared" si="14"/>
        <v>9867.0600000000013</v>
      </c>
      <c r="Q98" s="272">
        <f t="shared" si="15"/>
        <v>60084</v>
      </c>
      <c r="R98" s="272">
        <f t="shared" si="16"/>
        <v>101884.4424</v>
      </c>
      <c r="S98" s="272">
        <f t="shared" si="17"/>
        <v>2125.44</v>
      </c>
    </row>
    <row r="99" spans="1:21" s="270" customFormat="1" x14ac:dyDescent="0.25">
      <c r="A99" s="335" t="str">
        <f>CONCATENATE(50,B99)</f>
        <v>501442</v>
      </c>
      <c r="B99" s="271">
        <v>1442</v>
      </c>
      <c r="C99" s="271">
        <v>200389</v>
      </c>
      <c r="D99" s="268" t="s">
        <v>894</v>
      </c>
      <c r="E99" s="268" t="s">
        <v>1290</v>
      </c>
      <c r="F99" s="268" t="s">
        <v>2386</v>
      </c>
      <c r="G99" s="268">
        <v>6</v>
      </c>
      <c r="H99" s="268" t="s">
        <v>2445</v>
      </c>
      <c r="I99" s="268" t="s">
        <v>2446</v>
      </c>
      <c r="J99" s="272">
        <v>563832</v>
      </c>
      <c r="K99" s="272">
        <f t="shared" si="12"/>
        <v>46986</v>
      </c>
      <c r="L99" s="272">
        <f t="shared" si="13"/>
        <v>12141.24</v>
      </c>
      <c r="M99" s="269">
        <v>0</v>
      </c>
      <c r="N99" s="272">
        <f t="shared" si="18"/>
        <v>129.60000000000002</v>
      </c>
      <c r="O99" s="272">
        <f>10098*12</f>
        <v>121176</v>
      </c>
      <c r="P99" s="273">
        <f t="shared" si="14"/>
        <v>9867.0600000000013</v>
      </c>
      <c r="Q99" s="272">
        <f t="shared" si="15"/>
        <v>60084</v>
      </c>
      <c r="R99" s="272">
        <f t="shared" si="16"/>
        <v>101884.4424</v>
      </c>
      <c r="S99" s="272">
        <f t="shared" si="17"/>
        <v>2125.44</v>
      </c>
    </row>
    <row r="100" spans="1:21" x14ac:dyDescent="0.25">
      <c r="A100" s="335">
        <v>501304</v>
      </c>
      <c r="B100" s="271">
        <v>1304</v>
      </c>
      <c r="C100" s="271">
        <v>200036</v>
      </c>
      <c r="D100" s="268" t="s">
        <v>894</v>
      </c>
      <c r="E100" s="268" t="s">
        <v>1290</v>
      </c>
      <c r="F100" s="268" t="s">
        <v>2447</v>
      </c>
      <c r="G100" s="268">
        <v>5</v>
      </c>
      <c r="H100" s="268" t="s">
        <v>2448</v>
      </c>
      <c r="I100" s="268" t="s">
        <v>2449</v>
      </c>
      <c r="J100" s="272">
        <v>549120</v>
      </c>
      <c r="K100" s="272">
        <f t="shared" si="12"/>
        <v>45760</v>
      </c>
      <c r="L100" s="272">
        <f t="shared" si="13"/>
        <v>12141.24</v>
      </c>
      <c r="M100" s="269">
        <v>0</v>
      </c>
      <c r="N100" s="272">
        <f t="shared" si="18"/>
        <v>129.60000000000002</v>
      </c>
      <c r="O100" s="273">
        <v>0</v>
      </c>
      <c r="P100" s="273">
        <f t="shared" si="14"/>
        <v>9609.6</v>
      </c>
      <c r="Q100" s="272">
        <f t="shared" si="15"/>
        <v>60084</v>
      </c>
      <c r="R100" s="272">
        <f t="shared" si="16"/>
        <v>99225.983999999997</v>
      </c>
      <c r="S100" s="272">
        <f t="shared" si="17"/>
        <v>2125.44</v>
      </c>
      <c r="T100" s="270"/>
      <c r="U100" s="270"/>
    </row>
    <row r="101" spans="1:21" s="270" customFormat="1" x14ac:dyDescent="0.25">
      <c r="A101" s="335">
        <v>501304</v>
      </c>
      <c r="B101" s="271">
        <v>1304</v>
      </c>
      <c r="C101" s="271">
        <v>88831</v>
      </c>
      <c r="D101" s="268" t="s">
        <v>894</v>
      </c>
      <c r="E101" s="268" t="s">
        <v>1278</v>
      </c>
      <c r="F101" s="268" t="s">
        <v>2450</v>
      </c>
      <c r="G101" s="268">
        <v>6</v>
      </c>
      <c r="H101" s="268" t="s">
        <v>2451</v>
      </c>
      <c r="I101" s="268" t="s">
        <v>2449</v>
      </c>
      <c r="J101" s="272">
        <v>549120</v>
      </c>
      <c r="K101" s="272">
        <f t="shared" si="12"/>
        <v>45760</v>
      </c>
      <c r="L101" s="272">
        <f t="shared" si="13"/>
        <v>12141.24</v>
      </c>
      <c r="M101" s="269">
        <v>0</v>
      </c>
      <c r="N101" s="272">
        <f t="shared" si="18"/>
        <v>129.60000000000002</v>
      </c>
      <c r="O101" s="273">
        <v>0</v>
      </c>
      <c r="P101" s="273">
        <f t="shared" si="14"/>
        <v>9609.6</v>
      </c>
      <c r="Q101" s="272">
        <f t="shared" si="15"/>
        <v>60084</v>
      </c>
      <c r="R101" s="272">
        <f t="shared" si="16"/>
        <v>99225.983999999997</v>
      </c>
      <c r="S101" s="272">
        <f t="shared" si="17"/>
        <v>2125.44</v>
      </c>
    </row>
    <row r="102" spans="1:21" s="270" customFormat="1" x14ac:dyDescent="0.25">
      <c r="A102" s="335">
        <v>501304</v>
      </c>
      <c r="B102" s="271">
        <v>1304</v>
      </c>
      <c r="C102" s="271">
        <v>44749</v>
      </c>
      <c r="D102" s="268" t="s">
        <v>894</v>
      </c>
      <c r="E102" s="268" t="s">
        <v>1290</v>
      </c>
      <c r="F102" s="268" t="s">
        <v>1286</v>
      </c>
      <c r="G102" s="268">
        <v>6</v>
      </c>
      <c r="H102" s="268" t="s">
        <v>2452</v>
      </c>
      <c r="I102" s="268" t="s">
        <v>2449</v>
      </c>
      <c r="J102" s="272">
        <v>549120</v>
      </c>
      <c r="K102" s="272">
        <f t="shared" si="12"/>
        <v>45760</v>
      </c>
      <c r="L102" s="272">
        <f t="shared" si="13"/>
        <v>12141.24</v>
      </c>
      <c r="M102" s="269">
        <v>0</v>
      </c>
      <c r="N102" s="272">
        <f t="shared" si="18"/>
        <v>129.60000000000002</v>
      </c>
      <c r="O102" s="272">
        <f>13921*12</f>
        <v>167052</v>
      </c>
      <c r="P102" s="273">
        <f t="shared" si="14"/>
        <v>9609.6</v>
      </c>
      <c r="Q102" s="272">
        <f t="shared" si="15"/>
        <v>60084</v>
      </c>
      <c r="R102" s="272">
        <f t="shared" si="16"/>
        <v>99225.983999999997</v>
      </c>
      <c r="S102" s="272">
        <f t="shared" si="17"/>
        <v>2125.44</v>
      </c>
    </row>
    <row r="103" spans="1:21" s="270" customFormat="1" x14ac:dyDescent="0.25">
      <c r="A103" s="335">
        <v>501304</v>
      </c>
      <c r="B103" s="271">
        <v>1304</v>
      </c>
      <c r="C103" s="271">
        <v>29861</v>
      </c>
      <c r="D103" s="268" t="s">
        <v>894</v>
      </c>
      <c r="E103" s="268" t="s">
        <v>1278</v>
      </c>
      <c r="F103" s="268" t="s">
        <v>1306</v>
      </c>
      <c r="G103" s="268">
        <v>6</v>
      </c>
      <c r="H103" s="268" t="s">
        <v>2398</v>
      </c>
      <c r="I103" s="268" t="s">
        <v>2449</v>
      </c>
      <c r="J103" s="272">
        <v>549120</v>
      </c>
      <c r="K103" s="272">
        <f t="shared" si="12"/>
        <v>45760</v>
      </c>
      <c r="L103" s="272">
        <f t="shared" si="13"/>
        <v>12141.24</v>
      </c>
      <c r="M103" s="269">
        <v>0</v>
      </c>
      <c r="N103" s="272">
        <f t="shared" si="18"/>
        <v>129.60000000000002</v>
      </c>
      <c r="O103" s="272">
        <f>13921*12</f>
        <v>167052</v>
      </c>
      <c r="P103" s="273">
        <f t="shared" si="14"/>
        <v>9609.6</v>
      </c>
      <c r="Q103" s="272">
        <f t="shared" si="15"/>
        <v>60084</v>
      </c>
      <c r="R103" s="272">
        <f t="shared" si="16"/>
        <v>99225.983999999997</v>
      </c>
      <c r="S103" s="272">
        <f t="shared" si="17"/>
        <v>2125.44</v>
      </c>
    </row>
    <row r="104" spans="1:21" s="270" customFormat="1" x14ac:dyDescent="0.25">
      <c r="A104" s="335">
        <v>501443</v>
      </c>
      <c r="B104" s="271">
        <v>1443</v>
      </c>
      <c r="C104" s="271">
        <v>34076</v>
      </c>
      <c r="D104" s="268" t="s">
        <v>894</v>
      </c>
      <c r="E104" s="268" t="s">
        <v>1290</v>
      </c>
      <c r="F104" s="268" t="s">
        <v>2453</v>
      </c>
      <c r="G104" s="268">
        <v>6</v>
      </c>
      <c r="H104" s="268" t="s">
        <v>2454</v>
      </c>
      <c r="I104" s="268" t="s">
        <v>2396</v>
      </c>
      <c r="J104" s="272">
        <v>534312</v>
      </c>
      <c r="K104" s="272">
        <f t="shared" si="12"/>
        <v>44526</v>
      </c>
      <c r="L104" s="272">
        <f t="shared" si="13"/>
        <v>12141.24</v>
      </c>
      <c r="M104" s="269">
        <f>500*12</f>
        <v>6000</v>
      </c>
      <c r="N104" s="272">
        <f t="shared" si="18"/>
        <v>129.60000000000002</v>
      </c>
      <c r="O104" s="272">
        <f>9583.5*12</f>
        <v>115002</v>
      </c>
      <c r="P104" s="273">
        <f t="shared" si="14"/>
        <v>9350.4600000000009</v>
      </c>
      <c r="Q104" s="272">
        <f t="shared" si="15"/>
        <v>60084</v>
      </c>
      <c r="R104" s="272">
        <f t="shared" si="16"/>
        <v>96550.178400000004</v>
      </c>
      <c r="S104" s="272">
        <f t="shared" si="17"/>
        <v>2125.44</v>
      </c>
    </row>
    <row r="105" spans="1:21" s="270" customFormat="1" x14ac:dyDescent="0.25">
      <c r="A105" s="335">
        <v>501205</v>
      </c>
      <c r="B105" s="271">
        <v>1205</v>
      </c>
      <c r="C105" s="271">
        <v>84039</v>
      </c>
      <c r="D105" s="268" t="s">
        <v>894</v>
      </c>
      <c r="E105" s="268" t="s">
        <v>1290</v>
      </c>
      <c r="F105" s="268" t="s">
        <v>2455</v>
      </c>
      <c r="G105" s="268">
        <v>6</v>
      </c>
      <c r="H105" s="268" t="s">
        <v>2456</v>
      </c>
      <c r="I105" s="268" t="s">
        <v>2457</v>
      </c>
      <c r="J105" s="272">
        <v>534312</v>
      </c>
      <c r="K105" s="272">
        <f t="shared" si="12"/>
        <v>44526</v>
      </c>
      <c r="L105" s="272">
        <f t="shared" si="13"/>
        <v>12141.24</v>
      </c>
      <c r="M105" s="269">
        <v>0</v>
      </c>
      <c r="N105" s="272">
        <f t="shared" si="18"/>
        <v>129.60000000000002</v>
      </c>
      <c r="O105" s="272">
        <f>13921*12</f>
        <v>167052</v>
      </c>
      <c r="P105" s="273">
        <f t="shared" si="14"/>
        <v>9350.4600000000009</v>
      </c>
      <c r="Q105" s="272">
        <f t="shared" si="15"/>
        <v>60084</v>
      </c>
      <c r="R105" s="272">
        <f t="shared" si="16"/>
        <v>96550.178400000004</v>
      </c>
      <c r="S105" s="272">
        <f t="shared" si="17"/>
        <v>2125.44</v>
      </c>
    </row>
    <row r="106" spans="1:21" s="270" customFormat="1" x14ac:dyDescent="0.25">
      <c r="A106" s="335">
        <v>501204</v>
      </c>
      <c r="B106" s="271">
        <v>1204</v>
      </c>
      <c r="C106" s="271">
        <v>200179</v>
      </c>
      <c r="D106" s="268" t="s">
        <v>894</v>
      </c>
      <c r="E106" s="268" t="s">
        <v>1290</v>
      </c>
      <c r="F106" s="268" t="s">
        <v>2458</v>
      </c>
      <c r="G106" s="268">
        <v>6</v>
      </c>
      <c r="H106" s="268" t="s">
        <v>2459</v>
      </c>
      <c r="I106" s="268" t="s">
        <v>2460</v>
      </c>
      <c r="J106" s="272">
        <v>534312</v>
      </c>
      <c r="K106" s="272">
        <f t="shared" si="12"/>
        <v>44526</v>
      </c>
      <c r="L106" s="272">
        <f t="shared" si="13"/>
        <v>12141.24</v>
      </c>
      <c r="M106" s="269">
        <v>0</v>
      </c>
      <c r="N106" s="272">
        <f t="shared" si="18"/>
        <v>129.60000000000002</v>
      </c>
      <c r="O106" s="273">
        <v>0</v>
      </c>
      <c r="P106" s="273">
        <f t="shared" si="14"/>
        <v>9350.4600000000009</v>
      </c>
      <c r="Q106" s="272">
        <f t="shared" si="15"/>
        <v>60084</v>
      </c>
      <c r="R106" s="272">
        <f t="shared" si="16"/>
        <v>96550.178400000004</v>
      </c>
      <c r="S106" s="272">
        <f t="shared" si="17"/>
        <v>2125.44</v>
      </c>
    </row>
    <row r="107" spans="1:21" s="270" customFormat="1" x14ac:dyDescent="0.25">
      <c r="A107" s="335">
        <v>501205</v>
      </c>
      <c r="B107" s="271">
        <v>1205</v>
      </c>
      <c r="C107" s="271">
        <v>200189</v>
      </c>
      <c r="D107" s="268" t="s">
        <v>894</v>
      </c>
      <c r="E107" s="268" t="s">
        <v>1278</v>
      </c>
      <c r="F107" s="268" t="s">
        <v>2461</v>
      </c>
      <c r="G107" s="268">
        <v>6</v>
      </c>
      <c r="H107" s="268" t="s">
        <v>2359</v>
      </c>
      <c r="I107" s="268" t="s">
        <v>2462</v>
      </c>
      <c r="J107" s="272">
        <v>534312</v>
      </c>
      <c r="K107" s="272">
        <f t="shared" si="12"/>
        <v>44526</v>
      </c>
      <c r="L107" s="272">
        <f t="shared" si="13"/>
        <v>12141.24</v>
      </c>
      <c r="M107" s="269">
        <v>0</v>
      </c>
      <c r="N107" s="272">
        <f t="shared" si="18"/>
        <v>129.60000000000002</v>
      </c>
      <c r="O107" s="273">
        <v>0</v>
      </c>
      <c r="P107" s="273">
        <f t="shared" si="14"/>
        <v>9350.4600000000009</v>
      </c>
      <c r="Q107" s="272">
        <f t="shared" si="15"/>
        <v>60084</v>
      </c>
      <c r="R107" s="272">
        <f t="shared" si="16"/>
        <v>96550.178400000004</v>
      </c>
      <c r="S107" s="272">
        <f t="shared" si="17"/>
        <v>2125.44</v>
      </c>
    </row>
    <row r="108" spans="1:21" s="270" customFormat="1" x14ac:dyDescent="0.25">
      <c r="A108" s="335">
        <v>501204</v>
      </c>
      <c r="B108" s="271">
        <v>1204</v>
      </c>
      <c r="C108" s="271">
        <v>200191</v>
      </c>
      <c r="D108" s="268" t="s">
        <v>894</v>
      </c>
      <c r="E108" s="268" t="s">
        <v>1290</v>
      </c>
      <c r="F108" s="268" t="s">
        <v>1306</v>
      </c>
      <c r="G108" s="268">
        <v>6</v>
      </c>
      <c r="H108" s="268" t="s">
        <v>2463</v>
      </c>
      <c r="I108" s="268" t="s">
        <v>2464</v>
      </c>
      <c r="J108" s="272">
        <v>534312</v>
      </c>
      <c r="K108" s="272">
        <f t="shared" si="12"/>
        <v>44526</v>
      </c>
      <c r="L108" s="272">
        <f t="shared" si="13"/>
        <v>12141.24</v>
      </c>
      <c r="M108" s="269">
        <v>0</v>
      </c>
      <c r="N108" s="272">
        <f t="shared" si="18"/>
        <v>129.60000000000002</v>
      </c>
      <c r="O108" s="273">
        <v>0</v>
      </c>
      <c r="P108" s="273">
        <f t="shared" si="14"/>
        <v>9350.4600000000009</v>
      </c>
      <c r="Q108" s="272">
        <f t="shared" si="15"/>
        <v>60084</v>
      </c>
      <c r="R108" s="272">
        <f t="shared" si="16"/>
        <v>96550.178400000004</v>
      </c>
      <c r="S108" s="272">
        <f t="shared" si="17"/>
        <v>2125.44</v>
      </c>
    </row>
    <row r="109" spans="1:21" s="270" customFormat="1" x14ac:dyDescent="0.25">
      <c r="A109" s="335">
        <v>501204</v>
      </c>
      <c r="B109" s="271">
        <v>1204</v>
      </c>
      <c r="C109" s="271">
        <v>200245</v>
      </c>
      <c r="D109" s="268" t="s">
        <v>894</v>
      </c>
      <c r="E109" s="268" t="s">
        <v>1278</v>
      </c>
      <c r="F109" s="268" t="s">
        <v>2465</v>
      </c>
      <c r="G109" s="268">
        <v>6</v>
      </c>
      <c r="H109" s="268" t="s">
        <v>2466</v>
      </c>
      <c r="I109" s="268" t="s">
        <v>2460</v>
      </c>
      <c r="J109" s="272">
        <v>534312</v>
      </c>
      <c r="K109" s="272">
        <f t="shared" si="12"/>
        <v>44526</v>
      </c>
      <c r="L109" s="272">
        <f t="shared" si="13"/>
        <v>12141.24</v>
      </c>
      <c r="M109" s="269">
        <v>0</v>
      </c>
      <c r="N109" s="272">
        <f t="shared" si="18"/>
        <v>129.60000000000002</v>
      </c>
      <c r="O109" s="273">
        <v>0</v>
      </c>
      <c r="P109" s="273">
        <f t="shared" si="14"/>
        <v>9350.4600000000009</v>
      </c>
      <c r="Q109" s="272">
        <f t="shared" si="15"/>
        <v>60084</v>
      </c>
      <c r="R109" s="272">
        <f t="shared" si="16"/>
        <v>96550.178400000004</v>
      </c>
      <c r="S109" s="272">
        <f t="shared" si="17"/>
        <v>2125.44</v>
      </c>
    </row>
    <row r="110" spans="1:21" s="270" customFormat="1" x14ac:dyDescent="0.25">
      <c r="A110" s="335">
        <v>110821</v>
      </c>
      <c r="B110" s="271">
        <v>1108</v>
      </c>
      <c r="C110" s="271">
        <v>200304</v>
      </c>
      <c r="D110" s="268" t="s">
        <v>894</v>
      </c>
      <c r="E110" s="268" t="s">
        <v>1290</v>
      </c>
      <c r="F110" s="268" t="s">
        <v>2450</v>
      </c>
      <c r="G110" s="268">
        <v>6</v>
      </c>
      <c r="H110" s="268" t="s">
        <v>2467</v>
      </c>
      <c r="I110" s="268" t="s">
        <v>2468</v>
      </c>
      <c r="J110" s="272">
        <v>534312</v>
      </c>
      <c r="K110" s="272">
        <f t="shared" si="12"/>
        <v>44526</v>
      </c>
      <c r="L110" s="272">
        <f t="shared" si="13"/>
        <v>12141.24</v>
      </c>
      <c r="M110" s="269">
        <v>0</v>
      </c>
      <c r="N110" s="272">
        <f t="shared" si="18"/>
        <v>129.60000000000002</v>
      </c>
      <c r="O110" s="272">
        <f>9583.5*12</f>
        <v>115002</v>
      </c>
      <c r="P110" s="273">
        <f t="shared" si="14"/>
        <v>9350.4600000000009</v>
      </c>
      <c r="Q110" s="272">
        <f t="shared" si="15"/>
        <v>60084</v>
      </c>
      <c r="R110" s="272">
        <f t="shared" si="16"/>
        <v>96550.178400000004</v>
      </c>
      <c r="S110" s="272">
        <f t="shared" si="17"/>
        <v>2125.44</v>
      </c>
    </row>
    <row r="111" spans="1:21" s="270" customFormat="1" x14ac:dyDescent="0.25">
      <c r="A111" s="335" t="str">
        <f>CONCATENATE(50,B111)</f>
        <v>501502</v>
      </c>
      <c r="B111" s="271">
        <v>1502</v>
      </c>
      <c r="C111" s="271">
        <v>200311</v>
      </c>
      <c r="D111" s="268" t="s">
        <v>894</v>
      </c>
      <c r="E111" s="268" t="s">
        <v>1278</v>
      </c>
      <c r="F111" s="268" t="s">
        <v>2391</v>
      </c>
      <c r="G111" s="268">
        <v>6</v>
      </c>
      <c r="H111" s="268" t="s">
        <v>2305</v>
      </c>
      <c r="I111" s="268" t="s">
        <v>2469</v>
      </c>
      <c r="J111" s="272">
        <v>534312</v>
      </c>
      <c r="K111" s="272">
        <f t="shared" si="12"/>
        <v>44526</v>
      </c>
      <c r="L111" s="272">
        <f t="shared" si="13"/>
        <v>12141.24</v>
      </c>
      <c r="M111" s="269">
        <v>0</v>
      </c>
      <c r="N111" s="272">
        <f t="shared" si="18"/>
        <v>129.60000000000002</v>
      </c>
      <c r="O111" s="273">
        <v>0</v>
      </c>
      <c r="P111" s="273">
        <f t="shared" si="14"/>
        <v>9350.4600000000009</v>
      </c>
      <c r="Q111" s="272">
        <f t="shared" si="15"/>
        <v>60084</v>
      </c>
      <c r="R111" s="272">
        <f t="shared" si="16"/>
        <v>96550.178400000004</v>
      </c>
      <c r="S111" s="272">
        <f t="shared" si="17"/>
        <v>2125.44</v>
      </c>
    </row>
    <row r="112" spans="1:21" s="270" customFormat="1" x14ac:dyDescent="0.25">
      <c r="A112" s="335">
        <v>501101</v>
      </c>
      <c r="B112" s="271">
        <v>1101</v>
      </c>
      <c r="C112" s="271">
        <v>200396</v>
      </c>
      <c r="D112" s="268" t="s">
        <v>894</v>
      </c>
      <c r="E112" s="268" t="s">
        <v>1278</v>
      </c>
      <c r="F112" s="268" t="s">
        <v>2470</v>
      </c>
      <c r="G112" s="268">
        <v>6</v>
      </c>
      <c r="H112" s="268" t="s">
        <v>2471</v>
      </c>
      <c r="I112" s="268" t="s">
        <v>2472</v>
      </c>
      <c r="J112" s="272">
        <v>534312</v>
      </c>
      <c r="K112" s="272">
        <f t="shared" si="12"/>
        <v>44526</v>
      </c>
      <c r="L112" s="272">
        <f t="shared" si="13"/>
        <v>12141.24</v>
      </c>
      <c r="M112" s="269">
        <f>750*12</f>
        <v>9000</v>
      </c>
      <c r="N112" s="272">
        <f t="shared" si="18"/>
        <v>129.60000000000002</v>
      </c>
      <c r="O112" s="272">
        <f>17694*12</f>
        <v>212328</v>
      </c>
      <c r="P112" s="273">
        <f t="shared" si="14"/>
        <v>9350.4600000000009</v>
      </c>
      <c r="Q112" s="272">
        <f t="shared" si="15"/>
        <v>60084</v>
      </c>
      <c r="R112" s="272">
        <f t="shared" si="16"/>
        <v>96550.178400000004</v>
      </c>
      <c r="S112" s="272">
        <f t="shared" si="17"/>
        <v>2125.44</v>
      </c>
    </row>
    <row r="113" spans="1:21" s="270" customFormat="1" x14ac:dyDescent="0.25">
      <c r="A113" s="335">
        <v>501445</v>
      </c>
      <c r="B113" s="271">
        <v>1445</v>
      </c>
      <c r="C113" s="271">
        <v>3492</v>
      </c>
      <c r="D113" s="268" t="s">
        <v>1698</v>
      </c>
      <c r="E113" s="268" t="s">
        <v>1290</v>
      </c>
      <c r="F113" s="268" t="s">
        <v>2473</v>
      </c>
      <c r="G113" s="268">
        <v>6</v>
      </c>
      <c r="H113" s="268" t="s">
        <v>2474</v>
      </c>
      <c r="I113" s="268" t="s">
        <v>2475</v>
      </c>
      <c r="J113" s="272">
        <v>519108</v>
      </c>
      <c r="K113" s="272">
        <f t="shared" si="12"/>
        <v>43259</v>
      </c>
      <c r="L113" s="272">
        <f t="shared" si="13"/>
        <v>12141.24</v>
      </c>
      <c r="M113" s="269">
        <v>0</v>
      </c>
      <c r="N113" s="272">
        <f t="shared" si="18"/>
        <v>129.60000000000002</v>
      </c>
      <c r="O113" s="272">
        <f t="shared" ref="O113:O119" si="19">9326.25*12</f>
        <v>111915</v>
      </c>
      <c r="P113" s="273">
        <f t="shared" si="14"/>
        <v>9084.3900000000012</v>
      </c>
      <c r="Q113" s="272">
        <f t="shared" si="15"/>
        <v>60084</v>
      </c>
      <c r="R113" s="272">
        <f t="shared" si="16"/>
        <v>93802.815600000002</v>
      </c>
      <c r="S113" s="272">
        <f t="shared" si="17"/>
        <v>2125.44</v>
      </c>
    </row>
    <row r="114" spans="1:21" s="270" customFormat="1" x14ac:dyDescent="0.25">
      <c r="A114" s="335">
        <v>501445</v>
      </c>
      <c r="B114" s="271">
        <v>1445</v>
      </c>
      <c r="C114" s="271">
        <v>4763</v>
      </c>
      <c r="D114" s="268" t="s">
        <v>1698</v>
      </c>
      <c r="E114" s="268" t="s">
        <v>1290</v>
      </c>
      <c r="F114" s="268" t="s">
        <v>2476</v>
      </c>
      <c r="G114" s="268">
        <v>6</v>
      </c>
      <c r="H114" s="268" t="s">
        <v>2477</v>
      </c>
      <c r="I114" s="268" t="s">
        <v>2478</v>
      </c>
      <c r="J114" s="272">
        <v>519108</v>
      </c>
      <c r="K114" s="272">
        <f t="shared" si="12"/>
        <v>43259</v>
      </c>
      <c r="L114" s="272">
        <f t="shared" si="13"/>
        <v>12141.24</v>
      </c>
      <c r="M114" s="269">
        <v>0</v>
      </c>
      <c r="N114" s="272">
        <f t="shared" si="18"/>
        <v>129.60000000000002</v>
      </c>
      <c r="O114" s="272">
        <f t="shared" si="19"/>
        <v>111915</v>
      </c>
      <c r="P114" s="273">
        <f t="shared" si="14"/>
        <v>9084.3900000000012</v>
      </c>
      <c r="Q114" s="272">
        <f t="shared" si="15"/>
        <v>60084</v>
      </c>
      <c r="R114" s="272">
        <f t="shared" si="16"/>
        <v>93802.815600000002</v>
      </c>
      <c r="S114" s="272">
        <f t="shared" si="17"/>
        <v>2125.44</v>
      </c>
    </row>
    <row r="115" spans="1:21" x14ac:dyDescent="0.25">
      <c r="A115" s="335">
        <v>501445</v>
      </c>
      <c r="B115" s="271">
        <v>1445</v>
      </c>
      <c r="C115" s="271">
        <v>12616</v>
      </c>
      <c r="D115" s="268" t="s">
        <v>1698</v>
      </c>
      <c r="E115" s="268" t="s">
        <v>1290</v>
      </c>
      <c r="F115" s="268" t="s">
        <v>2479</v>
      </c>
      <c r="G115" s="268">
        <v>6</v>
      </c>
      <c r="H115" s="268" t="s">
        <v>2480</v>
      </c>
      <c r="I115" s="268" t="s">
        <v>2481</v>
      </c>
      <c r="J115" s="272">
        <v>519108</v>
      </c>
      <c r="K115" s="272">
        <f t="shared" si="12"/>
        <v>43259</v>
      </c>
      <c r="L115" s="272">
        <f t="shared" si="13"/>
        <v>12141.24</v>
      </c>
      <c r="M115" s="269">
        <v>0</v>
      </c>
      <c r="N115" s="272">
        <f t="shared" si="18"/>
        <v>129.60000000000002</v>
      </c>
      <c r="O115" s="272">
        <f t="shared" si="19"/>
        <v>111915</v>
      </c>
      <c r="P115" s="273">
        <f t="shared" si="14"/>
        <v>9084.3900000000012</v>
      </c>
      <c r="Q115" s="272">
        <f t="shared" si="15"/>
        <v>60084</v>
      </c>
      <c r="R115" s="272">
        <f t="shared" si="16"/>
        <v>93802.815600000002</v>
      </c>
      <c r="S115" s="272">
        <f t="shared" si="17"/>
        <v>2125.44</v>
      </c>
      <c r="T115" s="270"/>
      <c r="U115" s="270"/>
    </row>
    <row r="116" spans="1:21" x14ac:dyDescent="0.25">
      <c r="A116" s="335">
        <v>501442</v>
      </c>
      <c r="B116" s="271">
        <v>1442</v>
      </c>
      <c r="C116" s="271">
        <v>16007</v>
      </c>
      <c r="D116" s="268" t="s">
        <v>1698</v>
      </c>
      <c r="E116" s="268" t="s">
        <v>1290</v>
      </c>
      <c r="F116" s="268" t="s">
        <v>538</v>
      </c>
      <c r="G116" s="268">
        <v>6</v>
      </c>
      <c r="H116" s="268" t="s">
        <v>2482</v>
      </c>
      <c r="I116" s="268" t="s">
        <v>2483</v>
      </c>
      <c r="J116" s="272">
        <v>519108</v>
      </c>
      <c r="K116" s="272">
        <f t="shared" si="12"/>
        <v>43259</v>
      </c>
      <c r="L116" s="272">
        <f t="shared" si="13"/>
        <v>12141.24</v>
      </c>
      <c r="M116" s="269">
        <v>0</v>
      </c>
      <c r="N116" s="272">
        <f t="shared" si="18"/>
        <v>129.60000000000002</v>
      </c>
      <c r="O116" s="272">
        <f t="shared" si="19"/>
        <v>111915</v>
      </c>
      <c r="P116" s="273">
        <f t="shared" si="14"/>
        <v>9084.3900000000012</v>
      </c>
      <c r="Q116" s="272">
        <f t="shared" si="15"/>
        <v>60084</v>
      </c>
      <c r="R116" s="272">
        <f t="shared" si="16"/>
        <v>93802.815600000002</v>
      </c>
      <c r="S116" s="272">
        <f t="shared" si="17"/>
        <v>2125.44</v>
      </c>
      <c r="T116" s="270"/>
      <c r="U116" s="270"/>
    </row>
    <row r="117" spans="1:21" s="270" customFormat="1" x14ac:dyDescent="0.25">
      <c r="A117" s="335">
        <v>501443</v>
      </c>
      <c r="B117" s="271">
        <v>1443</v>
      </c>
      <c r="C117" s="271">
        <v>27562</v>
      </c>
      <c r="D117" s="268" t="s">
        <v>894</v>
      </c>
      <c r="E117" s="268" t="s">
        <v>1290</v>
      </c>
      <c r="F117" s="268" t="s">
        <v>2484</v>
      </c>
      <c r="G117" s="268">
        <v>6</v>
      </c>
      <c r="H117" s="268" t="s">
        <v>2485</v>
      </c>
      <c r="I117" s="268" t="s">
        <v>2486</v>
      </c>
      <c r="J117" s="272">
        <v>519108</v>
      </c>
      <c r="K117" s="272">
        <f t="shared" si="12"/>
        <v>43259</v>
      </c>
      <c r="L117" s="272">
        <f t="shared" si="13"/>
        <v>12141.24</v>
      </c>
      <c r="M117" s="269">
        <v>0</v>
      </c>
      <c r="N117" s="272">
        <f t="shared" si="18"/>
        <v>129.60000000000002</v>
      </c>
      <c r="O117" s="272">
        <f t="shared" si="19"/>
        <v>111915</v>
      </c>
      <c r="P117" s="273">
        <f t="shared" si="14"/>
        <v>9084.3900000000012</v>
      </c>
      <c r="Q117" s="272">
        <f t="shared" si="15"/>
        <v>60084</v>
      </c>
      <c r="R117" s="272">
        <f t="shared" si="16"/>
        <v>93802.815600000002</v>
      </c>
      <c r="S117" s="272">
        <f t="shared" si="17"/>
        <v>2125.44</v>
      </c>
    </row>
    <row r="118" spans="1:21" x14ac:dyDescent="0.25">
      <c r="A118" s="335">
        <v>501442</v>
      </c>
      <c r="B118" s="271">
        <v>1442</v>
      </c>
      <c r="C118" s="271">
        <v>50254</v>
      </c>
      <c r="D118" s="268" t="s">
        <v>894</v>
      </c>
      <c r="E118" s="268" t="s">
        <v>1290</v>
      </c>
      <c r="F118" s="268" t="s">
        <v>2487</v>
      </c>
      <c r="G118" s="268">
        <v>6</v>
      </c>
      <c r="H118" s="268" t="s">
        <v>2488</v>
      </c>
      <c r="I118" s="268" t="s">
        <v>2489</v>
      </c>
      <c r="J118" s="272">
        <v>519108</v>
      </c>
      <c r="K118" s="272">
        <f t="shared" si="12"/>
        <v>43259</v>
      </c>
      <c r="L118" s="272">
        <f t="shared" si="13"/>
        <v>12141.24</v>
      </c>
      <c r="M118" s="269">
        <v>0</v>
      </c>
      <c r="N118" s="272">
        <f t="shared" si="18"/>
        <v>129.60000000000002</v>
      </c>
      <c r="O118" s="272">
        <f t="shared" si="19"/>
        <v>111915</v>
      </c>
      <c r="P118" s="273">
        <f t="shared" si="14"/>
        <v>9084.3900000000012</v>
      </c>
      <c r="Q118" s="272">
        <f t="shared" si="15"/>
        <v>60084</v>
      </c>
      <c r="R118" s="272">
        <f t="shared" si="16"/>
        <v>93802.815600000002</v>
      </c>
      <c r="S118" s="272">
        <f t="shared" si="17"/>
        <v>2125.44</v>
      </c>
      <c r="T118" s="270"/>
      <c r="U118" s="270"/>
    </row>
    <row r="119" spans="1:21" s="270" customFormat="1" x14ac:dyDescent="0.25">
      <c r="A119" s="337">
        <v>501445</v>
      </c>
      <c r="B119" s="276">
        <v>1445</v>
      </c>
      <c r="C119" s="276">
        <v>50342</v>
      </c>
      <c r="D119" s="268" t="s">
        <v>894</v>
      </c>
      <c r="E119" s="268" t="s">
        <v>1278</v>
      </c>
      <c r="F119" s="268" t="s">
        <v>2490</v>
      </c>
      <c r="G119" s="268">
        <v>6</v>
      </c>
      <c r="H119" s="268" t="s">
        <v>2491</v>
      </c>
      <c r="I119" s="268" t="s">
        <v>2475</v>
      </c>
      <c r="J119" s="269">
        <v>519108</v>
      </c>
      <c r="K119" s="273">
        <f t="shared" si="12"/>
        <v>43259</v>
      </c>
      <c r="L119" s="272">
        <f t="shared" si="13"/>
        <v>12141.24</v>
      </c>
      <c r="M119" s="269">
        <f>450*12</f>
        <v>5400</v>
      </c>
      <c r="N119" s="273">
        <f t="shared" si="18"/>
        <v>129.60000000000002</v>
      </c>
      <c r="O119" s="269">
        <f t="shared" si="19"/>
        <v>111915</v>
      </c>
      <c r="P119" s="273">
        <f t="shared" si="14"/>
        <v>9084.3900000000012</v>
      </c>
      <c r="Q119" s="272">
        <f t="shared" si="15"/>
        <v>60084</v>
      </c>
      <c r="R119" s="273">
        <f t="shared" si="16"/>
        <v>93802.815600000002</v>
      </c>
      <c r="S119" s="273">
        <f t="shared" si="17"/>
        <v>2125.44</v>
      </c>
    </row>
    <row r="120" spans="1:21" s="270" customFormat="1" x14ac:dyDescent="0.25">
      <c r="A120" s="335">
        <v>501204</v>
      </c>
      <c r="B120" s="271">
        <v>1204</v>
      </c>
      <c r="C120" s="271">
        <v>59284</v>
      </c>
      <c r="D120" s="268" t="s">
        <v>894</v>
      </c>
      <c r="E120" s="268" t="s">
        <v>1278</v>
      </c>
      <c r="F120" s="268" t="s">
        <v>2492</v>
      </c>
      <c r="G120" s="268">
        <v>6</v>
      </c>
      <c r="H120" s="268" t="s">
        <v>2493</v>
      </c>
      <c r="I120" s="268" t="s">
        <v>2494</v>
      </c>
      <c r="J120" s="272">
        <v>519108</v>
      </c>
      <c r="K120" s="272">
        <f t="shared" si="12"/>
        <v>43259</v>
      </c>
      <c r="L120" s="272">
        <f t="shared" si="13"/>
        <v>12141.24</v>
      </c>
      <c r="M120" s="269">
        <v>0</v>
      </c>
      <c r="N120" s="272">
        <f t="shared" si="18"/>
        <v>129.60000000000002</v>
      </c>
      <c r="O120" s="273">
        <v>0</v>
      </c>
      <c r="P120" s="273">
        <f t="shared" si="14"/>
        <v>9084.3900000000012</v>
      </c>
      <c r="Q120" s="272">
        <f t="shared" si="15"/>
        <v>60084</v>
      </c>
      <c r="R120" s="272">
        <f t="shared" si="16"/>
        <v>93802.815600000002</v>
      </c>
      <c r="S120" s="272">
        <f t="shared" si="17"/>
        <v>2125.44</v>
      </c>
    </row>
    <row r="121" spans="1:21" s="270" customFormat="1" x14ac:dyDescent="0.25">
      <c r="A121" s="335">
        <v>501445</v>
      </c>
      <c r="B121" s="271">
        <v>1445</v>
      </c>
      <c r="C121" s="271">
        <v>84550</v>
      </c>
      <c r="D121" s="268" t="s">
        <v>894</v>
      </c>
      <c r="E121" s="268" t="s">
        <v>1290</v>
      </c>
      <c r="F121" s="268" t="s">
        <v>2362</v>
      </c>
      <c r="G121" s="268">
        <v>6</v>
      </c>
      <c r="H121" s="268" t="s">
        <v>2495</v>
      </c>
      <c r="I121" s="268" t="s">
        <v>2481</v>
      </c>
      <c r="J121" s="272">
        <v>519108</v>
      </c>
      <c r="K121" s="272">
        <f t="shared" si="12"/>
        <v>43259</v>
      </c>
      <c r="L121" s="272">
        <f t="shared" si="13"/>
        <v>12141.24</v>
      </c>
      <c r="M121" s="269">
        <v>0</v>
      </c>
      <c r="N121" s="272">
        <f t="shared" si="18"/>
        <v>129.60000000000002</v>
      </c>
      <c r="O121" s="272">
        <f>9326.25*12</f>
        <v>111915</v>
      </c>
      <c r="P121" s="273">
        <f t="shared" si="14"/>
        <v>9084.3900000000012</v>
      </c>
      <c r="Q121" s="272">
        <f t="shared" si="15"/>
        <v>60084</v>
      </c>
      <c r="R121" s="272">
        <f t="shared" si="16"/>
        <v>93802.815600000002</v>
      </c>
      <c r="S121" s="272">
        <f t="shared" si="17"/>
        <v>2125.44</v>
      </c>
    </row>
    <row r="122" spans="1:21" s="270" customFormat="1" x14ac:dyDescent="0.25">
      <c r="A122" s="335">
        <v>501442</v>
      </c>
      <c r="B122" s="271">
        <v>1442</v>
      </c>
      <c r="C122" s="271">
        <v>84576</v>
      </c>
      <c r="D122" s="268" t="s">
        <v>894</v>
      </c>
      <c r="E122" s="268" t="s">
        <v>1278</v>
      </c>
      <c r="F122" s="268" t="s">
        <v>1304</v>
      </c>
      <c r="G122" s="268">
        <v>6</v>
      </c>
      <c r="H122" s="268" t="s">
        <v>2496</v>
      </c>
      <c r="I122" s="268" t="s">
        <v>2475</v>
      </c>
      <c r="J122" s="272">
        <v>519108</v>
      </c>
      <c r="K122" s="272">
        <f t="shared" si="12"/>
        <v>43259</v>
      </c>
      <c r="L122" s="272">
        <f t="shared" si="13"/>
        <v>12141.24</v>
      </c>
      <c r="M122" s="269">
        <v>0</v>
      </c>
      <c r="N122" s="272">
        <f t="shared" si="18"/>
        <v>129.60000000000002</v>
      </c>
      <c r="O122" s="272">
        <f>9326.25*12</f>
        <v>111915</v>
      </c>
      <c r="P122" s="273">
        <f t="shared" si="14"/>
        <v>9084.3900000000012</v>
      </c>
      <c r="Q122" s="272">
        <f t="shared" si="15"/>
        <v>60084</v>
      </c>
      <c r="R122" s="272">
        <f t="shared" si="16"/>
        <v>93802.815600000002</v>
      </c>
      <c r="S122" s="272">
        <f t="shared" si="17"/>
        <v>2125.44</v>
      </c>
    </row>
    <row r="123" spans="1:21" s="270" customFormat="1" x14ac:dyDescent="0.25">
      <c r="A123" s="335">
        <v>110721</v>
      </c>
      <c r="B123" s="271">
        <v>1107</v>
      </c>
      <c r="C123" s="271">
        <v>200398</v>
      </c>
      <c r="D123" s="268" t="s">
        <v>894</v>
      </c>
      <c r="E123" s="268" t="s">
        <v>1278</v>
      </c>
      <c r="F123" s="268" t="s">
        <v>2497</v>
      </c>
      <c r="G123" s="268">
        <v>6</v>
      </c>
      <c r="H123" s="268" t="s">
        <v>2498</v>
      </c>
      <c r="I123" s="268" t="s">
        <v>2499</v>
      </c>
      <c r="J123" s="272">
        <v>519108</v>
      </c>
      <c r="K123" s="272">
        <f t="shared" si="12"/>
        <v>43259</v>
      </c>
      <c r="L123" s="272">
        <f t="shared" si="13"/>
        <v>12141.24</v>
      </c>
      <c r="M123" s="269">
        <v>0</v>
      </c>
      <c r="N123" s="272">
        <f t="shared" si="18"/>
        <v>129.60000000000002</v>
      </c>
      <c r="O123" s="273">
        <v>0</v>
      </c>
      <c r="P123" s="273">
        <f t="shared" si="14"/>
        <v>9084.3900000000012</v>
      </c>
      <c r="Q123" s="272">
        <f t="shared" si="15"/>
        <v>60084</v>
      </c>
      <c r="R123" s="272">
        <f t="shared" si="16"/>
        <v>93802.815600000002</v>
      </c>
      <c r="S123" s="272">
        <f t="shared" si="17"/>
        <v>2125.44</v>
      </c>
    </row>
    <row r="124" spans="1:21" s="270" customFormat="1" x14ac:dyDescent="0.25">
      <c r="A124" s="335">
        <v>501442</v>
      </c>
      <c r="B124" s="271">
        <v>1442</v>
      </c>
      <c r="C124" s="271">
        <v>200399</v>
      </c>
      <c r="D124" s="268" t="s">
        <v>894</v>
      </c>
      <c r="E124" s="268" t="s">
        <v>1290</v>
      </c>
      <c r="F124" s="268" t="s">
        <v>2411</v>
      </c>
      <c r="G124" s="268">
        <v>6</v>
      </c>
      <c r="H124" s="268" t="s">
        <v>2500</v>
      </c>
      <c r="I124" s="268" t="s">
        <v>2501</v>
      </c>
      <c r="J124" s="272">
        <v>519108</v>
      </c>
      <c r="K124" s="272">
        <f t="shared" si="12"/>
        <v>43259</v>
      </c>
      <c r="L124" s="272">
        <f t="shared" si="13"/>
        <v>12141.24</v>
      </c>
      <c r="M124" s="269">
        <v>0</v>
      </c>
      <c r="N124" s="272">
        <f t="shared" si="18"/>
        <v>129.60000000000002</v>
      </c>
      <c r="O124" s="273">
        <v>0</v>
      </c>
      <c r="P124" s="273">
        <f t="shared" si="14"/>
        <v>9084.3900000000012</v>
      </c>
      <c r="Q124" s="272">
        <f t="shared" si="15"/>
        <v>60084</v>
      </c>
      <c r="R124" s="272">
        <f t="shared" si="16"/>
        <v>93802.815600000002</v>
      </c>
      <c r="S124" s="272">
        <f t="shared" si="17"/>
        <v>2125.44</v>
      </c>
    </row>
    <row r="125" spans="1:21" s="270" customFormat="1" x14ac:dyDescent="0.25">
      <c r="A125" s="335">
        <v>110721</v>
      </c>
      <c r="B125" s="271">
        <v>1107</v>
      </c>
      <c r="C125" s="271">
        <v>200410</v>
      </c>
      <c r="D125" s="268" t="s">
        <v>894</v>
      </c>
      <c r="E125" s="268" t="s">
        <v>1278</v>
      </c>
      <c r="F125" s="268" t="s">
        <v>2502</v>
      </c>
      <c r="G125" s="268">
        <v>6</v>
      </c>
      <c r="H125" s="268" t="s">
        <v>2503</v>
      </c>
      <c r="I125" s="268" t="s">
        <v>2504</v>
      </c>
      <c r="J125" s="272">
        <v>519108</v>
      </c>
      <c r="K125" s="272">
        <f t="shared" si="12"/>
        <v>43259</v>
      </c>
      <c r="L125" s="272">
        <f t="shared" si="13"/>
        <v>12141.24</v>
      </c>
      <c r="M125" s="269">
        <v>0</v>
      </c>
      <c r="N125" s="272">
        <f t="shared" si="18"/>
        <v>129.60000000000002</v>
      </c>
      <c r="O125" s="273">
        <v>0</v>
      </c>
      <c r="P125" s="273">
        <f t="shared" si="14"/>
        <v>9084.3900000000012</v>
      </c>
      <c r="Q125" s="272">
        <f t="shared" si="15"/>
        <v>60084</v>
      </c>
      <c r="R125" s="272">
        <f t="shared" si="16"/>
        <v>93802.815600000002</v>
      </c>
      <c r="S125" s="272">
        <f t="shared" si="17"/>
        <v>2125.44</v>
      </c>
    </row>
    <row r="126" spans="1:21" s="270" customFormat="1" x14ac:dyDescent="0.25">
      <c r="A126" s="335">
        <v>501305</v>
      </c>
      <c r="B126" s="271">
        <v>1305</v>
      </c>
      <c r="C126" s="271">
        <v>19114</v>
      </c>
      <c r="D126" s="268" t="s">
        <v>1698</v>
      </c>
      <c r="E126" s="268" t="s">
        <v>1290</v>
      </c>
      <c r="F126" s="268" t="s">
        <v>894</v>
      </c>
      <c r="G126" s="268">
        <v>6</v>
      </c>
      <c r="H126" s="268" t="s">
        <v>2505</v>
      </c>
      <c r="I126" s="268" t="s">
        <v>2444</v>
      </c>
      <c r="J126" s="272">
        <v>504708</v>
      </c>
      <c r="K126" s="272">
        <f t="shared" si="12"/>
        <v>42059</v>
      </c>
      <c r="L126" s="272">
        <f t="shared" si="13"/>
        <v>12141.24</v>
      </c>
      <c r="M126" s="269">
        <v>0</v>
      </c>
      <c r="N126" s="272">
        <f t="shared" si="18"/>
        <v>129.60000000000002</v>
      </c>
      <c r="O126" s="273">
        <v>0</v>
      </c>
      <c r="P126" s="273">
        <f t="shared" si="14"/>
        <v>8832.3900000000012</v>
      </c>
      <c r="Q126" s="272">
        <f t="shared" si="15"/>
        <v>60084</v>
      </c>
      <c r="R126" s="272">
        <f t="shared" si="16"/>
        <v>91200.7356</v>
      </c>
      <c r="S126" s="272">
        <f t="shared" si="17"/>
        <v>2125.44</v>
      </c>
    </row>
    <row r="127" spans="1:21" x14ac:dyDescent="0.25">
      <c r="A127" s="335">
        <v>501305</v>
      </c>
      <c r="B127" s="271">
        <v>1305</v>
      </c>
      <c r="C127" s="271">
        <v>36375</v>
      </c>
      <c r="D127" s="268" t="s">
        <v>894</v>
      </c>
      <c r="E127" s="268" t="s">
        <v>1278</v>
      </c>
      <c r="F127" s="268" t="s">
        <v>2506</v>
      </c>
      <c r="G127" s="268">
        <v>6</v>
      </c>
      <c r="H127" s="268" t="s">
        <v>2507</v>
      </c>
      <c r="I127" s="268" t="s">
        <v>2444</v>
      </c>
      <c r="J127" s="272">
        <v>504708</v>
      </c>
      <c r="K127" s="272">
        <f t="shared" si="12"/>
        <v>42059</v>
      </c>
      <c r="L127" s="272">
        <f t="shared" si="13"/>
        <v>12141.24</v>
      </c>
      <c r="M127" s="269">
        <v>0</v>
      </c>
      <c r="N127" s="272">
        <f t="shared" si="18"/>
        <v>129.60000000000002</v>
      </c>
      <c r="O127" s="273">
        <v>0</v>
      </c>
      <c r="P127" s="273">
        <f t="shared" si="14"/>
        <v>8832.3900000000012</v>
      </c>
      <c r="Q127" s="272">
        <f t="shared" si="15"/>
        <v>60084</v>
      </c>
      <c r="R127" s="272">
        <f t="shared" si="16"/>
        <v>91200.7356</v>
      </c>
      <c r="S127" s="272">
        <f t="shared" si="17"/>
        <v>2125.44</v>
      </c>
      <c r="T127" s="270"/>
      <c r="U127" s="270"/>
    </row>
    <row r="128" spans="1:21" s="270" customFormat="1" x14ac:dyDescent="0.25">
      <c r="A128" s="337">
        <v>501444</v>
      </c>
      <c r="B128" s="276">
        <v>1444</v>
      </c>
      <c r="C128" s="276">
        <v>262</v>
      </c>
      <c r="D128" s="268" t="s">
        <v>894</v>
      </c>
      <c r="E128" s="268" t="s">
        <v>1290</v>
      </c>
      <c r="F128" s="268" t="s">
        <v>2508</v>
      </c>
      <c r="G128" s="268">
        <v>6</v>
      </c>
      <c r="H128" s="268" t="s">
        <v>2509</v>
      </c>
      <c r="I128" s="268" t="s">
        <v>2396</v>
      </c>
      <c r="J128" s="269">
        <v>490776</v>
      </c>
      <c r="K128" s="273">
        <f t="shared" ref="K128:K191" si="20">J128/12</f>
        <v>40898</v>
      </c>
      <c r="L128" s="272">
        <f t="shared" ref="L128:L191" si="21">1011.77*12</f>
        <v>12141.24</v>
      </c>
      <c r="M128" s="269">
        <f>500*12</f>
        <v>6000</v>
      </c>
      <c r="N128" s="273">
        <f t="shared" si="18"/>
        <v>129.60000000000002</v>
      </c>
      <c r="O128" s="269">
        <f>7983.75*12</f>
        <v>95805</v>
      </c>
      <c r="P128" s="273">
        <f t="shared" ref="P128:P191" si="22">J128*1.75%</f>
        <v>8588.58</v>
      </c>
      <c r="Q128" s="272">
        <f t="shared" ref="Q128:Q191" si="23">5007*12</f>
        <v>60084</v>
      </c>
      <c r="R128" s="273">
        <f t="shared" ref="R128:R191" si="24">18.07%*J128</f>
        <v>88683.223199999993</v>
      </c>
      <c r="S128" s="273">
        <f t="shared" si="17"/>
        <v>2125.44</v>
      </c>
    </row>
    <row r="129" spans="1:20" s="270" customFormat="1" x14ac:dyDescent="0.25">
      <c r="A129" s="335">
        <v>501103</v>
      </c>
      <c r="B129" s="271">
        <v>1103</v>
      </c>
      <c r="C129" s="271">
        <v>44066</v>
      </c>
      <c r="D129" s="268" t="s">
        <v>894</v>
      </c>
      <c r="E129" s="268" t="s">
        <v>1278</v>
      </c>
      <c r="F129" s="268" t="s">
        <v>1290</v>
      </c>
      <c r="G129" s="268">
        <v>6</v>
      </c>
      <c r="H129" s="268" t="s">
        <v>2510</v>
      </c>
      <c r="I129" s="268" t="s">
        <v>2511</v>
      </c>
      <c r="J129" s="272">
        <v>490776</v>
      </c>
      <c r="K129" s="272">
        <f t="shared" si="20"/>
        <v>40898</v>
      </c>
      <c r="L129" s="272">
        <f t="shared" si="21"/>
        <v>12141.24</v>
      </c>
      <c r="M129" s="269">
        <f>550*12</f>
        <v>6600</v>
      </c>
      <c r="N129" s="272">
        <f t="shared" si="18"/>
        <v>129.60000000000002</v>
      </c>
      <c r="O129" s="278">
        <f>8897.25*12</f>
        <v>106767</v>
      </c>
      <c r="P129" s="273">
        <f t="shared" si="22"/>
        <v>8588.58</v>
      </c>
      <c r="Q129" s="272">
        <f t="shared" si="23"/>
        <v>60084</v>
      </c>
      <c r="R129" s="272">
        <f t="shared" si="24"/>
        <v>88683.223199999993</v>
      </c>
      <c r="S129" s="272">
        <f t="shared" ref="S129:S192" si="25">177.12*12</f>
        <v>2125.44</v>
      </c>
    </row>
    <row r="130" spans="1:20" s="270" customFormat="1" x14ac:dyDescent="0.25">
      <c r="A130" s="335">
        <v>501442</v>
      </c>
      <c r="B130" s="271">
        <v>1442</v>
      </c>
      <c r="C130" s="271">
        <v>200027</v>
      </c>
      <c r="D130" s="268" t="s">
        <v>894</v>
      </c>
      <c r="E130" s="268" t="s">
        <v>1278</v>
      </c>
      <c r="F130" s="268" t="s">
        <v>2512</v>
      </c>
      <c r="G130" s="268">
        <v>6</v>
      </c>
      <c r="H130" s="268" t="s">
        <v>2513</v>
      </c>
      <c r="I130" s="268" t="s">
        <v>2483</v>
      </c>
      <c r="J130" s="272">
        <v>490776</v>
      </c>
      <c r="K130" s="272">
        <f t="shared" si="20"/>
        <v>40898</v>
      </c>
      <c r="L130" s="272">
        <f t="shared" si="21"/>
        <v>12141.24</v>
      </c>
      <c r="M130" s="269">
        <v>0</v>
      </c>
      <c r="N130" s="272">
        <f t="shared" si="18"/>
        <v>129.60000000000002</v>
      </c>
      <c r="O130" s="272">
        <f>8897.25*12</f>
        <v>106767</v>
      </c>
      <c r="P130" s="273">
        <f t="shared" si="22"/>
        <v>8588.58</v>
      </c>
      <c r="Q130" s="272">
        <f t="shared" si="23"/>
        <v>60084</v>
      </c>
      <c r="R130" s="272">
        <f t="shared" si="24"/>
        <v>88683.223199999993</v>
      </c>
      <c r="S130" s="272">
        <f t="shared" si="25"/>
        <v>2125.44</v>
      </c>
    </row>
    <row r="131" spans="1:20" s="270" customFormat="1" x14ac:dyDescent="0.25">
      <c r="A131" s="335">
        <v>501442</v>
      </c>
      <c r="B131" s="271">
        <v>1442</v>
      </c>
      <c r="C131" s="271">
        <v>200028</v>
      </c>
      <c r="D131" s="268" t="s">
        <v>894</v>
      </c>
      <c r="E131" s="268" t="s">
        <v>1290</v>
      </c>
      <c r="F131" s="268" t="s">
        <v>2514</v>
      </c>
      <c r="G131" s="268">
        <v>6</v>
      </c>
      <c r="H131" s="268" t="s">
        <v>2515</v>
      </c>
      <c r="I131" s="268" t="s">
        <v>2475</v>
      </c>
      <c r="J131" s="272">
        <v>490776</v>
      </c>
      <c r="K131" s="272">
        <f t="shared" si="20"/>
        <v>40898</v>
      </c>
      <c r="L131" s="272">
        <f t="shared" si="21"/>
        <v>12141.24</v>
      </c>
      <c r="M131" s="269">
        <v>0</v>
      </c>
      <c r="N131" s="272">
        <f t="shared" si="18"/>
        <v>129.60000000000002</v>
      </c>
      <c r="O131" s="272">
        <f>8897.25*12</f>
        <v>106767</v>
      </c>
      <c r="P131" s="273">
        <f t="shared" si="22"/>
        <v>8588.58</v>
      </c>
      <c r="Q131" s="272">
        <f t="shared" si="23"/>
        <v>60084</v>
      </c>
      <c r="R131" s="272">
        <f t="shared" si="24"/>
        <v>88683.223199999993</v>
      </c>
      <c r="S131" s="272">
        <f t="shared" si="25"/>
        <v>2125.44</v>
      </c>
    </row>
    <row r="132" spans="1:20" s="270" customFormat="1" x14ac:dyDescent="0.25">
      <c r="A132" s="335">
        <v>501442</v>
      </c>
      <c r="B132" s="271">
        <v>1442</v>
      </c>
      <c r="C132" s="271">
        <v>200029</v>
      </c>
      <c r="D132" s="268" t="s">
        <v>894</v>
      </c>
      <c r="E132" s="268" t="s">
        <v>1278</v>
      </c>
      <c r="F132" s="268" t="s">
        <v>2266</v>
      </c>
      <c r="G132" s="268">
        <v>6</v>
      </c>
      <c r="H132" s="268" t="s">
        <v>2516</v>
      </c>
      <c r="I132" s="268" t="s">
        <v>2483</v>
      </c>
      <c r="J132" s="272">
        <v>490776</v>
      </c>
      <c r="K132" s="272">
        <f t="shared" si="20"/>
        <v>40898</v>
      </c>
      <c r="L132" s="272">
        <f t="shared" si="21"/>
        <v>12141.24</v>
      </c>
      <c r="M132" s="269">
        <v>0</v>
      </c>
      <c r="N132" s="272">
        <f t="shared" si="18"/>
        <v>129.60000000000002</v>
      </c>
      <c r="O132" s="272">
        <f>8897.25*12</f>
        <v>106767</v>
      </c>
      <c r="P132" s="273">
        <f t="shared" si="22"/>
        <v>8588.58</v>
      </c>
      <c r="Q132" s="272">
        <f t="shared" si="23"/>
        <v>60084</v>
      </c>
      <c r="R132" s="272">
        <f t="shared" si="24"/>
        <v>88683.223199999993</v>
      </c>
      <c r="S132" s="272">
        <f t="shared" si="25"/>
        <v>2125.44</v>
      </c>
      <c r="T132" s="279"/>
    </row>
    <row r="133" spans="1:20" s="270" customFormat="1" x14ac:dyDescent="0.25">
      <c r="A133" s="335" t="str">
        <f>CONCATENATE(50,B133)</f>
        <v>501108</v>
      </c>
      <c r="B133" s="271">
        <v>1108</v>
      </c>
      <c r="C133" s="271">
        <v>200385</v>
      </c>
      <c r="D133" s="268" t="s">
        <v>894</v>
      </c>
      <c r="E133" s="268" t="s">
        <v>1290</v>
      </c>
      <c r="F133" s="268" t="s">
        <v>2517</v>
      </c>
      <c r="G133" s="268">
        <v>6</v>
      </c>
      <c r="H133" s="268" t="s">
        <v>2518</v>
      </c>
      <c r="I133" s="268" t="s">
        <v>2519</v>
      </c>
      <c r="J133" s="272">
        <v>490776</v>
      </c>
      <c r="K133" s="272">
        <f t="shared" si="20"/>
        <v>40898</v>
      </c>
      <c r="L133" s="272">
        <f t="shared" si="21"/>
        <v>12141.24</v>
      </c>
      <c r="M133" s="269">
        <v>0</v>
      </c>
      <c r="N133" s="272">
        <f t="shared" ref="N133:N196" si="26">10.8*12</f>
        <v>129.60000000000002</v>
      </c>
      <c r="O133" s="269">
        <v>0</v>
      </c>
      <c r="P133" s="273">
        <f t="shared" si="22"/>
        <v>8588.58</v>
      </c>
      <c r="Q133" s="272">
        <f t="shared" si="23"/>
        <v>60084</v>
      </c>
      <c r="R133" s="272">
        <f t="shared" si="24"/>
        <v>88683.223199999993</v>
      </c>
      <c r="S133" s="272">
        <f t="shared" si="25"/>
        <v>2125.44</v>
      </c>
    </row>
    <row r="134" spans="1:20" s="270" customFormat="1" x14ac:dyDescent="0.25">
      <c r="A134" s="335">
        <v>501305</v>
      </c>
      <c r="B134" s="271">
        <v>1305</v>
      </c>
      <c r="C134" s="271">
        <v>36155</v>
      </c>
      <c r="D134" s="268" t="s">
        <v>894</v>
      </c>
      <c r="E134" s="268" t="s">
        <v>1278</v>
      </c>
      <c r="F134" s="268" t="s">
        <v>2520</v>
      </c>
      <c r="G134" s="268">
        <v>6</v>
      </c>
      <c r="H134" s="268" t="s">
        <v>2521</v>
      </c>
      <c r="I134" s="268" t="s">
        <v>2444</v>
      </c>
      <c r="J134" s="272">
        <v>477252</v>
      </c>
      <c r="K134" s="272">
        <f t="shared" si="20"/>
        <v>39771</v>
      </c>
      <c r="L134" s="272">
        <f t="shared" si="21"/>
        <v>12141.24</v>
      </c>
      <c r="M134" s="269">
        <v>0</v>
      </c>
      <c r="N134" s="272">
        <f t="shared" si="26"/>
        <v>129.60000000000002</v>
      </c>
      <c r="O134" s="273">
        <v>0</v>
      </c>
      <c r="P134" s="273">
        <f t="shared" si="22"/>
        <v>8351.9100000000017</v>
      </c>
      <c r="Q134" s="272">
        <f t="shared" si="23"/>
        <v>60084</v>
      </c>
      <c r="R134" s="272">
        <f t="shared" si="24"/>
        <v>86239.436400000006</v>
      </c>
      <c r="S134" s="272">
        <f t="shared" si="25"/>
        <v>2125.44</v>
      </c>
    </row>
    <row r="135" spans="1:20" s="270" customFormat="1" x14ac:dyDescent="0.25">
      <c r="A135" s="335">
        <v>110821</v>
      </c>
      <c r="B135" s="271">
        <v>1108</v>
      </c>
      <c r="C135" s="271">
        <v>200023</v>
      </c>
      <c r="D135" s="268" t="s">
        <v>894</v>
      </c>
      <c r="E135" s="268" t="s">
        <v>1278</v>
      </c>
      <c r="F135" s="268" t="s">
        <v>2522</v>
      </c>
      <c r="G135" s="268">
        <v>6</v>
      </c>
      <c r="H135" s="268" t="s">
        <v>2523</v>
      </c>
      <c r="I135" s="268" t="s">
        <v>2468</v>
      </c>
      <c r="J135" s="272">
        <v>477252</v>
      </c>
      <c r="K135" s="272">
        <f t="shared" si="20"/>
        <v>39771</v>
      </c>
      <c r="L135" s="272">
        <f t="shared" si="21"/>
        <v>12141.24</v>
      </c>
      <c r="M135" s="269">
        <v>0</v>
      </c>
      <c r="N135" s="272">
        <f t="shared" si="26"/>
        <v>129.60000000000002</v>
      </c>
      <c r="O135" s="273">
        <v>0</v>
      </c>
      <c r="P135" s="273">
        <f t="shared" si="22"/>
        <v>8351.9100000000017</v>
      </c>
      <c r="Q135" s="272">
        <f t="shared" si="23"/>
        <v>60084</v>
      </c>
      <c r="R135" s="272">
        <f t="shared" si="24"/>
        <v>86239.436400000006</v>
      </c>
      <c r="S135" s="272">
        <f t="shared" si="25"/>
        <v>2125.44</v>
      </c>
    </row>
    <row r="136" spans="1:20" s="270" customFormat="1" x14ac:dyDescent="0.25">
      <c r="A136" s="335">
        <v>501305</v>
      </c>
      <c r="B136" s="271">
        <v>1305</v>
      </c>
      <c r="C136" s="271">
        <v>200040</v>
      </c>
      <c r="D136" s="268" t="s">
        <v>894</v>
      </c>
      <c r="E136" s="268" t="s">
        <v>1278</v>
      </c>
      <c r="F136" s="268" t="s">
        <v>2524</v>
      </c>
      <c r="G136" s="268">
        <v>6</v>
      </c>
      <c r="H136" s="268" t="s">
        <v>2389</v>
      </c>
      <c r="I136" s="268" t="s">
        <v>2444</v>
      </c>
      <c r="J136" s="272">
        <v>477252</v>
      </c>
      <c r="K136" s="272">
        <f t="shared" si="20"/>
        <v>39771</v>
      </c>
      <c r="L136" s="272">
        <f t="shared" si="21"/>
        <v>12141.24</v>
      </c>
      <c r="M136" s="269">
        <v>0</v>
      </c>
      <c r="N136" s="272">
        <f t="shared" si="26"/>
        <v>129.60000000000002</v>
      </c>
      <c r="O136" s="273">
        <v>0</v>
      </c>
      <c r="P136" s="273">
        <f t="shared" si="22"/>
        <v>8351.9100000000017</v>
      </c>
      <c r="Q136" s="272">
        <f t="shared" si="23"/>
        <v>60084</v>
      </c>
      <c r="R136" s="272">
        <f t="shared" si="24"/>
        <v>86239.436400000006</v>
      </c>
      <c r="S136" s="272">
        <f t="shared" si="25"/>
        <v>2125.44</v>
      </c>
    </row>
    <row r="137" spans="1:20" s="270" customFormat="1" x14ac:dyDescent="0.25">
      <c r="A137" s="335">
        <v>110821</v>
      </c>
      <c r="B137" s="271">
        <v>1108</v>
      </c>
      <c r="C137" s="271">
        <v>200051</v>
      </c>
      <c r="D137" s="268" t="s">
        <v>894</v>
      </c>
      <c r="E137" s="268" t="s">
        <v>1278</v>
      </c>
      <c r="F137" s="268" t="s">
        <v>2450</v>
      </c>
      <c r="G137" s="268">
        <v>6</v>
      </c>
      <c r="H137" s="268" t="s">
        <v>2525</v>
      </c>
      <c r="I137" s="268" t="s">
        <v>2526</v>
      </c>
      <c r="J137" s="272">
        <v>477252</v>
      </c>
      <c r="K137" s="272">
        <f t="shared" si="20"/>
        <v>39771</v>
      </c>
      <c r="L137" s="272">
        <f t="shared" si="21"/>
        <v>12141.24</v>
      </c>
      <c r="M137" s="269">
        <v>0</v>
      </c>
      <c r="N137" s="272">
        <f t="shared" si="26"/>
        <v>129.60000000000002</v>
      </c>
      <c r="O137" s="272">
        <f>8640*12</f>
        <v>103680</v>
      </c>
      <c r="P137" s="273">
        <f t="shared" si="22"/>
        <v>8351.9100000000017</v>
      </c>
      <c r="Q137" s="272">
        <f t="shared" si="23"/>
        <v>60084</v>
      </c>
      <c r="R137" s="272">
        <f t="shared" si="24"/>
        <v>86239.436400000006</v>
      </c>
      <c r="S137" s="272">
        <f t="shared" si="25"/>
        <v>2125.44</v>
      </c>
    </row>
    <row r="138" spans="1:20" s="270" customFormat="1" x14ac:dyDescent="0.25">
      <c r="A138" s="335">
        <v>501443</v>
      </c>
      <c r="B138" s="271">
        <v>1443</v>
      </c>
      <c r="C138" s="271">
        <v>4226</v>
      </c>
      <c r="D138" s="268" t="s">
        <v>894</v>
      </c>
      <c r="E138" s="268" t="s">
        <v>1290</v>
      </c>
      <c r="F138" s="268" t="s">
        <v>1306</v>
      </c>
      <c r="G138" s="268">
        <v>7</v>
      </c>
      <c r="H138" s="268" t="s">
        <v>2527</v>
      </c>
      <c r="I138" s="268" t="s">
        <v>2528</v>
      </c>
      <c r="J138" s="272">
        <v>469944</v>
      </c>
      <c r="K138" s="272">
        <f t="shared" si="20"/>
        <v>39162</v>
      </c>
      <c r="L138" s="272">
        <f t="shared" si="21"/>
        <v>12141.24</v>
      </c>
      <c r="M138" s="269">
        <f>500*12</f>
        <v>6000</v>
      </c>
      <c r="N138" s="272">
        <f t="shared" si="26"/>
        <v>129.60000000000002</v>
      </c>
      <c r="O138" s="273">
        <v>0</v>
      </c>
      <c r="P138" s="273">
        <f t="shared" si="22"/>
        <v>8224.02</v>
      </c>
      <c r="Q138" s="272">
        <f t="shared" si="23"/>
        <v>60084</v>
      </c>
      <c r="R138" s="272">
        <f t="shared" si="24"/>
        <v>84918.880799999999</v>
      </c>
      <c r="S138" s="272">
        <f t="shared" si="25"/>
        <v>2125.44</v>
      </c>
    </row>
    <row r="139" spans="1:20" s="270" customFormat="1" x14ac:dyDescent="0.25">
      <c r="A139" s="335">
        <v>501443</v>
      </c>
      <c r="B139" s="271">
        <v>1443</v>
      </c>
      <c r="C139" s="271">
        <v>11251</v>
      </c>
      <c r="D139" s="268" t="s">
        <v>1698</v>
      </c>
      <c r="E139" s="268" t="s">
        <v>1290</v>
      </c>
      <c r="F139" s="268" t="s">
        <v>2529</v>
      </c>
      <c r="G139" s="268">
        <v>7</v>
      </c>
      <c r="H139" s="268" t="s">
        <v>2530</v>
      </c>
      <c r="I139" s="268" t="s">
        <v>2528</v>
      </c>
      <c r="J139" s="272">
        <v>469944</v>
      </c>
      <c r="K139" s="272">
        <f t="shared" si="20"/>
        <v>39162</v>
      </c>
      <c r="L139" s="272">
        <f t="shared" si="21"/>
        <v>12141.24</v>
      </c>
      <c r="M139" s="269">
        <f>500*12</f>
        <v>6000</v>
      </c>
      <c r="N139" s="272">
        <f t="shared" si="26"/>
        <v>129.60000000000002</v>
      </c>
      <c r="O139" s="273">
        <v>0</v>
      </c>
      <c r="P139" s="273">
        <f t="shared" si="22"/>
        <v>8224.02</v>
      </c>
      <c r="Q139" s="272">
        <f t="shared" si="23"/>
        <v>60084</v>
      </c>
      <c r="R139" s="272">
        <f t="shared" si="24"/>
        <v>84918.880799999999</v>
      </c>
      <c r="S139" s="272">
        <f t="shared" si="25"/>
        <v>2125.44</v>
      </c>
    </row>
    <row r="140" spans="1:20" s="270" customFormat="1" x14ac:dyDescent="0.25">
      <c r="A140" s="337">
        <v>501443</v>
      </c>
      <c r="B140" s="276">
        <v>1443</v>
      </c>
      <c r="C140" s="276">
        <v>12399</v>
      </c>
      <c r="D140" s="268" t="s">
        <v>894</v>
      </c>
      <c r="E140" s="268" t="s">
        <v>1290</v>
      </c>
      <c r="F140" s="268" t="s">
        <v>2476</v>
      </c>
      <c r="G140" s="268">
        <v>7</v>
      </c>
      <c r="H140" s="268" t="s">
        <v>2531</v>
      </c>
      <c r="I140" s="268" t="s">
        <v>2528</v>
      </c>
      <c r="J140" s="269">
        <v>469944</v>
      </c>
      <c r="K140" s="273">
        <f t="shared" si="20"/>
        <v>39162</v>
      </c>
      <c r="L140" s="272">
        <f t="shared" si="21"/>
        <v>12141.24</v>
      </c>
      <c r="M140" s="269">
        <f>500*12</f>
        <v>6000</v>
      </c>
      <c r="N140" s="273">
        <f t="shared" si="26"/>
        <v>129.60000000000002</v>
      </c>
      <c r="O140" s="273">
        <v>0</v>
      </c>
      <c r="P140" s="273">
        <f t="shared" si="22"/>
        <v>8224.02</v>
      </c>
      <c r="Q140" s="272">
        <f t="shared" si="23"/>
        <v>60084</v>
      </c>
      <c r="R140" s="273">
        <f t="shared" si="24"/>
        <v>84918.880799999999</v>
      </c>
      <c r="S140" s="273">
        <f t="shared" si="25"/>
        <v>2125.44</v>
      </c>
    </row>
    <row r="141" spans="1:20" s="270" customFormat="1" x14ac:dyDescent="0.25">
      <c r="A141" s="335">
        <v>501445</v>
      </c>
      <c r="B141" s="271">
        <v>1445</v>
      </c>
      <c r="C141" s="271">
        <v>15312</v>
      </c>
      <c r="D141" s="268" t="s">
        <v>1698</v>
      </c>
      <c r="E141" s="268" t="s">
        <v>1290</v>
      </c>
      <c r="F141" s="268" t="s">
        <v>2402</v>
      </c>
      <c r="G141" s="268">
        <v>7</v>
      </c>
      <c r="H141" s="268" t="s">
        <v>2532</v>
      </c>
      <c r="I141" s="268" t="s">
        <v>2533</v>
      </c>
      <c r="J141" s="272">
        <v>469944</v>
      </c>
      <c r="K141" s="272">
        <f t="shared" si="20"/>
        <v>39162</v>
      </c>
      <c r="L141" s="272">
        <f t="shared" si="21"/>
        <v>12141.24</v>
      </c>
      <c r="M141" s="269">
        <v>0</v>
      </c>
      <c r="N141" s="272">
        <f t="shared" si="26"/>
        <v>129.60000000000002</v>
      </c>
      <c r="O141" s="273">
        <v>0</v>
      </c>
      <c r="P141" s="273">
        <f t="shared" si="22"/>
        <v>8224.02</v>
      </c>
      <c r="Q141" s="272">
        <f t="shared" si="23"/>
        <v>60084</v>
      </c>
      <c r="R141" s="272">
        <f t="shared" si="24"/>
        <v>84918.880799999999</v>
      </c>
      <c r="S141" s="272">
        <f t="shared" si="25"/>
        <v>2125.44</v>
      </c>
    </row>
    <row r="142" spans="1:20" s="270" customFormat="1" x14ac:dyDescent="0.25">
      <c r="A142" s="335">
        <v>501407</v>
      </c>
      <c r="B142" s="271">
        <v>1407</v>
      </c>
      <c r="C142" s="271">
        <v>15859</v>
      </c>
      <c r="D142" s="268" t="s">
        <v>1698</v>
      </c>
      <c r="E142" s="268" t="s">
        <v>1290</v>
      </c>
      <c r="F142" s="268" t="s">
        <v>2534</v>
      </c>
      <c r="G142" s="268">
        <v>7</v>
      </c>
      <c r="H142" s="268" t="s">
        <v>2535</v>
      </c>
      <c r="I142" s="268" t="s">
        <v>2481</v>
      </c>
      <c r="J142" s="272">
        <v>469944</v>
      </c>
      <c r="K142" s="272">
        <f t="shared" si="20"/>
        <v>39162</v>
      </c>
      <c r="L142" s="272">
        <f t="shared" si="21"/>
        <v>12141.24</v>
      </c>
      <c r="M142" s="269">
        <f>350*12</f>
        <v>4200</v>
      </c>
      <c r="N142" s="272">
        <f t="shared" si="26"/>
        <v>129.60000000000002</v>
      </c>
      <c r="O142" s="272">
        <f>8469*12</f>
        <v>101628</v>
      </c>
      <c r="P142" s="273">
        <f t="shared" si="22"/>
        <v>8224.02</v>
      </c>
      <c r="Q142" s="272">
        <f t="shared" si="23"/>
        <v>60084</v>
      </c>
      <c r="R142" s="272">
        <f t="shared" si="24"/>
        <v>84918.880799999999</v>
      </c>
      <c r="S142" s="272">
        <f t="shared" si="25"/>
        <v>2125.44</v>
      </c>
    </row>
    <row r="143" spans="1:20" s="270" customFormat="1" x14ac:dyDescent="0.25">
      <c r="A143" s="335">
        <v>501445</v>
      </c>
      <c r="B143" s="271">
        <v>1445</v>
      </c>
      <c r="C143" s="271">
        <v>18474</v>
      </c>
      <c r="D143" s="268" t="s">
        <v>1698</v>
      </c>
      <c r="E143" s="268" t="s">
        <v>1290</v>
      </c>
      <c r="F143" s="268" t="s">
        <v>2394</v>
      </c>
      <c r="G143" s="268">
        <v>7</v>
      </c>
      <c r="H143" s="268" t="s">
        <v>2480</v>
      </c>
      <c r="I143" s="268" t="s">
        <v>2536</v>
      </c>
      <c r="J143" s="272">
        <v>469944</v>
      </c>
      <c r="K143" s="272">
        <f t="shared" si="20"/>
        <v>39162</v>
      </c>
      <c r="L143" s="272">
        <f t="shared" si="21"/>
        <v>12141.24</v>
      </c>
      <c r="M143" s="269">
        <v>0</v>
      </c>
      <c r="N143" s="272">
        <f t="shared" si="26"/>
        <v>129.60000000000002</v>
      </c>
      <c r="O143" s="273">
        <v>0</v>
      </c>
      <c r="P143" s="273">
        <f t="shared" si="22"/>
        <v>8224.02</v>
      </c>
      <c r="Q143" s="272">
        <f t="shared" si="23"/>
        <v>60084</v>
      </c>
      <c r="R143" s="272">
        <f t="shared" si="24"/>
        <v>84918.880799999999</v>
      </c>
      <c r="S143" s="272">
        <f t="shared" si="25"/>
        <v>2125.44</v>
      </c>
    </row>
    <row r="144" spans="1:20" s="270" customFormat="1" x14ac:dyDescent="0.25">
      <c r="A144" s="335">
        <v>501443</v>
      </c>
      <c r="B144" s="271">
        <v>1443</v>
      </c>
      <c r="C144" s="271">
        <v>22978</v>
      </c>
      <c r="D144" s="268" t="s">
        <v>894</v>
      </c>
      <c r="E144" s="268" t="s">
        <v>1290</v>
      </c>
      <c r="F144" s="268" t="s">
        <v>2517</v>
      </c>
      <c r="G144" s="268">
        <v>7</v>
      </c>
      <c r="H144" s="268" t="s">
        <v>2537</v>
      </c>
      <c r="I144" s="268" t="s">
        <v>2538</v>
      </c>
      <c r="J144" s="272">
        <v>469944</v>
      </c>
      <c r="K144" s="272">
        <f t="shared" si="20"/>
        <v>39162</v>
      </c>
      <c r="L144" s="272">
        <f t="shared" si="21"/>
        <v>12141.24</v>
      </c>
      <c r="M144" s="269">
        <f>500*12</f>
        <v>6000</v>
      </c>
      <c r="N144" s="272">
        <f t="shared" si="26"/>
        <v>129.60000000000002</v>
      </c>
      <c r="O144" s="273">
        <v>0</v>
      </c>
      <c r="P144" s="273">
        <f t="shared" si="22"/>
        <v>8224.02</v>
      </c>
      <c r="Q144" s="272">
        <f t="shared" si="23"/>
        <v>60084</v>
      </c>
      <c r="R144" s="272">
        <f t="shared" si="24"/>
        <v>84918.880799999999</v>
      </c>
      <c r="S144" s="272">
        <f t="shared" si="25"/>
        <v>2125.44</v>
      </c>
    </row>
    <row r="145" spans="1:21" s="270" customFormat="1" x14ac:dyDescent="0.25">
      <c r="A145" s="335">
        <v>501443</v>
      </c>
      <c r="B145" s="271">
        <v>1443</v>
      </c>
      <c r="C145" s="271">
        <v>24976</v>
      </c>
      <c r="D145" s="268" t="s">
        <v>894</v>
      </c>
      <c r="E145" s="268" t="s">
        <v>1290</v>
      </c>
      <c r="F145" s="268" t="s">
        <v>2539</v>
      </c>
      <c r="G145" s="268">
        <v>7</v>
      </c>
      <c r="H145" s="268" t="s">
        <v>2540</v>
      </c>
      <c r="I145" s="268" t="s">
        <v>2528</v>
      </c>
      <c r="J145" s="272">
        <v>469944</v>
      </c>
      <c r="K145" s="272">
        <f t="shared" si="20"/>
        <v>39162</v>
      </c>
      <c r="L145" s="272">
        <f t="shared" si="21"/>
        <v>12141.24</v>
      </c>
      <c r="M145" s="269">
        <f>500*12</f>
        <v>6000</v>
      </c>
      <c r="N145" s="272">
        <f t="shared" si="26"/>
        <v>129.60000000000002</v>
      </c>
      <c r="O145" s="273">
        <v>0</v>
      </c>
      <c r="P145" s="273">
        <f t="shared" si="22"/>
        <v>8224.02</v>
      </c>
      <c r="Q145" s="272">
        <f t="shared" si="23"/>
        <v>60084</v>
      </c>
      <c r="R145" s="272">
        <f t="shared" si="24"/>
        <v>84918.880799999999</v>
      </c>
      <c r="S145" s="272">
        <f t="shared" si="25"/>
        <v>2125.44</v>
      </c>
    </row>
    <row r="146" spans="1:21" x14ac:dyDescent="0.25">
      <c r="A146" s="335">
        <v>501443</v>
      </c>
      <c r="B146" s="271">
        <v>1443</v>
      </c>
      <c r="C146" s="271">
        <v>25881</v>
      </c>
      <c r="D146" s="268" t="s">
        <v>1698</v>
      </c>
      <c r="E146" s="268" t="s">
        <v>1290</v>
      </c>
      <c r="F146" s="268" t="s">
        <v>538</v>
      </c>
      <c r="G146" s="268">
        <v>7</v>
      </c>
      <c r="H146" s="268" t="s">
        <v>2541</v>
      </c>
      <c r="I146" s="268" t="s">
        <v>2528</v>
      </c>
      <c r="J146" s="272">
        <v>469944</v>
      </c>
      <c r="K146" s="272">
        <f t="shared" si="20"/>
        <v>39162</v>
      </c>
      <c r="L146" s="272">
        <f t="shared" si="21"/>
        <v>12141.24</v>
      </c>
      <c r="M146" s="269">
        <f>500*12</f>
        <v>6000</v>
      </c>
      <c r="N146" s="272">
        <f t="shared" si="26"/>
        <v>129.60000000000002</v>
      </c>
      <c r="O146" s="273">
        <v>0</v>
      </c>
      <c r="P146" s="273">
        <f t="shared" si="22"/>
        <v>8224.02</v>
      </c>
      <c r="Q146" s="272">
        <f t="shared" si="23"/>
        <v>60084</v>
      </c>
      <c r="R146" s="272">
        <f t="shared" si="24"/>
        <v>84918.880799999999</v>
      </c>
      <c r="S146" s="272">
        <f t="shared" si="25"/>
        <v>2125.44</v>
      </c>
      <c r="T146" s="270"/>
      <c r="U146" s="270"/>
    </row>
    <row r="147" spans="1:21" s="270" customFormat="1" x14ac:dyDescent="0.25">
      <c r="A147" s="335">
        <v>501443</v>
      </c>
      <c r="B147" s="271">
        <v>1443</v>
      </c>
      <c r="C147" s="271">
        <v>36210</v>
      </c>
      <c r="D147" s="268" t="s">
        <v>894</v>
      </c>
      <c r="E147" s="268" t="s">
        <v>1278</v>
      </c>
      <c r="F147" s="268" t="s">
        <v>2542</v>
      </c>
      <c r="G147" s="268">
        <v>7</v>
      </c>
      <c r="H147" s="268" t="s">
        <v>2543</v>
      </c>
      <c r="I147" s="268" t="s">
        <v>2528</v>
      </c>
      <c r="J147" s="272">
        <v>469944</v>
      </c>
      <c r="K147" s="272">
        <f t="shared" si="20"/>
        <v>39162</v>
      </c>
      <c r="L147" s="272">
        <f t="shared" si="21"/>
        <v>12141.24</v>
      </c>
      <c r="M147" s="269">
        <f>500*12</f>
        <v>6000</v>
      </c>
      <c r="N147" s="272">
        <f t="shared" si="26"/>
        <v>129.60000000000002</v>
      </c>
      <c r="O147" s="273">
        <v>0</v>
      </c>
      <c r="P147" s="273">
        <f t="shared" si="22"/>
        <v>8224.02</v>
      </c>
      <c r="Q147" s="272">
        <f t="shared" si="23"/>
        <v>60084</v>
      </c>
      <c r="R147" s="272">
        <f t="shared" si="24"/>
        <v>84918.880799999999</v>
      </c>
      <c r="S147" s="272">
        <f t="shared" si="25"/>
        <v>2125.44</v>
      </c>
    </row>
    <row r="148" spans="1:21" s="270" customFormat="1" x14ac:dyDescent="0.25">
      <c r="A148" s="335">
        <v>501501</v>
      </c>
      <c r="B148" s="271">
        <v>1503</v>
      </c>
      <c r="C148" s="271">
        <v>41328</v>
      </c>
      <c r="D148" s="268" t="s">
        <v>894</v>
      </c>
      <c r="E148" s="268" t="s">
        <v>1278</v>
      </c>
      <c r="F148" s="268" t="s">
        <v>2544</v>
      </c>
      <c r="G148" s="268">
        <v>7</v>
      </c>
      <c r="H148" s="268" t="s">
        <v>2545</v>
      </c>
      <c r="I148" s="268" t="s">
        <v>2546</v>
      </c>
      <c r="J148" s="272">
        <v>469944</v>
      </c>
      <c r="K148" s="272">
        <f t="shared" si="20"/>
        <v>39162</v>
      </c>
      <c r="L148" s="272">
        <f t="shared" si="21"/>
        <v>12141.24</v>
      </c>
      <c r="M148" s="269">
        <v>0</v>
      </c>
      <c r="N148" s="272">
        <f t="shared" si="26"/>
        <v>129.60000000000002</v>
      </c>
      <c r="O148" s="273">
        <v>0</v>
      </c>
      <c r="P148" s="273">
        <f t="shared" si="22"/>
        <v>8224.02</v>
      </c>
      <c r="Q148" s="272">
        <f t="shared" si="23"/>
        <v>60084</v>
      </c>
      <c r="R148" s="272">
        <f t="shared" si="24"/>
        <v>84918.880799999999</v>
      </c>
      <c r="S148" s="272">
        <f t="shared" si="25"/>
        <v>2125.44</v>
      </c>
    </row>
    <row r="149" spans="1:21" x14ac:dyDescent="0.25">
      <c r="A149" s="335">
        <v>501443</v>
      </c>
      <c r="B149" s="271">
        <v>1443</v>
      </c>
      <c r="C149" s="271">
        <v>49799</v>
      </c>
      <c r="D149" s="268" t="s">
        <v>894</v>
      </c>
      <c r="E149" s="268" t="s">
        <v>1290</v>
      </c>
      <c r="F149" s="268" t="s">
        <v>2547</v>
      </c>
      <c r="G149" s="268">
        <v>7</v>
      </c>
      <c r="H149" s="268" t="s">
        <v>2548</v>
      </c>
      <c r="I149" s="268" t="s">
        <v>2528</v>
      </c>
      <c r="J149" s="272">
        <v>469944</v>
      </c>
      <c r="K149" s="272">
        <f t="shared" si="20"/>
        <v>39162</v>
      </c>
      <c r="L149" s="272">
        <f t="shared" si="21"/>
        <v>12141.24</v>
      </c>
      <c r="M149" s="269">
        <f>500*12</f>
        <v>6000</v>
      </c>
      <c r="N149" s="272">
        <f t="shared" si="26"/>
        <v>129.60000000000002</v>
      </c>
      <c r="O149" s="272">
        <f>8640*12</f>
        <v>103680</v>
      </c>
      <c r="P149" s="273">
        <f t="shared" si="22"/>
        <v>8224.02</v>
      </c>
      <c r="Q149" s="272">
        <f t="shared" si="23"/>
        <v>60084</v>
      </c>
      <c r="R149" s="272">
        <f t="shared" si="24"/>
        <v>84918.880799999999</v>
      </c>
      <c r="S149" s="272">
        <f t="shared" si="25"/>
        <v>2125.44</v>
      </c>
      <c r="T149" s="270"/>
      <c r="U149" s="270"/>
    </row>
    <row r="150" spans="1:21" s="270" customFormat="1" x14ac:dyDescent="0.25">
      <c r="A150" s="335">
        <v>501407</v>
      </c>
      <c r="B150" s="271">
        <v>1407</v>
      </c>
      <c r="C150" s="271">
        <v>50296</v>
      </c>
      <c r="D150" s="268" t="s">
        <v>894</v>
      </c>
      <c r="E150" s="268" t="s">
        <v>1290</v>
      </c>
      <c r="F150" s="268" t="s">
        <v>2549</v>
      </c>
      <c r="G150" s="268">
        <v>7</v>
      </c>
      <c r="H150" s="268" t="s">
        <v>2550</v>
      </c>
      <c r="I150" s="268" t="s">
        <v>2481</v>
      </c>
      <c r="J150" s="272">
        <v>469944</v>
      </c>
      <c r="K150" s="272">
        <f t="shared" si="20"/>
        <v>39162</v>
      </c>
      <c r="L150" s="272">
        <f t="shared" si="21"/>
        <v>12141.24</v>
      </c>
      <c r="M150" s="269">
        <f>350*12</f>
        <v>4200</v>
      </c>
      <c r="N150" s="272">
        <f t="shared" si="26"/>
        <v>129.60000000000002</v>
      </c>
      <c r="O150" s="272">
        <f>8469*12</f>
        <v>101628</v>
      </c>
      <c r="P150" s="273">
        <f t="shared" si="22"/>
        <v>8224.02</v>
      </c>
      <c r="Q150" s="272">
        <f t="shared" si="23"/>
        <v>60084</v>
      </c>
      <c r="R150" s="272">
        <f t="shared" si="24"/>
        <v>84918.880799999999</v>
      </c>
      <c r="S150" s="272">
        <f t="shared" si="25"/>
        <v>2125.44</v>
      </c>
    </row>
    <row r="151" spans="1:21" s="270" customFormat="1" x14ac:dyDescent="0.25">
      <c r="A151" s="335">
        <v>501407</v>
      </c>
      <c r="B151" s="271">
        <v>1407</v>
      </c>
      <c r="C151" s="271">
        <v>50306</v>
      </c>
      <c r="D151" s="268" t="s">
        <v>894</v>
      </c>
      <c r="E151" s="268" t="s">
        <v>1290</v>
      </c>
      <c r="F151" s="268" t="s">
        <v>2551</v>
      </c>
      <c r="G151" s="268">
        <v>7</v>
      </c>
      <c r="H151" s="268" t="s">
        <v>2552</v>
      </c>
      <c r="I151" s="268" t="s">
        <v>2481</v>
      </c>
      <c r="J151" s="272">
        <v>469944</v>
      </c>
      <c r="K151" s="272">
        <f t="shared" si="20"/>
        <v>39162</v>
      </c>
      <c r="L151" s="272">
        <f t="shared" si="21"/>
        <v>12141.24</v>
      </c>
      <c r="M151" s="269">
        <f>350*12</f>
        <v>4200</v>
      </c>
      <c r="N151" s="272">
        <f t="shared" si="26"/>
        <v>129.60000000000002</v>
      </c>
      <c r="O151" s="272">
        <f>8469*12</f>
        <v>101628</v>
      </c>
      <c r="P151" s="273">
        <f t="shared" si="22"/>
        <v>8224.02</v>
      </c>
      <c r="Q151" s="272">
        <f t="shared" si="23"/>
        <v>60084</v>
      </c>
      <c r="R151" s="272">
        <f t="shared" si="24"/>
        <v>84918.880799999999</v>
      </c>
      <c r="S151" s="272">
        <f t="shared" si="25"/>
        <v>2125.44</v>
      </c>
    </row>
    <row r="152" spans="1:21" s="270" customFormat="1" x14ac:dyDescent="0.25">
      <c r="A152" s="335">
        <v>501445</v>
      </c>
      <c r="B152" s="271">
        <v>1445</v>
      </c>
      <c r="C152" s="271">
        <v>50458</v>
      </c>
      <c r="D152" s="268" t="s">
        <v>894</v>
      </c>
      <c r="E152" s="268" t="s">
        <v>1290</v>
      </c>
      <c r="F152" s="268" t="s">
        <v>2553</v>
      </c>
      <c r="G152" s="268">
        <v>7</v>
      </c>
      <c r="H152" s="268" t="s">
        <v>2554</v>
      </c>
      <c r="I152" s="268" t="s">
        <v>2555</v>
      </c>
      <c r="J152" s="272">
        <v>469944</v>
      </c>
      <c r="K152" s="272">
        <f t="shared" si="20"/>
        <v>39162</v>
      </c>
      <c r="L152" s="272">
        <f t="shared" si="21"/>
        <v>12141.24</v>
      </c>
      <c r="M152" s="269">
        <v>0</v>
      </c>
      <c r="N152" s="272">
        <f t="shared" si="26"/>
        <v>129.60000000000002</v>
      </c>
      <c r="O152" s="273">
        <v>0</v>
      </c>
      <c r="P152" s="273">
        <f t="shared" si="22"/>
        <v>8224.02</v>
      </c>
      <c r="Q152" s="272">
        <f t="shared" si="23"/>
        <v>60084</v>
      </c>
      <c r="R152" s="272">
        <f t="shared" si="24"/>
        <v>84918.880799999999</v>
      </c>
      <c r="S152" s="272">
        <f t="shared" si="25"/>
        <v>2125.44</v>
      </c>
    </row>
    <row r="153" spans="1:21" s="270" customFormat="1" x14ac:dyDescent="0.25">
      <c r="A153" s="335">
        <v>501445</v>
      </c>
      <c r="B153" s="271">
        <v>1445</v>
      </c>
      <c r="C153" s="271">
        <v>50490</v>
      </c>
      <c r="D153" s="268" t="s">
        <v>894</v>
      </c>
      <c r="E153" s="268" t="s">
        <v>1278</v>
      </c>
      <c r="F153" s="268" t="s">
        <v>2556</v>
      </c>
      <c r="G153" s="268">
        <v>7</v>
      </c>
      <c r="H153" s="268" t="s">
        <v>2557</v>
      </c>
      <c r="I153" s="268" t="s">
        <v>2555</v>
      </c>
      <c r="J153" s="272">
        <v>469944</v>
      </c>
      <c r="K153" s="272">
        <f t="shared" si="20"/>
        <v>39162</v>
      </c>
      <c r="L153" s="272">
        <f t="shared" si="21"/>
        <v>12141.24</v>
      </c>
      <c r="M153" s="269">
        <v>0</v>
      </c>
      <c r="N153" s="272">
        <f t="shared" si="26"/>
        <v>129.60000000000002</v>
      </c>
      <c r="O153" s="273">
        <v>0</v>
      </c>
      <c r="P153" s="273">
        <f t="shared" si="22"/>
        <v>8224.02</v>
      </c>
      <c r="Q153" s="272">
        <f t="shared" si="23"/>
        <v>60084</v>
      </c>
      <c r="R153" s="272">
        <f t="shared" si="24"/>
        <v>84918.880799999999</v>
      </c>
      <c r="S153" s="272">
        <f t="shared" si="25"/>
        <v>2125.44</v>
      </c>
    </row>
    <row r="154" spans="1:21" s="270" customFormat="1" x14ac:dyDescent="0.25">
      <c r="A154" s="335">
        <v>501506</v>
      </c>
      <c r="B154" s="271">
        <v>1506</v>
      </c>
      <c r="C154" s="271">
        <v>51334</v>
      </c>
      <c r="D154" s="268" t="s">
        <v>894</v>
      </c>
      <c r="E154" s="268" t="s">
        <v>1290</v>
      </c>
      <c r="F154" s="268" t="s">
        <v>2558</v>
      </c>
      <c r="G154" s="268">
        <v>7</v>
      </c>
      <c r="H154" s="268" t="s">
        <v>2559</v>
      </c>
      <c r="I154" s="268" t="s">
        <v>2528</v>
      </c>
      <c r="J154" s="272">
        <v>469944</v>
      </c>
      <c r="K154" s="272">
        <f t="shared" si="20"/>
        <v>39162</v>
      </c>
      <c r="L154" s="272">
        <f t="shared" si="21"/>
        <v>12141.24</v>
      </c>
      <c r="M154" s="269">
        <v>0</v>
      </c>
      <c r="N154" s="272">
        <f t="shared" si="26"/>
        <v>129.60000000000002</v>
      </c>
      <c r="O154" s="273">
        <v>0</v>
      </c>
      <c r="P154" s="273">
        <f t="shared" si="22"/>
        <v>8224.02</v>
      </c>
      <c r="Q154" s="272">
        <f t="shared" si="23"/>
        <v>60084</v>
      </c>
      <c r="R154" s="272">
        <f t="shared" si="24"/>
        <v>84918.880799999999</v>
      </c>
      <c r="S154" s="272">
        <f t="shared" si="25"/>
        <v>2125.44</v>
      </c>
    </row>
    <row r="155" spans="1:21" s="270" customFormat="1" x14ac:dyDescent="0.25">
      <c r="A155" s="337">
        <v>501443</v>
      </c>
      <c r="B155" s="276">
        <v>1443</v>
      </c>
      <c r="C155" s="276">
        <v>51538</v>
      </c>
      <c r="D155" s="268" t="s">
        <v>894</v>
      </c>
      <c r="E155" s="268" t="s">
        <v>1290</v>
      </c>
      <c r="F155" s="268" t="s">
        <v>2560</v>
      </c>
      <c r="G155" s="268">
        <v>7</v>
      </c>
      <c r="H155" s="268" t="s">
        <v>2561</v>
      </c>
      <c r="I155" s="268" t="s">
        <v>2528</v>
      </c>
      <c r="J155" s="269">
        <v>469944</v>
      </c>
      <c r="K155" s="273">
        <f t="shared" si="20"/>
        <v>39162</v>
      </c>
      <c r="L155" s="272">
        <f t="shared" si="21"/>
        <v>12141.24</v>
      </c>
      <c r="M155" s="269">
        <f>500*12</f>
        <v>6000</v>
      </c>
      <c r="N155" s="273">
        <f t="shared" si="26"/>
        <v>129.60000000000002</v>
      </c>
      <c r="O155" s="273">
        <v>0</v>
      </c>
      <c r="P155" s="273">
        <f t="shared" si="22"/>
        <v>8224.02</v>
      </c>
      <c r="Q155" s="272">
        <f t="shared" si="23"/>
        <v>60084</v>
      </c>
      <c r="R155" s="273">
        <f t="shared" si="24"/>
        <v>84918.880799999999</v>
      </c>
      <c r="S155" s="273">
        <f t="shared" si="25"/>
        <v>2125.44</v>
      </c>
    </row>
    <row r="156" spans="1:21" s="270" customFormat="1" x14ac:dyDescent="0.25">
      <c r="A156" s="337">
        <v>501443</v>
      </c>
      <c r="B156" s="276">
        <v>1443</v>
      </c>
      <c r="C156" s="276">
        <v>55822</v>
      </c>
      <c r="D156" s="268" t="s">
        <v>894</v>
      </c>
      <c r="E156" s="268" t="s">
        <v>1290</v>
      </c>
      <c r="F156" s="268" t="s">
        <v>2562</v>
      </c>
      <c r="G156" s="268">
        <v>7</v>
      </c>
      <c r="H156" s="268" t="s">
        <v>2563</v>
      </c>
      <c r="I156" s="268" t="s">
        <v>2564</v>
      </c>
      <c r="J156" s="269">
        <v>469944</v>
      </c>
      <c r="K156" s="273">
        <f t="shared" si="20"/>
        <v>39162</v>
      </c>
      <c r="L156" s="272">
        <f t="shared" si="21"/>
        <v>12141.24</v>
      </c>
      <c r="M156" s="269">
        <f>500*12</f>
        <v>6000</v>
      </c>
      <c r="N156" s="273">
        <f t="shared" si="26"/>
        <v>129.60000000000002</v>
      </c>
      <c r="O156" s="273">
        <v>0</v>
      </c>
      <c r="P156" s="273">
        <f t="shared" si="22"/>
        <v>8224.02</v>
      </c>
      <c r="Q156" s="272">
        <f t="shared" si="23"/>
        <v>60084</v>
      </c>
      <c r="R156" s="273">
        <f t="shared" si="24"/>
        <v>84918.880799999999</v>
      </c>
      <c r="S156" s="273">
        <f t="shared" si="25"/>
        <v>2125.44</v>
      </c>
    </row>
    <row r="157" spans="1:21" x14ac:dyDescent="0.25">
      <c r="A157" s="335">
        <v>501443</v>
      </c>
      <c r="B157" s="271">
        <v>1443</v>
      </c>
      <c r="C157" s="271">
        <v>56782</v>
      </c>
      <c r="D157" s="268" t="s">
        <v>894</v>
      </c>
      <c r="E157" s="268" t="s">
        <v>1290</v>
      </c>
      <c r="F157" s="268" t="s">
        <v>2565</v>
      </c>
      <c r="G157" s="268">
        <v>7</v>
      </c>
      <c r="H157" s="268" t="s">
        <v>2566</v>
      </c>
      <c r="I157" s="268" t="s">
        <v>2528</v>
      </c>
      <c r="J157" s="272">
        <v>469944</v>
      </c>
      <c r="K157" s="272">
        <f t="shared" si="20"/>
        <v>39162</v>
      </c>
      <c r="L157" s="272">
        <f t="shared" si="21"/>
        <v>12141.24</v>
      </c>
      <c r="M157" s="269">
        <f>500*12</f>
        <v>6000</v>
      </c>
      <c r="N157" s="272">
        <f t="shared" si="26"/>
        <v>129.60000000000002</v>
      </c>
      <c r="O157" s="273">
        <v>0</v>
      </c>
      <c r="P157" s="273">
        <f t="shared" si="22"/>
        <v>8224.02</v>
      </c>
      <c r="Q157" s="272">
        <f t="shared" si="23"/>
        <v>60084</v>
      </c>
      <c r="R157" s="272">
        <f t="shared" si="24"/>
        <v>84918.880799999999</v>
      </c>
      <c r="S157" s="272">
        <f t="shared" si="25"/>
        <v>2125.44</v>
      </c>
      <c r="T157" s="270"/>
      <c r="U157" s="270"/>
    </row>
    <row r="158" spans="1:21" s="270" customFormat="1" x14ac:dyDescent="0.25">
      <c r="A158" s="335">
        <v>501443</v>
      </c>
      <c r="B158" s="271">
        <v>1443</v>
      </c>
      <c r="C158" s="271">
        <v>59242</v>
      </c>
      <c r="D158" s="268" t="s">
        <v>894</v>
      </c>
      <c r="E158" s="268" t="s">
        <v>1278</v>
      </c>
      <c r="F158" s="268" t="s">
        <v>2567</v>
      </c>
      <c r="G158" s="268">
        <v>7</v>
      </c>
      <c r="H158" s="268" t="s">
        <v>2568</v>
      </c>
      <c r="I158" s="268" t="s">
        <v>2569</v>
      </c>
      <c r="J158" s="272">
        <v>469944</v>
      </c>
      <c r="K158" s="272">
        <f t="shared" si="20"/>
        <v>39162</v>
      </c>
      <c r="L158" s="272">
        <f t="shared" si="21"/>
        <v>12141.24</v>
      </c>
      <c r="M158" s="269">
        <v>0</v>
      </c>
      <c r="N158" s="272">
        <f t="shared" si="26"/>
        <v>129.60000000000002</v>
      </c>
      <c r="O158" s="273">
        <v>0</v>
      </c>
      <c r="P158" s="273">
        <f t="shared" si="22"/>
        <v>8224.02</v>
      </c>
      <c r="Q158" s="272">
        <f t="shared" si="23"/>
        <v>60084</v>
      </c>
      <c r="R158" s="272">
        <f t="shared" si="24"/>
        <v>84918.880799999999</v>
      </c>
      <c r="S158" s="272">
        <f t="shared" si="25"/>
        <v>2125.44</v>
      </c>
    </row>
    <row r="159" spans="1:21" s="270" customFormat="1" x14ac:dyDescent="0.25">
      <c r="A159" s="335">
        <v>501445</v>
      </c>
      <c r="B159" s="271">
        <v>1445</v>
      </c>
      <c r="C159" s="271">
        <v>84084</v>
      </c>
      <c r="D159" s="268" t="s">
        <v>894</v>
      </c>
      <c r="E159" s="268" t="s">
        <v>1290</v>
      </c>
      <c r="F159" s="268" t="s">
        <v>2251</v>
      </c>
      <c r="G159" s="268">
        <v>7</v>
      </c>
      <c r="H159" s="268" t="s">
        <v>2570</v>
      </c>
      <c r="I159" s="268" t="s">
        <v>2555</v>
      </c>
      <c r="J159" s="272">
        <v>469944</v>
      </c>
      <c r="K159" s="272">
        <f t="shared" si="20"/>
        <v>39162</v>
      </c>
      <c r="L159" s="272">
        <f t="shared" si="21"/>
        <v>12141.24</v>
      </c>
      <c r="M159" s="269">
        <v>0</v>
      </c>
      <c r="N159" s="272">
        <f t="shared" si="26"/>
        <v>129.60000000000002</v>
      </c>
      <c r="O159" s="273">
        <v>0</v>
      </c>
      <c r="P159" s="273">
        <f t="shared" si="22"/>
        <v>8224.02</v>
      </c>
      <c r="Q159" s="272">
        <f t="shared" si="23"/>
        <v>60084</v>
      </c>
      <c r="R159" s="272">
        <f t="shared" si="24"/>
        <v>84918.880799999999</v>
      </c>
      <c r="S159" s="272">
        <f t="shared" si="25"/>
        <v>2125.44</v>
      </c>
    </row>
    <row r="160" spans="1:21" s="270" customFormat="1" x14ac:dyDescent="0.25">
      <c r="A160" s="335">
        <v>501445</v>
      </c>
      <c r="B160" s="271">
        <v>1445</v>
      </c>
      <c r="C160" s="271">
        <v>84123</v>
      </c>
      <c r="D160" s="268" t="s">
        <v>894</v>
      </c>
      <c r="E160" s="268" t="s">
        <v>1290</v>
      </c>
      <c r="F160" s="268" t="s">
        <v>2571</v>
      </c>
      <c r="G160" s="268">
        <v>7</v>
      </c>
      <c r="H160" s="268" t="s">
        <v>2445</v>
      </c>
      <c r="I160" s="268" t="s">
        <v>2555</v>
      </c>
      <c r="J160" s="272">
        <v>469944</v>
      </c>
      <c r="K160" s="272">
        <f t="shared" si="20"/>
        <v>39162</v>
      </c>
      <c r="L160" s="272">
        <f t="shared" si="21"/>
        <v>12141.24</v>
      </c>
      <c r="M160" s="269">
        <v>0</v>
      </c>
      <c r="N160" s="272">
        <f t="shared" si="26"/>
        <v>129.60000000000002</v>
      </c>
      <c r="O160" s="273">
        <v>0</v>
      </c>
      <c r="P160" s="273">
        <f t="shared" si="22"/>
        <v>8224.02</v>
      </c>
      <c r="Q160" s="272">
        <f t="shared" si="23"/>
        <v>60084</v>
      </c>
      <c r="R160" s="272">
        <f t="shared" si="24"/>
        <v>84918.880799999999</v>
      </c>
      <c r="S160" s="272">
        <f t="shared" si="25"/>
        <v>2125.44</v>
      </c>
    </row>
    <row r="161" spans="1:21" s="270" customFormat="1" x14ac:dyDescent="0.25">
      <c r="A161" s="335">
        <v>501302</v>
      </c>
      <c r="B161" s="271">
        <v>1302</v>
      </c>
      <c r="C161" s="271">
        <v>85782</v>
      </c>
      <c r="D161" s="268" t="s">
        <v>894</v>
      </c>
      <c r="E161" s="268" t="s">
        <v>1278</v>
      </c>
      <c r="F161" s="268" t="s">
        <v>1298</v>
      </c>
      <c r="G161" s="268">
        <v>7</v>
      </c>
      <c r="H161" s="268" t="s">
        <v>2456</v>
      </c>
      <c r="I161" s="268" t="s">
        <v>2572</v>
      </c>
      <c r="J161" s="272">
        <v>469944</v>
      </c>
      <c r="K161" s="272">
        <f t="shared" si="20"/>
        <v>39162</v>
      </c>
      <c r="L161" s="272">
        <f t="shared" si="21"/>
        <v>12141.24</v>
      </c>
      <c r="M161" s="269">
        <v>0</v>
      </c>
      <c r="N161" s="272">
        <f t="shared" si="26"/>
        <v>129.60000000000002</v>
      </c>
      <c r="O161" s="273">
        <v>0</v>
      </c>
      <c r="P161" s="273">
        <f t="shared" si="22"/>
        <v>8224.02</v>
      </c>
      <c r="Q161" s="272">
        <f t="shared" si="23"/>
        <v>60084</v>
      </c>
      <c r="R161" s="272">
        <f t="shared" si="24"/>
        <v>84918.880799999999</v>
      </c>
      <c r="S161" s="272">
        <f t="shared" si="25"/>
        <v>2125.44</v>
      </c>
    </row>
    <row r="162" spans="1:21" s="270" customFormat="1" x14ac:dyDescent="0.25">
      <c r="A162" s="335">
        <v>501204</v>
      </c>
      <c r="B162" s="271">
        <v>1204</v>
      </c>
      <c r="C162" s="271">
        <v>87748</v>
      </c>
      <c r="D162" s="268" t="s">
        <v>894</v>
      </c>
      <c r="E162" s="268" t="s">
        <v>1290</v>
      </c>
      <c r="F162" s="268" t="s">
        <v>2573</v>
      </c>
      <c r="G162" s="268">
        <v>7</v>
      </c>
      <c r="H162" s="268" t="s">
        <v>2574</v>
      </c>
      <c r="I162" s="268" t="s">
        <v>2575</v>
      </c>
      <c r="J162" s="272">
        <v>469944</v>
      </c>
      <c r="K162" s="272">
        <f t="shared" si="20"/>
        <v>39162</v>
      </c>
      <c r="L162" s="272">
        <f t="shared" si="21"/>
        <v>12141.24</v>
      </c>
      <c r="M162" s="269">
        <v>0</v>
      </c>
      <c r="N162" s="272">
        <f t="shared" si="26"/>
        <v>129.60000000000002</v>
      </c>
      <c r="O162" s="273">
        <v>0</v>
      </c>
      <c r="P162" s="273">
        <f t="shared" si="22"/>
        <v>8224.02</v>
      </c>
      <c r="Q162" s="272">
        <f t="shared" si="23"/>
        <v>60084</v>
      </c>
      <c r="R162" s="272">
        <f t="shared" si="24"/>
        <v>84918.880799999999</v>
      </c>
      <c r="S162" s="272">
        <f t="shared" si="25"/>
        <v>2125.44</v>
      </c>
    </row>
    <row r="163" spans="1:21" s="270" customFormat="1" x14ac:dyDescent="0.25">
      <c r="A163" s="335">
        <v>501445</v>
      </c>
      <c r="B163" s="271">
        <v>1445</v>
      </c>
      <c r="C163" s="271">
        <v>87955</v>
      </c>
      <c r="D163" s="268" t="s">
        <v>894</v>
      </c>
      <c r="E163" s="268" t="s">
        <v>1290</v>
      </c>
      <c r="F163" s="268" t="s">
        <v>2576</v>
      </c>
      <c r="G163" s="268">
        <v>7</v>
      </c>
      <c r="H163" s="268" t="s">
        <v>2577</v>
      </c>
      <c r="I163" s="268" t="s">
        <v>2578</v>
      </c>
      <c r="J163" s="272">
        <v>469944</v>
      </c>
      <c r="K163" s="272">
        <f t="shared" si="20"/>
        <v>39162</v>
      </c>
      <c r="L163" s="272">
        <f t="shared" si="21"/>
        <v>12141.24</v>
      </c>
      <c r="M163" s="269">
        <v>0</v>
      </c>
      <c r="N163" s="272">
        <f t="shared" si="26"/>
        <v>129.60000000000002</v>
      </c>
      <c r="O163" s="273">
        <v>0</v>
      </c>
      <c r="P163" s="273">
        <f t="shared" si="22"/>
        <v>8224.02</v>
      </c>
      <c r="Q163" s="272">
        <f t="shared" si="23"/>
        <v>60084</v>
      </c>
      <c r="R163" s="272">
        <f t="shared" si="24"/>
        <v>84918.880799999999</v>
      </c>
      <c r="S163" s="272">
        <f t="shared" si="25"/>
        <v>2125.44</v>
      </c>
    </row>
    <row r="164" spans="1:21" x14ac:dyDescent="0.25">
      <c r="A164" s="335">
        <v>501445</v>
      </c>
      <c r="B164" s="271">
        <v>1445</v>
      </c>
      <c r="C164" s="271">
        <v>87997</v>
      </c>
      <c r="D164" s="268" t="s">
        <v>894</v>
      </c>
      <c r="E164" s="268" t="s">
        <v>1290</v>
      </c>
      <c r="F164" s="268" t="s">
        <v>2579</v>
      </c>
      <c r="G164" s="268">
        <v>7</v>
      </c>
      <c r="H164" s="268" t="s">
        <v>2580</v>
      </c>
      <c r="I164" s="268" t="s">
        <v>2581</v>
      </c>
      <c r="J164" s="272">
        <v>469944</v>
      </c>
      <c r="K164" s="272">
        <f t="shared" si="20"/>
        <v>39162</v>
      </c>
      <c r="L164" s="272">
        <f t="shared" si="21"/>
        <v>12141.24</v>
      </c>
      <c r="M164" s="269">
        <v>0</v>
      </c>
      <c r="N164" s="272">
        <f t="shared" si="26"/>
        <v>129.60000000000002</v>
      </c>
      <c r="O164" s="273">
        <v>0</v>
      </c>
      <c r="P164" s="273">
        <f t="shared" si="22"/>
        <v>8224.02</v>
      </c>
      <c r="Q164" s="272">
        <f t="shared" si="23"/>
        <v>60084</v>
      </c>
      <c r="R164" s="272">
        <f t="shared" si="24"/>
        <v>84918.880799999999</v>
      </c>
      <c r="S164" s="272">
        <f t="shared" si="25"/>
        <v>2125.44</v>
      </c>
      <c r="T164" s="270"/>
      <c r="U164" s="270"/>
    </row>
    <row r="165" spans="1:21" s="270" customFormat="1" x14ac:dyDescent="0.25">
      <c r="A165" s="335">
        <v>501445</v>
      </c>
      <c r="B165" s="271">
        <v>1445</v>
      </c>
      <c r="C165" s="271">
        <v>200039</v>
      </c>
      <c r="D165" s="268" t="s">
        <v>894</v>
      </c>
      <c r="E165" s="268" t="s">
        <v>1278</v>
      </c>
      <c r="F165" s="268" t="s">
        <v>1306</v>
      </c>
      <c r="G165" s="268">
        <v>7</v>
      </c>
      <c r="H165" s="268" t="s">
        <v>2582</v>
      </c>
      <c r="I165" s="268" t="s">
        <v>2583</v>
      </c>
      <c r="J165" s="272">
        <v>469944</v>
      </c>
      <c r="K165" s="272">
        <f t="shared" si="20"/>
        <v>39162</v>
      </c>
      <c r="L165" s="272">
        <f t="shared" si="21"/>
        <v>12141.24</v>
      </c>
      <c r="M165" s="269">
        <v>0</v>
      </c>
      <c r="N165" s="272">
        <f t="shared" si="26"/>
        <v>129.60000000000002</v>
      </c>
      <c r="O165" s="273">
        <v>0</v>
      </c>
      <c r="P165" s="273">
        <f t="shared" si="22"/>
        <v>8224.02</v>
      </c>
      <c r="Q165" s="272">
        <f t="shared" si="23"/>
        <v>60084</v>
      </c>
      <c r="R165" s="272">
        <f t="shared" si="24"/>
        <v>84918.880799999999</v>
      </c>
      <c r="S165" s="272">
        <f t="shared" si="25"/>
        <v>2125.44</v>
      </c>
    </row>
    <row r="166" spans="1:21" s="270" customFormat="1" x14ac:dyDescent="0.25">
      <c r="A166" s="335">
        <v>501445</v>
      </c>
      <c r="B166" s="271">
        <v>1445</v>
      </c>
      <c r="C166" s="271">
        <v>200045</v>
      </c>
      <c r="D166" s="268" t="s">
        <v>894</v>
      </c>
      <c r="E166" s="268" t="s">
        <v>1278</v>
      </c>
      <c r="F166" s="268" t="s">
        <v>2584</v>
      </c>
      <c r="G166" s="268">
        <v>7</v>
      </c>
      <c r="H166" s="268" t="s">
        <v>2585</v>
      </c>
      <c r="I166" s="268" t="s">
        <v>2583</v>
      </c>
      <c r="J166" s="272">
        <v>469944</v>
      </c>
      <c r="K166" s="272">
        <f t="shared" si="20"/>
        <v>39162</v>
      </c>
      <c r="L166" s="272">
        <f t="shared" si="21"/>
        <v>12141.24</v>
      </c>
      <c r="M166" s="269">
        <v>0</v>
      </c>
      <c r="N166" s="272">
        <f t="shared" si="26"/>
        <v>129.60000000000002</v>
      </c>
      <c r="O166" s="273">
        <v>0</v>
      </c>
      <c r="P166" s="273">
        <f t="shared" si="22"/>
        <v>8224.02</v>
      </c>
      <c r="Q166" s="272">
        <f t="shared" si="23"/>
        <v>60084</v>
      </c>
      <c r="R166" s="272">
        <f t="shared" si="24"/>
        <v>84918.880799999999</v>
      </c>
      <c r="S166" s="272">
        <f t="shared" si="25"/>
        <v>2125.44</v>
      </c>
    </row>
    <row r="167" spans="1:21" s="270" customFormat="1" x14ac:dyDescent="0.25">
      <c r="A167" s="335">
        <v>501304</v>
      </c>
      <c r="B167" s="271">
        <v>1304</v>
      </c>
      <c r="C167" s="271">
        <v>200060</v>
      </c>
      <c r="D167" s="268" t="s">
        <v>894</v>
      </c>
      <c r="E167" s="268" t="s">
        <v>1290</v>
      </c>
      <c r="F167" s="268" t="s">
        <v>2243</v>
      </c>
      <c r="G167" s="268">
        <v>7</v>
      </c>
      <c r="H167" s="268" t="s">
        <v>2586</v>
      </c>
      <c r="I167" s="268" t="s">
        <v>2587</v>
      </c>
      <c r="J167" s="272">
        <v>469944</v>
      </c>
      <c r="K167" s="272">
        <f t="shared" si="20"/>
        <v>39162</v>
      </c>
      <c r="L167" s="272">
        <f t="shared" si="21"/>
        <v>12141.24</v>
      </c>
      <c r="M167" s="269">
        <v>0</v>
      </c>
      <c r="N167" s="272">
        <f t="shared" si="26"/>
        <v>129.60000000000002</v>
      </c>
      <c r="O167" s="273">
        <v>0</v>
      </c>
      <c r="P167" s="273">
        <f t="shared" si="22"/>
        <v>8224.02</v>
      </c>
      <c r="Q167" s="272">
        <f t="shared" si="23"/>
        <v>60084</v>
      </c>
      <c r="R167" s="272">
        <f t="shared" si="24"/>
        <v>84918.880799999999</v>
      </c>
      <c r="S167" s="272">
        <f t="shared" si="25"/>
        <v>2125.44</v>
      </c>
    </row>
    <row r="168" spans="1:21" s="270" customFormat="1" x14ac:dyDescent="0.25">
      <c r="A168" s="335">
        <v>501204</v>
      </c>
      <c r="B168" s="271">
        <v>1204</v>
      </c>
      <c r="C168" s="271">
        <v>200063</v>
      </c>
      <c r="D168" s="268" t="s">
        <v>894</v>
      </c>
      <c r="E168" s="268" t="s">
        <v>1278</v>
      </c>
      <c r="F168" s="268" t="s">
        <v>2588</v>
      </c>
      <c r="G168" s="268">
        <v>7</v>
      </c>
      <c r="H168" s="268" t="s">
        <v>2448</v>
      </c>
      <c r="I168" s="268" t="s">
        <v>2589</v>
      </c>
      <c r="J168" s="272">
        <v>469944</v>
      </c>
      <c r="K168" s="272">
        <f t="shared" si="20"/>
        <v>39162</v>
      </c>
      <c r="L168" s="272">
        <f t="shared" si="21"/>
        <v>12141.24</v>
      </c>
      <c r="M168" s="269">
        <v>0</v>
      </c>
      <c r="N168" s="272">
        <f t="shared" si="26"/>
        <v>129.60000000000002</v>
      </c>
      <c r="O168" s="273">
        <v>0</v>
      </c>
      <c r="P168" s="273">
        <f t="shared" si="22"/>
        <v>8224.02</v>
      </c>
      <c r="Q168" s="272">
        <f t="shared" si="23"/>
        <v>60084</v>
      </c>
      <c r="R168" s="272">
        <f t="shared" si="24"/>
        <v>84918.880799999999</v>
      </c>
      <c r="S168" s="272">
        <f t="shared" si="25"/>
        <v>2125.44</v>
      </c>
    </row>
    <row r="169" spans="1:21" x14ac:dyDescent="0.25">
      <c r="A169" s="335">
        <v>501442</v>
      </c>
      <c r="B169" s="271">
        <v>1442</v>
      </c>
      <c r="C169" s="271">
        <v>200066</v>
      </c>
      <c r="D169" s="268" t="s">
        <v>876</v>
      </c>
      <c r="E169" s="268" t="s">
        <v>1290</v>
      </c>
      <c r="F169" s="268" t="s">
        <v>2411</v>
      </c>
      <c r="G169" s="268">
        <v>7</v>
      </c>
      <c r="H169" s="268" t="s">
        <v>2590</v>
      </c>
      <c r="I169" s="268" t="s">
        <v>2591</v>
      </c>
      <c r="J169" s="272">
        <v>469944</v>
      </c>
      <c r="K169" s="272">
        <f t="shared" si="20"/>
        <v>39162</v>
      </c>
      <c r="L169" s="272">
        <f t="shared" si="21"/>
        <v>12141.24</v>
      </c>
      <c r="M169" s="269">
        <v>0</v>
      </c>
      <c r="N169" s="272">
        <f t="shared" si="26"/>
        <v>129.60000000000002</v>
      </c>
      <c r="O169" s="272">
        <f>17694*12</f>
        <v>212328</v>
      </c>
      <c r="P169" s="273">
        <f t="shared" si="22"/>
        <v>8224.02</v>
      </c>
      <c r="Q169" s="272">
        <f t="shared" si="23"/>
        <v>60084</v>
      </c>
      <c r="R169" s="272">
        <f t="shared" si="24"/>
        <v>84918.880799999999</v>
      </c>
      <c r="S169" s="272">
        <f t="shared" si="25"/>
        <v>2125.44</v>
      </c>
      <c r="T169" s="270"/>
      <c r="U169" s="270"/>
    </row>
    <row r="170" spans="1:21" s="270" customFormat="1" x14ac:dyDescent="0.25">
      <c r="A170" s="335">
        <v>501204</v>
      </c>
      <c r="B170" s="271">
        <v>1204</v>
      </c>
      <c r="C170" s="271">
        <v>200181</v>
      </c>
      <c r="D170" s="268" t="s">
        <v>894</v>
      </c>
      <c r="E170" s="268" t="s">
        <v>1278</v>
      </c>
      <c r="F170" s="268" t="s">
        <v>2592</v>
      </c>
      <c r="G170" s="268">
        <v>7</v>
      </c>
      <c r="H170" s="268" t="s">
        <v>2593</v>
      </c>
      <c r="I170" s="268" t="s">
        <v>2594</v>
      </c>
      <c r="J170" s="272">
        <v>469944</v>
      </c>
      <c r="K170" s="272">
        <f t="shared" si="20"/>
        <v>39162</v>
      </c>
      <c r="L170" s="272">
        <f t="shared" si="21"/>
        <v>12141.24</v>
      </c>
      <c r="M170" s="269">
        <v>0</v>
      </c>
      <c r="N170" s="272">
        <f t="shared" si="26"/>
        <v>129.60000000000002</v>
      </c>
      <c r="O170" s="273">
        <v>0</v>
      </c>
      <c r="P170" s="273">
        <f t="shared" si="22"/>
        <v>8224.02</v>
      </c>
      <c r="Q170" s="272">
        <f t="shared" si="23"/>
        <v>60084</v>
      </c>
      <c r="R170" s="272">
        <f t="shared" si="24"/>
        <v>84918.880799999999</v>
      </c>
      <c r="S170" s="272">
        <f t="shared" si="25"/>
        <v>2125.44</v>
      </c>
    </row>
    <row r="171" spans="1:21" s="270" customFormat="1" x14ac:dyDescent="0.25">
      <c r="A171" s="335">
        <v>501204</v>
      </c>
      <c r="B171" s="271">
        <v>1204</v>
      </c>
      <c r="C171" s="271">
        <v>200182</v>
      </c>
      <c r="D171" s="268" t="s">
        <v>894</v>
      </c>
      <c r="E171" s="268" t="s">
        <v>1278</v>
      </c>
      <c r="F171" s="268" t="s">
        <v>2450</v>
      </c>
      <c r="G171" s="268">
        <v>7</v>
      </c>
      <c r="H171" s="268" t="s">
        <v>2577</v>
      </c>
      <c r="I171" s="268" t="s">
        <v>2595</v>
      </c>
      <c r="J171" s="272">
        <v>469944</v>
      </c>
      <c r="K171" s="272">
        <f t="shared" si="20"/>
        <v>39162</v>
      </c>
      <c r="L171" s="272">
        <f t="shared" si="21"/>
        <v>12141.24</v>
      </c>
      <c r="M171" s="269">
        <v>0</v>
      </c>
      <c r="N171" s="272">
        <f t="shared" si="26"/>
        <v>129.60000000000002</v>
      </c>
      <c r="O171" s="273">
        <v>0</v>
      </c>
      <c r="P171" s="273">
        <f t="shared" si="22"/>
        <v>8224.02</v>
      </c>
      <c r="Q171" s="272">
        <f t="shared" si="23"/>
        <v>60084</v>
      </c>
      <c r="R171" s="272">
        <f t="shared" si="24"/>
        <v>84918.880799999999</v>
      </c>
      <c r="S171" s="272">
        <f t="shared" si="25"/>
        <v>2125.44</v>
      </c>
    </row>
    <row r="172" spans="1:21" s="270" customFormat="1" x14ac:dyDescent="0.25">
      <c r="A172" s="335">
        <v>501204</v>
      </c>
      <c r="B172" s="271">
        <v>1204</v>
      </c>
      <c r="C172" s="271">
        <v>200183</v>
      </c>
      <c r="D172" s="268" t="s">
        <v>894</v>
      </c>
      <c r="E172" s="268" t="s">
        <v>1278</v>
      </c>
      <c r="F172" s="268" t="s">
        <v>2243</v>
      </c>
      <c r="G172" s="268">
        <v>7</v>
      </c>
      <c r="H172" s="268" t="s">
        <v>2596</v>
      </c>
      <c r="I172" s="268" t="s">
        <v>2597</v>
      </c>
      <c r="J172" s="272">
        <v>469944</v>
      </c>
      <c r="K172" s="272">
        <f t="shared" si="20"/>
        <v>39162</v>
      </c>
      <c r="L172" s="272">
        <f t="shared" si="21"/>
        <v>12141.24</v>
      </c>
      <c r="M172" s="269">
        <v>0</v>
      </c>
      <c r="N172" s="272">
        <f t="shared" si="26"/>
        <v>129.60000000000002</v>
      </c>
      <c r="O172" s="273">
        <v>0</v>
      </c>
      <c r="P172" s="273">
        <f t="shared" si="22"/>
        <v>8224.02</v>
      </c>
      <c r="Q172" s="272">
        <f t="shared" si="23"/>
        <v>60084</v>
      </c>
      <c r="R172" s="272">
        <f t="shared" si="24"/>
        <v>84918.880799999999</v>
      </c>
      <c r="S172" s="272">
        <f t="shared" si="25"/>
        <v>2125.44</v>
      </c>
    </row>
    <row r="173" spans="1:21" s="270" customFormat="1" x14ac:dyDescent="0.25">
      <c r="A173" s="335">
        <v>501204</v>
      </c>
      <c r="B173" s="271">
        <v>1204</v>
      </c>
      <c r="C173" s="271">
        <v>200190</v>
      </c>
      <c r="D173" s="268" t="s">
        <v>894</v>
      </c>
      <c r="E173" s="268" t="s">
        <v>1290</v>
      </c>
      <c r="F173" s="268" t="s">
        <v>2598</v>
      </c>
      <c r="G173" s="268">
        <v>7</v>
      </c>
      <c r="H173" s="268" t="s">
        <v>2599</v>
      </c>
      <c r="I173" s="268" t="s">
        <v>2600</v>
      </c>
      <c r="J173" s="272">
        <v>469944</v>
      </c>
      <c r="K173" s="272">
        <f t="shared" si="20"/>
        <v>39162</v>
      </c>
      <c r="L173" s="272">
        <f t="shared" si="21"/>
        <v>12141.24</v>
      </c>
      <c r="M173" s="269">
        <v>0</v>
      </c>
      <c r="N173" s="272">
        <f t="shared" si="26"/>
        <v>129.60000000000002</v>
      </c>
      <c r="O173" s="273">
        <v>0</v>
      </c>
      <c r="P173" s="273">
        <f t="shared" si="22"/>
        <v>8224.02</v>
      </c>
      <c r="Q173" s="272">
        <f t="shared" si="23"/>
        <v>60084</v>
      </c>
      <c r="R173" s="272">
        <f t="shared" si="24"/>
        <v>84918.880799999999</v>
      </c>
      <c r="S173" s="272">
        <f t="shared" si="25"/>
        <v>2125.44</v>
      </c>
    </row>
    <row r="174" spans="1:21" s="270" customFormat="1" x14ac:dyDescent="0.25">
      <c r="A174" s="335">
        <v>501204</v>
      </c>
      <c r="B174" s="271">
        <v>1204</v>
      </c>
      <c r="C174" s="271">
        <v>200192</v>
      </c>
      <c r="D174" s="268" t="s">
        <v>894</v>
      </c>
      <c r="E174" s="268" t="s">
        <v>1290</v>
      </c>
      <c r="F174" s="268" t="s">
        <v>2217</v>
      </c>
      <c r="G174" s="268">
        <v>7</v>
      </c>
      <c r="H174" s="268" t="s">
        <v>2601</v>
      </c>
      <c r="I174" s="268" t="s">
        <v>2600</v>
      </c>
      <c r="J174" s="272">
        <v>469944</v>
      </c>
      <c r="K174" s="272">
        <f t="shared" si="20"/>
        <v>39162</v>
      </c>
      <c r="L174" s="272">
        <f t="shared" si="21"/>
        <v>12141.24</v>
      </c>
      <c r="M174" s="269">
        <v>0</v>
      </c>
      <c r="N174" s="272">
        <f t="shared" si="26"/>
        <v>129.60000000000002</v>
      </c>
      <c r="O174" s="273">
        <v>0</v>
      </c>
      <c r="P174" s="273">
        <f t="shared" si="22"/>
        <v>8224.02</v>
      </c>
      <c r="Q174" s="272">
        <f t="shared" si="23"/>
        <v>60084</v>
      </c>
      <c r="R174" s="272">
        <f t="shared" si="24"/>
        <v>84918.880799999999</v>
      </c>
      <c r="S174" s="272">
        <f t="shared" si="25"/>
        <v>2125.44</v>
      </c>
    </row>
    <row r="175" spans="1:21" x14ac:dyDescent="0.25">
      <c r="A175" s="335">
        <v>501204</v>
      </c>
      <c r="B175" s="271">
        <v>1204</v>
      </c>
      <c r="C175" s="271">
        <v>200193</v>
      </c>
      <c r="D175" s="268" t="s">
        <v>894</v>
      </c>
      <c r="E175" s="268" t="s">
        <v>1278</v>
      </c>
      <c r="F175" s="268" t="s">
        <v>2261</v>
      </c>
      <c r="G175" s="268">
        <v>7</v>
      </c>
      <c r="H175" s="268" t="s">
        <v>2602</v>
      </c>
      <c r="I175" s="268" t="s">
        <v>2603</v>
      </c>
      <c r="J175" s="272">
        <v>469944</v>
      </c>
      <c r="K175" s="272">
        <f t="shared" si="20"/>
        <v>39162</v>
      </c>
      <c r="L175" s="272">
        <f t="shared" si="21"/>
        <v>12141.24</v>
      </c>
      <c r="M175" s="269">
        <v>0</v>
      </c>
      <c r="N175" s="272">
        <f t="shared" si="26"/>
        <v>129.60000000000002</v>
      </c>
      <c r="O175" s="273">
        <v>0</v>
      </c>
      <c r="P175" s="273">
        <f t="shared" si="22"/>
        <v>8224.02</v>
      </c>
      <c r="Q175" s="272">
        <f t="shared" si="23"/>
        <v>60084</v>
      </c>
      <c r="R175" s="272">
        <f t="shared" si="24"/>
        <v>84918.880799999999</v>
      </c>
      <c r="S175" s="272">
        <f t="shared" si="25"/>
        <v>2125.44</v>
      </c>
      <c r="T175" s="270"/>
      <c r="U175" s="270"/>
    </row>
    <row r="176" spans="1:21" s="270" customFormat="1" x14ac:dyDescent="0.25">
      <c r="A176" s="335">
        <v>501505</v>
      </c>
      <c r="B176" s="271">
        <v>1505</v>
      </c>
      <c r="C176" s="271">
        <v>200194</v>
      </c>
      <c r="D176" s="268" t="s">
        <v>894</v>
      </c>
      <c r="E176" s="268" t="s">
        <v>1278</v>
      </c>
      <c r="F176" s="268" t="s">
        <v>1293</v>
      </c>
      <c r="G176" s="268">
        <v>7</v>
      </c>
      <c r="H176" s="268" t="s">
        <v>2604</v>
      </c>
      <c r="I176" s="268" t="s">
        <v>2605</v>
      </c>
      <c r="J176" s="272">
        <v>469944</v>
      </c>
      <c r="K176" s="272">
        <f t="shared" si="20"/>
        <v>39162</v>
      </c>
      <c r="L176" s="272">
        <f t="shared" si="21"/>
        <v>12141.24</v>
      </c>
      <c r="M176" s="269">
        <v>0</v>
      </c>
      <c r="N176" s="272">
        <f t="shared" si="26"/>
        <v>129.60000000000002</v>
      </c>
      <c r="O176" s="273">
        <v>0</v>
      </c>
      <c r="P176" s="273">
        <f t="shared" si="22"/>
        <v>8224.02</v>
      </c>
      <c r="Q176" s="272">
        <f t="shared" si="23"/>
        <v>60084</v>
      </c>
      <c r="R176" s="272">
        <f t="shared" si="24"/>
        <v>84918.880799999999</v>
      </c>
      <c r="S176" s="272">
        <f t="shared" si="25"/>
        <v>2125.44</v>
      </c>
    </row>
    <row r="177" spans="1:21" s="270" customFormat="1" x14ac:dyDescent="0.25">
      <c r="A177" s="335">
        <v>501204</v>
      </c>
      <c r="B177" s="271">
        <v>1204</v>
      </c>
      <c r="C177" s="271">
        <v>200198</v>
      </c>
      <c r="D177" s="268" t="s">
        <v>894</v>
      </c>
      <c r="E177" s="268" t="s">
        <v>1278</v>
      </c>
      <c r="F177" s="268" t="s">
        <v>2455</v>
      </c>
      <c r="G177" s="268">
        <v>7</v>
      </c>
      <c r="H177" s="268" t="s">
        <v>2606</v>
      </c>
      <c r="I177" s="268" t="s">
        <v>2605</v>
      </c>
      <c r="J177" s="272">
        <v>469944</v>
      </c>
      <c r="K177" s="272">
        <f t="shared" si="20"/>
        <v>39162</v>
      </c>
      <c r="L177" s="272">
        <f t="shared" si="21"/>
        <v>12141.24</v>
      </c>
      <c r="M177" s="269">
        <v>0</v>
      </c>
      <c r="N177" s="272">
        <f t="shared" si="26"/>
        <v>129.60000000000002</v>
      </c>
      <c r="O177" s="273">
        <v>0</v>
      </c>
      <c r="P177" s="273">
        <f t="shared" si="22"/>
        <v>8224.02</v>
      </c>
      <c r="Q177" s="272">
        <f t="shared" si="23"/>
        <v>60084</v>
      </c>
      <c r="R177" s="272">
        <f t="shared" si="24"/>
        <v>84918.880799999999</v>
      </c>
      <c r="S177" s="272">
        <f t="shared" si="25"/>
        <v>2125.44</v>
      </c>
    </row>
    <row r="178" spans="1:21" s="270" customFormat="1" x14ac:dyDescent="0.25">
      <c r="A178" s="335">
        <v>501204</v>
      </c>
      <c r="B178" s="271">
        <v>1204</v>
      </c>
      <c r="C178" s="271">
        <v>200199</v>
      </c>
      <c r="D178" s="268" t="s">
        <v>894</v>
      </c>
      <c r="E178" s="268" t="s">
        <v>1278</v>
      </c>
      <c r="F178" s="268" t="s">
        <v>2607</v>
      </c>
      <c r="G178" s="268">
        <v>7</v>
      </c>
      <c r="H178" s="268" t="s">
        <v>2608</v>
      </c>
      <c r="I178" s="268" t="s">
        <v>2605</v>
      </c>
      <c r="J178" s="272">
        <v>469944</v>
      </c>
      <c r="K178" s="272">
        <f t="shared" si="20"/>
        <v>39162</v>
      </c>
      <c r="L178" s="272">
        <f t="shared" si="21"/>
        <v>12141.24</v>
      </c>
      <c r="M178" s="269">
        <v>0</v>
      </c>
      <c r="N178" s="272">
        <f t="shared" si="26"/>
        <v>129.60000000000002</v>
      </c>
      <c r="O178" s="273">
        <v>0</v>
      </c>
      <c r="P178" s="273">
        <f t="shared" si="22"/>
        <v>8224.02</v>
      </c>
      <c r="Q178" s="272">
        <f t="shared" si="23"/>
        <v>60084</v>
      </c>
      <c r="R178" s="272">
        <f t="shared" si="24"/>
        <v>84918.880799999999</v>
      </c>
      <c r="S178" s="272">
        <f t="shared" si="25"/>
        <v>2125.44</v>
      </c>
    </row>
    <row r="179" spans="1:21" s="270" customFormat="1" x14ac:dyDescent="0.25">
      <c r="A179" s="335">
        <v>501304</v>
      </c>
      <c r="B179" s="271">
        <v>1304</v>
      </c>
      <c r="C179" s="271">
        <v>200200</v>
      </c>
      <c r="D179" s="268" t="s">
        <v>894</v>
      </c>
      <c r="E179" s="268" t="s">
        <v>1278</v>
      </c>
      <c r="F179" s="268" t="s">
        <v>2217</v>
      </c>
      <c r="G179" s="268">
        <v>7</v>
      </c>
      <c r="H179" s="268" t="s">
        <v>2609</v>
      </c>
      <c r="I179" s="268" t="s">
        <v>2610</v>
      </c>
      <c r="J179" s="272">
        <v>469944</v>
      </c>
      <c r="K179" s="272">
        <f t="shared" si="20"/>
        <v>39162</v>
      </c>
      <c r="L179" s="272">
        <f t="shared" si="21"/>
        <v>12141.24</v>
      </c>
      <c r="M179" s="269">
        <v>0</v>
      </c>
      <c r="N179" s="272">
        <f t="shared" si="26"/>
        <v>129.60000000000002</v>
      </c>
      <c r="O179" s="272">
        <f>13921*12</f>
        <v>167052</v>
      </c>
      <c r="P179" s="273">
        <f t="shared" si="22"/>
        <v>8224.02</v>
      </c>
      <c r="Q179" s="272">
        <f t="shared" si="23"/>
        <v>60084</v>
      </c>
      <c r="R179" s="272">
        <f t="shared" si="24"/>
        <v>84918.880799999999</v>
      </c>
      <c r="S179" s="272">
        <f t="shared" si="25"/>
        <v>2125.44</v>
      </c>
    </row>
    <row r="180" spans="1:21" s="270" customFormat="1" x14ac:dyDescent="0.25">
      <c r="A180" s="335">
        <v>501304</v>
      </c>
      <c r="B180" s="271">
        <v>1304</v>
      </c>
      <c r="C180" s="271">
        <v>200236</v>
      </c>
      <c r="D180" s="268" t="s">
        <v>894</v>
      </c>
      <c r="E180" s="268" t="s">
        <v>1278</v>
      </c>
      <c r="F180" s="268" t="s">
        <v>1306</v>
      </c>
      <c r="G180" s="268">
        <v>7</v>
      </c>
      <c r="H180" s="268" t="s">
        <v>2611</v>
      </c>
      <c r="I180" s="268" t="s">
        <v>2612</v>
      </c>
      <c r="J180" s="272">
        <v>469944</v>
      </c>
      <c r="K180" s="272">
        <f t="shared" si="20"/>
        <v>39162</v>
      </c>
      <c r="L180" s="272">
        <f t="shared" si="21"/>
        <v>12141.24</v>
      </c>
      <c r="M180" s="269">
        <v>0</v>
      </c>
      <c r="N180" s="272">
        <f t="shared" si="26"/>
        <v>129.60000000000002</v>
      </c>
      <c r="O180" s="273">
        <v>0</v>
      </c>
      <c r="P180" s="273">
        <f t="shared" si="22"/>
        <v>8224.02</v>
      </c>
      <c r="Q180" s="272">
        <f t="shared" si="23"/>
        <v>60084</v>
      </c>
      <c r="R180" s="272">
        <f t="shared" si="24"/>
        <v>84918.880799999999</v>
      </c>
      <c r="S180" s="272">
        <f t="shared" si="25"/>
        <v>2125.44</v>
      </c>
    </row>
    <row r="181" spans="1:21" s="270" customFormat="1" x14ac:dyDescent="0.25">
      <c r="A181" s="335">
        <v>501203</v>
      </c>
      <c r="B181" s="271">
        <v>1205</v>
      </c>
      <c r="C181" s="271">
        <v>200247</v>
      </c>
      <c r="D181" s="268" t="s">
        <v>894</v>
      </c>
      <c r="E181" s="268" t="s">
        <v>1290</v>
      </c>
      <c r="F181" s="268" t="s">
        <v>2613</v>
      </c>
      <c r="G181" s="268">
        <v>7</v>
      </c>
      <c r="H181" s="268" t="s">
        <v>2614</v>
      </c>
      <c r="I181" s="268" t="s">
        <v>2615</v>
      </c>
      <c r="J181" s="272">
        <v>469944</v>
      </c>
      <c r="K181" s="272">
        <f t="shared" si="20"/>
        <v>39162</v>
      </c>
      <c r="L181" s="272">
        <f t="shared" si="21"/>
        <v>12141.24</v>
      </c>
      <c r="M181" s="269">
        <v>0</v>
      </c>
      <c r="N181" s="272">
        <f t="shared" si="26"/>
        <v>129.60000000000002</v>
      </c>
      <c r="O181" s="273">
        <v>0</v>
      </c>
      <c r="P181" s="273">
        <f t="shared" si="22"/>
        <v>8224.02</v>
      </c>
      <c r="Q181" s="272">
        <f t="shared" si="23"/>
        <v>60084</v>
      </c>
      <c r="R181" s="272">
        <f t="shared" si="24"/>
        <v>84918.880799999999</v>
      </c>
      <c r="S181" s="272">
        <f t="shared" si="25"/>
        <v>2125.44</v>
      </c>
    </row>
    <row r="182" spans="1:21" s="270" customFormat="1" x14ac:dyDescent="0.25">
      <c r="A182" s="335">
        <v>501203</v>
      </c>
      <c r="B182" s="271">
        <v>1203</v>
      </c>
      <c r="C182" s="271">
        <v>200248</v>
      </c>
      <c r="D182" s="268" t="s">
        <v>894</v>
      </c>
      <c r="E182" s="268" t="s">
        <v>1278</v>
      </c>
      <c r="F182" s="268" t="s">
        <v>2391</v>
      </c>
      <c r="G182" s="268">
        <v>7</v>
      </c>
      <c r="H182" s="268" t="s">
        <v>2616</v>
      </c>
      <c r="I182" s="268" t="s">
        <v>2617</v>
      </c>
      <c r="J182" s="272">
        <v>469944</v>
      </c>
      <c r="K182" s="272">
        <f t="shared" si="20"/>
        <v>39162</v>
      </c>
      <c r="L182" s="272">
        <f t="shared" si="21"/>
        <v>12141.24</v>
      </c>
      <c r="M182" s="269">
        <v>0</v>
      </c>
      <c r="N182" s="272">
        <f t="shared" si="26"/>
        <v>129.60000000000002</v>
      </c>
      <c r="O182" s="273">
        <v>0</v>
      </c>
      <c r="P182" s="273">
        <f t="shared" si="22"/>
        <v>8224.02</v>
      </c>
      <c r="Q182" s="272">
        <f t="shared" si="23"/>
        <v>60084</v>
      </c>
      <c r="R182" s="272">
        <f t="shared" si="24"/>
        <v>84918.880799999999</v>
      </c>
      <c r="S182" s="272">
        <f t="shared" si="25"/>
        <v>2125.44</v>
      </c>
    </row>
    <row r="183" spans="1:21" x14ac:dyDescent="0.25">
      <c r="A183" s="335">
        <v>501407</v>
      </c>
      <c r="B183" s="271">
        <v>1407</v>
      </c>
      <c r="C183" s="271">
        <v>200305</v>
      </c>
      <c r="D183" s="268" t="s">
        <v>894</v>
      </c>
      <c r="E183" s="268" t="s">
        <v>1290</v>
      </c>
      <c r="F183" s="268" t="s">
        <v>2618</v>
      </c>
      <c r="G183" s="268">
        <v>7</v>
      </c>
      <c r="H183" s="268" t="s">
        <v>2619</v>
      </c>
      <c r="I183" s="268" t="s">
        <v>2620</v>
      </c>
      <c r="J183" s="272">
        <v>469944</v>
      </c>
      <c r="K183" s="272">
        <f t="shared" si="20"/>
        <v>39162</v>
      </c>
      <c r="L183" s="272">
        <f t="shared" si="21"/>
        <v>12141.24</v>
      </c>
      <c r="M183" s="269">
        <v>0</v>
      </c>
      <c r="N183" s="272">
        <f t="shared" si="26"/>
        <v>129.60000000000002</v>
      </c>
      <c r="O183" s="273">
        <v>0</v>
      </c>
      <c r="P183" s="273">
        <f t="shared" si="22"/>
        <v>8224.02</v>
      </c>
      <c r="Q183" s="272">
        <f t="shared" si="23"/>
        <v>60084</v>
      </c>
      <c r="R183" s="272">
        <f t="shared" si="24"/>
        <v>84918.880799999999</v>
      </c>
      <c r="S183" s="272">
        <f t="shared" si="25"/>
        <v>2125.44</v>
      </c>
      <c r="T183" s="270"/>
      <c r="U183" s="270"/>
    </row>
    <row r="184" spans="1:21" x14ac:dyDescent="0.25">
      <c r="A184" s="335">
        <v>501304</v>
      </c>
      <c r="B184" s="271">
        <v>1304</v>
      </c>
      <c r="C184" s="271">
        <v>200363</v>
      </c>
      <c r="D184" s="268" t="s">
        <v>894</v>
      </c>
      <c r="E184" s="268" t="s">
        <v>1290</v>
      </c>
      <c r="F184" s="268" t="s">
        <v>2621</v>
      </c>
      <c r="G184" s="268">
        <v>7</v>
      </c>
      <c r="H184" s="268" t="s">
        <v>2622</v>
      </c>
      <c r="I184" s="268" t="s">
        <v>2623</v>
      </c>
      <c r="J184" s="272">
        <v>469944</v>
      </c>
      <c r="K184" s="272">
        <f t="shared" si="20"/>
        <v>39162</v>
      </c>
      <c r="L184" s="272">
        <f t="shared" si="21"/>
        <v>12141.24</v>
      </c>
      <c r="M184" s="269">
        <v>0</v>
      </c>
      <c r="N184" s="272">
        <f t="shared" si="26"/>
        <v>129.60000000000002</v>
      </c>
      <c r="O184" s="273">
        <v>0</v>
      </c>
      <c r="P184" s="273">
        <f t="shared" si="22"/>
        <v>8224.02</v>
      </c>
      <c r="Q184" s="272">
        <f t="shared" si="23"/>
        <v>60084</v>
      </c>
      <c r="R184" s="272">
        <f t="shared" si="24"/>
        <v>84918.880799999999</v>
      </c>
      <c r="S184" s="272">
        <f t="shared" si="25"/>
        <v>2125.44</v>
      </c>
      <c r="T184" s="270"/>
      <c r="U184" s="270"/>
    </row>
    <row r="185" spans="1:21" s="270" customFormat="1" x14ac:dyDescent="0.25">
      <c r="A185" s="335" t="str">
        <f>CONCATENATE(50,B185)</f>
        <v>501204</v>
      </c>
      <c r="B185" s="271">
        <v>1204</v>
      </c>
      <c r="C185" s="271">
        <v>200365</v>
      </c>
      <c r="D185" s="268" t="s">
        <v>1698</v>
      </c>
      <c r="E185" s="268" t="s">
        <v>1290</v>
      </c>
      <c r="F185" s="268" t="s">
        <v>2624</v>
      </c>
      <c r="G185" s="268">
        <v>7</v>
      </c>
      <c r="H185" s="268" t="s">
        <v>2625</v>
      </c>
      <c r="I185" s="268" t="s">
        <v>2626</v>
      </c>
      <c r="J185" s="272">
        <v>469944</v>
      </c>
      <c r="K185" s="272">
        <f t="shared" si="20"/>
        <v>39162</v>
      </c>
      <c r="L185" s="272">
        <f t="shared" si="21"/>
        <v>12141.24</v>
      </c>
      <c r="M185" s="269">
        <v>0</v>
      </c>
      <c r="N185" s="272">
        <f t="shared" si="26"/>
        <v>129.60000000000002</v>
      </c>
      <c r="O185" s="273">
        <v>0</v>
      </c>
      <c r="P185" s="273">
        <f t="shared" si="22"/>
        <v>8224.02</v>
      </c>
      <c r="Q185" s="272">
        <f t="shared" si="23"/>
        <v>60084</v>
      </c>
      <c r="R185" s="272">
        <f t="shared" si="24"/>
        <v>84918.880799999999</v>
      </c>
      <c r="S185" s="272">
        <f t="shared" si="25"/>
        <v>2125.44</v>
      </c>
    </row>
    <row r="186" spans="1:21" s="270" customFormat="1" x14ac:dyDescent="0.25">
      <c r="A186" s="335">
        <v>501503</v>
      </c>
      <c r="B186" s="271">
        <v>1107</v>
      </c>
      <c r="C186" s="271">
        <v>200402</v>
      </c>
      <c r="D186" s="268" t="s">
        <v>894</v>
      </c>
      <c r="E186" s="268" t="s">
        <v>1278</v>
      </c>
      <c r="F186" s="268" t="s">
        <v>2627</v>
      </c>
      <c r="G186" s="268">
        <v>7</v>
      </c>
      <c r="H186" s="268" t="s">
        <v>2628</v>
      </c>
      <c r="I186" s="268" t="s">
        <v>2629</v>
      </c>
      <c r="J186" s="272">
        <v>469944</v>
      </c>
      <c r="K186" s="272">
        <f t="shared" si="20"/>
        <v>39162</v>
      </c>
      <c r="L186" s="272">
        <f t="shared" si="21"/>
        <v>12141.24</v>
      </c>
      <c r="M186" s="269">
        <v>0</v>
      </c>
      <c r="N186" s="272">
        <f t="shared" si="26"/>
        <v>129.60000000000002</v>
      </c>
      <c r="O186" s="273">
        <v>0</v>
      </c>
      <c r="P186" s="273">
        <f t="shared" si="22"/>
        <v>8224.02</v>
      </c>
      <c r="Q186" s="272">
        <f t="shared" si="23"/>
        <v>60084</v>
      </c>
      <c r="R186" s="272">
        <f t="shared" si="24"/>
        <v>84918.880799999999</v>
      </c>
      <c r="S186" s="272">
        <f t="shared" si="25"/>
        <v>2125.44</v>
      </c>
    </row>
    <row r="187" spans="1:21" s="270" customFormat="1" x14ac:dyDescent="0.25">
      <c r="A187" s="335" t="str">
        <f>CONCATENATE(50,B187)</f>
        <v>501107</v>
      </c>
      <c r="B187" s="271">
        <v>1107</v>
      </c>
      <c r="C187" s="271">
        <v>200403</v>
      </c>
      <c r="D187" s="268" t="s">
        <v>894</v>
      </c>
      <c r="E187" s="268" t="s">
        <v>1290</v>
      </c>
      <c r="F187" s="268" t="s">
        <v>1298</v>
      </c>
      <c r="G187" s="268">
        <v>7</v>
      </c>
      <c r="H187" s="268" t="s">
        <v>2630</v>
      </c>
      <c r="I187" s="268" t="s">
        <v>2629</v>
      </c>
      <c r="J187" s="272">
        <v>469944</v>
      </c>
      <c r="K187" s="272">
        <f t="shared" si="20"/>
        <v>39162</v>
      </c>
      <c r="L187" s="272">
        <f t="shared" si="21"/>
        <v>12141.24</v>
      </c>
      <c r="M187" s="269">
        <v>0</v>
      </c>
      <c r="N187" s="272">
        <f t="shared" si="26"/>
        <v>129.60000000000002</v>
      </c>
      <c r="O187" s="273">
        <v>0</v>
      </c>
      <c r="P187" s="273">
        <f t="shared" si="22"/>
        <v>8224.02</v>
      </c>
      <c r="Q187" s="272">
        <f t="shared" si="23"/>
        <v>60084</v>
      </c>
      <c r="R187" s="272">
        <f t="shared" si="24"/>
        <v>84918.880799999999</v>
      </c>
      <c r="S187" s="272">
        <f t="shared" si="25"/>
        <v>2125.44</v>
      </c>
    </row>
    <row r="188" spans="1:21" s="270" customFormat="1" x14ac:dyDescent="0.25">
      <c r="A188" s="335" t="str">
        <f>CONCATENATE(50,B188)</f>
        <v>501502</v>
      </c>
      <c r="B188" s="271">
        <v>1502</v>
      </c>
      <c r="C188" s="271">
        <v>200412</v>
      </c>
      <c r="D188" s="268" t="s">
        <v>894</v>
      </c>
      <c r="E188" s="268" t="s">
        <v>1290</v>
      </c>
      <c r="F188" s="268" t="s">
        <v>2631</v>
      </c>
      <c r="G188" s="268">
        <v>7</v>
      </c>
      <c r="H188" s="268" t="s">
        <v>2632</v>
      </c>
      <c r="I188" s="268" t="s">
        <v>2633</v>
      </c>
      <c r="J188" s="272">
        <v>469944</v>
      </c>
      <c r="K188" s="272">
        <f t="shared" si="20"/>
        <v>39162</v>
      </c>
      <c r="L188" s="272">
        <f t="shared" si="21"/>
        <v>12141.24</v>
      </c>
      <c r="M188" s="269">
        <v>0</v>
      </c>
      <c r="N188" s="272">
        <f t="shared" si="26"/>
        <v>129.60000000000002</v>
      </c>
      <c r="O188" s="273">
        <v>0</v>
      </c>
      <c r="P188" s="273">
        <f t="shared" si="22"/>
        <v>8224.02</v>
      </c>
      <c r="Q188" s="272">
        <f t="shared" si="23"/>
        <v>60084</v>
      </c>
      <c r="R188" s="272">
        <f t="shared" si="24"/>
        <v>84918.880799999999</v>
      </c>
      <c r="S188" s="272">
        <f t="shared" si="25"/>
        <v>2125.44</v>
      </c>
    </row>
    <row r="189" spans="1:21" x14ac:dyDescent="0.25">
      <c r="A189" s="335">
        <v>501502</v>
      </c>
      <c r="B189" s="271">
        <v>1502</v>
      </c>
      <c r="C189" s="271">
        <v>200415</v>
      </c>
      <c r="D189" s="268" t="s">
        <v>894</v>
      </c>
      <c r="E189" s="268" t="s">
        <v>1278</v>
      </c>
      <c r="F189" s="268" t="s">
        <v>2634</v>
      </c>
      <c r="G189" s="268">
        <v>7</v>
      </c>
      <c r="H189" s="268" t="s">
        <v>2635</v>
      </c>
      <c r="I189" s="268" t="s">
        <v>2636</v>
      </c>
      <c r="J189" s="272">
        <v>469944</v>
      </c>
      <c r="K189" s="272">
        <f t="shared" si="20"/>
        <v>39162</v>
      </c>
      <c r="L189" s="272">
        <f t="shared" si="21"/>
        <v>12141.24</v>
      </c>
      <c r="M189" s="269">
        <v>0</v>
      </c>
      <c r="N189" s="272">
        <f t="shared" si="26"/>
        <v>129.60000000000002</v>
      </c>
      <c r="O189" s="273">
        <v>0</v>
      </c>
      <c r="P189" s="273">
        <f t="shared" si="22"/>
        <v>8224.02</v>
      </c>
      <c r="Q189" s="272">
        <f t="shared" si="23"/>
        <v>60084</v>
      </c>
      <c r="R189" s="272">
        <f t="shared" si="24"/>
        <v>84918.880799999999</v>
      </c>
      <c r="S189" s="272">
        <f t="shared" si="25"/>
        <v>2125.44</v>
      </c>
      <c r="T189" s="270"/>
      <c r="U189" s="270"/>
    </row>
    <row r="190" spans="1:21" s="270" customFormat="1" x14ac:dyDescent="0.25">
      <c r="A190" s="335">
        <v>501304</v>
      </c>
      <c r="B190" s="271">
        <v>1304</v>
      </c>
      <c r="C190" s="271">
        <v>1630</v>
      </c>
      <c r="D190" s="268" t="s">
        <v>894</v>
      </c>
      <c r="E190" s="268" t="s">
        <v>1290</v>
      </c>
      <c r="F190" s="268" t="s">
        <v>2637</v>
      </c>
      <c r="G190" s="268">
        <v>6</v>
      </c>
      <c r="H190" s="268" t="s">
        <v>2638</v>
      </c>
      <c r="I190" s="268" t="s">
        <v>2610</v>
      </c>
      <c r="J190" s="272">
        <v>459120</v>
      </c>
      <c r="K190" s="272">
        <f t="shared" si="20"/>
        <v>38260</v>
      </c>
      <c r="L190" s="272">
        <f t="shared" si="21"/>
        <v>12141.24</v>
      </c>
      <c r="M190" s="269">
        <v>0</v>
      </c>
      <c r="N190" s="272">
        <f t="shared" si="26"/>
        <v>129.60000000000002</v>
      </c>
      <c r="O190" s="273">
        <v>0</v>
      </c>
      <c r="P190" s="273">
        <f t="shared" si="22"/>
        <v>8034.6</v>
      </c>
      <c r="Q190" s="272">
        <f t="shared" si="23"/>
        <v>60084</v>
      </c>
      <c r="R190" s="272">
        <f t="shared" si="24"/>
        <v>82962.983999999997</v>
      </c>
      <c r="S190" s="272">
        <f t="shared" si="25"/>
        <v>2125.44</v>
      </c>
    </row>
    <row r="191" spans="1:21" s="270" customFormat="1" x14ac:dyDescent="0.25">
      <c r="A191" s="335">
        <v>501442</v>
      </c>
      <c r="B191" s="271">
        <v>1442</v>
      </c>
      <c r="C191" s="271">
        <v>10304</v>
      </c>
      <c r="D191" s="268" t="s">
        <v>1698</v>
      </c>
      <c r="E191" s="268" t="s">
        <v>1290</v>
      </c>
      <c r="F191" s="268" t="s">
        <v>2547</v>
      </c>
      <c r="G191" s="268">
        <v>7</v>
      </c>
      <c r="H191" s="268" t="s">
        <v>2639</v>
      </c>
      <c r="I191" s="268" t="s">
        <v>2591</v>
      </c>
      <c r="J191" s="272">
        <v>448236</v>
      </c>
      <c r="K191" s="272">
        <f t="shared" si="20"/>
        <v>37353</v>
      </c>
      <c r="L191" s="272">
        <f t="shared" si="21"/>
        <v>12141.24</v>
      </c>
      <c r="M191" s="269">
        <v>0</v>
      </c>
      <c r="N191" s="272">
        <f t="shared" si="26"/>
        <v>129.60000000000002</v>
      </c>
      <c r="O191" s="273">
        <v>0</v>
      </c>
      <c r="P191" s="273">
        <f t="shared" si="22"/>
        <v>7844.130000000001</v>
      </c>
      <c r="Q191" s="272">
        <f t="shared" si="23"/>
        <v>60084</v>
      </c>
      <c r="R191" s="272">
        <f t="shared" si="24"/>
        <v>80996.245200000005</v>
      </c>
      <c r="S191" s="272">
        <f t="shared" si="25"/>
        <v>2125.44</v>
      </c>
    </row>
    <row r="192" spans="1:21" s="270" customFormat="1" x14ac:dyDescent="0.25">
      <c r="A192" s="335">
        <v>501443</v>
      </c>
      <c r="B192" s="271">
        <v>1443</v>
      </c>
      <c r="C192" s="271">
        <v>35813</v>
      </c>
      <c r="D192" s="268" t="s">
        <v>894</v>
      </c>
      <c r="E192" s="268" t="s">
        <v>1290</v>
      </c>
      <c r="F192" s="268" t="s">
        <v>2640</v>
      </c>
      <c r="G192" s="268">
        <v>7</v>
      </c>
      <c r="H192" s="268" t="s">
        <v>2641</v>
      </c>
      <c r="I192" s="268" t="s">
        <v>2528</v>
      </c>
      <c r="J192" s="272">
        <v>448236</v>
      </c>
      <c r="K192" s="272">
        <f t="shared" ref="K192:K255" si="27">J192/12</f>
        <v>37353</v>
      </c>
      <c r="L192" s="272">
        <f t="shared" ref="L192:L255" si="28">1011.77*12</f>
        <v>12141.24</v>
      </c>
      <c r="M192" s="269">
        <v>0</v>
      </c>
      <c r="N192" s="272">
        <f t="shared" si="26"/>
        <v>129.60000000000002</v>
      </c>
      <c r="O192" s="273">
        <v>0</v>
      </c>
      <c r="P192" s="273">
        <f t="shared" ref="P192:P255" si="29">J192*1.75%</f>
        <v>7844.130000000001</v>
      </c>
      <c r="Q192" s="272">
        <f t="shared" ref="Q192:Q255" si="30">5007*12</f>
        <v>60084</v>
      </c>
      <c r="R192" s="272">
        <f t="shared" ref="R192:R255" si="31">18.07%*J192</f>
        <v>80996.245200000005</v>
      </c>
      <c r="S192" s="272">
        <f t="shared" si="25"/>
        <v>2125.44</v>
      </c>
    </row>
    <row r="193" spans="1:21" x14ac:dyDescent="0.25">
      <c r="A193" s="337">
        <v>501443</v>
      </c>
      <c r="B193" s="276">
        <v>1443</v>
      </c>
      <c r="C193" s="276">
        <v>36113</v>
      </c>
      <c r="D193" s="268" t="s">
        <v>894</v>
      </c>
      <c r="E193" s="268" t="s">
        <v>1278</v>
      </c>
      <c r="F193" s="268" t="s">
        <v>2642</v>
      </c>
      <c r="G193" s="268">
        <v>7</v>
      </c>
      <c r="H193" s="268" t="s">
        <v>2643</v>
      </c>
      <c r="I193" s="268" t="s">
        <v>2644</v>
      </c>
      <c r="J193" s="269">
        <v>448236</v>
      </c>
      <c r="K193" s="273">
        <f t="shared" si="27"/>
        <v>37353</v>
      </c>
      <c r="L193" s="272">
        <f t="shared" si="28"/>
        <v>12141.24</v>
      </c>
      <c r="M193" s="269">
        <f>500*12</f>
        <v>6000</v>
      </c>
      <c r="N193" s="273">
        <f t="shared" si="26"/>
        <v>129.60000000000002</v>
      </c>
      <c r="O193" s="269">
        <f>8125.5*12</f>
        <v>97506</v>
      </c>
      <c r="P193" s="273">
        <f t="shared" si="29"/>
        <v>7844.130000000001</v>
      </c>
      <c r="Q193" s="272">
        <f t="shared" si="30"/>
        <v>60084</v>
      </c>
      <c r="R193" s="273">
        <f t="shared" si="31"/>
        <v>80996.245200000005</v>
      </c>
      <c r="S193" s="273">
        <f t="shared" ref="S193:S256" si="32">177.12*12</f>
        <v>2125.44</v>
      </c>
      <c r="T193" s="270"/>
      <c r="U193" s="270"/>
    </row>
    <row r="194" spans="1:21" s="270" customFormat="1" x14ac:dyDescent="0.25">
      <c r="A194" s="335">
        <v>501412</v>
      </c>
      <c r="B194" s="271">
        <v>1412</v>
      </c>
      <c r="C194" s="271">
        <v>87214</v>
      </c>
      <c r="D194" s="268" t="s">
        <v>894</v>
      </c>
      <c r="E194" s="268" t="s">
        <v>1278</v>
      </c>
      <c r="F194" s="268" t="s">
        <v>1290</v>
      </c>
      <c r="G194" s="268">
        <v>7</v>
      </c>
      <c r="H194" s="268" t="s">
        <v>2645</v>
      </c>
      <c r="I194" s="268" t="s">
        <v>2646</v>
      </c>
      <c r="J194" s="272">
        <v>448236</v>
      </c>
      <c r="K194" s="272">
        <f t="shared" si="27"/>
        <v>37353</v>
      </c>
      <c r="L194" s="272">
        <f t="shared" si="28"/>
        <v>12141.24</v>
      </c>
      <c r="M194" s="269">
        <v>0</v>
      </c>
      <c r="N194" s="272">
        <f t="shared" si="26"/>
        <v>129.60000000000002</v>
      </c>
      <c r="O194" s="273">
        <v>0</v>
      </c>
      <c r="P194" s="273">
        <f t="shared" si="29"/>
        <v>7844.130000000001</v>
      </c>
      <c r="Q194" s="272">
        <f t="shared" si="30"/>
        <v>60084</v>
      </c>
      <c r="R194" s="272">
        <f t="shared" si="31"/>
        <v>80996.245200000005</v>
      </c>
      <c r="S194" s="272">
        <f t="shared" si="32"/>
        <v>2125.44</v>
      </c>
    </row>
    <row r="195" spans="1:21" s="270" customFormat="1" x14ac:dyDescent="0.25">
      <c r="A195" s="335">
        <v>501412</v>
      </c>
      <c r="B195" s="271">
        <v>1412</v>
      </c>
      <c r="C195" s="271">
        <v>87492</v>
      </c>
      <c r="D195" s="268" t="s">
        <v>894</v>
      </c>
      <c r="E195" s="268" t="s">
        <v>1278</v>
      </c>
      <c r="F195" s="268" t="s">
        <v>2647</v>
      </c>
      <c r="G195" s="268">
        <v>7</v>
      </c>
      <c r="H195" s="268" t="s">
        <v>2648</v>
      </c>
      <c r="I195" s="268" t="s">
        <v>2646</v>
      </c>
      <c r="J195" s="272">
        <v>448236</v>
      </c>
      <c r="K195" s="272">
        <f t="shared" si="27"/>
        <v>37353</v>
      </c>
      <c r="L195" s="272">
        <f t="shared" si="28"/>
        <v>12141.24</v>
      </c>
      <c r="M195" s="269">
        <v>0</v>
      </c>
      <c r="N195" s="272">
        <f t="shared" si="26"/>
        <v>129.60000000000002</v>
      </c>
      <c r="O195" s="273">
        <v>0</v>
      </c>
      <c r="P195" s="273">
        <f t="shared" si="29"/>
        <v>7844.130000000001</v>
      </c>
      <c r="Q195" s="272">
        <f t="shared" si="30"/>
        <v>60084</v>
      </c>
      <c r="R195" s="272">
        <f t="shared" si="31"/>
        <v>80996.245200000005</v>
      </c>
      <c r="S195" s="272">
        <f t="shared" si="32"/>
        <v>2125.44</v>
      </c>
    </row>
    <row r="196" spans="1:21" s="270" customFormat="1" x14ac:dyDescent="0.25">
      <c r="A196" s="335">
        <v>501412</v>
      </c>
      <c r="B196" s="271">
        <v>1412</v>
      </c>
      <c r="C196" s="271">
        <v>87984</v>
      </c>
      <c r="D196" s="268" t="s">
        <v>894</v>
      </c>
      <c r="E196" s="268" t="s">
        <v>1290</v>
      </c>
      <c r="F196" s="268" t="s">
        <v>2649</v>
      </c>
      <c r="G196" s="268">
        <v>7</v>
      </c>
      <c r="H196" s="268" t="s">
        <v>2359</v>
      </c>
      <c r="I196" s="268" t="s">
        <v>2646</v>
      </c>
      <c r="J196" s="272">
        <v>448236</v>
      </c>
      <c r="K196" s="272">
        <f t="shared" si="27"/>
        <v>37353</v>
      </c>
      <c r="L196" s="272">
        <f t="shared" si="28"/>
        <v>12141.24</v>
      </c>
      <c r="M196" s="269">
        <v>0</v>
      </c>
      <c r="N196" s="272">
        <f t="shared" si="26"/>
        <v>129.60000000000002</v>
      </c>
      <c r="O196" s="273">
        <v>0</v>
      </c>
      <c r="P196" s="273">
        <f t="shared" si="29"/>
        <v>7844.130000000001</v>
      </c>
      <c r="Q196" s="272">
        <f t="shared" si="30"/>
        <v>60084</v>
      </c>
      <c r="R196" s="272">
        <f t="shared" si="31"/>
        <v>80996.245200000005</v>
      </c>
      <c r="S196" s="272">
        <f t="shared" si="32"/>
        <v>2125.44</v>
      </c>
    </row>
    <row r="197" spans="1:21" s="270" customFormat="1" x14ac:dyDescent="0.25">
      <c r="A197" s="335">
        <v>501502</v>
      </c>
      <c r="B197" s="271">
        <v>1502</v>
      </c>
      <c r="C197" s="271">
        <v>200067</v>
      </c>
      <c r="D197" s="268" t="s">
        <v>894</v>
      </c>
      <c r="E197" s="268" t="s">
        <v>1278</v>
      </c>
      <c r="F197" s="268" t="s">
        <v>2650</v>
      </c>
      <c r="G197" s="268">
        <v>7</v>
      </c>
      <c r="H197" s="268" t="s">
        <v>2651</v>
      </c>
      <c r="I197" s="268" t="s">
        <v>2652</v>
      </c>
      <c r="J197" s="272">
        <v>448236</v>
      </c>
      <c r="K197" s="272">
        <f t="shared" si="27"/>
        <v>37353</v>
      </c>
      <c r="L197" s="272">
        <f t="shared" si="28"/>
        <v>12141.24</v>
      </c>
      <c r="M197" s="269">
        <v>0</v>
      </c>
      <c r="N197" s="272">
        <f t="shared" ref="N197:N260" si="33">10.8*12</f>
        <v>129.60000000000002</v>
      </c>
      <c r="O197" s="273">
        <v>0</v>
      </c>
      <c r="P197" s="273">
        <f t="shared" si="29"/>
        <v>7844.130000000001</v>
      </c>
      <c r="Q197" s="272">
        <f t="shared" si="30"/>
        <v>60084</v>
      </c>
      <c r="R197" s="272">
        <f t="shared" si="31"/>
        <v>80996.245200000005</v>
      </c>
      <c r="S197" s="272">
        <f t="shared" si="32"/>
        <v>2125.44</v>
      </c>
    </row>
    <row r="198" spans="1:21" s="270" customFormat="1" x14ac:dyDescent="0.25">
      <c r="A198" s="335">
        <v>501105</v>
      </c>
      <c r="B198" s="271">
        <v>1105</v>
      </c>
      <c r="C198" s="271">
        <v>200234</v>
      </c>
      <c r="D198" s="268" t="s">
        <v>894</v>
      </c>
      <c r="E198" s="268" t="s">
        <v>1290</v>
      </c>
      <c r="F198" s="268" t="s">
        <v>2653</v>
      </c>
      <c r="G198" s="268">
        <v>7</v>
      </c>
      <c r="H198" s="268" t="s">
        <v>2654</v>
      </c>
      <c r="I198" s="268" t="s">
        <v>2646</v>
      </c>
      <c r="J198" s="272">
        <v>448236</v>
      </c>
      <c r="K198" s="272">
        <f t="shared" si="27"/>
        <v>37353</v>
      </c>
      <c r="L198" s="272">
        <f t="shared" si="28"/>
        <v>12141.24</v>
      </c>
      <c r="M198" s="269">
        <v>0</v>
      </c>
      <c r="N198" s="272">
        <f t="shared" si="33"/>
        <v>129.60000000000002</v>
      </c>
      <c r="O198" s="273">
        <v>0</v>
      </c>
      <c r="P198" s="273">
        <f t="shared" si="29"/>
        <v>7844.130000000001</v>
      </c>
      <c r="Q198" s="272">
        <f t="shared" si="30"/>
        <v>60084</v>
      </c>
      <c r="R198" s="272">
        <f t="shared" si="31"/>
        <v>80996.245200000005</v>
      </c>
      <c r="S198" s="272">
        <f t="shared" si="32"/>
        <v>2125.44</v>
      </c>
    </row>
    <row r="199" spans="1:21" s="270" customFormat="1" x14ac:dyDescent="0.25">
      <c r="A199" s="335" t="str">
        <f>CONCATENATE(50,B199)</f>
        <v>501445</v>
      </c>
      <c r="B199" s="271">
        <v>1445</v>
      </c>
      <c r="C199" s="271">
        <v>200376</v>
      </c>
      <c r="D199" s="268" t="s">
        <v>894</v>
      </c>
      <c r="E199" s="268" t="s">
        <v>1290</v>
      </c>
      <c r="F199" s="268" t="s">
        <v>2203</v>
      </c>
      <c r="G199" s="268">
        <v>7</v>
      </c>
      <c r="H199" s="268" t="s">
        <v>2438</v>
      </c>
      <c r="I199" s="268" t="s">
        <v>2655</v>
      </c>
      <c r="J199" s="272">
        <v>448236</v>
      </c>
      <c r="K199" s="272">
        <f t="shared" si="27"/>
        <v>37353</v>
      </c>
      <c r="L199" s="272">
        <f t="shared" si="28"/>
        <v>12141.24</v>
      </c>
      <c r="M199" s="269">
        <v>0</v>
      </c>
      <c r="N199" s="272">
        <f t="shared" si="33"/>
        <v>129.60000000000002</v>
      </c>
      <c r="O199" s="272">
        <f>8125.5*12</f>
        <v>97506</v>
      </c>
      <c r="P199" s="273">
        <f t="shared" si="29"/>
        <v>7844.130000000001</v>
      </c>
      <c r="Q199" s="272">
        <f t="shared" si="30"/>
        <v>60084</v>
      </c>
      <c r="R199" s="272">
        <f t="shared" si="31"/>
        <v>80996.245200000005</v>
      </c>
      <c r="S199" s="272">
        <f t="shared" si="32"/>
        <v>2125.44</v>
      </c>
    </row>
    <row r="200" spans="1:21" x14ac:dyDescent="0.25">
      <c r="A200" s="337">
        <v>501502</v>
      </c>
      <c r="B200" s="276">
        <v>1502</v>
      </c>
      <c r="C200" s="276">
        <v>200443</v>
      </c>
      <c r="D200" s="268" t="s">
        <v>894</v>
      </c>
      <c r="E200" s="268" t="s">
        <v>1290</v>
      </c>
      <c r="F200" s="268" t="s">
        <v>2656</v>
      </c>
      <c r="G200" s="268">
        <v>7</v>
      </c>
      <c r="H200" s="268" t="s">
        <v>2657</v>
      </c>
      <c r="I200" s="268" t="s">
        <v>2658</v>
      </c>
      <c r="J200" s="269">
        <v>448236</v>
      </c>
      <c r="K200" s="273">
        <f t="shared" si="27"/>
        <v>37353</v>
      </c>
      <c r="L200" s="272">
        <f t="shared" si="28"/>
        <v>12141.24</v>
      </c>
      <c r="M200" s="269">
        <f>450*12</f>
        <v>5400</v>
      </c>
      <c r="N200" s="273">
        <f t="shared" si="33"/>
        <v>129.60000000000002</v>
      </c>
      <c r="O200" s="269">
        <f>8125.5*12</f>
        <v>97506</v>
      </c>
      <c r="P200" s="273">
        <f t="shared" si="29"/>
        <v>7844.130000000001</v>
      </c>
      <c r="Q200" s="272">
        <f t="shared" si="30"/>
        <v>60084</v>
      </c>
      <c r="R200" s="273">
        <f t="shared" si="31"/>
        <v>80996.245200000005</v>
      </c>
      <c r="S200" s="273">
        <f t="shared" si="32"/>
        <v>2125.44</v>
      </c>
      <c r="T200" s="270"/>
      <c r="U200" s="270"/>
    </row>
    <row r="201" spans="1:21" x14ac:dyDescent="0.25">
      <c r="A201" s="337">
        <v>501502</v>
      </c>
      <c r="B201" s="276">
        <v>1106</v>
      </c>
      <c r="C201" s="276">
        <v>200445</v>
      </c>
      <c r="D201" s="268" t="s">
        <v>894</v>
      </c>
      <c r="E201" s="268" t="s">
        <v>1290</v>
      </c>
      <c r="F201" s="268" t="s">
        <v>2549</v>
      </c>
      <c r="G201" s="268">
        <v>7</v>
      </c>
      <c r="H201" s="268" t="s">
        <v>2659</v>
      </c>
      <c r="I201" s="268" t="s">
        <v>2658</v>
      </c>
      <c r="J201" s="269">
        <v>448236</v>
      </c>
      <c r="K201" s="273">
        <f t="shared" si="27"/>
        <v>37353</v>
      </c>
      <c r="L201" s="272">
        <f t="shared" si="28"/>
        <v>12141.24</v>
      </c>
      <c r="M201" s="269">
        <f>450*12</f>
        <v>5400</v>
      </c>
      <c r="N201" s="273">
        <f t="shared" si="33"/>
        <v>129.60000000000002</v>
      </c>
      <c r="O201" s="269">
        <f>8125.5*12</f>
        <v>97506</v>
      </c>
      <c r="P201" s="273">
        <f t="shared" si="29"/>
        <v>7844.130000000001</v>
      </c>
      <c r="Q201" s="272">
        <f t="shared" si="30"/>
        <v>60084</v>
      </c>
      <c r="R201" s="273">
        <f t="shared" si="31"/>
        <v>80996.245200000005</v>
      </c>
      <c r="S201" s="273">
        <f t="shared" si="32"/>
        <v>2125.44</v>
      </c>
      <c r="T201" s="270"/>
      <c r="U201" s="270"/>
    </row>
    <row r="202" spans="1:21" s="270" customFormat="1" x14ac:dyDescent="0.25">
      <c r="A202" s="335">
        <v>501407</v>
      </c>
      <c r="B202" s="271">
        <v>1407</v>
      </c>
      <c r="C202" s="271">
        <v>200207</v>
      </c>
      <c r="D202" s="268" t="s">
        <v>894</v>
      </c>
      <c r="E202" s="268" t="s">
        <v>1290</v>
      </c>
      <c r="F202" s="268" t="s">
        <v>2660</v>
      </c>
      <c r="G202" s="268">
        <v>7</v>
      </c>
      <c r="H202" s="268" t="s">
        <v>2661</v>
      </c>
      <c r="I202" s="268" t="s">
        <v>2662</v>
      </c>
      <c r="J202" s="272">
        <v>437424</v>
      </c>
      <c r="K202" s="272">
        <f t="shared" si="27"/>
        <v>36452</v>
      </c>
      <c r="L202" s="272">
        <f t="shared" si="28"/>
        <v>12141.24</v>
      </c>
      <c r="M202" s="269">
        <v>0</v>
      </c>
      <c r="N202" s="272">
        <f t="shared" si="33"/>
        <v>129.60000000000002</v>
      </c>
      <c r="O202" s="273">
        <v>0</v>
      </c>
      <c r="P202" s="273">
        <f t="shared" si="29"/>
        <v>7654.920000000001</v>
      </c>
      <c r="Q202" s="272">
        <f t="shared" si="30"/>
        <v>60084</v>
      </c>
      <c r="R202" s="272">
        <f t="shared" si="31"/>
        <v>79042.516799999998</v>
      </c>
      <c r="S202" s="272">
        <f t="shared" si="32"/>
        <v>2125.44</v>
      </c>
    </row>
    <row r="203" spans="1:21" s="270" customFormat="1" x14ac:dyDescent="0.25">
      <c r="A203" s="335">
        <v>501442</v>
      </c>
      <c r="B203" s="271">
        <v>1442</v>
      </c>
      <c r="C203" s="271">
        <v>200241</v>
      </c>
      <c r="D203" s="268" t="s">
        <v>894</v>
      </c>
      <c r="E203" s="268" t="s">
        <v>1290</v>
      </c>
      <c r="F203" s="268" t="s">
        <v>2663</v>
      </c>
      <c r="G203" s="268">
        <v>7</v>
      </c>
      <c r="H203" s="268" t="s">
        <v>2664</v>
      </c>
      <c r="I203" s="268" t="s">
        <v>2665</v>
      </c>
      <c r="J203" s="272">
        <v>437424</v>
      </c>
      <c r="K203" s="272">
        <f t="shared" si="27"/>
        <v>36452</v>
      </c>
      <c r="L203" s="272">
        <f t="shared" si="28"/>
        <v>12141.24</v>
      </c>
      <c r="M203" s="269">
        <v>0</v>
      </c>
      <c r="N203" s="272">
        <f t="shared" si="33"/>
        <v>129.60000000000002</v>
      </c>
      <c r="O203" s="272">
        <f>7954.5*12</f>
        <v>95454</v>
      </c>
      <c r="P203" s="273">
        <f t="shared" si="29"/>
        <v>7654.920000000001</v>
      </c>
      <c r="Q203" s="272">
        <f t="shared" si="30"/>
        <v>60084</v>
      </c>
      <c r="R203" s="272">
        <f t="shared" si="31"/>
        <v>79042.516799999998</v>
      </c>
      <c r="S203" s="272">
        <f t="shared" si="32"/>
        <v>2125.44</v>
      </c>
    </row>
    <row r="204" spans="1:21" s="270" customFormat="1" x14ac:dyDescent="0.25">
      <c r="A204" s="335" t="str">
        <f>CONCATENATE(50,B204)</f>
        <v>501442</v>
      </c>
      <c r="B204" s="271">
        <v>1442</v>
      </c>
      <c r="C204" s="271">
        <v>200242</v>
      </c>
      <c r="D204" s="268" t="s">
        <v>894</v>
      </c>
      <c r="E204" s="268" t="s">
        <v>1290</v>
      </c>
      <c r="F204" s="268" t="s">
        <v>2666</v>
      </c>
      <c r="G204" s="268">
        <v>7</v>
      </c>
      <c r="H204" s="268" t="s">
        <v>2664</v>
      </c>
      <c r="I204" s="268" t="s">
        <v>2665</v>
      </c>
      <c r="J204" s="272">
        <v>437424</v>
      </c>
      <c r="K204" s="272">
        <f t="shared" si="27"/>
        <v>36452</v>
      </c>
      <c r="L204" s="272">
        <f t="shared" si="28"/>
        <v>12141.24</v>
      </c>
      <c r="M204" s="269">
        <v>0</v>
      </c>
      <c r="N204" s="272">
        <f t="shared" si="33"/>
        <v>129.60000000000002</v>
      </c>
      <c r="O204" s="272">
        <f>7954.5*12</f>
        <v>95454</v>
      </c>
      <c r="P204" s="273">
        <f t="shared" si="29"/>
        <v>7654.920000000001</v>
      </c>
      <c r="Q204" s="272">
        <f t="shared" si="30"/>
        <v>60084</v>
      </c>
      <c r="R204" s="272">
        <f t="shared" si="31"/>
        <v>79042.516799999998</v>
      </c>
      <c r="S204" s="272">
        <f t="shared" si="32"/>
        <v>2125.44</v>
      </c>
    </row>
    <row r="205" spans="1:21" s="270" customFormat="1" x14ac:dyDescent="0.25">
      <c r="A205" s="335" t="str">
        <f>CONCATENATE(50,B205)</f>
        <v>501442</v>
      </c>
      <c r="B205" s="271">
        <v>1442</v>
      </c>
      <c r="C205" s="271">
        <v>200243</v>
      </c>
      <c r="D205" s="268" t="s">
        <v>894</v>
      </c>
      <c r="E205" s="268" t="s">
        <v>1290</v>
      </c>
      <c r="F205" s="268" t="s">
        <v>2450</v>
      </c>
      <c r="G205" s="268">
        <v>7</v>
      </c>
      <c r="H205" s="268" t="s">
        <v>2667</v>
      </c>
      <c r="I205" s="268" t="s">
        <v>2665</v>
      </c>
      <c r="J205" s="272">
        <v>437424</v>
      </c>
      <c r="K205" s="272">
        <f t="shared" si="27"/>
        <v>36452</v>
      </c>
      <c r="L205" s="272">
        <f t="shared" si="28"/>
        <v>12141.24</v>
      </c>
      <c r="M205" s="269">
        <v>0</v>
      </c>
      <c r="N205" s="272">
        <f t="shared" si="33"/>
        <v>129.60000000000002</v>
      </c>
      <c r="O205" s="272">
        <f>7954.5*12</f>
        <v>95454</v>
      </c>
      <c r="P205" s="273">
        <f t="shared" si="29"/>
        <v>7654.920000000001</v>
      </c>
      <c r="Q205" s="272">
        <f t="shared" si="30"/>
        <v>60084</v>
      </c>
      <c r="R205" s="272">
        <f t="shared" si="31"/>
        <v>79042.516799999998</v>
      </c>
      <c r="S205" s="272">
        <f t="shared" si="32"/>
        <v>2125.44</v>
      </c>
    </row>
    <row r="206" spans="1:21" x14ac:dyDescent="0.25">
      <c r="A206" s="335">
        <v>501444</v>
      </c>
      <c r="B206" s="271">
        <v>1444</v>
      </c>
      <c r="C206" s="271">
        <v>11235</v>
      </c>
      <c r="D206" s="268" t="s">
        <v>1698</v>
      </c>
      <c r="E206" s="268" t="s">
        <v>1290</v>
      </c>
      <c r="F206" s="268" t="s">
        <v>2668</v>
      </c>
      <c r="G206" s="268">
        <v>8</v>
      </c>
      <c r="H206" s="268" t="s">
        <v>2669</v>
      </c>
      <c r="I206" s="268" t="s">
        <v>2670</v>
      </c>
      <c r="J206" s="272">
        <v>410568</v>
      </c>
      <c r="K206" s="272">
        <f t="shared" si="27"/>
        <v>34214</v>
      </c>
      <c r="L206" s="272">
        <f t="shared" si="28"/>
        <v>12141.24</v>
      </c>
      <c r="M206" s="269">
        <f>500*12</f>
        <v>6000</v>
      </c>
      <c r="N206" s="272">
        <f t="shared" si="33"/>
        <v>129.60000000000002</v>
      </c>
      <c r="O206" s="273">
        <v>0</v>
      </c>
      <c r="P206" s="273">
        <f t="shared" si="29"/>
        <v>7184.9400000000005</v>
      </c>
      <c r="Q206" s="272">
        <f t="shared" si="30"/>
        <v>60084</v>
      </c>
      <c r="R206" s="272">
        <f t="shared" si="31"/>
        <v>74189.637600000002</v>
      </c>
      <c r="S206" s="272">
        <f t="shared" si="32"/>
        <v>2125.44</v>
      </c>
      <c r="T206" s="270"/>
      <c r="U206" s="270"/>
    </row>
    <row r="207" spans="1:21" s="270" customFormat="1" x14ac:dyDescent="0.25">
      <c r="A207" s="335">
        <v>501443</v>
      </c>
      <c r="B207" s="271">
        <v>1443</v>
      </c>
      <c r="C207" s="271">
        <v>13916</v>
      </c>
      <c r="D207" s="268" t="s">
        <v>1698</v>
      </c>
      <c r="E207" s="268" t="s">
        <v>1290</v>
      </c>
      <c r="F207" s="268" t="s">
        <v>2671</v>
      </c>
      <c r="G207" s="268">
        <v>8</v>
      </c>
      <c r="H207" s="268" t="s">
        <v>2672</v>
      </c>
      <c r="I207" s="268" t="s">
        <v>2673</v>
      </c>
      <c r="J207" s="272">
        <v>410568</v>
      </c>
      <c r="K207" s="272">
        <f t="shared" si="27"/>
        <v>34214</v>
      </c>
      <c r="L207" s="272">
        <f t="shared" si="28"/>
        <v>12141.24</v>
      </c>
      <c r="M207" s="269">
        <v>0</v>
      </c>
      <c r="N207" s="272">
        <f t="shared" si="33"/>
        <v>129.60000000000002</v>
      </c>
      <c r="O207" s="272">
        <f>7525.5*12</f>
        <v>90306</v>
      </c>
      <c r="P207" s="273">
        <f t="shared" si="29"/>
        <v>7184.9400000000005</v>
      </c>
      <c r="Q207" s="272">
        <f t="shared" si="30"/>
        <v>60084</v>
      </c>
      <c r="R207" s="272">
        <f t="shared" si="31"/>
        <v>74189.637600000002</v>
      </c>
      <c r="S207" s="272">
        <f t="shared" si="32"/>
        <v>2125.44</v>
      </c>
    </row>
    <row r="208" spans="1:21" s="270" customFormat="1" x14ac:dyDescent="0.25">
      <c r="A208" s="335">
        <v>501444</v>
      </c>
      <c r="B208" s="271">
        <v>1444</v>
      </c>
      <c r="C208" s="271">
        <v>19606</v>
      </c>
      <c r="D208" s="268" t="s">
        <v>1698</v>
      </c>
      <c r="E208" s="268" t="s">
        <v>1290</v>
      </c>
      <c r="F208" s="268" t="s">
        <v>2674</v>
      </c>
      <c r="G208" s="268">
        <v>8</v>
      </c>
      <c r="H208" s="268" t="s">
        <v>2675</v>
      </c>
      <c r="I208" s="268" t="s">
        <v>2670</v>
      </c>
      <c r="J208" s="272">
        <v>410568</v>
      </c>
      <c r="K208" s="272">
        <f t="shared" si="27"/>
        <v>34214</v>
      </c>
      <c r="L208" s="272">
        <f t="shared" si="28"/>
        <v>12141.24</v>
      </c>
      <c r="M208" s="269">
        <f>500*12</f>
        <v>6000</v>
      </c>
      <c r="N208" s="272">
        <f t="shared" si="33"/>
        <v>129.60000000000002</v>
      </c>
      <c r="O208" s="273">
        <v>0</v>
      </c>
      <c r="P208" s="273">
        <f t="shared" si="29"/>
        <v>7184.9400000000005</v>
      </c>
      <c r="Q208" s="272">
        <f t="shared" si="30"/>
        <v>60084</v>
      </c>
      <c r="R208" s="272">
        <f t="shared" si="31"/>
        <v>74189.637600000002</v>
      </c>
      <c r="S208" s="272">
        <f t="shared" si="32"/>
        <v>2125.44</v>
      </c>
    </row>
    <row r="209" spans="1:21" s="270" customFormat="1" x14ac:dyDescent="0.25">
      <c r="A209" s="337">
        <v>501444</v>
      </c>
      <c r="B209" s="276">
        <v>1444</v>
      </c>
      <c r="C209" s="276">
        <v>26916</v>
      </c>
      <c r="D209" s="268" t="s">
        <v>894</v>
      </c>
      <c r="E209" s="268" t="s">
        <v>1290</v>
      </c>
      <c r="F209" s="268" t="s">
        <v>2425</v>
      </c>
      <c r="G209" s="268">
        <v>8</v>
      </c>
      <c r="H209" s="268" t="s">
        <v>2676</v>
      </c>
      <c r="I209" s="268" t="s">
        <v>2677</v>
      </c>
      <c r="J209" s="269">
        <v>410568</v>
      </c>
      <c r="K209" s="273">
        <f t="shared" si="27"/>
        <v>34214</v>
      </c>
      <c r="L209" s="272">
        <f t="shared" si="28"/>
        <v>12141.24</v>
      </c>
      <c r="M209" s="269">
        <f>930*12</f>
        <v>11160</v>
      </c>
      <c r="N209" s="273">
        <f t="shared" si="33"/>
        <v>129.60000000000002</v>
      </c>
      <c r="O209" s="273">
        <v>0</v>
      </c>
      <c r="P209" s="273">
        <f t="shared" si="29"/>
        <v>7184.9400000000005</v>
      </c>
      <c r="Q209" s="272">
        <f t="shared" si="30"/>
        <v>60084</v>
      </c>
      <c r="R209" s="273">
        <f t="shared" si="31"/>
        <v>74189.637600000002</v>
      </c>
      <c r="S209" s="273">
        <f t="shared" si="32"/>
        <v>2125.44</v>
      </c>
    </row>
    <row r="210" spans="1:21" x14ac:dyDescent="0.25">
      <c r="A210" s="335">
        <v>501503</v>
      </c>
      <c r="B210" s="271">
        <v>1503</v>
      </c>
      <c r="C210" s="271">
        <v>35127</v>
      </c>
      <c r="D210" s="268" t="s">
        <v>894</v>
      </c>
      <c r="E210" s="268" t="s">
        <v>1290</v>
      </c>
      <c r="F210" s="268" t="s">
        <v>2508</v>
      </c>
      <c r="G210" s="268">
        <v>8</v>
      </c>
      <c r="H210" s="268" t="s">
        <v>2678</v>
      </c>
      <c r="I210" s="268" t="s">
        <v>2679</v>
      </c>
      <c r="J210" s="272">
        <v>410568</v>
      </c>
      <c r="K210" s="272">
        <f t="shared" si="27"/>
        <v>34214</v>
      </c>
      <c r="L210" s="272">
        <f t="shared" si="28"/>
        <v>12141.24</v>
      </c>
      <c r="M210" s="269">
        <v>0</v>
      </c>
      <c r="N210" s="272">
        <f t="shared" si="33"/>
        <v>129.60000000000002</v>
      </c>
      <c r="O210" s="273">
        <v>0</v>
      </c>
      <c r="P210" s="273">
        <f t="shared" si="29"/>
        <v>7184.9400000000005</v>
      </c>
      <c r="Q210" s="272">
        <f t="shared" si="30"/>
        <v>60084</v>
      </c>
      <c r="R210" s="272">
        <f t="shared" si="31"/>
        <v>74189.637600000002</v>
      </c>
      <c r="S210" s="272">
        <f t="shared" si="32"/>
        <v>2125.44</v>
      </c>
      <c r="T210" s="270"/>
      <c r="U210" s="270"/>
    </row>
    <row r="211" spans="1:21" s="270" customFormat="1" x14ac:dyDescent="0.25">
      <c r="A211" s="335">
        <v>501206</v>
      </c>
      <c r="B211" s="271">
        <v>1206</v>
      </c>
      <c r="C211" s="271">
        <v>51282</v>
      </c>
      <c r="D211" s="268" t="s">
        <v>894</v>
      </c>
      <c r="E211" s="268" t="s">
        <v>1278</v>
      </c>
      <c r="F211" s="268" t="s">
        <v>2680</v>
      </c>
      <c r="G211" s="268">
        <v>8</v>
      </c>
      <c r="H211" s="268" t="s">
        <v>2681</v>
      </c>
      <c r="I211" s="268" t="s">
        <v>2682</v>
      </c>
      <c r="J211" s="272">
        <v>410568</v>
      </c>
      <c r="K211" s="272">
        <f t="shared" si="27"/>
        <v>34214</v>
      </c>
      <c r="L211" s="272">
        <f t="shared" si="28"/>
        <v>12141.24</v>
      </c>
      <c r="M211" s="269">
        <v>0</v>
      </c>
      <c r="N211" s="272">
        <f t="shared" si="33"/>
        <v>129.60000000000002</v>
      </c>
      <c r="O211" s="273">
        <v>0</v>
      </c>
      <c r="P211" s="273">
        <f t="shared" si="29"/>
        <v>7184.9400000000005</v>
      </c>
      <c r="Q211" s="272">
        <f t="shared" si="30"/>
        <v>60084</v>
      </c>
      <c r="R211" s="272">
        <f t="shared" si="31"/>
        <v>74189.637600000002</v>
      </c>
      <c r="S211" s="272">
        <f t="shared" si="32"/>
        <v>2125.44</v>
      </c>
    </row>
    <row r="212" spans="1:21" s="270" customFormat="1" x14ac:dyDescent="0.25">
      <c r="A212" s="335">
        <v>501444</v>
      </c>
      <c r="B212" s="271">
        <v>1444</v>
      </c>
      <c r="C212" s="271">
        <v>56559</v>
      </c>
      <c r="D212" s="268" t="s">
        <v>894</v>
      </c>
      <c r="E212" s="268" t="s">
        <v>1290</v>
      </c>
      <c r="F212" s="268" t="s">
        <v>2683</v>
      </c>
      <c r="G212" s="268">
        <v>8</v>
      </c>
      <c r="H212" s="268" t="s">
        <v>2684</v>
      </c>
      <c r="I212" s="268" t="s">
        <v>2670</v>
      </c>
      <c r="J212" s="272">
        <v>410568</v>
      </c>
      <c r="K212" s="272">
        <f t="shared" si="27"/>
        <v>34214</v>
      </c>
      <c r="L212" s="272">
        <f t="shared" si="28"/>
        <v>12141.24</v>
      </c>
      <c r="M212" s="269">
        <f>500*12</f>
        <v>6000</v>
      </c>
      <c r="N212" s="272">
        <f t="shared" si="33"/>
        <v>129.60000000000002</v>
      </c>
      <c r="O212" s="273">
        <v>0</v>
      </c>
      <c r="P212" s="273">
        <f t="shared" si="29"/>
        <v>7184.9400000000005</v>
      </c>
      <c r="Q212" s="272">
        <f t="shared" si="30"/>
        <v>60084</v>
      </c>
      <c r="R212" s="272">
        <f t="shared" si="31"/>
        <v>74189.637600000002</v>
      </c>
      <c r="S212" s="272">
        <f t="shared" si="32"/>
        <v>2125.44</v>
      </c>
    </row>
    <row r="213" spans="1:21" s="270" customFormat="1" x14ac:dyDescent="0.25">
      <c r="A213" s="335">
        <v>501206</v>
      </c>
      <c r="B213" s="271">
        <v>1206</v>
      </c>
      <c r="C213" s="271">
        <v>59310</v>
      </c>
      <c r="D213" s="268" t="s">
        <v>894</v>
      </c>
      <c r="E213" s="268" t="s">
        <v>1278</v>
      </c>
      <c r="F213" s="268" t="s">
        <v>2685</v>
      </c>
      <c r="G213" s="268">
        <v>8</v>
      </c>
      <c r="H213" s="268" t="s">
        <v>2686</v>
      </c>
      <c r="I213" s="268" t="s">
        <v>2687</v>
      </c>
      <c r="J213" s="272">
        <v>410568</v>
      </c>
      <c r="K213" s="272">
        <f t="shared" si="27"/>
        <v>34214</v>
      </c>
      <c r="L213" s="272">
        <f t="shared" si="28"/>
        <v>12141.24</v>
      </c>
      <c r="M213" s="269">
        <v>0</v>
      </c>
      <c r="N213" s="272">
        <f t="shared" si="33"/>
        <v>129.60000000000002</v>
      </c>
      <c r="O213" s="273">
        <v>0</v>
      </c>
      <c r="P213" s="273">
        <f t="shared" si="29"/>
        <v>7184.9400000000005</v>
      </c>
      <c r="Q213" s="272">
        <f t="shared" si="30"/>
        <v>60084</v>
      </c>
      <c r="R213" s="272">
        <f t="shared" si="31"/>
        <v>74189.637600000002</v>
      </c>
      <c r="S213" s="272">
        <f t="shared" si="32"/>
        <v>2125.44</v>
      </c>
    </row>
    <row r="214" spans="1:21" s="270" customFormat="1" x14ac:dyDescent="0.25">
      <c r="A214" s="335">
        <v>501443</v>
      </c>
      <c r="B214" s="271">
        <v>1443</v>
      </c>
      <c r="C214" s="271">
        <v>84518</v>
      </c>
      <c r="D214" s="268" t="s">
        <v>894</v>
      </c>
      <c r="E214" s="268" t="s">
        <v>1290</v>
      </c>
      <c r="F214" s="268" t="s">
        <v>776</v>
      </c>
      <c r="G214" s="268">
        <v>8</v>
      </c>
      <c r="H214" s="268" t="s">
        <v>2688</v>
      </c>
      <c r="I214" s="268" t="s">
        <v>2689</v>
      </c>
      <c r="J214" s="272">
        <v>410568</v>
      </c>
      <c r="K214" s="272">
        <f t="shared" si="27"/>
        <v>34214</v>
      </c>
      <c r="L214" s="272">
        <f t="shared" si="28"/>
        <v>12141.24</v>
      </c>
      <c r="M214" s="269">
        <v>0</v>
      </c>
      <c r="N214" s="272">
        <f t="shared" si="33"/>
        <v>129.60000000000002</v>
      </c>
      <c r="O214" s="273">
        <v>0</v>
      </c>
      <c r="P214" s="273">
        <f t="shared" si="29"/>
        <v>7184.9400000000005</v>
      </c>
      <c r="Q214" s="272">
        <f t="shared" si="30"/>
        <v>60084</v>
      </c>
      <c r="R214" s="272">
        <f t="shared" si="31"/>
        <v>74189.637600000002</v>
      </c>
      <c r="S214" s="272">
        <f t="shared" si="32"/>
        <v>2125.44</v>
      </c>
    </row>
    <row r="215" spans="1:21" s="270" customFormat="1" x14ac:dyDescent="0.25">
      <c r="A215" s="335">
        <v>501443</v>
      </c>
      <c r="B215" s="271">
        <v>1443</v>
      </c>
      <c r="C215" s="271">
        <v>84521</v>
      </c>
      <c r="D215" s="268" t="s">
        <v>894</v>
      </c>
      <c r="E215" s="268" t="s">
        <v>1290</v>
      </c>
      <c r="F215" s="268" t="s">
        <v>2660</v>
      </c>
      <c r="G215" s="268">
        <v>8</v>
      </c>
      <c r="H215" s="268" t="s">
        <v>2690</v>
      </c>
      <c r="I215" s="268" t="s">
        <v>2689</v>
      </c>
      <c r="J215" s="272">
        <v>410568</v>
      </c>
      <c r="K215" s="272">
        <f t="shared" si="27"/>
        <v>34214</v>
      </c>
      <c r="L215" s="272">
        <f t="shared" si="28"/>
        <v>12141.24</v>
      </c>
      <c r="M215" s="269">
        <v>0</v>
      </c>
      <c r="N215" s="272">
        <f t="shared" si="33"/>
        <v>129.60000000000002</v>
      </c>
      <c r="O215" s="273">
        <v>0</v>
      </c>
      <c r="P215" s="273">
        <f t="shared" si="29"/>
        <v>7184.9400000000005</v>
      </c>
      <c r="Q215" s="272">
        <f t="shared" si="30"/>
        <v>60084</v>
      </c>
      <c r="R215" s="272">
        <f t="shared" si="31"/>
        <v>74189.637600000002</v>
      </c>
      <c r="S215" s="272">
        <f t="shared" si="32"/>
        <v>2125.44</v>
      </c>
    </row>
    <row r="216" spans="1:21" s="270" customFormat="1" x14ac:dyDescent="0.25">
      <c r="A216" s="335">
        <v>501443</v>
      </c>
      <c r="B216" s="271">
        <v>1443</v>
      </c>
      <c r="C216" s="271">
        <v>87971</v>
      </c>
      <c r="D216" s="268" t="s">
        <v>1698</v>
      </c>
      <c r="E216" s="268" t="s">
        <v>1290</v>
      </c>
      <c r="F216" s="268" t="s">
        <v>2691</v>
      </c>
      <c r="G216" s="268">
        <v>8</v>
      </c>
      <c r="H216" s="268" t="s">
        <v>2692</v>
      </c>
      <c r="I216" s="268" t="s">
        <v>2693</v>
      </c>
      <c r="J216" s="272">
        <v>410568</v>
      </c>
      <c r="K216" s="272">
        <f t="shared" si="27"/>
        <v>34214</v>
      </c>
      <c r="L216" s="272">
        <f t="shared" si="28"/>
        <v>12141.24</v>
      </c>
      <c r="M216" s="269">
        <v>0</v>
      </c>
      <c r="N216" s="272">
        <f t="shared" si="33"/>
        <v>129.60000000000002</v>
      </c>
      <c r="O216" s="272">
        <f>7525.5*12</f>
        <v>90306</v>
      </c>
      <c r="P216" s="273">
        <f t="shared" si="29"/>
        <v>7184.9400000000005</v>
      </c>
      <c r="Q216" s="272">
        <f t="shared" si="30"/>
        <v>60084</v>
      </c>
      <c r="R216" s="272">
        <f t="shared" si="31"/>
        <v>74189.637600000002</v>
      </c>
      <c r="S216" s="272">
        <f t="shared" si="32"/>
        <v>2125.44</v>
      </c>
    </row>
    <row r="217" spans="1:21" s="270" customFormat="1" x14ac:dyDescent="0.25">
      <c r="A217" s="335">
        <v>501206</v>
      </c>
      <c r="B217" s="271">
        <v>1206</v>
      </c>
      <c r="C217" s="271">
        <v>97136</v>
      </c>
      <c r="D217" s="268" t="s">
        <v>894</v>
      </c>
      <c r="E217" s="268" t="s">
        <v>1278</v>
      </c>
      <c r="F217" s="268" t="s">
        <v>2694</v>
      </c>
      <c r="G217" s="268">
        <v>8</v>
      </c>
      <c r="H217" s="268" t="s">
        <v>2695</v>
      </c>
      <c r="I217" s="268" t="s">
        <v>2682</v>
      </c>
      <c r="J217" s="272">
        <v>410568</v>
      </c>
      <c r="K217" s="272">
        <f t="shared" si="27"/>
        <v>34214</v>
      </c>
      <c r="L217" s="272">
        <f t="shared" si="28"/>
        <v>12141.24</v>
      </c>
      <c r="M217" s="269">
        <v>0</v>
      </c>
      <c r="N217" s="272">
        <f t="shared" si="33"/>
        <v>129.60000000000002</v>
      </c>
      <c r="O217" s="273">
        <v>0</v>
      </c>
      <c r="P217" s="273">
        <f t="shared" si="29"/>
        <v>7184.9400000000005</v>
      </c>
      <c r="Q217" s="272">
        <f t="shared" si="30"/>
        <v>60084</v>
      </c>
      <c r="R217" s="272">
        <f t="shared" si="31"/>
        <v>74189.637600000002</v>
      </c>
      <c r="S217" s="272">
        <f t="shared" si="32"/>
        <v>2125.44</v>
      </c>
    </row>
    <row r="218" spans="1:21" s="270" customFormat="1" x14ac:dyDescent="0.25">
      <c r="A218" s="337">
        <v>501444</v>
      </c>
      <c r="B218" s="276">
        <v>1444</v>
      </c>
      <c r="C218" s="276">
        <v>200017</v>
      </c>
      <c r="D218" s="268" t="s">
        <v>894</v>
      </c>
      <c r="E218" s="268" t="s">
        <v>1290</v>
      </c>
      <c r="F218" s="268" t="s">
        <v>2696</v>
      </c>
      <c r="G218" s="268">
        <v>8</v>
      </c>
      <c r="H218" s="268" t="s">
        <v>2697</v>
      </c>
      <c r="I218" s="268" t="s">
        <v>2677</v>
      </c>
      <c r="J218" s="269">
        <v>410568</v>
      </c>
      <c r="K218" s="273">
        <f t="shared" si="27"/>
        <v>34214</v>
      </c>
      <c r="L218" s="272">
        <f t="shared" si="28"/>
        <v>12141.24</v>
      </c>
      <c r="M218" s="269">
        <f>930*12</f>
        <v>11160</v>
      </c>
      <c r="N218" s="273">
        <f t="shared" si="33"/>
        <v>129.60000000000002</v>
      </c>
      <c r="O218" s="273">
        <v>0</v>
      </c>
      <c r="P218" s="273">
        <f t="shared" si="29"/>
        <v>7184.9400000000005</v>
      </c>
      <c r="Q218" s="272">
        <f t="shared" si="30"/>
        <v>60084</v>
      </c>
      <c r="R218" s="273">
        <f t="shared" si="31"/>
        <v>74189.637600000002</v>
      </c>
      <c r="S218" s="273">
        <f t="shared" si="32"/>
        <v>2125.44</v>
      </c>
    </row>
    <row r="219" spans="1:21" s="270" customFormat="1" x14ac:dyDescent="0.25">
      <c r="A219" s="335">
        <v>501443</v>
      </c>
      <c r="B219" s="271">
        <v>1443</v>
      </c>
      <c r="C219" s="271">
        <v>200038</v>
      </c>
      <c r="D219" s="268" t="s">
        <v>894</v>
      </c>
      <c r="E219" s="268" t="s">
        <v>1278</v>
      </c>
      <c r="F219" s="268" t="s">
        <v>2243</v>
      </c>
      <c r="G219" s="268">
        <v>8</v>
      </c>
      <c r="H219" s="268" t="s">
        <v>2698</v>
      </c>
      <c r="I219" s="268" t="s">
        <v>2689</v>
      </c>
      <c r="J219" s="272">
        <v>410568</v>
      </c>
      <c r="K219" s="272">
        <f t="shared" si="27"/>
        <v>34214</v>
      </c>
      <c r="L219" s="272">
        <f t="shared" si="28"/>
        <v>12141.24</v>
      </c>
      <c r="M219" s="269">
        <v>0</v>
      </c>
      <c r="N219" s="272">
        <f t="shared" si="33"/>
        <v>129.60000000000002</v>
      </c>
      <c r="O219" s="273">
        <v>0</v>
      </c>
      <c r="P219" s="273">
        <f t="shared" si="29"/>
        <v>7184.9400000000005</v>
      </c>
      <c r="Q219" s="272">
        <f t="shared" si="30"/>
        <v>60084</v>
      </c>
      <c r="R219" s="272">
        <f t="shared" si="31"/>
        <v>74189.637600000002</v>
      </c>
      <c r="S219" s="272">
        <f t="shared" si="32"/>
        <v>2125.44</v>
      </c>
    </row>
    <row r="220" spans="1:21" s="270" customFormat="1" x14ac:dyDescent="0.25">
      <c r="A220" s="335">
        <v>501503</v>
      </c>
      <c r="B220" s="271">
        <v>1503</v>
      </c>
      <c r="C220" s="271">
        <v>200076</v>
      </c>
      <c r="D220" s="268" t="s">
        <v>894</v>
      </c>
      <c r="E220" s="268" t="s">
        <v>1290</v>
      </c>
      <c r="F220" s="268" t="s">
        <v>2336</v>
      </c>
      <c r="G220" s="268">
        <v>8</v>
      </c>
      <c r="H220" s="268" t="s">
        <v>2699</v>
      </c>
      <c r="I220" s="268" t="s">
        <v>2700</v>
      </c>
      <c r="J220" s="272">
        <v>410568</v>
      </c>
      <c r="K220" s="272">
        <f t="shared" si="27"/>
        <v>34214</v>
      </c>
      <c r="L220" s="272">
        <f t="shared" si="28"/>
        <v>12141.24</v>
      </c>
      <c r="M220" s="269">
        <v>0</v>
      </c>
      <c r="N220" s="272">
        <f t="shared" si="33"/>
        <v>129.60000000000002</v>
      </c>
      <c r="O220" s="273">
        <v>0</v>
      </c>
      <c r="P220" s="273">
        <f t="shared" si="29"/>
        <v>7184.9400000000005</v>
      </c>
      <c r="Q220" s="272">
        <f t="shared" si="30"/>
        <v>60084</v>
      </c>
      <c r="R220" s="272">
        <f t="shared" si="31"/>
        <v>74189.637600000002</v>
      </c>
      <c r="S220" s="272">
        <f t="shared" si="32"/>
        <v>2125.44</v>
      </c>
    </row>
    <row r="221" spans="1:21" s="270" customFormat="1" x14ac:dyDescent="0.25">
      <c r="A221" s="335">
        <v>501406</v>
      </c>
      <c r="B221" s="271">
        <v>1406</v>
      </c>
      <c r="C221" s="271">
        <v>200255</v>
      </c>
      <c r="D221" s="268" t="s">
        <v>894</v>
      </c>
      <c r="E221" s="268" t="s">
        <v>1278</v>
      </c>
      <c r="F221" s="268" t="s">
        <v>2701</v>
      </c>
      <c r="G221" s="268">
        <v>8</v>
      </c>
      <c r="H221" s="268" t="s">
        <v>2702</v>
      </c>
      <c r="I221" s="268" t="s">
        <v>2693</v>
      </c>
      <c r="J221" s="272">
        <v>410568</v>
      </c>
      <c r="K221" s="272">
        <f t="shared" si="27"/>
        <v>34214</v>
      </c>
      <c r="L221" s="272">
        <f t="shared" si="28"/>
        <v>12141.24</v>
      </c>
      <c r="M221" s="269">
        <v>0</v>
      </c>
      <c r="N221" s="272">
        <f t="shared" si="33"/>
        <v>129.60000000000002</v>
      </c>
      <c r="O221" s="272">
        <f>7525.5*12</f>
        <v>90306</v>
      </c>
      <c r="P221" s="273">
        <f t="shared" si="29"/>
        <v>7184.9400000000005</v>
      </c>
      <c r="Q221" s="272">
        <f t="shared" si="30"/>
        <v>60084</v>
      </c>
      <c r="R221" s="272">
        <f t="shared" si="31"/>
        <v>74189.637600000002</v>
      </c>
      <c r="S221" s="272">
        <f t="shared" si="32"/>
        <v>2125.44</v>
      </c>
    </row>
    <row r="222" spans="1:21" s="270" customFormat="1" x14ac:dyDescent="0.25">
      <c r="A222" s="335">
        <v>501503</v>
      </c>
      <c r="B222" s="271">
        <v>1503</v>
      </c>
      <c r="C222" s="271">
        <v>200258</v>
      </c>
      <c r="D222" s="268" t="s">
        <v>894</v>
      </c>
      <c r="E222" s="268" t="s">
        <v>1290</v>
      </c>
      <c r="F222" s="268" t="s">
        <v>1304</v>
      </c>
      <c r="G222" s="268">
        <v>8</v>
      </c>
      <c r="H222" s="268" t="s">
        <v>2703</v>
      </c>
      <c r="I222" s="268" t="s">
        <v>2704</v>
      </c>
      <c r="J222" s="272">
        <v>410568</v>
      </c>
      <c r="K222" s="272">
        <f t="shared" si="27"/>
        <v>34214</v>
      </c>
      <c r="L222" s="272">
        <f t="shared" si="28"/>
        <v>12141.24</v>
      </c>
      <c r="M222" s="269">
        <v>0</v>
      </c>
      <c r="N222" s="272">
        <f t="shared" si="33"/>
        <v>129.60000000000002</v>
      </c>
      <c r="O222" s="273">
        <v>0</v>
      </c>
      <c r="P222" s="273">
        <f t="shared" si="29"/>
        <v>7184.9400000000005</v>
      </c>
      <c r="Q222" s="272">
        <f t="shared" si="30"/>
        <v>60084</v>
      </c>
      <c r="R222" s="272">
        <f t="shared" si="31"/>
        <v>74189.637600000002</v>
      </c>
      <c r="S222" s="272">
        <f t="shared" si="32"/>
        <v>2125.44</v>
      </c>
    </row>
    <row r="223" spans="1:21" s="270" customFormat="1" x14ac:dyDescent="0.25">
      <c r="A223" s="335" t="str">
        <f>CONCATENATE(50,B223)</f>
        <v>501407</v>
      </c>
      <c r="B223" s="271">
        <v>1407</v>
      </c>
      <c r="C223" s="271">
        <v>200372</v>
      </c>
      <c r="D223" s="268" t="s">
        <v>894</v>
      </c>
      <c r="E223" s="268" t="s">
        <v>1278</v>
      </c>
      <c r="F223" s="268" t="s">
        <v>2705</v>
      </c>
      <c r="G223" s="268">
        <v>8</v>
      </c>
      <c r="H223" s="268" t="s">
        <v>2706</v>
      </c>
      <c r="I223" s="268" t="s">
        <v>2693</v>
      </c>
      <c r="J223" s="272">
        <v>410568</v>
      </c>
      <c r="K223" s="272">
        <f t="shared" si="27"/>
        <v>34214</v>
      </c>
      <c r="L223" s="272">
        <f t="shared" si="28"/>
        <v>12141.24</v>
      </c>
      <c r="M223" s="269">
        <v>0</v>
      </c>
      <c r="N223" s="272">
        <f t="shared" si="33"/>
        <v>129.60000000000002</v>
      </c>
      <c r="O223" s="272">
        <f>7525.5*12</f>
        <v>90306</v>
      </c>
      <c r="P223" s="273">
        <f t="shared" si="29"/>
        <v>7184.9400000000005</v>
      </c>
      <c r="Q223" s="272">
        <f t="shared" si="30"/>
        <v>60084</v>
      </c>
      <c r="R223" s="272">
        <f t="shared" si="31"/>
        <v>74189.637600000002</v>
      </c>
      <c r="S223" s="272">
        <f t="shared" si="32"/>
        <v>2125.44</v>
      </c>
    </row>
    <row r="224" spans="1:21" s="270" customFormat="1" x14ac:dyDescent="0.25">
      <c r="A224" s="335" t="str">
        <f>CONCATENATE(50,B224)</f>
        <v>501407</v>
      </c>
      <c r="B224" s="271">
        <v>1407</v>
      </c>
      <c r="C224" s="271">
        <v>200380</v>
      </c>
      <c r="D224" s="268" t="s">
        <v>894</v>
      </c>
      <c r="E224" s="268" t="s">
        <v>1278</v>
      </c>
      <c r="F224" s="268" t="s">
        <v>2381</v>
      </c>
      <c r="G224" s="268">
        <v>8</v>
      </c>
      <c r="H224" s="268" t="s">
        <v>2707</v>
      </c>
      <c r="I224" s="268" t="s">
        <v>2693</v>
      </c>
      <c r="J224" s="272">
        <v>410568</v>
      </c>
      <c r="K224" s="272">
        <f t="shared" si="27"/>
        <v>34214</v>
      </c>
      <c r="L224" s="272">
        <f t="shared" si="28"/>
        <v>12141.24</v>
      </c>
      <c r="M224" s="269">
        <v>0</v>
      </c>
      <c r="N224" s="272">
        <f t="shared" si="33"/>
        <v>129.60000000000002</v>
      </c>
      <c r="O224" s="272">
        <f>7525.5*12</f>
        <v>90306</v>
      </c>
      <c r="P224" s="273">
        <f t="shared" si="29"/>
        <v>7184.9400000000005</v>
      </c>
      <c r="Q224" s="272">
        <f t="shared" si="30"/>
        <v>60084</v>
      </c>
      <c r="R224" s="272">
        <f t="shared" si="31"/>
        <v>74189.637600000002</v>
      </c>
      <c r="S224" s="272">
        <f t="shared" si="32"/>
        <v>2125.44</v>
      </c>
    </row>
    <row r="225" spans="1:21" s="270" customFormat="1" x14ac:dyDescent="0.25">
      <c r="A225" s="335" t="str">
        <f>CONCATENATE(50,B225)</f>
        <v>501445</v>
      </c>
      <c r="B225" s="271">
        <v>1445</v>
      </c>
      <c r="C225" s="271">
        <v>200381</v>
      </c>
      <c r="D225" s="268" t="s">
        <v>894</v>
      </c>
      <c r="E225" s="268" t="s">
        <v>1290</v>
      </c>
      <c r="F225" s="268" t="s">
        <v>2544</v>
      </c>
      <c r="G225" s="268">
        <v>8</v>
      </c>
      <c r="H225" s="268" t="s">
        <v>2708</v>
      </c>
      <c r="I225" s="268" t="s">
        <v>2693</v>
      </c>
      <c r="J225" s="272">
        <v>410568</v>
      </c>
      <c r="K225" s="272">
        <f t="shared" si="27"/>
        <v>34214</v>
      </c>
      <c r="L225" s="272">
        <f t="shared" si="28"/>
        <v>12141.24</v>
      </c>
      <c r="M225" s="269">
        <v>0</v>
      </c>
      <c r="N225" s="272">
        <f t="shared" si="33"/>
        <v>129.60000000000002</v>
      </c>
      <c r="O225" s="272">
        <f>7525.5*12</f>
        <v>90306</v>
      </c>
      <c r="P225" s="273">
        <f t="shared" si="29"/>
        <v>7184.9400000000005</v>
      </c>
      <c r="Q225" s="272">
        <f t="shared" si="30"/>
        <v>60084</v>
      </c>
      <c r="R225" s="272">
        <f t="shared" si="31"/>
        <v>74189.637600000002</v>
      </c>
      <c r="S225" s="272">
        <f t="shared" si="32"/>
        <v>2125.44</v>
      </c>
    </row>
    <row r="226" spans="1:21" s="270" customFormat="1" x14ac:dyDescent="0.25">
      <c r="A226" s="335" t="str">
        <f>CONCATENATE(50,B226)</f>
        <v>501445</v>
      </c>
      <c r="B226" s="271">
        <v>1445</v>
      </c>
      <c r="C226" s="271">
        <v>200382</v>
      </c>
      <c r="D226" s="268" t="s">
        <v>894</v>
      </c>
      <c r="E226" s="268" t="s">
        <v>1278</v>
      </c>
      <c r="F226" s="268" t="s">
        <v>2549</v>
      </c>
      <c r="G226" s="268">
        <v>8</v>
      </c>
      <c r="H226" s="268" t="s">
        <v>2709</v>
      </c>
      <c r="I226" s="268" t="s">
        <v>2693</v>
      </c>
      <c r="J226" s="272">
        <v>410568</v>
      </c>
      <c r="K226" s="272">
        <f t="shared" si="27"/>
        <v>34214</v>
      </c>
      <c r="L226" s="272">
        <f t="shared" si="28"/>
        <v>12141.24</v>
      </c>
      <c r="M226" s="269">
        <v>0</v>
      </c>
      <c r="N226" s="272">
        <f t="shared" si="33"/>
        <v>129.60000000000002</v>
      </c>
      <c r="O226" s="272">
        <f>7525.5*12</f>
        <v>90306</v>
      </c>
      <c r="P226" s="273">
        <f t="shared" si="29"/>
        <v>7184.9400000000005</v>
      </c>
      <c r="Q226" s="272">
        <f t="shared" si="30"/>
        <v>60084</v>
      </c>
      <c r="R226" s="272">
        <f t="shared" si="31"/>
        <v>74189.637600000002</v>
      </c>
      <c r="S226" s="272">
        <f t="shared" si="32"/>
        <v>2125.44</v>
      </c>
    </row>
    <row r="227" spans="1:21" s="270" customFormat="1" x14ac:dyDescent="0.25">
      <c r="A227" s="335">
        <v>501305</v>
      </c>
      <c r="B227" s="271">
        <v>1503</v>
      </c>
      <c r="C227" s="271">
        <v>200388</v>
      </c>
      <c r="D227" s="268" t="s">
        <v>894</v>
      </c>
      <c r="E227" s="268" t="s">
        <v>1290</v>
      </c>
      <c r="F227" s="268" t="s">
        <v>426</v>
      </c>
      <c r="G227" s="268">
        <v>8</v>
      </c>
      <c r="H227" s="268" t="s">
        <v>2710</v>
      </c>
      <c r="I227" s="268" t="s">
        <v>2679</v>
      </c>
      <c r="J227" s="272">
        <v>410568</v>
      </c>
      <c r="K227" s="272">
        <f t="shared" si="27"/>
        <v>34214</v>
      </c>
      <c r="L227" s="272">
        <f t="shared" si="28"/>
        <v>12141.24</v>
      </c>
      <c r="M227" s="269">
        <v>0</v>
      </c>
      <c r="N227" s="272">
        <f t="shared" si="33"/>
        <v>129.60000000000002</v>
      </c>
      <c r="O227" s="273">
        <v>0</v>
      </c>
      <c r="P227" s="273">
        <f t="shared" si="29"/>
        <v>7184.9400000000005</v>
      </c>
      <c r="Q227" s="272">
        <f t="shared" si="30"/>
        <v>60084</v>
      </c>
      <c r="R227" s="272">
        <f t="shared" si="31"/>
        <v>74189.637600000002</v>
      </c>
      <c r="S227" s="272">
        <f t="shared" si="32"/>
        <v>2125.44</v>
      </c>
    </row>
    <row r="228" spans="1:21" s="270" customFormat="1" x14ac:dyDescent="0.25">
      <c r="A228" s="337">
        <v>501444</v>
      </c>
      <c r="B228" s="271">
        <v>1444</v>
      </c>
      <c r="C228" s="271">
        <v>217</v>
      </c>
      <c r="D228" s="268" t="s">
        <v>894</v>
      </c>
      <c r="E228" s="268" t="s">
        <v>1290</v>
      </c>
      <c r="F228" s="268" t="s">
        <v>2415</v>
      </c>
      <c r="G228" s="268">
        <v>8</v>
      </c>
      <c r="H228" s="268" t="s">
        <v>2711</v>
      </c>
      <c r="I228" s="268" t="s">
        <v>2712</v>
      </c>
      <c r="J228" s="272">
        <v>401268</v>
      </c>
      <c r="K228" s="272">
        <f t="shared" si="27"/>
        <v>33439</v>
      </c>
      <c r="L228" s="272">
        <f t="shared" si="28"/>
        <v>12141.24</v>
      </c>
      <c r="M228" s="269">
        <v>0</v>
      </c>
      <c r="N228" s="272">
        <f t="shared" si="33"/>
        <v>129.60000000000002</v>
      </c>
      <c r="O228" s="273">
        <v>0</v>
      </c>
      <c r="P228" s="273">
        <f t="shared" si="29"/>
        <v>7022.1900000000005</v>
      </c>
      <c r="Q228" s="272">
        <f t="shared" si="30"/>
        <v>60084</v>
      </c>
      <c r="R228" s="272">
        <f t="shared" si="31"/>
        <v>72509.127600000007</v>
      </c>
      <c r="S228" s="272">
        <f t="shared" si="32"/>
        <v>2125.44</v>
      </c>
    </row>
    <row r="229" spans="1:21" s="270" customFormat="1" x14ac:dyDescent="0.25">
      <c r="A229" s="335">
        <v>501443</v>
      </c>
      <c r="B229" s="271">
        <v>1443</v>
      </c>
      <c r="C229" s="271">
        <v>23456</v>
      </c>
      <c r="D229" s="268" t="s">
        <v>894</v>
      </c>
      <c r="E229" s="268" t="s">
        <v>1290</v>
      </c>
      <c r="F229" s="268" t="s">
        <v>2713</v>
      </c>
      <c r="G229" s="268">
        <v>8</v>
      </c>
      <c r="H229" s="268" t="s">
        <v>2714</v>
      </c>
      <c r="I229" s="268" t="s">
        <v>2712</v>
      </c>
      <c r="J229" s="272">
        <v>401268</v>
      </c>
      <c r="K229" s="272">
        <f t="shared" si="27"/>
        <v>33439</v>
      </c>
      <c r="L229" s="272">
        <f t="shared" si="28"/>
        <v>12141.24</v>
      </c>
      <c r="M229" s="269">
        <v>0</v>
      </c>
      <c r="N229" s="272">
        <f t="shared" si="33"/>
        <v>129.60000000000002</v>
      </c>
      <c r="O229" s="273">
        <v>0</v>
      </c>
      <c r="P229" s="273">
        <f t="shared" si="29"/>
        <v>7022.1900000000005</v>
      </c>
      <c r="Q229" s="272">
        <f t="shared" si="30"/>
        <v>60084</v>
      </c>
      <c r="R229" s="272">
        <f t="shared" si="31"/>
        <v>72509.127600000007</v>
      </c>
      <c r="S229" s="272">
        <f t="shared" si="32"/>
        <v>2125.44</v>
      </c>
    </row>
    <row r="230" spans="1:21" s="270" customFormat="1" x14ac:dyDescent="0.25">
      <c r="A230" s="335">
        <v>501443</v>
      </c>
      <c r="B230" s="271">
        <v>1443</v>
      </c>
      <c r="C230" s="271">
        <v>51541</v>
      </c>
      <c r="D230" s="268" t="s">
        <v>894</v>
      </c>
      <c r="E230" s="268" t="s">
        <v>1278</v>
      </c>
      <c r="F230" s="268" t="s">
        <v>2715</v>
      </c>
      <c r="G230" s="268">
        <v>8</v>
      </c>
      <c r="H230" s="268" t="s">
        <v>2716</v>
      </c>
      <c r="I230" s="268" t="s">
        <v>2717</v>
      </c>
      <c r="J230" s="272">
        <v>401268</v>
      </c>
      <c r="K230" s="272">
        <f t="shared" si="27"/>
        <v>33439</v>
      </c>
      <c r="L230" s="272">
        <f t="shared" si="28"/>
        <v>12141.24</v>
      </c>
      <c r="M230" s="269">
        <v>0</v>
      </c>
      <c r="N230" s="272">
        <f t="shared" si="33"/>
        <v>129.60000000000002</v>
      </c>
      <c r="O230" s="272">
        <f>8640*12</f>
        <v>103680</v>
      </c>
      <c r="P230" s="273">
        <f t="shared" si="29"/>
        <v>7022.1900000000005</v>
      </c>
      <c r="Q230" s="272">
        <f t="shared" si="30"/>
        <v>60084</v>
      </c>
      <c r="R230" s="272">
        <f t="shared" si="31"/>
        <v>72509.127600000007</v>
      </c>
      <c r="S230" s="272">
        <f t="shared" si="32"/>
        <v>2125.44</v>
      </c>
    </row>
    <row r="231" spans="1:21" s="270" customFormat="1" x14ac:dyDescent="0.25">
      <c r="A231" s="335">
        <v>501304</v>
      </c>
      <c r="B231" s="271">
        <v>1304</v>
      </c>
      <c r="C231" s="271">
        <v>51839</v>
      </c>
      <c r="D231" s="268" t="s">
        <v>894</v>
      </c>
      <c r="E231" s="268" t="s">
        <v>1290</v>
      </c>
      <c r="F231" s="268" t="s">
        <v>1290</v>
      </c>
      <c r="G231" s="268">
        <v>8</v>
      </c>
      <c r="H231" s="268" t="s">
        <v>2604</v>
      </c>
      <c r="I231" s="268" t="s">
        <v>2718</v>
      </c>
      <c r="J231" s="272">
        <v>401268</v>
      </c>
      <c r="K231" s="272">
        <f t="shared" si="27"/>
        <v>33439</v>
      </c>
      <c r="L231" s="272">
        <f t="shared" si="28"/>
        <v>12141.24</v>
      </c>
      <c r="M231" s="269">
        <v>0</v>
      </c>
      <c r="N231" s="272">
        <f t="shared" si="33"/>
        <v>129.60000000000002</v>
      </c>
      <c r="O231" s="273">
        <v>0</v>
      </c>
      <c r="P231" s="273">
        <f t="shared" si="29"/>
        <v>7022.1900000000005</v>
      </c>
      <c r="Q231" s="272">
        <f t="shared" si="30"/>
        <v>60084</v>
      </c>
      <c r="R231" s="272">
        <f t="shared" si="31"/>
        <v>72509.127600000007</v>
      </c>
      <c r="S231" s="272">
        <f t="shared" si="32"/>
        <v>2125.44</v>
      </c>
    </row>
    <row r="232" spans="1:21" s="270" customFormat="1" x14ac:dyDescent="0.25">
      <c r="A232" s="335">
        <v>501443</v>
      </c>
      <c r="B232" s="271">
        <v>1443</v>
      </c>
      <c r="C232" s="271">
        <v>84505</v>
      </c>
      <c r="D232" s="268" t="s">
        <v>894</v>
      </c>
      <c r="E232" s="268" t="s">
        <v>1278</v>
      </c>
      <c r="F232" s="268" t="s">
        <v>2719</v>
      </c>
      <c r="G232" s="268">
        <v>8</v>
      </c>
      <c r="H232" s="268" t="s">
        <v>2720</v>
      </c>
      <c r="I232" s="268" t="s">
        <v>2717</v>
      </c>
      <c r="J232" s="272">
        <v>401268</v>
      </c>
      <c r="K232" s="272">
        <f t="shared" si="27"/>
        <v>33439</v>
      </c>
      <c r="L232" s="272">
        <f t="shared" si="28"/>
        <v>12141.24</v>
      </c>
      <c r="M232" s="269">
        <v>0</v>
      </c>
      <c r="N232" s="272">
        <f t="shared" si="33"/>
        <v>129.60000000000002</v>
      </c>
      <c r="O232" s="273">
        <v>0</v>
      </c>
      <c r="P232" s="273">
        <f t="shared" si="29"/>
        <v>7022.1900000000005</v>
      </c>
      <c r="Q232" s="272">
        <f t="shared" si="30"/>
        <v>60084</v>
      </c>
      <c r="R232" s="272">
        <f t="shared" si="31"/>
        <v>72509.127600000007</v>
      </c>
      <c r="S232" s="272">
        <f t="shared" si="32"/>
        <v>2125.44</v>
      </c>
    </row>
    <row r="233" spans="1:21" s="270" customFormat="1" x14ac:dyDescent="0.25">
      <c r="A233" s="335">
        <v>501203</v>
      </c>
      <c r="B233" s="271">
        <v>1203</v>
      </c>
      <c r="C233" s="271">
        <v>200394</v>
      </c>
      <c r="D233" s="268" t="s">
        <v>894</v>
      </c>
      <c r="E233" s="268" t="s">
        <v>1290</v>
      </c>
      <c r="F233" s="268" t="s">
        <v>2381</v>
      </c>
      <c r="G233" s="268">
        <v>8</v>
      </c>
      <c r="H233" s="268" t="s">
        <v>2438</v>
      </c>
      <c r="I233" s="268" t="s">
        <v>2721</v>
      </c>
      <c r="J233" s="272">
        <v>401268</v>
      </c>
      <c r="K233" s="272">
        <f t="shared" si="27"/>
        <v>33439</v>
      </c>
      <c r="L233" s="272">
        <f t="shared" si="28"/>
        <v>12141.24</v>
      </c>
      <c r="M233" s="269">
        <v>0</v>
      </c>
      <c r="N233" s="272">
        <f t="shared" si="33"/>
        <v>129.60000000000002</v>
      </c>
      <c r="O233" s="273">
        <v>0</v>
      </c>
      <c r="P233" s="273">
        <f t="shared" si="29"/>
        <v>7022.1900000000005</v>
      </c>
      <c r="Q233" s="272">
        <f t="shared" si="30"/>
        <v>60084</v>
      </c>
      <c r="R233" s="272">
        <f t="shared" si="31"/>
        <v>72509.127600000007</v>
      </c>
      <c r="S233" s="272">
        <f t="shared" si="32"/>
        <v>2125.44</v>
      </c>
    </row>
    <row r="234" spans="1:21" s="270" customFormat="1" x14ac:dyDescent="0.25">
      <c r="A234" s="335">
        <v>501207</v>
      </c>
      <c r="B234" s="271">
        <v>1203</v>
      </c>
      <c r="C234" s="271">
        <v>200395</v>
      </c>
      <c r="D234" s="268" t="s">
        <v>894</v>
      </c>
      <c r="E234" s="268" t="s">
        <v>1278</v>
      </c>
      <c r="F234" s="268" t="s">
        <v>2722</v>
      </c>
      <c r="G234" s="268">
        <v>8</v>
      </c>
      <c r="H234" s="268" t="s">
        <v>2398</v>
      </c>
      <c r="I234" s="268" t="s">
        <v>2721</v>
      </c>
      <c r="J234" s="272">
        <v>401268</v>
      </c>
      <c r="K234" s="272">
        <f t="shared" si="27"/>
        <v>33439</v>
      </c>
      <c r="L234" s="272">
        <f t="shared" si="28"/>
        <v>12141.24</v>
      </c>
      <c r="M234" s="269">
        <v>0</v>
      </c>
      <c r="N234" s="272">
        <f t="shared" si="33"/>
        <v>129.60000000000002</v>
      </c>
      <c r="O234" s="273">
        <v>0</v>
      </c>
      <c r="P234" s="273">
        <f t="shared" si="29"/>
        <v>7022.1900000000005</v>
      </c>
      <c r="Q234" s="272">
        <f t="shared" si="30"/>
        <v>60084</v>
      </c>
      <c r="R234" s="272">
        <f t="shared" si="31"/>
        <v>72509.127600000007</v>
      </c>
      <c r="S234" s="272">
        <f t="shared" si="32"/>
        <v>2125.44</v>
      </c>
    </row>
    <row r="235" spans="1:21" s="270" customFormat="1" x14ac:dyDescent="0.25">
      <c r="A235" s="335">
        <v>501302</v>
      </c>
      <c r="B235" s="271">
        <v>1302</v>
      </c>
      <c r="C235" s="271">
        <v>200408</v>
      </c>
      <c r="D235" s="268" t="s">
        <v>894</v>
      </c>
      <c r="E235" s="268" t="s">
        <v>1290</v>
      </c>
      <c r="F235" s="268" t="s">
        <v>2723</v>
      </c>
      <c r="G235" s="268">
        <v>8</v>
      </c>
      <c r="H235" s="268" t="s">
        <v>2645</v>
      </c>
      <c r="I235" s="268" t="s">
        <v>2347</v>
      </c>
      <c r="J235" s="272">
        <v>401268</v>
      </c>
      <c r="K235" s="272">
        <f t="shared" si="27"/>
        <v>33439</v>
      </c>
      <c r="L235" s="272">
        <f t="shared" si="28"/>
        <v>12141.24</v>
      </c>
      <c r="M235" s="269">
        <v>0</v>
      </c>
      <c r="N235" s="272">
        <f t="shared" si="33"/>
        <v>129.60000000000002</v>
      </c>
      <c r="O235" s="273">
        <v>0</v>
      </c>
      <c r="P235" s="273">
        <f t="shared" si="29"/>
        <v>7022.1900000000005</v>
      </c>
      <c r="Q235" s="272">
        <f t="shared" si="30"/>
        <v>60084</v>
      </c>
      <c r="R235" s="272">
        <f t="shared" si="31"/>
        <v>72509.127600000007</v>
      </c>
      <c r="S235" s="272">
        <f t="shared" si="32"/>
        <v>2125.44</v>
      </c>
    </row>
    <row r="236" spans="1:21" x14ac:dyDescent="0.25">
      <c r="A236" s="335">
        <v>501443</v>
      </c>
      <c r="B236" s="271">
        <v>1443</v>
      </c>
      <c r="C236" s="271">
        <v>200043</v>
      </c>
      <c r="D236" s="268" t="s">
        <v>894</v>
      </c>
      <c r="E236" s="268" t="s">
        <v>1278</v>
      </c>
      <c r="F236" s="268" t="s">
        <v>2261</v>
      </c>
      <c r="G236" s="268">
        <v>7</v>
      </c>
      <c r="H236" s="268" t="s">
        <v>2724</v>
      </c>
      <c r="I236" s="268" t="s">
        <v>2689</v>
      </c>
      <c r="J236" s="272">
        <v>382668</v>
      </c>
      <c r="K236" s="272">
        <f t="shared" si="27"/>
        <v>31889</v>
      </c>
      <c r="L236" s="272">
        <f t="shared" si="28"/>
        <v>12141.24</v>
      </c>
      <c r="M236" s="269">
        <v>0</v>
      </c>
      <c r="N236" s="272">
        <f t="shared" si="33"/>
        <v>129.60000000000002</v>
      </c>
      <c r="O236" s="273">
        <v>0</v>
      </c>
      <c r="P236" s="273">
        <f t="shared" si="29"/>
        <v>6696.6900000000005</v>
      </c>
      <c r="Q236" s="272">
        <f t="shared" si="30"/>
        <v>60084</v>
      </c>
      <c r="R236" s="272">
        <f t="shared" si="31"/>
        <v>69148.107600000003</v>
      </c>
      <c r="S236" s="272">
        <f t="shared" si="32"/>
        <v>2125.44</v>
      </c>
      <c r="T236" s="270"/>
      <c r="U236" s="270"/>
    </row>
    <row r="237" spans="1:21" s="270" customFormat="1" x14ac:dyDescent="0.25">
      <c r="A237" s="335">
        <v>501443</v>
      </c>
      <c r="B237" s="271">
        <v>1443</v>
      </c>
      <c r="C237" s="271">
        <v>136</v>
      </c>
      <c r="D237" s="268" t="s">
        <v>894</v>
      </c>
      <c r="E237" s="268" t="s">
        <v>1290</v>
      </c>
      <c r="F237" s="268" t="s">
        <v>2725</v>
      </c>
      <c r="G237" s="268">
        <v>8</v>
      </c>
      <c r="H237" s="268" t="s">
        <v>2726</v>
      </c>
      <c r="I237" s="268" t="s">
        <v>2712</v>
      </c>
      <c r="J237" s="272">
        <v>382668</v>
      </c>
      <c r="K237" s="272">
        <f t="shared" si="27"/>
        <v>31889</v>
      </c>
      <c r="L237" s="272">
        <f t="shared" si="28"/>
        <v>12141.24</v>
      </c>
      <c r="M237" s="269">
        <v>0</v>
      </c>
      <c r="N237" s="272">
        <f t="shared" si="33"/>
        <v>129.60000000000002</v>
      </c>
      <c r="O237" s="273">
        <v>0</v>
      </c>
      <c r="P237" s="273">
        <f t="shared" si="29"/>
        <v>6696.6900000000005</v>
      </c>
      <c r="Q237" s="272">
        <f t="shared" si="30"/>
        <v>60084</v>
      </c>
      <c r="R237" s="272">
        <f t="shared" si="31"/>
        <v>69148.107600000003</v>
      </c>
      <c r="S237" s="272">
        <f t="shared" si="32"/>
        <v>2125.44</v>
      </c>
    </row>
    <row r="238" spans="1:21" s="270" customFormat="1" x14ac:dyDescent="0.25">
      <c r="A238" s="335">
        <v>501443</v>
      </c>
      <c r="B238" s="271">
        <v>1443</v>
      </c>
      <c r="C238" s="271">
        <v>1973</v>
      </c>
      <c r="D238" s="268" t="s">
        <v>1698</v>
      </c>
      <c r="E238" s="268" t="s">
        <v>1290</v>
      </c>
      <c r="F238" s="268" t="s">
        <v>2727</v>
      </c>
      <c r="G238" s="268">
        <v>8</v>
      </c>
      <c r="H238" s="268" t="s">
        <v>2728</v>
      </c>
      <c r="I238" s="268" t="s">
        <v>2712</v>
      </c>
      <c r="J238" s="272">
        <v>382668</v>
      </c>
      <c r="K238" s="272">
        <f t="shared" si="27"/>
        <v>31889</v>
      </c>
      <c r="L238" s="272">
        <f t="shared" si="28"/>
        <v>12141.24</v>
      </c>
      <c r="M238" s="269">
        <v>0</v>
      </c>
      <c r="N238" s="272">
        <f t="shared" si="33"/>
        <v>129.60000000000002</v>
      </c>
      <c r="O238" s="273">
        <v>0</v>
      </c>
      <c r="P238" s="273">
        <f t="shared" si="29"/>
        <v>6696.6900000000005</v>
      </c>
      <c r="Q238" s="272">
        <f t="shared" si="30"/>
        <v>60084</v>
      </c>
      <c r="R238" s="272">
        <f t="shared" si="31"/>
        <v>69148.107600000003</v>
      </c>
      <c r="S238" s="272">
        <f t="shared" si="32"/>
        <v>2125.44</v>
      </c>
    </row>
    <row r="239" spans="1:21" s="270" customFormat="1" x14ac:dyDescent="0.25">
      <c r="A239" s="335">
        <v>501443</v>
      </c>
      <c r="B239" s="271">
        <v>1443</v>
      </c>
      <c r="C239" s="271">
        <v>4187</v>
      </c>
      <c r="D239" s="268" t="s">
        <v>1698</v>
      </c>
      <c r="E239" s="268" t="s">
        <v>1290</v>
      </c>
      <c r="F239" s="268" t="s">
        <v>898</v>
      </c>
      <c r="G239" s="268">
        <v>8</v>
      </c>
      <c r="H239" s="268" t="s">
        <v>2729</v>
      </c>
      <c r="I239" s="268" t="s">
        <v>2712</v>
      </c>
      <c r="J239" s="272">
        <v>382668</v>
      </c>
      <c r="K239" s="272">
        <f t="shared" si="27"/>
        <v>31889</v>
      </c>
      <c r="L239" s="272">
        <f t="shared" si="28"/>
        <v>12141.24</v>
      </c>
      <c r="M239" s="269">
        <v>0</v>
      </c>
      <c r="N239" s="272">
        <f t="shared" si="33"/>
        <v>129.60000000000002</v>
      </c>
      <c r="O239" s="273">
        <v>0</v>
      </c>
      <c r="P239" s="273">
        <f t="shared" si="29"/>
        <v>6696.6900000000005</v>
      </c>
      <c r="Q239" s="272">
        <f t="shared" si="30"/>
        <v>60084</v>
      </c>
      <c r="R239" s="272">
        <f t="shared" si="31"/>
        <v>69148.107600000003</v>
      </c>
      <c r="S239" s="272">
        <f t="shared" si="32"/>
        <v>2125.44</v>
      </c>
    </row>
    <row r="240" spans="1:21" s="270" customFormat="1" x14ac:dyDescent="0.25">
      <c r="A240" s="335">
        <v>501443</v>
      </c>
      <c r="B240" s="271">
        <v>1443</v>
      </c>
      <c r="C240" s="271">
        <v>7870</v>
      </c>
      <c r="D240" s="268" t="s">
        <v>1698</v>
      </c>
      <c r="E240" s="268" t="s">
        <v>1290</v>
      </c>
      <c r="F240" s="268" t="s">
        <v>2730</v>
      </c>
      <c r="G240" s="268">
        <v>8</v>
      </c>
      <c r="H240" s="268" t="s">
        <v>2692</v>
      </c>
      <c r="I240" s="268" t="s">
        <v>2712</v>
      </c>
      <c r="J240" s="272">
        <v>382668</v>
      </c>
      <c r="K240" s="272">
        <f t="shared" si="27"/>
        <v>31889</v>
      </c>
      <c r="L240" s="272">
        <f t="shared" si="28"/>
        <v>12141.24</v>
      </c>
      <c r="M240" s="269">
        <v>0</v>
      </c>
      <c r="N240" s="272">
        <f t="shared" si="33"/>
        <v>129.60000000000002</v>
      </c>
      <c r="O240" s="273">
        <v>0</v>
      </c>
      <c r="P240" s="273">
        <f t="shared" si="29"/>
        <v>6696.6900000000005</v>
      </c>
      <c r="Q240" s="272">
        <f t="shared" si="30"/>
        <v>60084</v>
      </c>
      <c r="R240" s="272">
        <f t="shared" si="31"/>
        <v>69148.107600000003</v>
      </c>
      <c r="S240" s="272">
        <f t="shared" si="32"/>
        <v>2125.44</v>
      </c>
    </row>
    <row r="241" spans="1:21" s="270" customFormat="1" x14ac:dyDescent="0.25">
      <c r="A241" s="335">
        <v>501443</v>
      </c>
      <c r="B241" s="271">
        <v>1443</v>
      </c>
      <c r="C241" s="271">
        <v>8756</v>
      </c>
      <c r="D241" s="268" t="s">
        <v>1698</v>
      </c>
      <c r="E241" s="268" t="s">
        <v>1290</v>
      </c>
      <c r="F241" s="268" t="s">
        <v>2731</v>
      </c>
      <c r="G241" s="268">
        <v>8</v>
      </c>
      <c r="H241" s="268" t="s">
        <v>2732</v>
      </c>
      <c r="I241" s="268" t="s">
        <v>2712</v>
      </c>
      <c r="J241" s="272">
        <v>382668</v>
      </c>
      <c r="K241" s="272">
        <f t="shared" si="27"/>
        <v>31889</v>
      </c>
      <c r="L241" s="272">
        <f t="shared" si="28"/>
        <v>12141.24</v>
      </c>
      <c r="M241" s="269">
        <v>0</v>
      </c>
      <c r="N241" s="272">
        <f t="shared" si="33"/>
        <v>129.60000000000002</v>
      </c>
      <c r="O241" s="273">
        <v>0</v>
      </c>
      <c r="P241" s="273">
        <f t="shared" si="29"/>
        <v>6696.6900000000005</v>
      </c>
      <c r="Q241" s="272">
        <f t="shared" si="30"/>
        <v>60084</v>
      </c>
      <c r="R241" s="272">
        <f t="shared" si="31"/>
        <v>69148.107600000003</v>
      </c>
      <c r="S241" s="272">
        <f t="shared" si="32"/>
        <v>2125.44</v>
      </c>
    </row>
    <row r="242" spans="1:21" s="270" customFormat="1" x14ac:dyDescent="0.25">
      <c r="A242" s="335">
        <v>501443</v>
      </c>
      <c r="B242" s="271">
        <v>1443</v>
      </c>
      <c r="C242" s="271">
        <v>16405</v>
      </c>
      <c r="D242" s="268" t="s">
        <v>1698</v>
      </c>
      <c r="E242" s="268" t="s">
        <v>1290</v>
      </c>
      <c r="F242" s="268" t="s">
        <v>2560</v>
      </c>
      <c r="G242" s="268">
        <v>8</v>
      </c>
      <c r="H242" s="268" t="s">
        <v>2675</v>
      </c>
      <c r="I242" s="268" t="s">
        <v>2712</v>
      </c>
      <c r="J242" s="272">
        <v>382668</v>
      </c>
      <c r="K242" s="272">
        <f t="shared" si="27"/>
        <v>31889</v>
      </c>
      <c r="L242" s="272">
        <f t="shared" si="28"/>
        <v>12141.24</v>
      </c>
      <c r="M242" s="269">
        <v>0</v>
      </c>
      <c r="N242" s="272">
        <f t="shared" si="33"/>
        <v>129.60000000000002</v>
      </c>
      <c r="O242" s="273">
        <v>0</v>
      </c>
      <c r="P242" s="273">
        <f t="shared" si="29"/>
        <v>6696.6900000000005</v>
      </c>
      <c r="Q242" s="272">
        <f t="shared" si="30"/>
        <v>60084</v>
      </c>
      <c r="R242" s="272">
        <f t="shared" si="31"/>
        <v>69148.107600000003</v>
      </c>
      <c r="S242" s="272">
        <f t="shared" si="32"/>
        <v>2125.44</v>
      </c>
    </row>
    <row r="243" spans="1:21" s="270" customFormat="1" x14ac:dyDescent="0.25">
      <c r="A243" s="335">
        <v>501443</v>
      </c>
      <c r="B243" s="271">
        <v>1443</v>
      </c>
      <c r="C243" s="271">
        <v>23401</v>
      </c>
      <c r="D243" s="268" t="s">
        <v>894</v>
      </c>
      <c r="E243" s="268" t="s">
        <v>1290</v>
      </c>
      <c r="F243" s="268" t="s">
        <v>2733</v>
      </c>
      <c r="G243" s="268">
        <v>8</v>
      </c>
      <c r="H243" s="268" t="s">
        <v>2734</v>
      </c>
      <c r="I243" s="268" t="s">
        <v>2712</v>
      </c>
      <c r="J243" s="272">
        <v>382668</v>
      </c>
      <c r="K243" s="272">
        <f t="shared" si="27"/>
        <v>31889</v>
      </c>
      <c r="L243" s="272">
        <f t="shared" si="28"/>
        <v>12141.24</v>
      </c>
      <c r="M243" s="269">
        <v>0</v>
      </c>
      <c r="N243" s="272">
        <f t="shared" si="33"/>
        <v>129.60000000000002</v>
      </c>
      <c r="O243" s="273">
        <v>0</v>
      </c>
      <c r="P243" s="273">
        <f t="shared" si="29"/>
        <v>6696.6900000000005</v>
      </c>
      <c r="Q243" s="272">
        <f t="shared" si="30"/>
        <v>60084</v>
      </c>
      <c r="R243" s="272">
        <f t="shared" si="31"/>
        <v>69148.107600000003</v>
      </c>
      <c r="S243" s="272">
        <f t="shared" si="32"/>
        <v>2125.44</v>
      </c>
    </row>
    <row r="244" spans="1:21" s="270" customFormat="1" x14ac:dyDescent="0.25">
      <c r="A244" s="335">
        <v>501443</v>
      </c>
      <c r="B244" s="271">
        <v>1443</v>
      </c>
      <c r="C244" s="271">
        <v>25894</v>
      </c>
      <c r="D244" s="268" t="s">
        <v>1698</v>
      </c>
      <c r="E244" s="268" t="s">
        <v>1290</v>
      </c>
      <c r="F244" s="268" t="s">
        <v>2539</v>
      </c>
      <c r="G244" s="268">
        <v>8</v>
      </c>
      <c r="H244" s="268" t="s">
        <v>2735</v>
      </c>
      <c r="I244" s="268" t="s">
        <v>2689</v>
      </c>
      <c r="J244" s="272">
        <v>382668</v>
      </c>
      <c r="K244" s="272">
        <f t="shared" si="27"/>
        <v>31889</v>
      </c>
      <c r="L244" s="272">
        <f t="shared" si="28"/>
        <v>12141.24</v>
      </c>
      <c r="M244" s="269">
        <v>0</v>
      </c>
      <c r="N244" s="272">
        <f t="shared" si="33"/>
        <v>129.60000000000002</v>
      </c>
      <c r="O244" s="273">
        <v>0</v>
      </c>
      <c r="P244" s="273">
        <f t="shared" si="29"/>
        <v>6696.6900000000005</v>
      </c>
      <c r="Q244" s="272">
        <f t="shared" si="30"/>
        <v>60084</v>
      </c>
      <c r="R244" s="272">
        <f t="shared" si="31"/>
        <v>69148.107600000003</v>
      </c>
      <c r="S244" s="272">
        <f t="shared" si="32"/>
        <v>2125.44</v>
      </c>
    </row>
    <row r="245" spans="1:21" s="270" customFormat="1" x14ac:dyDescent="0.25">
      <c r="A245" s="335">
        <v>501445</v>
      </c>
      <c r="B245" s="271">
        <v>1445</v>
      </c>
      <c r="C245" s="271">
        <v>25917</v>
      </c>
      <c r="D245" s="268" t="s">
        <v>894</v>
      </c>
      <c r="E245" s="268" t="s">
        <v>1290</v>
      </c>
      <c r="F245" s="268" t="s">
        <v>2502</v>
      </c>
      <c r="G245" s="268">
        <v>8</v>
      </c>
      <c r="H245" s="268" t="s">
        <v>2736</v>
      </c>
      <c r="I245" s="268" t="s">
        <v>2712</v>
      </c>
      <c r="J245" s="272">
        <v>382668</v>
      </c>
      <c r="K245" s="272">
        <f t="shared" si="27"/>
        <v>31889</v>
      </c>
      <c r="L245" s="272">
        <f t="shared" si="28"/>
        <v>12141.24</v>
      </c>
      <c r="M245" s="269">
        <v>0</v>
      </c>
      <c r="N245" s="272">
        <f t="shared" si="33"/>
        <v>129.60000000000002</v>
      </c>
      <c r="O245" s="273">
        <v>0</v>
      </c>
      <c r="P245" s="273">
        <f t="shared" si="29"/>
        <v>6696.6900000000005</v>
      </c>
      <c r="Q245" s="272">
        <f t="shared" si="30"/>
        <v>60084</v>
      </c>
      <c r="R245" s="272">
        <f t="shared" si="31"/>
        <v>69148.107600000003</v>
      </c>
      <c r="S245" s="272">
        <f t="shared" si="32"/>
        <v>2125.44</v>
      </c>
    </row>
    <row r="246" spans="1:21" x14ac:dyDescent="0.25">
      <c r="A246" s="335">
        <v>501406</v>
      </c>
      <c r="B246" s="271">
        <v>1406</v>
      </c>
      <c r="C246" s="271">
        <v>31260</v>
      </c>
      <c r="D246" s="268" t="s">
        <v>894</v>
      </c>
      <c r="E246" s="268" t="s">
        <v>1290</v>
      </c>
      <c r="F246" s="268" t="s">
        <v>2737</v>
      </c>
      <c r="G246" s="268">
        <v>8</v>
      </c>
      <c r="H246" s="268" t="s">
        <v>2738</v>
      </c>
      <c r="I246" s="268" t="s">
        <v>2739</v>
      </c>
      <c r="J246" s="272">
        <v>382668</v>
      </c>
      <c r="K246" s="272">
        <f t="shared" si="27"/>
        <v>31889</v>
      </c>
      <c r="L246" s="272">
        <f t="shared" si="28"/>
        <v>12141.24</v>
      </c>
      <c r="M246" s="269">
        <v>0</v>
      </c>
      <c r="N246" s="272">
        <f t="shared" si="33"/>
        <v>129.60000000000002</v>
      </c>
      <c r="O246" s="273">
        <v>0</v>
      </c>
      <c r="P246" s="273">
        <f t="shared" si="29"/>
        <v>6696.6900000000005</v>
      </c>
      <c r="Q246" s="272">
        <f t="shared" si="30"/>
        <v>60084</v>
      </c>
      <c r="R246" s="272">
        <f t="shared" si="31"/>
        <v>69148.107600000003</v>
      </c>
      <c r="S246" s="272">
        <f t="shared" si="32"/>
        <v>2125.44</v>
      </c>
      <c r="T246" s="270"/>
      <c r="U246" s="270"/>
    </row>
    <row r="247" spans="1:21" s="270" customFormat="1" x14ac:dyDescent="0.25">
      <c r="A247" s="335">
        <v>501444</v>
      </c>
      <c r="B247" s="271">
        <v>1444</v>
      </c>
      <c r="C247" s="271">
        <v>34416</v>
      </c>
      <c r="D247" s="268" t="s">
        <v>894</v>
      </c>
      <c r="E247" s="268" t="s">
        <v>1290</v>
      </c>
      <c r="F247" s="268" t="s">
        <v>2502</v>
      </c>
      <c r="G247" s="268">
        <v>8</v>
      </c>
      <c r="H247" s="268" t="s">
        <v>2740</v>
      </c>
      <c r="I247" s="268" t="s">
        <v>2712</v>
      </c>
      <c r="J247" s="272">
        <v>382668</v>
      </c>
      <c r="K247" s="272">
        <f t="shared" si="27"/>
        <v>31889</v>
      </c>
      <c r="L247" s="272">
        <f t="shared" si="28"/>
        <v>12141.24</v>
      </c>
      <c r="M247" s="269">
        <v>0</v>
      </c>
      <c r="N247" s="272">
        <f t="shared" si="33"/>
        <v>129.60000000000002</v>
      </c>
      <c r="O247" s="273">
        <v>0</v>
      </c>
      <c r="P247" s="273">
        <f t="shared" si="29"/>
        <v>6696.6900000000005</v>
      </c>
      <c r="Q247" s="272">
        <f t="shared" si="30"/>
        <v>60084</v>
      </c>
      <c r="R247" s="272">
        <f t="shared" si="31"/>
        <v>69148.107600000003</v>
      </c>
      <c r="S247" s="272">
        <f t="shared" si="32"/>
        <v>2125.44</v>
      </c>
    </row>
    <row r="248" spans="1:21" s="270" customFormat="1" x14ac:dyDescent="0.25">
      <c r="A248" s="335">
        <v>501406</v>
      </c>
      <c r="B248" s="271">
        <v>1406</v>
      </c>
      <c r="C248" s="271">
        <v>36197</v>
      </c>
      <c r="D248" s="268" t="s">
        <v>894</v>
      </c>
      <c r="E248" s="268" t="s">
        <v>1278</v>
      </c>
      <c r="F248" s="268" t="s">
        <v>2649</v>
      </c>
      <c r="G248" s="268">
        <v>8</v>
      </c>
      <c r="H248" s="268" t="s">
        <v>2741</v>
      </c>
      <c r="I248" s="268" t="s">
        <v>2712</v>
      </c>
      <c r="J248" s="272">
        <v>382668</v>
      </c>
      <c r="K248" s="272">
        <f t="shared" si="27"/>
        <v>31889</v>
      </c>
      <c r="L248" s="272">
        <f t="shared" si="28"/>
        <v>12141.24</v>
      </c>
      <c r="M248" s="269">
        <v>0</v>
      </c>
      <c r="N248" s="272">
        <f t="shared" si="33"/>
        <v>129.60000000000002</v>
      </c>
      <c r="O248" s="273">
        <v>0</v>
      </c>
      <c r="P248" s="273">
        <f t="shared" si="29"/>
        <v>6696.6900000000005</v>
      </c>
      <c r="Q248" s="272">
        <f t="shared" si="30"/>
        <v>60084</v>
      </c>
      <c r="R248" s="272">
        <f t="shared" si="31"/>
        <v>69148.107600000003</v>
      </c>
      <c r="S248" s="272">
        <f t="shared" si="32"/>
        <v>2125.44</v>
      </c>
    </row>
    <row r="249" spans="1:21" x14ac:dyDescent="0.25">
      <c r="A249" s="335">
        <v>501445</v>
      </c>
      <c r="B249" s="271">
        <v>1445</v>
      </c>
      <c r="C249" s="271">
        <v>41140</v>
      </c>
      <c r="D249" s="268" t="s">
        <v>894</v>
      </c>
      <c r="E249" s="268" t="s">
        <v>1290</v>
      </c>
      <c r="F249" s="268" t="s">
        <v>2742</v>
      </c>
      <c r="G249" s="268">
        <v>8</v>
      </c>
      <c r="H249" s="268" t="s">
        <v>2382</v>
      </c>
      <c r="I249" s="268" t="s">
        <v>2689</v>
      </c>
      <c r="J249" s="272">
        <v>382668</v>
      </c>
      <c r="K249" s="272">
        <f t="shared" si="27"/>
        <v>31889</v>
      </c>
      <c r="L249" s="272">
        <f t="shared" si="28"/>
        <v>12141.24</v>
      </c>
      <c r="M249" s="269">
        <v>0</v>
      </c>
      <c r="N249" s="272">
        <f t="shared" si="33"/>
        <v>129.60000000000002</v>
      </c>
      <c r="O249" s="273">
        <v>0</v>
      </c>
      <c r="P249" s="273">
        <f t="shared" si="29"/>
        <v>6696.6900000000005</v>
      </c>
      <c r="Q249" s="272">
        <f t="shared" si="30"/>
        <v>60084</v>
      </c>
      <c r="R249" s="272">
        <f t="shared" si="31"/>
        <v>69148.107600000003</v>
      </c>
      <c r="S249" s="272">
        <f t="shared" si="32"/>
        <v>2125.44</v>
      </c>
      <c r="T249" s="270"/>
      <c r="U249" s="270"/>
    </row>
    <row r="250" spans="1:21" s="270" customFormat="1" x14ac:dyDescent="0.25">
      <c r="A250" s="335">
        <v>501443</v>
      </c>
      <c r="B250" s="271">
        <v>1443</v>
      </c>
      <c r="C250" s="271">
        <v>46624</v>
      </c>
      <c r="D250" s="268" t="s">
        <v>894</v>
      </c>
      <c r="E250" s="268" t="s">
        <v>1290</v>
      </c>
      <c r="F250" s="268" t="s">
        <v>1290</v>
      </c>
      <c r="G250" s="268">
        <v>8</v>
      </c>
      <c r="H250" s="268" t="s">
        <v>2743</v>
      </c>
      <c r="I250" s="268" t="s">
        <v>2689</v>
      </c>
      <c r="J250" s="272">
        <v>382668</v>
      </c>
      <c r="K250" s="272">
        <f t="shared" si="27"/>
        <v>31889</v>
      </c>
      <c r="L250" s="272">
        <f t="shared" si="28"/>
        <v>12141.24</v>
      </c>
      <c r="M250" s="269">
        <v>0</v>
      </c>
      <c r="N250" s="272">
        <f t="shared" si="33"/>
        <v>129.60000000000002</v>
      </c>
      <c r="O250" s="273">
        <v>0</v>
      </c>
      <c r="P250" s="273">
        <f t="shared" si="29"/>
        <v>6696.6900000000005</v>
      </c>
      <c r="Q250" s="272">
        <f t="shared" si="30"/>
        <v>60084</v>
      </c>
      <c r="R250" s="272">
        <f t="shared" si="31"/>
        <v>69148.107600000003</v>
      </c>
      <c r="S250" s="272">
        <f t="shared" si="32"/>
        <v>2125.44</v>
      </c>
    </row>
    <row r="251" spans="1:21" s="270" customFormat="1" x14ac:dyDescent="0.25">
      <c r="A251" s="335">
        <v>501203</v>
      </c>
      <c r="B251" s="271">
        <v>1203</v>
      </c>
      <c r="C251" s="271">
        <v>59983</v>
      </c>
      <c r="D251" s="268" t="s">
        <v>894</v>
      </c>
      <c r="E251" s="268" t="s">
        <v>1278</v>
      </c>
      <c r="F251" s="268" t="s">
        <v>2744</v>
      </c>
      <c r="G251" s="268">
        <v>8</v>
      </c>
      <c r="H251" s="268" t="s">
        <v>2745</v>
      </c>
      <c r="I251" s="268" t="s">
        <v>2721</v>
      </c>
      <c r="J251" s="272">
        <v>382668</v>
      </c>
      <c r="K251" s="272">
        <f t="shared" si="27"/>
        <v>31889</v>
      </c>
      <c r="L251" s="272">
        <f t="shared" si="28"/>
        <v>12141.24</v>
      </c>
      <c r="M251" s="269">
        <v>0</v>
      </c>
      <c r="N251" s="272">
        <f t="shared" si="33"/>
        <v>129.60000000000002</v>
      </c>
      <c r="O251" s="273">
        <v>0</v>
      </c>
      <c r="P251" s="273">
        <f t="shared" si="29"/>
        <v>6696.6900000000005</v>
      </c>
      <c r="Q251" s="272">
        <f t="shared" si="30"/>
        <v>60084</v>
      </c>
      <c r="R251" s="272">
        <f t="shared" si="31"/>
        <v>69148.107600000003</v>
      </c>
      <c r="S251" s="272">
        <f t="shared" si="32"/>
        <v>2125.44</v>
      </c>
    </row>
    <row r="252" spans="1:21" s="270" customFormat="1" x14ac:dyDescent="0.25">
      <c r="A252" s="335">
        <v>501443</v>
      </c>
      <c r="B252" s="271">
        <v>1443</v>
      </c>
      <c r="C252" s="271">
        <v>83551</v>
      </c>
      <c r="D252" s="268" t="s">
        <v>894</v>
      </c>
      <c r="E252" s="268" t="s">
        <v>1290</v>
      </c>
      <c r="F252" s="268" t="s">
        <v>2694</v>
      </c>
      <c r="G252" s="268">
        <v>8</v>
      </c>
      <c r="H252" s="268" t="s">
        <v>2746</v>
      </c>
      <c r="I252" s="268" t="s">
        <v>2712</v>
      </c>
      <c r="J252" s="272">
        <v>382668</v>
      </c>
      <c r="K252" s="272">
        <f t="shared" si="27"/>
        <v>31889</v>
      </c>
      <c r="L252" s="272">
        <f t="shared" si="28"/>
        <v>12141.24</v>
      </c>
      <c r="M252" s="269">
        <v>0</v>
      </c>
      <c r="N252" s="272">
        <f t="shared" si="33"/>
        <v>129.60000000000002</v>
      </c>
      <c r="O252" s="273">
        <v>0</v>
      </c>
      <c r="P252" s="273">
        <f t="shared" si="29"/>
        <v>6696.6900000000005</v>
      </c>
      <c r="Q252" s="272">
        <f t="shared" si="30"/>
        <v>60084</v>
      </c>
      <c r="R252" s="272">
        <f t="shared" si="31"/>
        <v>69148.107600000003</v>
      </c>
      <c r="S252" s="272">
        <f t="shared" si="32"/>
        <v>2125.44</v>
      </c>
    </row>
    <row r="253" spans="1:21" s="270" customFormat="1" x14ac:dyDescent="0.25">
      <c r="A253" s="335">
        <v>501443</v>
      </c>
      <c r="B253" s="271">
        <v>1443</v>
      </c>
      <c r="C253" s="271">
        <v>83580</v>
      </c>
      <c r="D253" s="268" t="s">
        <v>894</v>
      </c>
      <c r="E253" s="268" t="s">
        <v>1290</v>
      </c>
      <c r="F253" s="268" t="s">
        <v>2415</v>
      </c>
      <c r="G253" s="268">
        <v>8</v>
      </c>
      <c r="H253" s="268" t="s">
        <v>2295</v>
      </c>
      <c r="I253" s="268" t="s">
        <v>2712</v>
      </c>
      <c r="J253" s="272">
        <v>382668</v>
      </c>
      <c r="K253" s="272">
        <f t="shared" si="27"/>
        <v>31889</v>
      </c>
      <c r="L253" s="272">
        <f t="shared" si="28"/>
        <v>12141.24</v>
      </c>
      <c r="M253" s="269">
        <v>0</v>
      </c>
      <c r="N253" s="272">
        <f t="shared" si="33"/>
        <v>129.60000000000002</v>
      </c>
      <c r="O253" s="273">
        <v>0</v>
      </c>
      <c r="P253" s="273">
        <f t="shared" si="29"/>
        <v>6696.6900000000005</v>
      </c>
      <c r="Q253" s="272">
        <f t="shared" si="30"/>
        <v>60084</v>
      </c>
      <c r="R253" s="272">
        <f t="shared" si="31"/>
        <v>69148.107600000003</v>
      </c>
      <c r="S253" s="272">
        <f t="shared" si="32"/>
        <v>2125.44</v>
      </c>
    </row>
    <row r="254" spans="1:21" s="270" customFormat="1" x14ac:dyDescent="0.25">
      <c r="A254" s="337">
        <v>501444</v>
      </c>
      <c r="B254" s="276">
        <v>1444</v>
      </c>
      <c r="C254" s="276">
        <v>83603</v>
      </c>
      <c r="D254" s="268" t="s">
        <v>894</v>
      </c>
      <c r="E254" s="268" t="s">
        <v>1290</v>
      </c>
      <c r="F254" s="268" t="s">
        <v>731</v>
      </c>
      <c r="G254" s="268">
        <v>8</v>
      </c>
      <c r="H254" s="268" t="s">
        <v>2247</v>
      </c>
      <c r="I254" s="268" t="s">
        <v>2712</v>
      </c>
      <c r="J254" s="269">
        <v>382668</v>
      </c>
      <c r="K254" s="273">
        <f t="shared" si="27"/>
        <v>31889</v>
      </c>
      <c r="L254" s="272">
        <f t="shared" si="28"/>
        <v>12141.24</v>
      </c>
      <c r="M254" s="269">
        <f>500*12</f>
        <v>6000</v>
      </c>
      <c r="N254" s="273">
        <f t="shared" si="33"/>
        <v>129.60000000000002</v>
      </c>
      <c r="O254" s="273">
        <v>0</v>
      </c>
      <c r="P254" s="273">
        <f t="shared" si="29"/>
        <v>6696.6900000000005</v>
      </c>
      <c r="Q254" s="272">
        <f t="shared" si="30"/>
        <v>60084</v>
      </c>
      <c r="R254" s="273">
        <f t="shared" si="31"/>
        <v>69148.107600000003</v>
      </c>
      <c r="S254" s="273">
        <f t="shared" si="32"/>
        <v>2125.44</v>
      </c>
    </row>
    <row r="255" spans="1:21" x14ac:dyDescent="0.25">
      <c r="A255" s="335">
        <v>501443</v>
      </c>
      <c r="B255" s="271">
        <v>1443</v>
      </c>
      <c r="C255" s="271">
        <v>83784</v>
      </c>
      <c r="D255" s="268" t="s">
        <v>894</v>
      </c>
      <c r="E255" s="268" t="s">
        <v>1290</v>
      </c>
      <c r="F255" s="268" t="s">
        <v>2747</v>
      </c>
      <c r="G255" s="268">
        <v>8</v>
      </c>
      <c r="H255" s="268" t="s">
        <v>2748</v>
      </c>
      <c r="I255" s="268" t="s">
        <v>2739</v>
      </c>
      <c r="J255" s="272">
        <v>382668</v>
      </c>
      <c r="K255" s="272">
        <f t="shared" si="27"/>
        <v>31889</v>
      </c>
      <c r="L255" s="272">
        <f t="shared" si="28"/>
        <v>12141.24</v>
      </c>
      <c r="M255" s="269">
        <v>0</v>
      </c>
      <c r="N255" s="272">
        <f t="shared" si="33"/>
        <v>129.60000000000002</v>
      </c>
      <c r="O255" s="273">
        <v>0</v>
      </c>
      <c r="P255" s="273">
        <f t="shared" si="29"/>
        <v>6696.6900000000005</v>
      </c>
      <c r="Q255" s="272">
        <f t="shared" si="30"/>
        <v>60084</v>
      </c>
      <c r="R255" s="272">
        <f t="shared" si="31"/>
        <v>69148.107600000003</v>
      </c>
      <c r="S255" s="272">
        <f t="shared" si="32"/>
        <v>2125.44</v>
      </c>
      <c r="T255" s="270"/>
      <c r="U255" s="270"/>
    </row>
    <row r="256" spans="1:21" x14ac:dyDescent="0.25">
      <c r="A256" s="335">
        <v>501443</v>
      </c>
      <c r="B256" s="271">
        <v>1443</v>
      </c>
      <c r="C256" s="271">
        <v>84482</v>
      </c>
      <c r="D256" s="268" t="s">
        <v>894</v>
      </c>
      <c r="E256" s="268" t="s">
        <v>1290</v>
      </c>
      <c r="F256" s="268" t="s">
        <v>2381</v>
      </c>
      <c r="G256" s="268">
        <v>8</v>
      </c>
      <c r="H256" s="268" t="s">
        <v>2749</v>
      </c>
      <c r="I256" s="268" t="s">
        <v>2739</v>
      </c>
      <c r="J256" s="272">
        <v>382668</v>
      </c>
      <c r="K256" s="272">
        <f t="shared" ref="K256:K319" si="34">J256/12</f>
        <v>31889</v>
      </c>
      <c r="L256" s="272">
        <f t="shared" ref="L256:L319" si="35">1011.77*12</f>
        <v>12141.24</v>
      </c>
      <c r="M256" s="269">
        <v>0</v>
      </c>
      <c r="N256" s="272">
        <f t="shared" si="33"/>
        <v>129.60000000000002</v>
      </c>
      <c r="O256" s="273">
        <v>0</v>
      </c>
      <c r="P256" s="273">
        <f t="shared" ref="P256:P319" si="36">J256*1.75%</f>
        <v>6696.6900000000005</v>
      </c>
      <c r="Q256" s="272">
        <f t="shared" ref="Q256:Q319" si="37">5007*12</f>
        <v>60084</v>
      </c>
      <c r="R256" s="272">
        <f t="shared" ref="R256:R319" si="38">18.07%*J256</f>
        <v>69148.107600000003</v>
      </c>
      <c r="S256" s="272">
        <f t="shared" si="32"/>
        <v>2125.44</v>
      </c>
      <c r="T256" s="270"/>
      <c r="U256" s="270"/>
    </row>
    <row r="257" spans="1:21" s="270" customFormat="1" x14ac:dyDescent="0.25">
      <c r="A257" s="335">
        <v>501443</v>
      </c>
      <c r="B257" s="271">
        <v>1443</v>
      </c>
      <c r="C257" s="271">
        <v>84495</v>
      </c>
      <c r="D257" s="268" t="s">
        <v>894</v>
      </c>
      <c r="E257" s="268" t="s">
        <v>1278</v>
      </c>
      <c r="F257" s="268" t="s">
        <v>2193</v>
      </c>
      <c r="G257" s="268">
        <v>8</v>
      </c>
      <c r="H257" s="268" t="s">
        <v>2750</v>
      </c>
      <c r="I257" s="268" t="s">
        <v>2689</v>
      </c>
      <c r="J257" s="272">
        <v>382668</v>
      </c>
      <c r="K257" s="272">
        <f t="shared" si="34"/>
        <v>31889</v>
      </c>
      <c r="L257" s="272">
        <f t="shared" si="35"/>
        <v>12141.24</v>
      </c>
      <c r="M257" s="269">
        <v>0</v>
      </c>
      <c r="N257" s="272">
        <f t="shared" si="33"/>
        <v>129.60000000000002</v>
      </c>
      <c r="O257" s="273">
        <v>0</v>
      </c>
      <c r="P257" s="273">
        <f t="shared" si="36"/>
        <v>6696.6900000000005</v>
      </c>
      <c r="Q257" s="272">
        <f t="shared" si="37"/>
        <v>60084</v>
      </c>
      <c r="R257" s="272">
        <f t="shared" si="38"/>
        <v>69148.107600000003</v>
      </c>
      <c r="S257" s="272">
        <f t="shared" ref="S257:S320" si="39">177.12*12</f>
        <v>2125.44</v>
      </c>
    </row>
    <row r="258" spans="1:21" s="270" customFormat="1" x14ac:dyDescent="0.25">
      <c r="A258" s="335">
        <v>501406</v>
      </c>
      <c r="B258" s="271">
        <v>1406</v>
      </c>
      <c r="C258" s="271">
        <v>84534</v>
      </c>
      <c r="D258" s="268" t="s">
        <v>894</v>
      </c>
      <c r="E258" s="268" t="s">
        <v>1278</v>
      </c>
      <c r="F258" s="268" t="s">
        <v>2751</v>
      </c>
      <c r="G258" s="268">
        <v>8</v>
      </c>
      <c r="H258" s="268" t="s">
        <v>2752</v>
      </c>
      <c r="I258" s="268" t="s">
        <v>2689</v>
      </c>
      <c r="J258" s="272">
        <v>382668</v>
      </c>
      <c r="K258" s="272">
        <f t="shared" si="34"/>
        <v>31889</v>
      </c>
      <c r="L258" s="272">
        <f t="shared" si="35"/>
        <v>12141.24</v>
      </c>
      <c r="M258" s="269">
        <v>0</v>
      </c>
      <c r="N258" s="272">
        <f t="shared" si="33"/>
        <v>129.60000000000002</v>
      </c>
      <c r="O258" s="273">
        <v>0</v>
      </c>
      <c r="P258" s="273">
        <f t="shared" si="36"/>
        <v>6696.6900000000005</v>
      </c>
      <c r="Q258" s="272">
        <f t="shared" si="37"/>
        <v>60084</v>
      </c>
      <c r="R258" s="272">
        <f t="shared" si="38"/>
        <v>69148.107600000003</v>
      </c>
      <c r="S258" s="272">
        <f t="shared" si="39"/>
        <v>2125.44</v>
      </c>
    </row>
    <row r="259" spans="1:21" s="270" customFormat="1" x14ac:dyDescent="0.25">
      <c r="A259" s="335">
        <v>501443</v>
      </c>
      <c r="B259" s="271">
        <v>1443</v>
      </c>
      <c r="C259" s="271">
        <v>97479</v>
      </c>
      <c r="D259" s="268" t="s">
        <v>894</v>
      </c>
      <c r="E259" s="268" t="s">
        <v>1290</v>
      </c>
      <c r="F259" s="268" t="s">
        <v>2753</v>
      </c>
      <c r="G259" s="268">
        <v>8</v>
      </c>
      <c r="H259" s="268" t="s">
        <v>2754</v>
      </c>
      <c r="I259" s="268" t="s">
        <v>2689</v>
      </c>
      <c r="J259" s="272">
        <v>382668</v>
      </c>
      <c r="K259" s="272">
        <f t="shared" si="34"/>
        <v>31889</v>
      </c>
      <c r="L259" s="272">
        <f t="shared" si="35"/>
        <v>12141.24</v>
      </c>
      <c r="M259" s="269">
        <v>0</v>
      </c>
      <c r="N259" s="272">
        <f t="shared" si="33"/>
        <v>129.60000000000002</v>
      </c>
      <c r="O259" s="273">
        <v>0</v>
      </c>
      <c r="P259" s="273">
        <f t="shared" si="36"/>
        <v>6696.6900000000005</v>
      </c>
      <c r="Q259" s="272">
        <f t="shared" si="37"/>
        <v>60084</v>
      </c>
      <c r="R259" s="272">
        <f t="shared" si="38"/>
        <v>69148.107600000003</v>
      </c>
      <c r="S259" s="272">
        <f t="shared" si="39"/>
        <v>2125.44</v>
      </c>
    </row>
    <row r="260" spans="1:21" x14ac:dyDescent="0.25">
      <c r="A260" s="335">
        <v>501203</v>
      </c>
      <c r="B260" s="271">
        <v>1203</v>
      </c>
      <c r="C260" s="271">
        <v>200059</v>
      </c>
      <c r="D260" s="268" t="s">
        <v>894</v>
      </c>
      <c r="E260" s="268" t="s">
        <v>1278</v>
      </c>
      <c r="F260" s="268" t="s">
        <v>2450</v>
      </c>
      <c r="G260" s="268">
        <v>8</v>
      </c>
      <c r="H260" s="268" t="s">
        <v>2755</v>
      </c>
      <c r="I260" s="268" t="s">
        <v>2756</v>
      </c>
      <c r="J260" s="272">
        <v>382668</v>
      </c>
      <c r="K260" s="272">
        <f t="shared" si="34"/>
        <v>31889</v>
      </c>
      <c r="L260" s="272">
        <f t="shared" si="35"/>
        <v>12141.24</v>
      </c>
      <c r="M260" s="269">
        <v>0</v>
      </c>
      <c r="N260" s="272">
        <f t="shared" si="33"/>
        <v>129.60000000000002</v>
      </c>
      <c r="O260" s="273">
        <v>0</v>
      </c>
      <c r="P260" s="273">
        <f t="shared" si="36"/>
        <v>6696.6900000000005</v>
      </c>
      <c r="Q260" s="272">
        <f t="shared" si="37"/>
        <v>60084</v>
      </c>
      <c r="R260" s="272">
        <f t="shared" si="38"/>
        <v>69148.107600000003</v>
      </c>
      <c r="S260" s="272">
        <f t="shared" si="39"/>
        <v>2125.44</v>
      </c>
      <c r="T260" s="270"/>
      <c r="U260" s="270"/>
    </row>
    <row r="261" spans="1:21" s="270" customFormat="1" x14ac:dyDescent="0.25">
      <c r="A261" s="335">
        <v>501445</v>
      </c>
      <c r="B261" s="271">
        <v>1445</v>
      </c>
      <c r="C261" s="271">
        <v>200208</v>
      </c>
      <c r="D261" s="268" t="s">
        <v>894</v>
      </c>
      <c r="E261" s="268" t="s">
        <v>1278</v>
      </c>
      <c r="F261" s="268" t="s">
        <v>1290</v>
      </c>
      <c r="G261" s="268">
        <v>8</v>
      </c>
      <c r="H261" s="268" t="s">
        <v>2757</v>
      </c>
      <c r="I261" s="268" t="s">
        <v>2758</v>
      </c>
      <c r="J261" s="272">
        <v>382668</v>
      </c>
      <c r="K261" s="272">
        <f t="shared" si="34"/>
        <v>31889</v>
      </c>
      <c r="L261" s="272">
        <f t="shared" si="35"/>
        <v>12141.24</v>
      </c>
      <c r="M261" s="269">
        <v>0</v>
      </c>
      <c r="N261" s="272">
        <f t="shared" ref="N261:N324" si="40">10.8*12</f>
        <v>129.60000000000002</v>
      </c>
      <c r="O261" s="273">
        <v>0</v>
      </c>
      <c r="P261" s="273">
        <f t="shared" si="36"/>
        <v>6696.6900000000005</v>
      </c>
      <c r="Q261" s="272">
        <f t="shared" si="37"/>
        <v>60084</v>
      </c>
      <c r="R261" s="272">
        <f t="shared" si="38"/>
        <v>69148.107600000003</v>
      </c>
      <c r="S261" s="272">
        <f t="shared" si="39"/>
        <v>2125.44</v>
      </c>
    </row>
    <row r="262" spans="1:21" s="270" customFormat="1" x14ac:dyDescent="0.25">
      <c r="A262" s="335">
        <v>501444</v>
      </c>
      <c r="B262" s="271">
        <v>1444</v>
      </c>
      <c r="C262" s="271">
        <v>200302</v>
      </c>
      <c r="D262" s="268" t="s">
        <v>894</v>
      </c>
      <c r="E262" s="268" t="s">
        <v>1290</v>
      </c>
      <c r="F262" s="268" t="s">
        <v>1304</v>
      </c>
      <c r="G262" s="268">
        <v>8</v>
      </c>
      <c r="H262" s="268" t="s">
        <v>2759</v>
      </c>
      <c r="I262" s="268" t="s">
        <v>2689</v>
      </c>
      <c r="J262" s="272">
        <v>382668</v>
      </c>
      <c r="K262" s="272">
        <f t="shared" si="34"/>
        <v>31889</v>
      </c>
      <c r="L262" s="272">
        <f t="shared" si="35"/>
        <v>12141.24</v>
      </c>
      <c r="M262" s="269">
        <v>0</v>
      </c>
      <c r="N262" s="272">
        <f t="shared" si="40"/>
        <v>129.60000000000002</v>
      </c>
      <c r="O262" s="273">
        <v>0</v>
      </c>
      <c r="P262" s="273">
        <f t="shared" si="36"/>
        <v>6696.6900000000005</v>
      </c>
      <c r="Q262" s="272">
        <f t="shared" si="37"/>
        <v>60084</v>
      </c>
      <c r="R262" s="272">
        <f t="shared" si="38"/>
        <v>69148.107600000003</v>
      </c>
      <c r="S262" s="272">
        <f t="shared" si="39"/>
        <v>2125.44</v>
      </c>
    </row>
    <row r="263" spans="1:21" s="270" customFormat="1" x14ac:dyDescent="0.25">
      <c r="A263" s="335">
        <v>501444</v>
      </c>
      <c r="B263" s="271">
        <v>1444</v>
      </c>
      <c r="C263" s="271">
        <v>200308</v>
      </c>
      <c r="D263" s="268" t="s">
        <v>894</v>
      </c>
      <c r="E263" s="268" t="s">
        <v>1290</v>
      </c>
      <c r="F263" s="268" t="s">
        <v>2760</v>
      </c>
      <c r="G263" s="268">
        <v>8</v>
      </c>
      <c r="H263" s="268" t="s">
        <v>2761</v>
      </c>
      <c r="I263" s="268" t="s">
        <v>2689</v>
      </c>
      <c r="J263" s="272">
        <v>382668</v>
      </c>
      <c r="K263" s="272">
        <f t="shared" si="34"/>
        <v>31889</v>
      </c>
      <c r="L263" s="272">
        <f t="shared" si="35"/>
        <v>12141.24</v>
      </c>
      <c r="M263" s="269">
        <v>0</v>
      </c>
      <c r="N263" s="272">
        <f t="shared" si="40"/>
        <v>129.60000000000002</v>
      </c>
      <c r="O263" s="273">
        <v>0</v>
      </c>
      <c r="P263" s="273">
        <f t="shared" si="36"/>
        <v>6696.6900000000005</v>
      </c>
      <c r="Q263" s="272">
        <f t="shared" si="37"/>
        <v>60084</v>
      </c>
      <c r="R263" s="272">
        <f t="shared" si="38"/>
        <v>69148.107600000003</v>
      </c>
      <c r="S263" s="272">
        <f t="shared" si="39"/>
        <v>2125.44</v>
      </c>
    </row>
    <row r="264" spans="1:21" s="270" customFormat="1" x14ac:dyDescent="0.25">
      <c r="A264" s="335">
        <v>501445</v>
      </c>
      <c r="B264" s="271">
        <v>1445</v>
      </c>
      <c r="C264" s="271">
        <v>200331</v>
      </c>
      <c r="D264" s="268" t="s">
        <v>894</v>
      </c>
      <c r="E264" s="268" t="s">
        <v>1290</v>
      </c>
      <c r="F264" s="268" t="s">
        <v>2762</v>
      </c>
      <c r="G264" s="268">
        <v>8</v>
      </c>
      <c r="H264" s="268" t="s">
        <v>2543</v>
      </c>
      <c r="I264" s="268" t="s">
        <v>2689</v>
      </c>
      <c r="J264" s="272">
        <v>382668</v>
      </c>
      <c r="K264" s="272">
        <f t="shared" si="34"/>
        <v>31889</v>
      </c>
      <c r="L264" s="272">
        <f t="shared" si="35"/>
        <v>12141.24</v>
      </c>
      <c r="M264" s="269">
        <v>0</v>
      </c>
      <c r="N264" s="272">
        <f t="shared" si="40"/>
        <v>129.60000000000002</v>
      </c>
      <c r="O264" s="273">
        <v>0</v>
      </c>
      <c r="P264" s="273">
        <f t="shared" si="36"/>
        <v>6696.6900000000005</v>
      </c>
      <c r="Q264" s="272">
        <f t="shared" si="37"/>
        <v>60084</v>
      </c>
      <c r="R264" s="272">
        <f t="shared" si="38"/>
        <v>69148.107600000003</v>
      </c>
      <c r="S264" s="272">
        <f t="shared" si="39"/>
        <v>2125.44</v>
      </c>
    </row>
    <row r="265" spans="1:21" s="270" customFormat="1" x14ac:dyDescent="0.25">
      <c r="A265" s="335">
        <v>501101</v>
      </c>
      <c r="B265" s="271">
        <v>1445</v>
      </c>
      <c r="C265" s="271">
        <v>200362</v>
      </c>
      <c r="D265" s="268" t="s">
        <v>894</v>
      </c>
      <c r="E265" s="268" t="s">
        <v>1290</v>
      </c>
      <c r="F265" s="268" t="s">
        <v>2476</v>
      </c>
      <c r="G265" s="268">
        <v>8</v>
      </c>
      <c r="H265" s="268" t="s">
        <v>2763</v>
      </c>
      <c r="I265" s="268" t="s">
        <v>2758</v>
      </c>
      <c r="J265" s="272">
        <v>382668</v>
      </c>
      <c r="K265" s="272">
        <f t="shared" si="34"/>
        <v>31889</v>
      </c>
      <c r="L265" s="272">
        <f t="shared" si="35"/>
        <v>12141.24</v>
      </c>
      <c r="M265" s="269">
        <v>0</v>
      </c>
      <c r="N265" s="272">
        <f t="shared" si="40"/>
        <v>129.60000000000002</v>
      </c>
      <c r="O265" s="273">
        <v>0</v>
      </c>
      <c r="P265" s="273">
        <f t="shared" si="36"/>
        <v>6696.6900000000005</v>
      </c>
      <c r="Q265" s="272">
        <f t="shared" si="37"/>
        <v>60084</v>
      </c>
      <c r="R265" s="272">
        <f t="shared" si="38"/>
        <v>69148.107600000003</v>
      </c>
      <c r="S265" s="272">
        <f t="shared" si="39"/>
        <v>2125.44</v>
      </c>
    </row>
    <row r="266" spans="1:21" s="270" customFormat="1" x14ac:dyDescent="0.25">
      <c r="A266" s="335">
        <v>501445</v>
      </c>
      <c r="B266" s="271">
        <v>1445</v>
      </c>
      <c r="C266" s="271">
        <v>200379</v>
      </c>
      <c r="D266" s="268" t="s">
        <v>894</v>
      </c>
      <c r="E266" s="268" t="s">
        <v>1290</v>
      </c>
      <c r="F266" s="268" t="s">
        <v>2764</v>
      </c>
      <c r="G266" s="268">
        <v>8</v>
      </c>
      <c r="H266" s="268" t="s">
        <v>2648</v>
      </c>
      <c r="I266" s="268" t="s">
        <v>2765</v>
      </c>
      <c r="J266" s="272">
        <v>382668</v>
      </c>
      <c r="K266" s="272">
        <f t="shared" si="34"/>
        <v>31889</v>
      </c>
      <c r="L266" s="272">
        <f t="shared" si="35"/>
        <v>12141.24</v>
      </c>
      <c r="M266" s="269">
        <v>0</v>
      </c>
      <c r="N266" s="272">
        <f t="shared" si="40"/>
        <v>129.60000000000002</v>
      </c>
      <c r="O266" s="273">
        <v>0</v>
      </c>
      <c r="P266" s="273">
        <f t="shared" si="36"/>
        <v>6696.6900000000005</v>
      </c>
      <c r="Q266" s="272">
        <f t="shared" si="37"/>
        <v>60084</v>
      </c>
      <c r="R266" s="272">
        <f t="shared" si="38"/>
        <v>69148.107600000003</v>
      </c>
      <c r="S266" s="272">
        <f t="shared" si="39"/>
        <v>2125.44</v>
      </c>
    </row>
    <row r="267" spans="1:21" s="270" customFormat="1" x14ac:dyDescent="0.25">
      <c r="A267" s="335">
        <v>501443</v>
      </c>
      <c r="B267" s="271">
        <v>1443</v>
      </c>
      <c r="C267" s="271">
        <v>200317</v>
      </c>
      <c r="D267" s="268" t="s">
        <v>1698</v>
      </c>
      <c r="E267" s="268" t="s">
        <v>1290</v>
      </c>
      <c r="F267" s="268" t="s">
        <v>2766</v>
      </c>
      <c r="G267" s="268">
        <v>7</v>
      </c>
      <c r="H267" s="268" t="s">
        <v>2767</v>
      </c>
      <c r="I267" s="268" t="s">
        <v>2689</v>
      </c>
      <c r="J267" s="272">
        <v>373416</v>
      </c>
      <c r="K267" s="272">
        <f t="shared" si="34"/>
        <v>31118</v>
      </c>
      <c r="L267" s="272">
        <f t="shared" si="35"/>
        <v>12141.24</v>
      </c>
      <c r="M267" s="269">
        <v>0</v>
      </c>
      <c r="N267" s="272">
        <f t="shared" si="40"/>
        <v>129.60000000000002</v>
      </c>
      <c r="O267" s="273">
        <v>0</v>
      </c>
      <c r="P267" s="273">
        <f t="shared" si="36"/>
        <v>6534.7800000000007</v>
      </c>
      <c r="Q267" s="272">
        <f t="shared" si="37"/>
        <v>60084</v>
      </c>
      <c r="R267" s="272">
        <f t="shared" si="38"/>
        <v>67476.271200000003</v>
      </c>
      <c r="S267" s="272">
        <f t="shared" si="39"/>
        <v>2125.44</v>
      </c>
    </row>
    <row r="268" spans="1:21" s="270" customFormat="1" x14ac:dyDescent="0.25">
      <c r="A268" s="337">
        <v>501443</v>
      </c>
      <c r="B268" s="276">
        <v>1443</v>
      </c>
      <c r="C268" s="276">
        <v>200326</v>
      </c>
      <c r="D268" s="268" t="s">
        <v>894</v>
      </c>
      <c r="E268" s="268" t="s">
        <v>1278</v>
      </c>
      <c r="F268" s="268" t="s">
        <v>2649</v>
      </c>
      <c r="G268" s="268">
        <v>7</v>
      </c>
      <c r="H268" s="268" t="s">
        <v>2238</v>
      </c>
      <c r="I268" s="268" t="s">
        <v>2689</v>
      </c>
      <c r="J268" s="269">
        <v>373416</v>
      </c>
      <c r="K268" s="273">
        <f t="shared" si="34"/>
        <v>31118</v>
      </c>
      <c r="L268" s="272">
        <f t="shared" si="35"/>
        <v>12141.24</v>
      </c>
      <c r="M268" s="269">
        <f>500*12</f>
        <v>6000</v>
      </c>
      <c r="N268" s="273">
        <f t="shared" si="40"/>
        <v>129.60000000000002</v>
      </c>
      <c r="O268" s="273">
        <v>0</v>
      </c>
      <c r="P268" s="273">
        <f t="shared" si="36"/>
        <v>6534.7800000000007</v>
      </c>
      <c r="Q268" s="272">
        <f t="shared" si="37"/>
        <v>60084</v>
      </c>
      <c r="R268" s="273">
        <f t="shared" si="38"/>
        <v>67476.271200000003</v>
      </c>
      <c r="S268" s="273">
        <f t="shared" si="39"/>
        <v>2125.44</v>
      </c>
    </row>
    <row r="269" spans="1:21" s="270" customFormat="1" x14ac:dyDescent="0.25">
      <c r="A269" s="335" t="str">
        <f>CONCATENATE(50,B269)</f>
        <v>501443</v>
      </c>
      <c r="B269" s="276">
        <v>1443</v>
      </c>
      <c r="C269" s="276">
        <v>200377</v>
      </c>
      <c r="D269" s="268" t="s">
        <v>894</v>
      </c>
      <c r="E269" s="268" t="s">
        <v>1290</v>
      </c>
      <c r="F269" s="268" t="s">
        <v>2768</v>
      </c>
      <c r="G269" s="268">
        <v>7</v>
      </c>
      <c r="H269" s="268" t="s">
        <v>2664</v>
      </c>
      <c r="I269" s="268" t="s">
        <v>2689</v>
      </c>
      <c r="J269" s="269">
        <v>373416</v>
      </c>
      <c r="K269" s="273">
        <f t="shared" si="34"/>
        <v>31118</v>
      </c>
      <c r="L269" s="272">
        <f t="shared" si="35"/>
        <v>12141.24</v>
      </c>
      <c r="M269" s="269">
        <f>500*12</f>
        <v>6000</v>
      </c>
      <c r="N269" s="273">
        <f t="shared" si="40"/>
        <v>129.60000000000002</v>
      </c>
      <c r="O269" s="273">
        <v>0</v>
      </c>
      <c r="P269" s="273">
        <f t="shared" si="36"/>
        <v>6534.7800000000007</v>
      </c>
      <c r="Q269" s="272">
        <f t="shared" si="37"/>
        <v>60084</v>
      </c>
      <c r="R269" s="273">
        <f t="shared" si="38"/>
        <v>67476.271200000003</v>
      </c>
      <c r="S269" s="273">
        <f t="shared" si="39"/>
        <v>2125.44</v>
      </c>
    </row>
    <row r="270" spans="1:21" s="270" customFormat="1" x14ac:dyDescent="0.25">
      <c r="A270" s="335">
        <v>501443</v>
      </c>
      <c r="B270" s="271">
        <v>1443</v>
      </c>
      <c r="C270" s="271">
        <v>2817</v>
      </c>
      <c r="D270" s="268" t="s">
        <v>894</v>
      </c>
      <c r="E270" s="268" t="s">
        <v>1290</v>
      </c>
      <c r="F270" s="268" t="s">
        <v>2769</v>
      </c>
      <c r="G270" s="268">
        <v>8</v>
      </c>
      <c r="H270" s="268" t="s">
        <v>2770</v>
      </c>
      <c r="I270" s="268" t="s">
        <v>2689</v>
      </c>
      <c r="J270" s="272">
        <v>373416</v>
      </c>
      <c r="K270" s="272">
        <f t="shared" si="34"/>
        <v>31118</v>
      </c>
      <c r="L270" s="272">
        <f t="shared" si="35"/>
        <v>12141.24</v>
      </c>
      <c r="M270" s="269">
        <v>0</v>
      </c>
      <c r="N270" s="272">
        <f t="shared" si="40"/>
        <v>129.60000000000002</v>
      </c>
      <c r="O270" s="273">
        <v>0</v>
      </c>
      <c r="P270" s="273">
        <f t="shared" si="36"/>
        <v>6534.7800000000007</v>
      </c>
      <c r="Q270" s="272">
        <f t="shared" si="37"/>
        <v>60084</v>
      </c>
      <c r="R270" s="272">
        <f t="shared" si="38"/>
        <v>67476.271200000003</v>
      </c>
      <c r="S270" s="272">
        <f t="shared" si="39"/>
        <v>2125.44</v>
      </c>
    </row>
    <row r="271" spans="1:21" s="270" customFormat="1" x14ac:dyDescent="0.25">
      <c r="A271" s="337">
        <v>501443</v>
      </c>
      <c r="B271" s="276">
        <v>1443</v>
      </c>
      <c r="C271" s="276">
        <v>51855</v>
      </c>
      <c r="D271" s="268" t="s">
        <v>894</v>
      </c>
      <c r="E271" s="268" t="s">
        <v>1290</v>
      </c>
      <c r="F271" s="268" t="s">
        <v>894</v>
      </c>
      <c r="G271" s="268">
        <v>8</v>
      </c>
      <c r="H271" s="268" t="s">
        <v>2771</v>
      </c>
      <c r="I271" s="268" t="s">
        <v>2689</v>
      </c>
      <c r="J271" s="269">
        <v>373416</v>
      </c>
      <c r="K271" s="273">
        <f t="shared" si="34"/>
        <v>31118</v>
      </c>
      <c r="L271" s="272">
        <f t="shared" si="35"/>
        <v>12141.24</v>
      </c>
      <c r="M271" s="269">
        <f>500*12</f>
        <v>6000</v>
      </c>
      <c r="N271" s="273">
        <f t="shared" si="40"/>
        <v>129.60000000000002</v>
      </c>
      <c r="O271" s="273">
        <v>0</v>
      </c>
      <c r="P271" s="273">
        <f t="shared" si="36"/>
        <v>6534.7800000000007</v>
      </c>
      <c r="Q271" s="272">
        <f t="shared" si="37"/>
        <v>60084</v>
      </c>
      <c r="R271" s="273">
        <f t="shared" si="38"/>
        <v>67476.271200000003</v>
      </c>
      <c r="S271" s="273">
        <f t="shared" si="39"/>
        <v>2125.44</v>
      </c>
    </row>
    <row r="272" spans="1:21" s="270" customFormat="1" x14ac:dyDescent="0.25">
      <c r="A272" s="335" t="str">
        <f>CONCATENATE(50,B272)</f>
        <v>501443</v>
      </c>
      <c r="B272" s="271">
        <v>1443</v>
      </c>
      <c r="C272" s="271">
        <v>200329</v>
      </c>
      <c r="D272" s="268" t="s">
        <v>876</v>
      </c>
      <c r="E272" s="268" t="s">
        <v>1290</v>
      </c>
      <c r="F272" s="268" t="s">
        <v>2772</v>
      </c>
      <c r="G272" s="268">
        <v>8</v>
      </c>
      <c r="H272" s="268" t="s">
        <v>2773</v>
      </c>
      <c r="I272" s="268" t="s">
        <v>2774</v>
      </c>
      <c r="J272" s="272">
        <v>373416</v>
      </c>
      <c r="K272" s="272">
        <f t="shared" si="34"/>
        <v>31118</v>
      </c>
      <c r="L272" s="272">
        <f t="shared" si="35"/>
        <v>12141.24</v>
      </c>
      <c r="M272" s="269">
        <v>0</v>
      </c>
      <c r="N272" s="272">
        <f t="shared" si="40"/>
        <v>129.60000000000002</v>
      </c>
      <c r="O272" s="273">
        <v>0</v>
      </c>
      <c r="P272" s="273">
        <f t="shared" si="36"/>
        <v>6534.7800000000007</v>
      </c>
      <c r="Q272" s="272">
        <f t="shared" si="37"/>
        <v>60084</v>
      </c>
      <c r="R272" s="272">
        <f t="shared" si="38"/>
        <v>67476.271200000003</v>
      </c>
      <c r="S272" s="272">
        <f t="shared" si="39"/>
        <v>2125.44</v>
      </c>
    </row>
    <row r="273" spans="1:21" s="270" customFormat="1" x14ac:dyDescent="0.25">
      <c r="A273" s="335">
        <v>501442</v>
      </c>
      <c r="B273" s="271">
        <v>1442</v>
      </c>
      <c r="C273" s="271">
        <v>200397</v>
      </c>
      <c r="D273" s="268" t="s">
        <v>894</v>
      </c>
      <c r="E273" s="268" t="s">
        <v>1290</v>
      </c>
      <c r="F273" s="268" t="s">
        <v>2775</v>
      </c>
      <c r="G273" s="268">
        <v>8</v>
      </c>
      <c r="H273" s="268" t="s">
        <v>2776</v>
      </c>
      <c r="I273" s="268" t="s">
        <v>2777</v>
      </c>
      <c r="J273" s="272">
        <v>373416</v>
      </c>
      <c r="K273" s="272">
        <f t="shared" si="34"/>
        <v>31118</v>
      </c>
      <c r="L273" s="272">
        <f t="shared" si="35"/>
        <v>12141.24</v>
      </c>
      <c r="M273" s="269">
        <v>0</v>
      </c>
      <c r="N273" s="272">
        <f t="shared" si="40"/>
        <v>129.60000000000002</v>
      </c>
      <c r="O273" s="273">
        <v>0</v>
      </c>
      <c r="P273" s="273">
        <f t="shared" si="36"/>
        <v>6534.7800000000007</v>
      </c>
      <c r="Q273" s="272">
        <f t="shared" si="37"/>
        <v>60084</v>
      </c>
      <c r="R273" s="272">
        <f t="shared" si="38"/>
        <v>67476.271200000003</v>
      </c>
      <c r="S273" s="272">
        <f t="shared" si="39"/>
        <v>2125.44</v>
      </c>
    </row>
    <row r="274" spans="1:21" s="270" customFormat="1" x14ac:dyDescent="0.25">
      <c r="A274" s="335">
        <v>501502</v>
      </c>
      <c r="B274" s="271">
        <v>1503</v>
      </c>
      <c r="C274" s="271">
        <v>200497</v>
      </c>
      <c r="D274" s="268" t="s">
        <v>894</v>
      </c>
      <c r="E274" s="268" t="s">
        <v>1290</v>
      </c>
      <c r="F274" s="268" t="s">
        <v>2565</v>
      </c>
      <c r="G274" s="268">
        <v>8</v>
      </c>
      <c r="H274" s="268" t="s">
        <v>2778</v>
      </c>
      <c r="I274" s="268" t="s">
        <v>2779</v>
      </c>
      <c r="J274" s="272">
        <v>373416</v>
      </c>
      <c r="K274" s="272">
        <f t="shared" si="34"/>
        <v>31118</v>
      </c>
      <c r="L274" s="272">
        <f t="shared" si="35"/>
        <v>12141.24</v>
      </c>
      <c r="M274" s="269">
        <v>0</v>
      </c>
      <c r="N274" s="272">
        <f t="shared" si="40"/>
        <v>129.60000000000002</v>
      </c>
      <c r="O274" s="273">
        <v>0</v>
      </c>
      <c r="P274" s="273">
        <f t="shared" si="36"/>
        <v>6534.7800000000007</v>
      </c>
      <c r="Q274" s="272">
        <f t="shared" si="37"/>
        <v>60084</v>
      </c>
      <c r="R274" s="272">
        <f t="shared" si="38"/>
        <v>67476.271200000003</v>
      </c>
      <c r="S274" s="272">
        <f t="shared" si="39"/>
        <v>2125.44</v>
      </c>
    </row>
    <row r="275" spans="1:21" s="270" customFormat="1" x14ac:dyDescent="0.25">
      <c r="A275" s="335">
        <v>501503</v>
      </c>
      <c r="B275" s="271">
        <v>1503</v>
      </c>
      <c r="C275" s="271">
        <v>200537</v>
      </c>
      <c r="D275" s="268" t="s">
        <v>894</v>
      </c>
      <c r="E275" s="268" t="s">
        <v>1290</v>
      </c>
      <c r="F275" s="268" t="s">
        <v>2549</v>
      </c>
      <c r="G275" s="268">
        <v>8</v>
      </c>
      <c r="H275" s="268" t="s">
        <v>2780</v>
      </c>
      <c r="I275" s="268" t="s">
        <v>2781</v>
      </c>
      <c r="J275" s="272">
        <v>373416</v>
      </c>
      <c r="K275" s="272">
        <f t="shared" si="34"/>
        <v>31118</v>
      </c>
      <c r="L275" s="272">
        <f t="shared" si="35"/>
        <v>12141.24</v>
      </c>
      <c r="M275" s="269">
        <v>0</v>
      </c>
      <c r="N275" s="272">
        <f t="shared" si="40"/>
        <v>129.60000000000002</v>
      </c>
      <c r="O275" s="273">
        <v>0</v>
      </c>
      <c r="P275" s="273">
        <f t="shared" si="36"/>
        <v>6534.7800000000007</v>
      </c>
      <c r="Q275" s="272">
        <f t="shared" si="37"/>
        <v>60084</v>
      </c>
      <c r="R275" s="272">
        <f t="shared" si="38"/>
        <v>67476.271200000003</v>
      </c>
      <c r="S275" s="272">
        <f t="shared" si="39"/>
        <v>2125.44</v>
      </c>
    </row>
    <row r="276" spans="1:21" s="270" customFormat="1" x14ac:dyDescent="0.25">
      <c r="A276" s="335">
        <v>501443</v>
      </c>
      <c r="B276" s="271">
        <v>1443</v>
      </c>
      <c r="C276" s="271">
        <v>2930</v>
      </c>
      <c r="D276" s="268" t="s">
        <v>894</v>
      </c>
      <c r="E276" s="268" t="s">
        <v>1290</v>
      </c>
      <c r="F276" s="268" t="s">
        <v>2713</v>
      </c>
      <c r="G276" s="268">
        <v>9</v>
      </c>
      <c r="H276" s="268" t="s">
        <v>2782</v>
      </c>
      <c r="I276" s="268" t="s">
        <v>2712</v>
      </c>
      <c r="J276" s="272">
        <v>366444</v>
      </c>
      <c r="K276" s="272">
        <f t="shared" si="34"/>
        <v>30537</v>
      </c>
      <c r="L276" s="272">
        <f t="shared" si="35"/>
        <v>12141.24</v>
      </c>
      <c r="M276" s="269">
        <v>0</v>
      </c>
      <c r="N276" s="272">
        <f t="shared" si="40"/>
        <v>129.60000000000002</v>
      </c>
      <c r="O276" s="273">
        <v>0</v>
      </c>
      <c r="P276" s="273">
        <f t="shared" si="36"/>
        <v>6412.77</v>
      </c>
      <c r="Q276" s="272">
        <f t="shared" si="37"/>
        <v>60084</v>
      </c>
      <c r="R276" s="272">
        <f t="shared" si="38"/>
        <v>66216.430800000002</v>
      </c>
      <c r="S276" s="272">
        <f t="shared" si="39"/>
        <v>2125.44</v>
      </c>
    </row>
    <row r="277" spans="1:21" x14ac:dyDescent="0.25">
      <c r="A277" s="335">
        <v>501443</v>
      </c>
      <c r="B277" s="271">
        <v>1443</v>
      </c>
      <c r="C277" s="271">
        <v>8316</v>
      </c>
      <c r="D277" s="268" t="s">
        <v>876</v>
      </c>
      <c r="E277" s="268" t="s">
        <v>1290</v>
      </c>
      <c r="F277" s="268" t="s">
        <v>2783</v>
      </c>
      <c r="G277" s="268">
        <v>9</v>
      </c>
      <c r="H277" s="268" t="s">
        <v>2784</v>
      </c>
      <c r="I277" s="268" t="s">
        <v>2717</v>
      </c>
      <c r="J277" s="272">
        <v>366444</v>
      </c>
      <c r="K277" s="272">
        <f t="shared" si="34"/>
        <v>30537</v>
      </c>
      <c r="L277" s="272">
        <f t="shared" si="35"/>
        <v>12141.24</v>
      </c>
      <c r="M277" s="269">
        <v>0</v>
      </c>
      <c r="N277" s="272">
        <f t="shared" si="40"/>
        <v>129.60000000000002</v>
      </c>
      <c r="O277" s="273">
        <v>0</v>
      </c>
      <c r="P277" s="273">
        <f t="shared" si="36"/>
        <v>6412.77</v>
      </c>
      <c r="Q277" s="272">
        <f t="shared" si="37"/>
        <v>60084</v>
      </c>
      <c r="R277" s="272">
        <f t="shared" si="38"/>
        <v>66216.430800000002</v>
      </c>
      <c r="S277" s="272">
        <f t="shared" si="39"/>
        <v>2125.44</v>
      </c>
      <c r="T277" s="270"/>
      <c r="U277" s="270"/>
    </row>
    <row r="278" spans="1:21" s="270" customFormat="1" x14ac:dyDescent="0.25">
      <c r="A278" s="335">
        <v>501443</v>
      </c>
      <c r="B278" s="271">
        <v>1443</v>
      </c>
      <c r="C278" s="271">
        <v>19965</v>
      </c>
      <c r="D278" s="268" t="s">
        <v>876</v>
      </c>
      <c r="E278" s="268" t="s">
        <v>1290</v>
      </c>
      <c r="F278" s="268" t="s">
        <v>2785</v>
      </c>
      <c r="G278" s="268">
        <v>9</v>
      </c>
      <c r="H278" s="268" t="s">
        <v>2786</v>
      </c>
      <c r="I278" s="268" t="s">
        <v>2787</v>
      </c>
      <c r="J278" s="272">
        <v>366444</v>
      </c>
      <c r="K278" s="272">
        <f t="shared" si="34"/>
        <v>30537</v>
      </c>
      <c r="L278" s="272">
        <f t="shared" si="35"/>
        <v>12141.24</v>
      </c>
      <c r="M278" s="269">
        <v>0</v>
      </c>
      <c r="N278" s="272">
        <f t="shared" si="40"/>
        <v>129.60000000000002</v>
      </c>
      <c r="O278" s="273">
        <v>0</v>
      </c>
      <c r="P278" s="273">
        <f t="shared" si="36"/>
        <v>6412.77</v>
      </c>
      <c r="Q278" s="272">
        <f t="shared" si="37"/>
        <v>60084</v>
      </c>
      <c r="R278" s="272">
        <f t="shared" si="38"/>
        <v>66216.430800000002</v>
      </c>
      <c r="S278" s="272">
        <f t="shared" si="39"/>
        <v>2125.44</v>
      </c>
    </row>
    <row r="279" spans="1:21" s="270" customFormat="1" x14ac:dyDescent="0.25">
      <c r="A279" s="335">
        <v>501445</v>
      </c>
      <c r="B279" s="271">
        <v>1445</v>
      </c>
      <c r="C279" s="271">
        <v>51554</v>
      </c>
      <c r="D279" s="268" t="s">
        <v>894</v>
      </c>
      <c r="E279" s="268" t="s">
        <v>1290</v>
      </c>
      <c r="F279" s="268" t="s">
        <v>2788</v>
      </c>
      <c r="G279" s="268">
        <v>9</v>
      </c>
      <c r="H279" s="268" t="s">
        <v>2789</v>
      </c>
      <c r="I279" s="268" t="s">
        <v>2717</v>
      </c>
      <c r="J279" s="272">
        <v>366444</v>
      </c>
      <c r="K279" s="272">
        <f t="shared" si="34"/>
        <v>30537</v>
      </c>
      <c r="L279" s="272">
        <f t="shared" si="35"/>
        <v>12141.24</v>
      </c>
      <c r="M279" s="269">
        <v>0</v>
      </c>
      <c r="N279" s="272">
        <f t="shared" si="40"/>
        <v>129.60000000000002</v>
      </c>
      <c r="O279" s="273">
        <v>0</v>
      </c>
      <c r="P279" s="273">
        <f t="shared" si="36"/>
        <v>6412.77</v>
      </c>
      <c r="Q279" s="272">
        <f t="shared" si="37"/>
        <v>60084</v>
      </c>
      <c r="R279" s="272">
        <f t="shared" si="38"/>
        <v>66216.430800000002</v>
      </c>
      <c r="S279" s="272">
        <f t="shared" si="39"/>
        <v>2125.44</v>
      </c>
    </row>
    <row r="280" spans="1:21" s="270" customFormat="1" x14ac:dyDescent="0.25">
      <c r="A280" s="335">
        <v>501505</v>
      </c>
      <c r="B280" s="271">
        <v>1505</v>
      </c>
      <c r="C280" s="271">
        <v>51716</v>
      </c>
      <c r="D280" s="268" t="s">
        <v>894</v>
      </c>
      <c r="E280" s="268" t="s">
        <v>1290</v>
      </c>
      <c r="F280" s="268" t="s">
        <v>2790</v>
      </c>
      <c r="G280" s="268">
        <v>9</v>
      </c>
      <c r="H280" s="268" t="s">
        <v>2791</v>
      </c>
      <c r="I280" s="268" t="s">
        <v>2792</v>
      </c>
      <c r="J280" s="272">
        <v>366444</v>
      </c>
      <c r="K280" s="272">
        <f t="shared" si="34"/>
        <v>30537</v>
      </c>
      <c r="L280" s="272">
        <f t="shared" si="35"/>
        <v>12141.24</v>
      </c>
      <c r="M280" s="269">
        <v>0</v>
      </c>
      <c r="N280" s="272">
        <f t="shared" si="40"/>
        <v>129.60000000000002</v>
      </c>
      <c r="O280" s="273">
        <v>0</v>
      </c>
      <c r="P280" s="273">
        <f t="shared" si="36"/>
        <v>6412.77</v>
      </c>
      <c r="Q280" s="272">
        <f t="shared" si="37"/>
        <v>60084</v>
      </c>
      <c r="R280" s="272">
        <f t="shared" si="38"/>
        <v>66216.430800000002</v>
      </c>
      <c r="S280" s="272">
        <f t="shared" si="39"/>
        <v>2125.44</v>
      </c>
    </row>
    <row r="281" spans="1:21" s="270" customFormat="1" x14ac:dyDescent="0.25">
      <c r="A281" s="335">
        <v>501443</v>
      </c>
      <c r="B281" s="271">
        <v>1443</v>
      </c>
      <c r="C281" s="271">
        <v>51868</v>
      </c>
      <c r="D281" s="268" t="s">
        <v>894</v>
      </c>
      <c r="E281" s="268" t="s">
        <v>1290</v>
      </c>
      <c r="F281" s="268" t="s">
        <v>2793</v>
      </c>
      <c r="G281" s="268">
        <v>9</v>
      </c>
      <c r="H281" s="268" t="s">
        <v>2794</v>
      </c>
      <c r="I281" s="268" t="s">
        <v>2717</v>
      </c>
      <c r="J281" s="272">
        <v>366444</v>
      </c>
      <c r="K281" s="272">
        <f t="shared" si="34"/>
        <v>30537</v>
      </c>
      <c r="L281" s="272">
        <f t="shared" si="35"/>
        <v>12141.24</v>
      </c>
      <c r="M281" s="269">
        <v>0</v>
      </c>
      <c r="N281" s="272">
        <f t="shared" si="40"/>
        <v>129.60000000000002</v>
      </c>
      <c r="O281" s="273">
        <v>0</v>
      </c>
      <c r="P281" s="273">
        <f t="shared" si="36"/>
        <v>6412.77</v>
      </c>
      <c r="Q281" s="272">
        <f t="shared" si="37"/>
        <v>60084</v>
      </c>
      <c r="R281" s="272">
        <f t="shared" si="38"/>
        <v>66216.430800000002</v>
      </c>
      <c r="S281" s="272">
        <f t="shared" si="39"/>
        <v>2125.44</v>
      </c>
    </row>
    <row r="282" spans="1:21" s="270" customFormat="1" x14ac:dyDescent="0.25">
      <c r="A282" s="335">
        <v>501443</v>
      </c>
      <c r="B282" s="271">
        <v>1443</v>
      </c>
      <c r="C282" s="271">
        <v>58861</v>
      </c>
      <c r="D282" s="268" t="s">
        <v>894</v>
      </c>
      <c r="E282" s="268" t="s">
        <v>1290</v>
      </c>
      <c r="F282" s="268" t="s">
        <v>2795</v>
      </c>
      <c r="G282" s="268">
        <v>9</v>
      </c>
      <c r="H282" s="268" t="s">
        <v>2796</v>
      </c>
      <c r="I282" s="268" t="s">
        <v>2712</v>
      </c>
      <c r="J282" s="272">
        <v>366444</v>
      </c>
      <c r="K282" s="272">
        <f t="shared" si="34"/>
        <v>30537</v>
      </c>
      <c r="L282" s="272">
        <f t="shared" si="35"/>
        <v>12141.24</v>
      </c>
      <c r="M282" s="269">
        <v>0</v>
      </c>
      <c r="N282" s="272">
        <f t="shared" si="40"/>
        <v>129.60000000000002</v>
      </c>
      <c r="O282" s="273">
        <v>0</v>
      </c>
      <c r="P282" s="273">
        <f t="shared" si="36"/>
        <v>6412.77</v>
      </c>
      <c r="Q282" s="272">
        <f t="shared" si="37"/>
        <v>60084</v>
      </c>
      <c r="R282" s="272">
        <f t="shared" si="38"/>
        <v>66216.430800000002</v>
      </c>
      <c r="S282" s="272">
        <f t="shared" si="39"/>
        <v>2125.44</v>
      </c>
    </row>
    <row r="283" spans="1:21" s="270" customFormat="1" x14ac:dyDescent="0.25">
      <c r="A283" s="335">
        <v>501443</v>
      </c>
      <c r="B283" s="271">
        <v>1443</v>
      </c>
      <c r="C283" s="271">
        <v>83577</v>
      </c>
      <c r="D283" s="268" t="s">
        <v>894</v>
      </c>
      <c r="E283" s="268" t="s">
        <v>1290</v>
      </c>
      <c r="F283" s="268" t="s">
        <v>2797</v>
      </c>
      <c r="G283" s="268">
        <v>9</v>
      </c>
      <c r="H283" s="268" t="s">
        <v>2798</v>
      </c>
      <c r="I283" s="268" t="s">
        <v>2712</v>
      </c>
      <c r="J283" s="272">
        <v>366444</v>
      </c>
      <c r="K283" s="272">
        <f t="shared" si="34"/>
        <v>30537</v>
      </c>
      <c r="L283" s="272">
        <f t="shared" si="35"/>
        <v>12141.24</v>
      </c>
      <c r="M283" s="269">
        <v>0</v>
      </c>
      <c r="N283" s="272">
        <f t="shared" si="40"/>
        <v>129.60000000000002</v>
      </c>
      <c r="O283" s="273">
        <v>0</v>
      </c>
      <c r="P283" s="273">
        <f t="shared" si="36"/>
        <v>6412.77</v>
      </c>
      <c r="Q283" s="272">
        <f t="shared" si="37"/>
        <v>60084</v>
      </c>
      <c r="R283" s="272">
        <f t="shared" si="38"/>
        <v>66216.430800000002</v>
      </c>
      <c r="S283" s="272">
        <f t="shared" si="39"/>
        <v>2125.44</v>
      </c>
    </row>
    <row r="284" spans="1:21" s="270" customFormat="1" x14ac:dyDescent="0.25">
      <c r="A284" s="335">
        <v>501406</v>
      </c>
      <c r="B284" s="271">
        <v>1406</v>
      </c>
      <c r="C284" s="271">
        <v>92186</v>
      </c>
      <c r="D284" s="268" t="s">
        <v>876</v>
      </c>
      <c r="E284" s="268" t="s">
        <v>1290</v>
      </c>
      <c r="F284" s="268" t="s">
        <v>2799</v>
      </c>
      <c r="G284" s="268">
        <v>9</v>
      </c>
      <c r="H284" s="268" t="s">
        <v>2244</v>
      </c>
      <c r="I284" s="268" t="s">
        <v>2712</v>
      </c>
      <c r="J284" s="272">
        <v>366444</v>
      </c>
      <c r="K284" s="272">
        <f t="shared" si="34"/>
        <v>30537</v>
      </c>
      <c r="L284" s="272">
        <f t="shared" si="35"/>
        <v>12141.24</v>
      </c>
      <c r="M284" s="269">
        <v>0</v>
      </c>
      <c r="N284" s="272">
        <f t="shared" si="40"/>
        <v>129.60000000000002</v>
      </c>
      <c r="O284" s="273">
        <v>0</v>
      </c>
      <c r="P284" s="273">
        <f t="shared" si="36"/>
        <v>6412.77</v>
      </c>
      <c r="Q284" s="272">
        <f t="shared" si="37"/>
        <v>60084</v>
      </c>
      <c r="R284" s="272">
        <f t="shared" si="38"/>
        <v>66216.430800000002</v>
      </c>
      <c r="S284" s="272">
        <f t="shared" si="39"/>
        <v>2125.44</v>
      </c>
    </row>
    <row r="285" spans="1:21" s="270" customFormat="1" x14ac:dyDescent="0.25">
      <c r="A285" s="335">
        <v>501455</v>
      </c>
      <c r="B285" s="271">
        <v>1455</v>
      </c>
      <c r="C285" s="271">
        <v>97466</v>
      </c>
      <c r="D285" s="268" t="s">
        <v>894</v>
      </c>
      <c r="E285" s="268" t="s">
        <v>1290</v>
      </c>
      <c r="F285" s="268" t="s">
        <v>538</v>
      </c>
      <c r="G285" s="268">
        <v>9</v>
      </c>
      <c r="H285" s="268" t="s">
        <v>2800</v>
      </c>
      <c r="I285" s="268" t="s">
        <v>2801</v>
      </c>
      <c r="J285" s="272">
        <v>366444</v>
      </c>
      <c r="K285" s="272">
        <f t="shared" si="34"/>
        <v>30537</v>
      </c>
      <c r="L285" s="272">
        <f t="shared" si="35"/>
        <v>12141.24</v>
      </c>
      <c r="M285" s="269">
        <v>0</v>
      </c>
      <c r="N285" s="272">
        <f t="shared" si="40"/>
        <v>129.60000000000002</v>
      </c>
      <c r="O285" s="273">
        <v>0</v>
      </c>
      <c r="P285" s="273">
        <f t="shared" si="36"/>
        <v>6412.77</v>
      </c>
      <c r="Q285" s="272">
        <f t="shared" si="37"/>
        <v>60084</v>
      </c>
      <c r="R285" s="272">
        <f t="shared" si="38"/>
        <v>66216.430800000002</v>
      </c>
      <c r="S285" s="272">
        <f t="shared" si="39"/>
        <v>2125.44</v>
      </c>
    </row>
    <row r="286" spans="1:21" s="270" customFormat="1" x14ac:dyDescent="0.25">
      <c r="A286" s="335">
        <v>501455</v>
      </c>
      <c r="B286" s="271">
        <v>1455</v>
      </c>
      <c r="C286" s="271">
        <v>97547</v>
      </c>
      <c r="D286" s="268" t="s">
        <v>894</v>
      </c>
      <c r="E286" s="268" t="s">
        <v>1278</v>
      </c>
      <c r="F286" s="268" t="s">
        <v>2802</v>
      </c>
      <c r="G286" s="268">
        <v>9</v>
      </c>
      <c r="H286" s="268" t="s">
        <v>2803</v>
      </c>
      <c r="I286" s="268" t="s">
        <v>2804</v>
      </c>
      <c r="J286" s="272">
        <v>366444</v>
      </c>
      <c r="K286" s="272">
        <f t="shared" si="34"/>
        <v>30537</v>
      </c>
      <c r="L286" s="272">
        <f t="shared" si="35"/>
        <v>12141.24</v>
      </c>
      <c r="M286" s="269">
        <v>0</v>
      </c>
      <c r="N286" s="272">
        <f t="shared" si="40"/>
        <v>129.60000000000002</v>
      </c>
      <c r="O286" s="273">
        <v>0</v>
      </c>
      <c r="P286" s="273">
        <f t="shared" si="36"/>
        <v>6412.77</v>
      </c>
      <c r="Q286" s="272">
        <f t="shared" si="37"/>
        <v>60084</v>
      </c>
      <c r="R286" s="272">
        <f t="shared" si="38"/>
        <v>66216.430800000002</v>
      </c>
      <c r="S286" s="272">
        <f t="shared" si="39"/>
        <v>2125.44</v>
      </c>
    </row>
    <row r="287" spans="1:21" s="270" customFormat="1" x14ac:dyDescent="0.25">
      <c r="A287" s="335">
        <v>501443</v>
      </c>
      <c r="B287" s="271">
        <v>1443</v>
      </c>
      <c r="C287" s="271">
        <v>200046</v>
      </c>
      <c r="D287" s="268" t="s">
        <v>894</v>
      </c>
      <c r="E287" s="268" t="s">
        <v>1278</v>
      </c>
      <c r="F287" s="268" t="s">
        <v>1304</v>
      </c>
      <c r="G287" s="268">
        <v>9</v>
      </c>
      <c r="H287" s="268" t="s">
        <v>2805</v>
      </c>
      <c r="I287" s="268" t="s">
        <v>2717</v>
      </c>
      <c r="J287" s="272">
        <v>366444</v>
      </c>
      <c r="K287" s="272">
        <f t="shared" si="34"/>
        <v>30537</v>
      </c>
      <c r="L287" s="272">
        <f t="shared" si="35"/>
        <v>12141.24</v>
      </c>
      <c r="M287" s="269">
        <v>0</v>
      </c>
      <c r="N287" s="272">
        <f t="shared" si="40"/>
        <v>129.60000000000002</v>
      </c>
      <c r="O287" s="273">
        <v>0</v>
      </c>
      <c r="P287" s="273">
        <f t="shared" si="36"/>
        <v>6412.77</v>
      </c>
      <c r="Q287" s="272">
        <f t="shared" si="37"/>
        <v>60084</v>
      </c>
      <c r="R287" s="272">
        <f t="shared" si="38"/>
        <v>66216.430800000002</v>
      </c>
      <c r="S287" s="272">
        <f t="shared" si="39"/>
        <v>2125.44</v>
      </c>
    </row>
    <row r="288" spans="1:21" s="270" customFormat="1" x14ac:dyDescent="0.25">
      <c r="A288" s="335">
        <v>110821</v>
      </c>
      <c r="B288" s="271">
        <v>1108</v>
      </c>
      <c r="C288" s="271">
        <v>200065</v>
      </c>
      <c r="D288" s="268" t="s">
        <v>894</v>
      </c>
      <c r="E288" s="268" t="s">
        <v>1278</v>
      </c>
      <c r="F288" s="268" t="s">
        <v>1290</v>
      </c>
      <c r="G288" s="268">
        <v>9</v>
      </c>
      <c r="H288" s="268" t="s">
        <v>2295</v>
      </c>
      <c r="I288" s="268" t="s">
        <v>2806</v>
      </c>
      <c r="J288" s="272">
        <v>366444</v>
      </c>
      <c r="K288" s="272">
        <f t="shared" si="34"/>
        <v>30537</v>
      </c>
      <c r="L288" s="272">
        <f t="shared" si="35"/>
        <v>12141.24</v>
      </c>
      <c r="M288" s="269">
        <v>0</v>
      </c>
      <c r="N288" s="272">
        <f t="shared" si="40"/>
        <v>129.60000000000002</v>
      </c>
      <c r="O288" s="273">
        <v>0</v>
      </c>
      <c r="P288" s="273">
        <f t="shared" si="36"/>
        <v>6412.77</v>
      </c>
      <c r="Q288" s="272">
        <f t="shared" si="37"/>
        <v>60084</v>
      </c>
      <c r="R288" s="272">
        <f t="shared" si="38"/>
        <v>66216.430800000002</v>
      </c>
      <c r="S288" s="272">
        <f t="shared" si="39"/>
        <v>2125.44</v>
      </c>
    </row>
    <row r="289" spans="1:21" s="270" customFormat="1" x14ac:dyDescent="0.25">
      <c r="A289" s="335">
        <v>501407</v>
      </c>
      <c r="B289" s="271">
        <v>1407</v>
      </c>
      <c r="C289" s="271">
        <v>200205</v>
      </c>
      <c r="D289" s="268" t="s">
        <v>894</v>
      </c>
      <c r="E289" s="268" t="s">
        <v>1290</v>
      </c>
      <c r="F289" s="268" t="s">
        <v>2807</v>
      </c>
      <c r="G289" s="268">
        <v>9</v>
      </c>
      <c r="H289" s="268" t="s">
        <v>2808</v>
      </c>
      <c r="I289" s="268" t="s">
        <v>2809</v>
      </c>
      <c r="J289" s="272">
        <v>366444</v>
      </c>
      <c r="K289" s="272">
        <f t="shared" si="34"/>
        <v>30537</v>
      </c>
      <c r="L289" s="272">
        <f t="shared" si="35"/>
        <v>12141.24</v>
      </c>
      <c r="M289" s="269">
        <v>0</v>
      </c>
      <c r="N289" s="272">
        <f t="shared" si="40"/>
        <v>129.60000000000002</v>
      </c>
      <c r="O289" s="273">
        <v>0</v>
      </c>
      <c r="P289" s="273">
        <f t="shared" si="36"/>
        <v>6412.77</v>
      </c>
      <c r="Q289" s="272">
        <f t="shared" si="37"/>
        <v>60084</v>
      </c>
      <c r="R289" s="272">
        <f t="shared" si="38"/>
        <v>66216.430800000002</v>
      </c>
      <c r="S289" s="272">
        <f t="shared" si="39"/>
        <v>2125.44</v>
      </c>
    </row>
    <row r="290" spans="1:21" s="270" customFormat="1" x14ac:dyDescent="0.25">
      <c r="A290" s="335">
        <v>501407</v>
      </c>
      <c r="B290" s="271">
        <v>1407</v>
      </c>
      <c r="C290" s="271">
        <v>200206</v>
      </c>
      <c r="D290" s="268" t="s">
        <v>894</v>
      </c>
      <c r="E290" s="268" t="s">
        <v>1278</v>
      </c>
      <c r="F290" s="268" t="s">
        <v>2810</v>
      </c>
      <c r="G290" s="268">
        <v>9</v>
      </c>
      <c r="H290" s="268" t="s">
        <v>2811</v>
      </c>
      <c r="I290" s="268" t="s">
        <v>2809</v>
      </c>
      <c r="J290" s="272">
        <v>366444</v>
      </c>
      <c r="K290" s="272">
        <f t="shared" si="34"/>
        <v>30537</v>
      </c>
      <c r="L290" s="272">
        <f t="shared" si="35"/>
        <v>12141.24</v>
      </c>
      <c r="M290" s="269">
        <v>0</v>
      </c>
      <c r="N290" s="272">
        <f t="shared" si="40"/>
        <v>129.60000000000002</v>
      </c>
      <c r="O290" s="273">
        <v>0</v>
      </c>
      <c r="P290" s="273">
        <f t="shared" si="36"/>
        <v>6412.77</v>
      </c>
      <c r="Q290" s="272">
        <f t="shared" si="37"/>
        <v>60084</v>
      </c>
      <c r="R290" s="272">
        <f t="shared" si="38"/>
        <v>66216.430800000002</v>
      </c>
      <c r="S290" s="272">
        <f t="shared" si="39"/>
        <v>2125.44</v>
      </c>
    </row>
    <row r="291" spans="1:21" s="270" customFormat="1" x14ac:dyDescent="0.25">
      <c r="A291" s="335">
        <v>501402</v>
      </c>
      <c r="B291" s="271">
        <v>1402</v>
      </c>
      <c r="C291" s="271">
        <v>97158</v>
      </c>
      <c r="D291" s="268" t="s">
        <v>894</v>
      </c>
      <c r="E291" s="268" t="s">
        <v>1290</v>
      </c>
      <c r="F291" s="268" t="s">
        <v>2812</v>
      </c>
      <c r="G291" s="268">
        <v>9</v>
      </c>
      <c r="H291" s="268" t="s">
        <v>2813</v>
      </c>
      <c r="I291" s="268" t="s">
        <v>2801</v>
      </c>
      <c r="J291" s="272">
        <v>359004</v>
      </c>
      <c r="K291" s="272">
        <f t="shared" si="34"/>
        <v>29917</v>
      </c>
      <c r="L291" s="272">
        <f t="shared" si="35"/>
        <v>12141.24</v>
      </c>
      <c r="M291" s="269">
        <v>0</v>
      </c>
      <c r="N291" s="272">
        <f t="shared" si="40"/>
        <v>129.60000000000002</v>
      </c>
      <c r="O291" s="273">
        <v>0</v>
      </c>
      <c r="P291" s="273">
        <f t="shared" si="36"/>
        <v>6282.5700000000006</v>
      </c>
      <c r="Q291" s="272">
        <f t="shared" si="37"/>
        <v>60084</v>
      </c>
      <c r="R291" s="272">
        <f t="shared" si="38"/>
        <v>64872.022799999999</v>
      </c>
      <c r="S291" s="272">
        <f t="shared" si="39"/>
        <v>2125.44</v>
      </c>
    </row>
    <row r="292" spans="1:21" s="270" customFormat="1" x14ac:dyDescent="0.25">
      <c r="A292" s="335">
        <v>501443</v>
      </c>
      <c r="B292" s="271">
        <v>1443</v>
      </c>
      <c r="C292" s="271">
        <v>97453</v>
      </c>
      <c r="D292" s="268" t="s">
        <v>894</v>
      </c>
      <c r="E292" s="268" t="s">
        <v>1278</v>
      </c>
      <c r="F292" s="268" t="s">
        <v>1293</v>
      </c>
      <c r="G292" s="268">
        <v>9</v>
      </c>
      <c r="H292" s="268" t="s">
        <v>2814</v>
      </c>
      <c r="I292" s="268" t="s">
        <v>2801</v>
      </c>
      <c r="J292" s="272">
        <v>359004</v>
      </c>
      <c r="K292" s="272">
        <f t="shared" si="34"/>
        <v>29917</v>
      </c>
      <c r="L292" s="272">
        <f t="shared" si="35"/>
        <v>12141.24</v>
      </c>
      <c r="M292" s="269">
        <v>0</v>
      </c>
      <c r="N292" s="272">
        <f t="shared" si="40"/>
        <v>129.60000000000002</v>
      </c>
      <c r="O292" s="273">
        <v>0</v>
      </c>
      <c r="P292" s="273">
        <f t="shared" si="36"/>
        <v>6282.5700000000006</v>
      </c>
      <c r="Q292" s="272">
        <f t="shared" si="37"/>
        <v>60084</v>
      </c>
      <c r="R292" s="272">
        <f t="shared" si="38"/>
        <v>64872.022799999999</v>
      </c>
      <c r="S292" s="272">
        <f t="shared" si="39"/>
        <v>2125.44</v>
      </c>
    </row>
    <row r="293" spans="1:21" s="270" customFormat="1" x14ac:dyDescent="0.25">
      <c r="A293" s="335">
        <v>501305</v>
      </c>
      <c r="B293" s="271">
        <v>1305</v>
      </c>
      <c r="C293" s="271">
        <v>97482</v>
      </c>
      <c r="D293" s="268" t="s">
        <v>894</v>
      </c>
      <c r="E293" s="268" t="s">
        <v>1290</v>
      </c>
      <c r="F293" s="268" t="s">
        <v>2815</v>
      </c>
      <c r="G293" s="268">
        <v>9</v>
      </c>
      <c r="H293" s="268" t="s">
        <v>2816</v>
      </c>
      <c r="I293" s="268" t="s">
        <v>2801</v>
      </c>
      <c r="J293" s="272">
        <v>359004</v>
      </c>
      <c r="K293" s="272">
        <f t="shared" si="34"/>
        <v>29917</v>
      </c>
      <c r="L293" s="272">
        <f t="shared" si="35"/>
        <v>12141.24</v>
      </c>
      <c r="M293" s="269">
        <v>0</v>
      </c>
      <c r="N293" s="272">
        <f t="shared" si="40"/>
        <v>129.60000000000002</v>
      </c>
      <c r="O293" s="273">
        <v>0</v>
      </c>
      <c r="P293" s="273">
        <f t="shared" si="36"/>
        <v>6282.5700000000006</v>
      </c>
      <c r="Q293" s="272">
        <f t="shared" si="37"/>
        <v>60084</v>
      </c>
      <c r="R293" s="272">
        <f t="shared" si="38"/>
        <v>64872.022799999999</v>
      </c>
      <c r="S293" s="272">
        <f t="shared" si="39"/>
        <v>2125.44</v>
      </c>
      <c r="T293" s="277"/>
      <c r="U293" s="277"/>
    </row>
    <row r="294" spans="1:21" s="270" customFormat="1" x14ac:dyDescent="0.25">
      <c r="A294" s="335">
        <v>501443</v>
      </c>
      <c r="B294" s="271">
        <v>1443</v>
      </c>
      <c r="C294" s="271">
        <v>97505</v>
      </c>
      <c r="D294" s="268" t="s">
        <v>894</v>
      </c>
      <c r="E294" s="268" t="s">
        <v>1290</v>
      </c>
      <c r="F294" s="268" t="s">
        <v>2487</v>
      </c>
      <c r="G294" s="268">
        <v>9</v>
      </c>
      <c r="H294" s="268" t="s">
        <v>2817</v>
      </c>
      <c r="I294" s="268" t="s">
        <v>2801</v>
      </c>
      <c r="J294" s="272">
        <v>359004</v>
      </c>
      <c r="K294" s="272">
        <f t="shared" si="34"/>
        <v>29917</v>
      </c>
      <c r="L294" s="272">
        <f t="shared" si="35"/>
        <v>12141.24</v>
      </c>
      <c r="M294" s="269">
        <v>0</v>
      </c>
      <c r="N294" s="272">
        <f t="shared" si="40"/>
        <v>129.60000000000002</v>
      </c>
      <c r="O294" s="273">
        <v>0</v>
      </c>
      <c r="P294" s="273">
        <f t="shared" si="36"/>
        <v>6282.5700000000006</v>
      </c>
      <c r="Q294" s="272">
        <f t="shared" si="37"/>
        <v>60084</v>
      </c>
      <c r="R294" s="272">
        <f t="shared" si="38"/>
        <v>64872.022799999999</v>
      </c>
      <c r="S294" s="272">
        <f t="shared" si="39"/>
        <v>2125.44</v>
      </c>
    </row>
    <row r="295" spans="1:21" s="270" customFormat="1" x14ac:dyDescent="0.25">
      <c r="A295" s="335" t="str">
        <f>CONCATENATE(50,B295)</f>
        <v>501445</v>
      </c>
      <c r="B295" s="271">
        <v>1445</v>
      </c>
      <c r="C295" s="271">
        <v>200323</v>
      </c>
      <c r="D295" s="268" t="s">
        <v>894</v>
      </c>
      <c r="E295" s="268" t="s">
        <v>1278</v>
      </c>
      <c r="F295" s="268" t="s">
        <v>1290</v>
      </c>
      <c r="G295" s="268">
        <v>9</v>
      </c>
      <c r="H295" s="268" t="s">
        <v>2818</v>
      </c>
      <c r="I295" s="268" t="s">
        <v>2717</v>
      </c>
      <c r="J295" s="272">
        <v>351564</v>
      </c>
      <c r="K295" s="272">
        <f t="shared" si="34"/>
        <v>29297</v>
      </c>
      <c r="L295" s="272">
        <f t="shared" si="35"/>
        <v>12141.24</v>
      </c>
      <c r="M295" s="269">
        <v>0</v>
      </c>
      <c r="N295" s="272">
        <f t="shared" si="40"/>
        <v>129.60000000000002</v>
      </c>
      <c r="O295" s="273">
        <v>0</v>
      </c>
      <c r="P295" s="273">
        <f t="shared" si="36"/>
        <v>6152.3700000000008</v>
      </c>
      <c r="Q295" s="272">
        <f t="shared" si="37"/>
        <v>60084</v>
      </c>
      <c r="R295" s="272">
        <f t="shared" si="38"/>
        <v>63527.614800000003</v>
      </c>
      <c r="S295" s="272">
        <f t="shared" si="39"/>
        <v>2125.44</v>
      </c>
    </row>
    <row r="296" spans="1:21" s="270" customFormat="1" x14ac:dyDescent="0.25">
      <c r="A296" s="335" t="str">
        <f>CONCATENATE(50,B296)</f>
        <v>501406</v>
      </c>
      <c r="B296" s="271">
        <v>1406</v>
      </c>
      <c r="C296" s="271">
        <v>200328</v>
      </c>
      <c r="D296" s="268" t="s">
        <v>894</v>
      </c>
      <c r="E296" s="268" t="s">
        <v>1290</v>
      </c>
      <c r="F296" s="268" t="s">
        <v>2211</v>
      </c>
      <c r="G296" s="268">
        <v>9</v>
      </c>
      <c r="H296" s="268" t="s">
        <v>2819</v>
      </c>
      <c r="I296" s="268" t="s">
        <v>2717</v>
      </c>
      <c r="J296" s="272">
        <v>351564</v>
      </c>
      <c r="K296" s="272">
        <f t="shared" si="34"/>
        <v>29297</v>
      </c>
      <c r="L296" s="272">
        <f t="shared" si="35"/>
        <v>12141.24</v>
      </c>
      <c r="M296" s="269">
        <v>0</v>
      </c>
      <c r="N296" s="272">
        <f t="shared" si="40"/>
        <v>129.60000000000002</v>
      </c>
      <c r="O296" s="273">
        <v>0</v>
      </c>
      <c r="P296" s="273">
        <f t="shared" si="36"/>
        <v>6152.3700000000008</v>
      </c>
      <c r="Q296" s="272">
        <f t="shared" si="37"/>
        <v>60084</v>
      </c>
      <c r="R296" s="272">
        <f t="shared" si="38"/>
        <v>63527.614800000003</v>
      </c>
      <c r="S296" s="272">
        <f t="shared" si="39"/>
        <v>2125.44</v>
      </c>
    </row>
    <row r="297" spans="1:21" s="270" customFormat="1" x14ac:dyDescent="0.25">
      <c r="A297" s="335" t="str">
        <f t="shared" ref="A297:A298" si="41">CONCATENATE(50,B297)</f>
        <v>501406</v>
      </c>
      <c r="B297" s="271">
        <v>1406</v>
      </c>
      <c r="C297" s="271">
        <v>200337</v>
      </c>
      <c r="D297" s="268" t="s">
        <v>894</v>
      </c>
      <c r="E297" s="268" t="s">
        <v>1290</v>
      </c>
      <c r="F297" s="268" t="s">
        <v>2820</v>
      </c>
      <c r="G297" s="268">
        <v>9</v>
      </c>
      <c r="H297" s="268" t="s">
        <v>2821</v>
      </c>
      <c r="I297" s="268" t="s">
        <v>2717</v>
      </c>
      <c r="J297" s="272">
        <v>351564</v>
      </c>
      <c r="K297" s="272">
        <f t="shared" si="34"/>
        <v>29297</v>
      </c>
      <c r="L297" s="272">
        <f t="shared" si="35"/>
        <v>12141.24</v>
      </c>
      <c r="M297" s="269">
        <v>0</v>
      </c>
      <c r="N297" s="272">
        <f t="shared" si="40"/>
        <v>129.60000000000002</v>
      </c>
      <c r="O297" s="273">
        <v>0</v>
      </c>
      <c r="P297" s="273">
        <f t="shared" si="36"/>
        <v>6152.3700000000008</v>
      </c>
      <c r="Q297" s="272">
        <f t="shared" si="37"/>
        <v>60084</v>
      </c>
      <c r="R297" s="272">
        <f t="shared" si="38"/>
        <v>63527.614800000003</v>
      </c>
      <c r="S297" s="272">
        <f t="shared" si="39"/>
        <v>2125.44</v>
      </c>
      <c r="T297" s="277"/>
      <c r="U297" s="277"/>
    </row>
    <row r="298" spans="1:21" s="270" customFormat="1" x14ac:dyDescent="0.25">
      <c r="A298" s="335" t="str">
        <f t="shared" si="41"/>
        <v>501406</v>
      </c>
      <c r="B298" s="271">
        <v>1406</v>
      </c>
      <c r="C298" s="271">
        <v>200341</v>
      </c>
      <c r="D298" s="268" t="s">
        <v>894</v>
      </c>
      <c r="E298" s="268" t="s">
        <v>1278</v>
      </c>
      <c r="F298" s="268" t="s">
        <v>2822</v>
      </c>
      <c r="G298" s="268">
        <v>9</v>
      </c>
      <c r="H298" s="268" t="s">
        <v>2823</v>
      </c>
      <c r="I298" s="268" t="s">
        <v>2717</v>
      </c>
      <c r="J298" s="272">
        <v>351564</v>
      </c>
      <c r="K298" s="272">
        <f t="shared" si="34"/>
        <v>29297</v>
      </c>
      <c r="L298" s="272">
        <f t="shared" si="35"/>
        <v>12141.24</v>
      </c>
      <c r="M298" s="269">
        <v>0</v>
      </c>
      <c r="N298" s="272">
        <f t="shared" si="40"/>
        <v>129.60000000000002</v>
      </c>
      <c r="O298" s="273">
        <v>0</v>
      </c>
      <c r="P298" s="273">
        <f t="shared" si="36"/>
        <v>6152.3700000000008</v>
      </c>
      <c r="Q298" s="272">
        <f t="shared" si="37"/>
        <v>60084</v>
      </c>
      <c r="R298" s="272">
        <f t="shared" si="38"/>
        <v>63527.614800000003</v>
      </c>
      <c r="S298" s="272">
        <f t="shared" si="39"/>
        <v>2125.44</v>
      </c>
    </row>
    <row r="299" spans="1:21" s="270" customFormat="1" x14ac:dyDescent="0.25">
      <c r="A299" s="335">
        <v>501406</v>
      </c>
      <c r="B299" s="271">
        <v>1406</v>
      </c>
      <c r="C299" s="271">
        <v>200344</v>
      </c>
      <c r="D299" s="268" t="s">
        <v>894</v>
      </c>
      <c r="E299" s="268" t="s">
        <v>1290</v>
      </c>
      <c r="F299" s="268" t="s">
        <v>2824</v>
      </c>
      <c r="G299" s="268">
        <v>9</v>
      </c>
      <c r="H299" s="268" t="s">
        <v>2537</v>
      </c>
      <c r="I299" s="268" t="s">
        <v>2825</v>
      </c>
      <c r="J299" s="272">
        <v>351564</v>
      </c>
      <c r="K299" s="272">
        <f t="shared" si="34"/>
        <v>29297</v>
      </c>
      <c r="L299" s="272">
        <f t="shared" si="35"/>
        <v>12141.24</v>
      </c>
      <c r="M299" s="269">
        <v>0</v>
      </c>
      <c r="N299" s="272">
        <f t="shared" si="40"/>
        <v>129.60000000000002</v>
      </c>
      <c r="O299" s="273">
        <v>0</v>
      </c>
      <c r="P299" s="273">
        <f t="shared" si="36"/>
        <v>6152.3700000000008</v>
      </c>
      <c r="Q299" s="272">
        <f t="shared" si="37"/>
        <v>60084</v>
      </c>
      <c r="R299" s="272">
        <f t="shared" si="38"/>
        <v>63527.614800000003</v>
      </c>
      <c r="S299" s="272">
        <f t="shared" si="39"/>
        <v>2125.44</v>
      </c>
    </row>
    <row r="300" spans="1:21" s="270" customFormat="1" x14ac:dyDescent="0.25">
      <c r="A300" s="335" t="str">
        <f>CONCATENATE(50,B300)</f>
        <v>501406</v>
      </c>
      <c r="B300" s="271">
        <v>1406</v>
      </c>
      <c r="C300" s="271">
        <v>200346</v>
      </c>
      <c r="D300" s="268" t="s">
        <v>894</v>
      </c>
      <c r="E300" s="268" t="s">
        <v>1290</v>
      </c>
      <c r="F300" s="268" t="s">
        <v>2358</v>
      </c>
      <c r="G300" s="268">
        <v>9</v>
      </c>
      <c r="H300" s="268" t="s">
        <v>2826</v>
      </c>
      <c r="I300" s="268" t="s">
        <v>2717</v>
      </c>
      <c r="J300" s="272">
        <v>351564</v>
      </c>
      <c r="K300" s="272">
        <f t="shared" si="34"/>
        <v>29297</v>
      </c>
      <c r="L300" s="272">
        <f t="shared" si="35"/>
        <v>12141.24</v>
      </c>
      <c r="M300" s="269">
        <v>0</v>
      </c>
      <c r="N300" s="272">
        <f t="shared" si="40"/>
        <v>129.60000000000002</v>
      </c>
      <c r="O300" s="273">
        <v>0</v>
      </c>
      <c r="P300" s="273">
        <f t="shared" si="36"/>
        <v>6152.3700000000008</v>
      </c>
      <c r="Q300" s="272">
        <f t="shared" si="37"/>
        <v>60084</v>
      </c>
      <c r="R300" s="272">
        <f t="shared" si="38"/>
        <v>63527.614800000003</v>
      </c>
      <c r="S300" s="272">
        <f t="shared" si="39"/>
        <v>2125.44</v>
      </c>
    </row>
    <row r="301" spans="1:21" s="270" customFormat="1" x14ac:dyDescent="0.25">
      <c r="A301" s="335">
        <v>501402</v>
      </c>
      <c r="B301" s="271">
        <v>1402</v>
      </c>
      <c r="C301" s="271">
        <v>97534</v>
      </c>
      <c r="D301" s="268" t="s">
        <v>894</v>
      </c>
      <c r="E301" s="268" t="s">
        <v>1278</v>
      </c>
      <c r="F301" s="268" t="s">
        <v>2827</v>
      </c>
      <c r="G301" s="268">
        <v>9</v>
      </c>
      <c r="H301" s="268" t="s">
        <v>2828</v>
      </c>
      <c r="I301" s="268" t="s">
        <v>2801</v>
      </c>
      <c r="J301" s="272">
        <v>344184</v>
      </c>
      <c r="K301" s="272">
        <f t="shared" si="34"/>
        <v>28682</v>
      </c>
      <c r="L301" s="272">
        <f t="shared" si="35"/>
        <v>12141.24</v>
      </c>
      <c r="M301" s="269">
        <v>0</v>
      </c>
      <c r="N301" s="272">
        <f t="shared" si="40"/>
        <v>129.60000000000002</v>
      </c>
      <c r="O301" s="273">
        <v>0</v>
      </c>
      <c r="P301" s="273">
        <f t="shared" si="36"/>
        <v>6023.22</v>
      </c>
      <c r="Q301" s="272">
        <f t="shared" si="37"/>
        <v>60084</v>
      </c>
      <c r="R301" s="272">
        <f t="shared" si="38"/>
        <v>62194.048799999997</v>
      </c>
      <c r="S301" s="272">
        <f t="shared" si="39"/>
        <v>2125.44</v>
      </c>
    </row>
    <row r="302" spans="1:21" s="270" customFormat="1" x14ac:dyDescent="0.25">
      <c r="A302" s="335">
        <v>501505</v>
      </c>
      <c r="B302" s="271">
        <v>1505</v>
      </c>
      <c r="C302" s="271">
        <v>3395</v>
      </c>
      <c r="D302" s="268" t="s">
        <v>894</v>
      </c>
      <c r="E302" s="268" t="s">
        <v>1290</v>
      </c>
      <c r="F302" s="268" t="s">
        <v>2829</v>
      </c>
      <c r="G302" s="268">
        <v>10</v>
      </c>
      <c r="H302" s="268" t="s">
        <v>2830</v>
      </c>
      <c r="I302" s="268" t="s">
        <v>2831</v>
      </c>
      <c r="J302" s="272">
        <v>314820</v>
      </c>
      <c r="K302" s="272">
        <f t="shared" si="34"/>
        <v>26235</v>
      </c>
      <c r="L302" s="272">
        <f t="shared" si="35"/>
        <v>12141.24</v>
      </c>
      <c r="M302" s="269">
        <v>0</v>
      </c>
      <c r="N302" s="272">
        <f t="shared" si="40"/>
        <v>129.60000000000002</v>
      </c>
      <c r="O302" s="272">
        <f>13921*12</f>
        <v>167052</v>
      </c>
      <c r="P302" s="273">
        <f t="shared" si="36"/>
        <v>5509.35</v>
      </c>
      <c r="Q302" s="272">
        <f t="shared" si="37"/>
        <v>60084</v>
      </c>
      <c r="R302" s="272">
        <f t="shared" si="38"/>
        <v>56887.974000000002</v>
      </c>
      <c r="S302" s="272">
        <f t="shared" si="39"/>
        <v>2125.44</v>
      </c>
    </row>
    <row r="303" spans="1:21" s="270" customFormat="1" x14ac:dyDescent="0.25">
      <c r="A303" s="335">
        <v>501506</v>
      </c>
      <c r="B303" s="271">
        <v>1506</v>
      </c>
      <c r="C303" s="271">
        <v>5885</v>
      </c>
      <c r="D303" s="268" t="s">
        <v>894</v>
      </c>
      <c r="E303" s="268" t="s">
        <v>1278</v>
      </c>
      <c r="F303" s="268" t="s">
        <v>1306</v>
      </c>
      <c r="G303" s="268">
        <v>10</v>
      </c>
      <c r="H303" s="268" t="s">
        <v>2832</v>
      </c>
      <c r="I303" s="268" t="s">
        <v>2833</v>
      </c>
      <c r="J303" s="272">
        <v>314820</v>
      </c>
      <c r="K303" s="272">
        <f t="shared" si="34"/>
        <v>26235</v>
      </c>
      <c r="L303" s="272">
        <f t="shared" si="35"/>
        <v>12141.24</v>
      </c>
      <c r="M303" s="269">
        <v>0</v>
      </c>
      <c r="N303" s="272">
        <f t="shared" si="40"/>
        <v>129.60000000000002</v>
      </c>
      <c r="O303" s="273">
        <v>0</v>
      </c>
      <c r="P303" s="273">
        <f t="shared" si="36"/>
        <v>5509.35</v>
      </c>
      <c r="Q303" s="272">
        <f t="shared" si="37"/>
        <v>60084</v>
      </c>
      <c r="R303" s="272">
        <f t="shared" si="38"/>
        <v>56887.974000000002</v>
      </c>
      <c r="S303" s="272">
        <f t="shared" si="39"/>
        <v>2125.44</v>
      </c>
      <c r="T303" s="277"/>
      <c r="U303" s="277"/>
    </row>
    <row r="304" spans="1:21" s="270" customFormat="1" x14ac:dyDescent="0.25">
      <c r="A304" s="335">
        <v>501305</v>
      </c>
      <c r="B304" s="271">
        <v>1305</v>
      </c>
      <c r="C304" s="271">
        <v>15804</v>
      </c>
      <c r="D304" s="268" t="s">
        <v>1698</v>
      </c>
      <c r="E304" s="268" t="s">
        <v>1278</v>
      </c>
      <c r="F304" s="268" t="s">
        <v>2834</v>
      </c>
      <c r="G304" s="268">
        <v>10</v>
      </c>
      <c r="H304" s="268" t="s">
        <v>2625</v>
      </c>
      <c r="I304" s="268" t="s">
        <v>2835</v>
      </c>
      <c r="J304" s="272">
        <v>314820</v>
      </c>
      <c r="K304" s="272">
        <f t="shared" si="34"/>
        <v>26235</v>
      </c>
      <c r="L304" s="272">
        <f t="shared" si="35"/>
        <v>12141.24</v>
      </c>
      <c r="M304" s="269">
        <v>0</v>
      </c>
      <c r="N304" s="272">
        <f t="shared" si="40"/>
        <v>129.60000000000002</v>
      </c>
      <c r="O304" s="273">
        <v>0</v>
      </c>
      <c r="P304" s="273">
        <f t="shared" si="36"/>
        <v>5509.35</v>
      </c>
      <c r="Q304" s="272">
        <f t="shared" si="37"/>
        <v>60084</v>
      </c>
      <c r="R304" s="272">
        <f t="shared" si="38"/>
        <v>56887.974000000002</v>
      </c>
      <c r="S304" s="272">
        <f t="shared" si="39"/>
        <v>2125.44</v>
      </c>
    </row>
    <row r="305" spans="1:21" s="270" customFormat="1" x14ac:dyDescent="0.25">
      <c r="A305" s="335">
        <v>501505</v>
      </c>
      <c r="B305" s="271">
        <v>1505</v>
      </c>
      <c r="C305" s="271">
        <v>22907</v>
      </c>
      <c r="D305" s="268" t="s">
        <v>1698</v>
      </c>
      <c r="E305" s="268" t="s">
        <v>1290</v>
      </c>
      <c r="F305" s="268" t="s">
        <v>2836</v>
      </c>
      <c r="G305" s="268">
        <v>10</v>
      </c>
      <c r="H305" s="268" t="s">
        <v>2837</v>
      </c>
      <c r="I305" s="268" t="s">
        <v>2831</v>
      </c>
      <c r="J305" s="272">
        <v>314820</v>
      </c>
      <c r="K305" s="272">
        <f t="shared" si="34"/>
        <v>26235</v>
      </c>
      <c r="L305" s="272">
        <f t="shared" si="35"/>
        <v>12141.24</v>
      </c>
      <c r="M305" s="269">
        <v>0</v>
      </c>
      <c r="N305" s="272">
        <f t="shared" si="40"/>
        <v>129.60000000000002</v>
      </c>
      <c r="O305" s="273">
        <v>0</v>
      </c>
      <c r="P305" s="273">
        <f t="shared" si="36"/>
        <v>5509.35</v>
      </c>
      <c r="Q305" s="272">
        <f t="shared" si="37"/>
        <v>60084</v>
      </c>
      <c r="R305" s="272">
        <f t="shared" si="38"/>
        <v>56887.974000000002</v>
      </c>
      <c r="S305" s="272">
        <f t="shared" si="39"/>
        <v>2125.44</v>
      </c>
    </row>
    <row r="306" spans="1:21" s="270" customFormat="1" x14ac:dyDescent="0.25">
      <c r="A306" s="335">
        <v>501206</v>
      </c>
      <c r="B306" s="271">
        <v>1206</v>
      </c>
      <c r="C306" s="271">
        <v>41975</v>
      </c>
      <c r="D306" s="268" t="s">
        <v>894</v>
      </c>
      <c r="E306" s="268" t="s">
        <v>1290</v>
      </c>
      <c r="F306" s="268" t="s">
        <v>2838</v>
      </c>
      <c r="G306" s="268">
        <v>10</v>
      </c>
      <c r="H306" s="268" t="s">
        <v>2839</v>
      </c>
      <c r="I306" s="268" t="s">
        <v>2840</v>
      </c>
      <c r="J306" s="272">
        <v>314820</v>
      </c>
      <c r="K306" s="272">
        <f t="shared" si="34"/>
        <v>26235</v>
      </c>
      <c r="L306" s="272">
        <f t="shared" si="35"/>
        <v>12141.24</v>
      </c>
      <c r="M306" s="269">
        <v>0</v>
      </c>
      <c r="N306" s="272">
        <f t="shared" si="40"/>
        <v>129.60000000000002</v>
      </c>
      <c r="O306" s="273">
        <v>0</v>
      </c>
      <c r="P306" s="273">
        <f t="shared" si="36"/>
        <v>5509.35</v>
      </c>
      <c r="Q306" s="272">
        <f t="shared" si="37"/>
        <v>60084</v>
      </c>
      <c r="R306" s="272">
        <f t="shared" si="38"/>
        <v>56887.974000000002</v>
      </c>
      <c r="S306" s="272">
        <f t="shared" si="39"/>
        <v>2125.44</v>
      </c>
      <c r="T306" s="277"/>
      <c r="U306" s="277"/>
    </row>
    <row r="307" spans="1:21" s="270" customFormat="1" x14ac:dyDescent="0.25">
      <c r="A307" s="335">
        <v>501206</v>
      </c>
      <c r="B307" s="271">
        <v>1206</v>
      </c>
      <c r="C307" s="271">
        <v>55806</v>
      </c>
      <c r="D307" s="268" t="s">
        <v>894</v>
      </c>
      <c r="E307" s="268" t="s">
        <v>1290</v>
      </c>
      <c r="F307" s="268" t="s">
        <v>2841</v>
      </c>
      <c r="G307" s="268">
        <v>10</v>
      </c>
      <c r="H307" s="268" t="s">
        <v>2842</v>
      </c>
      <c r="I307" s="268" t="s">
        <v>2840</v>
      </c>
      <c r="J307" s="272">
        <v>314820</v>
      </c>
      <c r="K307" s="272">
        <f t="shared" si="34"/>
        <v>26235</v>
      </c>
      <c r="L307" s="272">
        <f t="shared" si="35"/>
        <v>12141.24</v>
      </c>
      <c r="M307" s="269">
        <v>0</v>
      </c>
      <c r="N307" s="272">
        <f t="shared" si="40"/>
        <v>129.60000000000002</v>
      </c>
      <c r="O307" s="273">
        <v>0</v>
      </c>
      <c r="P307" s="273">
        <f t="shared" si="36"/>
        <v>5509.35</v>
      </c>
      <c r="Q307" s="272">
        <f t="shared" si="37"/>
        <v>60084</v>
      </c>
      <c r="R307" s="272">
        <f t="shared" si="38"/>
        <v>56887.974000000002</v>
      </c>
      <c r="S307" s="272">
        <f t="shared" si="39"/>
        <v>2125.44</v>
      </c>
    </row>
    <row r="308" spans="1:21" s="270" customFormat="1" x14ac:dyDescent="0.25">
      <c r="A308" s="335">
        <v>501406</v>
      </c>
      <c r="B308" s="271">
        <v>1406</v>
      </c>
      <c r="C308" s="271">
        <v>58175</v>
      </c>
      <c r="D308" s="268" t="s">
        <v>876</v>
      </c>
      <c r="E308" s="268" t="s">
        <v>1278</v>
      </c>
      <c r="F308" s="268" t="s">
        <v>1290</v>
      </c>
      <c r="G308" s="268">
        <v>10</v>
      </c>
      <c r="H308" s="268" t="s">
        <v>2843</v>
      </c>
      <c r="I308" s="268" t="s">
        <v>2844</v>
      </c>
      <c r="J308" s="272">
        <v>314820</v>
      </c>
      <c r="K308" s="272">
        <f t="shared" si="34"/>
        <v>26235</v>
      </c>
      <c r="L308" s="272">
        <f t="shared" si="35"/>
        <v>12141.24</v>
      </c>
      <c r="M308" s="269">
        <v>0</v>
      </c>
      <c r="N308" s="272">
        <f t="shared" si="40"/>
        <v>129.60000000000002</v>
      </c>
      <c r="O308" s="273">
        <v>0</v>
      </c>
      <c r="P308" s="273">
        <f t="shared" si="36"/>
        <v>5509.35</v>
      </c>
      <c r="Q308" s="272">
        <f t="shared" si="37"/>
        <v>60084</v>
      </c>
      <c r="R308" s="272">
        <f t="shared" si="38"/>
        <v>56887.974000000002</v>
      </c>
      <c r="S308" s="272">
        <f t="shared" si="39"/>
        <v>2125.44</v>
      </c>
    </row>
    <row r="309" spans="1:21" s="270" customFormat="1" x14ac:dyDescent="0.25">
      <c r="A309" s="335">
        <v>501445</v>
      </c>
      <c r="B309" s="271">
        <v>1445</v>
      </c>
      <c r="C309" s="271">
        <v>86710</v>
      </c>
      <c r="D309" s="268" t="s">
        <v>894</v>
      </c>
      <c r="E309" s="268" t="s">
        <v>1278</v>
      </c>
      <c r="F309" s="268" t="s">
        <v>2845</v>
      </c>
      <c r="G309" s="268">
        <v>10</v>
      </c>
      <c r="H309" s="268" t="s">
        <v>2846</v>
      </c>
      <c r="I309" s="268" t="s">
        <v>2847</v>
      </c>
      <c r="J309" s="272">
        <v>314820</v>
      </c>
      <c r="K309" s="272">
        <f t="shared" si="34"/>
        <v>26235</v>
      </c>
      <c r="L309" s="272">
        <f t="shared" si="35"/>
        <v>12141.24</v>
      </c>
      <c r="M309" s="269">
        <v>0</v>
      </c>
      <c r="N309" s="272">
        <f t="shared" si="40"/>
        <v>129.60000000000002</v>
      </c>
      <c r="O309" s="273">
        <v>0</v>
      </c>
      <c r="P309" s="273">
        <f t="shared" si="36"/>
        <v>5509.35</v>
      </c>
      <c r="Q309" s="272">
        <f t="shared" si="37"/>
        <v>60084</v>
      </c>
      <c r="R309" s="272">
        <f t="shared" si="38"/>
        <v>56887.974000000002</v>
      </c>
      <c r="S309" s="272">
        <f t="shared" si="39"/>
        <v>2125.44</v>
      </c>
      <c r="T309" s="277"/>
      <c r="U309" s="277"/>
    </row>
    <row r="310" spans="1:21" s="270" customFormat="1" x14ac:dyDescent="0.25">
      <c r="A310" s="335">
        <v>501412</v>
      </c>
      <c r="B310" s="271">
        <v>1412</v>
      </c>
      <c r="C310" s="271">
        <v>87379</v>
      </c>
      <c r="D310" s="268" t="s">
        <v>894</v>
      </c>
      <c r="E310" s="268" t="s">
        <v>1290</v>
      </c>
      <c r="F310" s="268" t="s">
        <v>2637</v>
      </c>
      <c r="G310" s="268">
        <v>10</v>
      </c>
      <c r="H310" s="268" t="s">
        <v>2664</v>
      </c>
      <c r="I310" s="268" t="s">
        <v>2848</v>
      </c>
      <c r="J310" s="272">
        <v>314820</v>
      </c>
      <c r="K310" s="272">
        <f t="shared" si="34"/>
        <v>26235</v>
      </c>
      <c r="L310" s="272">
        <f t="shared" si="35"/>
        <v>12141.24</v>
      </c>
      <c r="M310" s="269">
        <v>0</v>
      </c>
      <c r="N310" s="272">
        <f t="shared" si="40"/>
        <v>129.60000000000002</v>
      </c>
      <c r="O310" s="273">
        <v>0</v>
      </c>
      <c r="P310" s="273">
        <f t="shared" si="36"/>
        <v>5509.35</v>
      </c>
      <c r="Q310" s="272">
        <f t="shared" si="37"/>
        <v>60084</v>
      </c>
      <c r="R310" s="272">
        <f t="shared" si="38"/>
        <v>56887.974000000002</v>
      </c>
      <c r="S310" s="272">
        <f t="shared" si="39"/>
        <v>2125.44</v>
      </c>
      <c r="T310" s="277"/>
      <c r="U310" s="277"/>
    </row>
    <row r="311" spans="1:21" s="270" customFormat="1" x14ac:dyDescent="0.25">
      <c r="A311" s="335">
        <v>501406</v>
      </c>
      <c r="B311" s="271">
        <v>1406</v>
      </c>
      <c r="C311" s="271">
        <v>87586</v>
      </c>
      <c r="D311" s="268" t="s">
        <v>894</v>
      </c>
      <c r="E311" s="268" t="s">
        <v>1278</v>
      </c>
      <c r="F311" s="268" t="s">
        <v>776</v>
      </c>
      <c r="G311" s="268">
        <v>10</v>
      </c>
      <c r="H311" s="268" t="s">
        <v>2849</v>
      </c>
      <c r="I311" s="268" t="s">
        <v>2848</v>
      </c>
      <c r="J311" s="272">
        <v>314820</v>
      </c>
      <c r="K311" s="272">
        <f t="shared" si="34"/>
        <v>26235</v>
      </c>
      <c r="L311" s="272">
        <f t="shared" si="35"/>
        <v>12141.24</v>
      </c>
      <c r="M311" s="269">
        <v>0</v>
      </c>
      <c r="N311" s="272">
        <f t="shared" si="40"/>
        <v>129.60000000000002</v>
      </c>
      <c r="O311" s="273">
        <v>0</v>
      </c>
      <c r="P311" s="273">
        <f t="shared" si="36"/>
        <v>5509.35</v>
      </c>
      <c r="Q311" s="272">
        <f t="shared" si="37"/>
        <v>60084</v>
      </c>
      <c r="R311" s="272">
        <f t="shared" si="38"/>
        <v>56887.974000000002</v>
      </c>
      <c r="S311" s="272">
        <f t="shared" si="39"/>
        <v>2125.44</v>
      </c>
      <c r="T311" s="277"/>
      <c r="U311" s="277"/>
    </row>
    <row r="312" spans="1:21" s="270" customFormat="1" x14ac:dyDescent="0.25">
      <c r="A312" s="335">
        <v>501412</v>
      </c>
      <c r="B312" s="271">
        <v>1412</v>
      </c>
      <c r="C312" s="271">
        <v>87654</v>
      </c>
      <c r="D312" s="268" t="s">
        <v>894</v>
      </c>
      <c r="E312" s="268" t="s">
        <v>1290</v>
      </c>
      <c r="F312" s="268" t="s">
        <v>2768</v>
      </c>
      <c r="G312" s="268">
        <v>10</v>
      </c>
      <c r="H312" s="268" t="s">
        <v>2309</v>
      </c>
      <c r="I312" s="268" t="s">
        <v>2848</v>
      </c>
      <c r="J312" s="272">
        <v>314820</v>
      </c>
      <c r="K312" s="272">
        <f t="shared" si="34"/>
        <v>26235</v>
      </c>
      <c r="L312" s="272">
        <f t="shared" si="35"/>
        <v>12141.24</v>
      </c>
      <c r="M312" s="269">
        <v>0</v>
      </c>
      <c r="N312" s="272">
        <f t="shared" si="40"/>
        <v>129.60000000000002</v>
      </c>
      <c r="O312" s="273">
        <v>0</v>
      </c>
      <c r="P312" s="273">
        <f t="shared" si="36"/>
        <v>5509.35</v>
      </c>
      <c r="Q312" s="272">
        <f t="shared" si="37"/>
        <v>60084</v>
      </c>
      <c r="R312" s="272">
        <f t="shared" si="38"/>
        <v>56887.974000000002</v>
      </c>
      <c r="S312" s="272">
        <f t="shared" si="39"/>
        <v>2125.44</v>
      </c>
    </row>
    <row r="313" spans="1:21" s="270" customFormat="1" x14ac:dyDescent="0.25">
      <c r="A313" s="335">
        <v>501407</v>
      </c>
      <c r="B313" s="271">
        <v>1407</v>
      </c>
      <c r="C313" s="271">
        <v>87670</v>
      </c>
      <c r="D313" s="268" t="s">
        <v>894</v>
      </c>
      <c r="E313" s="268" t="s">
        <v>1278</v>
      </c>
      <c r="F313" s="268" t="s">
        <v>2850</v>
      </c>
      <c r="G313" s="268">
        <v>10</v>
      </c>
      <c r="H313" s="268" t="s">
        <v>2851</v>
      </c>
      <c r="I313" s="268" t="s">
        <v>2844</v>
      </c>
      <c r="J313" s="272">
        <v>314820</v>
      </c>
      <c r="K313" s="272">
        <f t="shared" si="34"/>
        <v>26235</v>
      </c>
      <c r="L313" s="272">
        <f t="shared" si="35"/>
        <v>12141.24</v>
      </c>
      <c r="M313" s="269">
        <v>0</v>
      </c>
      <c r="N313" s="272">
        <f t="shared" si="40"/>
        <v>129.60000000000002</v>
      </c>
      <c r="O313" s="273">
        <v>0</v>
      </c>
      <c r="P313" s="273">
        <f t="shared" si="36"/>
        <v>5509.35</v>
      </c>
      <c r="Q313" s="272">
        <f t="shared" si="37"/>
        <v>60084</v>
      </c>
      <c r="R313" s="272">
        <f t="shared" si="38"/>
        <v>56887.974000000002</v>
      </c>
      <c r="S313" s="272">
        <f t="shared" si="39"/>
        <v>2125.44</v>
      </c>
    </row>
    <row r="314" spans="1:21" s="270" customFormat="1" x14ac:dyDescent="0.25">
      <c r="A314" s="335">
        <v>501505</v>
      </c>
      <c r="B314" s="271">
        <v>1505</v>
      </c>
      <c r="C314" s="271">
        <v>91190</v>
      </c>
      <c r="D314" s="268" t="s">
        <v>876</v>
      </c>
      <c r="E314" s="268" t="s">
        <v>1290</v>
      </c>
      <c r="F314" s="268" t="s">
        <v>2852</v>
      </c>
      <c r="G314" s="268">
        <v>10</v>
      </c>
      <c r="H314" s="268" t="s">
        <v>2853</v>
      </c>
      <c r="I314" s="268" t="s">
        <v>2831</v>
      </c>
      <c r="J314" s="272">
        <v>314820</v>
      </c>
      <c r="K314" s="272">
        <f t="shared" si="34"/>
        <v>26235</v>
      </c>
      <c r="L314" s="272">
        <f t="shared" si="35"/>
        <v>12141.24</v>
      </c>
      <c r="M314" s="269">
        <v>0</v>
      </c>
      <c r="N314" s="272">
        <f t="shared" si="40"/>
        <v>129.60000000000002</v>
      </c>
      <c r="O314" s="273">
        <v>0</v>
      </c>
      <c r="P314" s="273">
        <f t="shared" si="36"/>
        <v>5509.35</v>
      </c>
      <c r="Q314" s="272">
        <f t="shared" si="37"/>
        <v>60084</v>
      </c>
      <c r="R314" s="272">
        <f t="shared" si="38"/>
        <v>56887.974000000002</v>
      </c>
      <c r="S314" s="272">
        <f t="shared" si="39"/>
        <v>2125.44</v>
      </c>
    </row>
    <row r="315" spans="1:21" x14ac:dyDescent="0.25">
      <c r="A315" s="335">
        <v>501445</v>
      </c>
      <c r="B315" s="271">
        <v>1445</v>
      </c>
      <c r="C315" s="271">
        <v>91420</v>
      </c>
      <c r="D315" s="268" t="s">
        <v>876</v>
      </c>
      <c r="E315" s="268" t="s">
        <v>1278</v>
      </c>
      <c r="F315" s="268" t="s">
        <v>2854</v>
      </c>
      <c r="G315" s="268">
        <v>10</v>
      </c>
      <c r="H315" s="268" t="s">
        <v>2855</v>
      </c>
      <c r="I315" s="268" t="s">
        <v>2844</v>
      </c>
      <c r="J315" s="272">
        <v>314820</v>
      </c>
      <c r="K315" s="272">
        <f t="shared" si="34"/>
        <v>26235</v>
      </c>
      <c r="L315" s="272">
        <f t="shared" si="35"/>
        <v>12141.24</v>
      </c>
      <c r="M315" s="269">
        <v>0</v>
      </c>
      <c r="N315" s="272">
        <f t="shared" si="40"/>
        <v>129.60000000000002</v>
      </c>
      <c r="O315" s="273">
        <v>0</v>
      </c>
      <c r="P315" s="273">
        <f t="shared" si="36"/>
        <v>5509.35</v>
      </c>
      <c r="Q315" s="272">
        <f t="shared" si="37"/>
        <v>60084</v>
      </c>
      <c r="R315" s="272">
        <f t="shared" si="38"/>
        <v>56887.974000000002</v>
      </c>
      <c r="S315" s="272">
        <f t="shared" si="39"/>
        <v>2125.44</v>
      </c>
      <c r="T315" s="270"/>
      <c r="U315" s="270"/>
    </row>
    <row r="316" spans="1:21" s="270" customFormat="1" x14ac:dyDescent="0.25">
      <c r="A316" s="335">
        <v>501505</v>
      </c>
      <c r="B316" s="271">
        <v>1505</v>
      </c>
      <c r="C316" s="271">
        <v>92283</v>
      </c>
      <c r="D316" s="268" t="s">
        <v>876</v>
      </c>
      <c r="E316" s="268" t="s">
        <v>1290</v>
      </c>
      <c r="F316" s="268" t="s">
        <v>2402</v>
      </c>
      <c r="G316" s="268">
        <v>10</v>
      </c>
      <c r="H316" s="268" t="s">
        <v>2244</v>
      </c>
      <c r="I316" s="268" t="s">
        <v>2831</v>
      </c>
      <c r="J316" s="272">
        <v>314820</v>
      </c>
      <c r="K316" s="272">
        <f t="shared" si="34"/>
        <v>26235</v>
      </c>
      <c r="L316" s="272">
        <f t="shared" si="35"/>
        <v>12141.24</v>
      </c>
      <c r="M316" s="269">
        <v>0</v>
      </c>
      <c r="N316" s="272">
        <f t="shared" si="40"/>
        <v>129.60000000000002</v>
      </c>
      <c r="O316" s="273">
        <v>0</v>
      </c>
      <c r="P316" s="273">
        <f t="shared" si="36"/>
        <v>5509.35</v>
      </c>
      <c r="Q316" s="272">
        <f t="shared" si="37"/>
        <v>60084</v>
      </c>
      <c r="R316" s="272">
        <f t="shared" si="38"/>
        <v>56887.974000000002</v>
      </c>
      <c r="S316" s="272">
        <f t="shared" si="39"/>
        <v>2125.44</v>
      </c>
      <c r="T316" s="277"/>
      <c r="U316" s="277"/>
    </row>
    <row r="317" spans="1:21" s="270" customFormat="1" x14ac:dyDescent="0.25">
      <c r="A317" s="335">
        <v>501206</v>
      </c>
      <c r="B317" s="271">
        <v>1206</v>
      </c>
      <c r="C317" s="271">
        <v>200188</v>
      </c>
      <c r="D317" s="268" t="s">
        <v>894</v>
      </c>
      <c r="E317" s="268" t="s">
        <v>1290</v>
      </c>
      <c r="F317" s="268" t="s">
        <v>2364</v>
      </c>
      <c r="G317" s="268">
        <v>10</v>
      </c>
      <c r="H317" s="268" t="s">
        <v>2856</v>
      </c>
      <c r="I317" s="268" t="s">
        <v>2840</v>
      </c>
      <c r="J317" s="272">
        <v>314820</v>
      </c>
      <c r="K317" s="272">
        <f t="shared" si="34"/>
        <v>26235</v>
      </c>
      <c r="L317" s="272">
        <f t="shared" si="35"/>
        <v>12141.24</v>
      </c>
      <c r="M317" s="269">
        <v>0</v>
      </c>
      <c r="N317" s="272">
        <f t="shared" si="40"/>
        <v>129.60000000000002</v>
      </c>
      <c r="O317" s="273">
        <v>0</v>
      </c>
      <c r="P317" s="273">
        <f t="shared" si="36"/>
        <v>5509.35</v>
      </c>
      <c r="Q317" s="272">
        <f t="shared" si="37"/>
        <v>60084</v>
      </c>
      <c r="R317" s="272">
        <f t="shared" si="38"/>
        <v>56887.974000000002</v>
      </c>
      <c r="S317" s="272">
        <f t="shared" si="39"/>
        <v>2125.44</v>
      </c>
      <c r="T317" s="277"/>
      <c r="U317" s="277"/>
    </row>
    <row r="318" spans="1:21" s="270" customFormat="1" x14ac:dyDescent="0.25">
      <c r="A318" s="335" t="str">
        <f t="shared" ref="A318:A331" si="42">CONCATENATE(50,B318)</f>
        <v>501443</v>
      </c>
      <c r="B318" s="271">
        <v>1443</v>
      </c>
      <c r="C318" s="271">
        <v>200462</v>
      </c>
      <c r="D318" s="268" t="s">
        <v>894</v>
      </c>
      <c r="E318" s="268" t="s">
        <v>1290</v>
      </c>
      <c r="F318" s="268" t="s">
        <v>2226</v>
      </c>
      <c r="G318" s="268"/>
      <c r="H318" s="268" t="s">
        <v>2857</v>
      </c>
      <c r="I318" s="268" t="s">
        <v>2801</v>
      </c>
      <c r="J318" s="272">
        <v>311490</v>
      </c>
      <c r="K318" s="272">
        <f t="shared" si="34"/>
        <v>25957.5</v>
      </c>
      <c r="L318" s="272">
        <f t="shared" si="35"/>
        <v>12141.24</v>
      </c>
      <c r="M318" s="269">
        <v>0</v>
      </c>
      <c r="N318" s="272">
        <f t="shared" si="40"/>
        <v>129.60000000000002</v>
      </c>
      <c r="O318" s="273">
        <v>0</v>
      </c>
      <c r="P318" s="273">
        <f t="shared" si="36"/>
        <v>5451.0750000000007</v>
      </c>
      <c r="Q318" s="272">
        <f t="shared" si="37"/>
        <v>60084</v>
      </c>
      <c r="R318" s="272">
        <f t="shared" si="38"/>
        <v>56286.243000000002</v>
      </c>
      <c r="S318" s="272">
        <f t="shared" si="39"/>
        <v>2125.44</v>
      </c>
      <c r="T318" s="277"/>
      <c r="U318" s="277"/>
    </row>
    <row r="319" spans="1:21" s="270" customFormat="1" x14ac:dyDescent="0.25">
      <c r="A319" s="335" t="str">
        <f t="shared" si="42"/>
        <v>501406</v>
      </c>
      <c r="B319" s="271">
        <v>1406</v>
      </c>
      <c r="C319" s="271">
        <v>200212</v>
      </c>
      <c r="D319" s="268" t="s">
        <v>894</v>
      </c>
      <c r="E319" s="268" t="s">
        <v>1278</v>
      </c>
      <c r="F319" s="268" t="s">
        <v>2858</v>
      </c>
      <c r="G319" s="268"/>
      <c r="H319" s="268" t="s">
        <v>2859</v>
      </c>
      <c r="I319" s="268" t="s">
        <v>2801</v>
      </c>
      <c r="J319" s="272">
        <v>311175</v>
      </c>
      <c r="K319" s="272">
        <f t="shared" si="34"/>
        <v>25931.25</v>
      </c>
      <c r="L319" s="272">
        <f t="shared" si="35"/>
        <v>12141.24</v>
      </c>
      <c r="M319" s="269">
        <v>0</v>
      </c>
      <c r="N319" s="272">
        <f t="shared" si="40"/>
        <v>129.60000000000002</v>
      </c>
      <c r="O319" s="273">
        <v>0</v>
      </c>
      <c r="P319" s="273">
        <f t="shared" si="36"/>
        <v>5445.5625000000009</v>
      </c>
      <c r="Q319" s="272">
        <f t="shared" si="37"/>
        <v>60084</v>
      </c>
      <c r="R319" s="272">
        <f t="shared" si="38"/>
        <v>56229.322500000002</v>
      </c>
      <c r="S319" s="272">
        <f t="shared" si="39"/>
        <v>2125.44</v>
      </c>
      <c r="T319" s="277"/>
      <c r="U319" s="277"/>
    </row>
    <row r="320" spans="1:21" s="270" customFormat="1" x14ac:dyDescent="0.25">
      <c r="A320" s="335" t="str">
        <f t="shared" si="42"/>
        <v>501443</v>
      </c>
      <c r="B320" s="271">
        <v>1443</v>
      </c>
      <c r="C320" s="271">
        <v>200213</v>
      </c>
      <c r="D320" s="268" t="s">
        <v>894</v>
      </c>
      <c r="E320" s="268" t="s">
        <v>1290</v>
      </c>
      <c r="F320" s="268" t="s">
        <v>2860</v>
      </c>
      <c r="G320" s="268"/>
      <c r="H320" s="268" t="s">
        <v>2861</v>
      </c>
      <c r="I320" s="268" t="s">
        <v>2801</v>
      </c>
      <c r="J320" s="272">
        <v>311175</v>
      </c>
      <c r="K320" s="272">
        <f t="shared" ref="K320:K383" si="43">J320/12</f>
        <v>25931.25</v>
      </c>
      <c r="L320" s="272">
        <f t="shared" ref="L320:L383" si="44">1011.77*12</f>
        <v>12141.24</v>
      </c>
      <c r="M320" s="269">
        <v>0</v>
      </c>
      <c r="N320" s="272">
        <f t="shared" si="40"/>
        <v>129.60000000000002</v>
      </c>
      <c r="O320" s="273">
        <v>0</v>
      </c>
      <c r="P320" s="273">
        <f t="shared" ref="P320:P383" si="45">J320*1.75%</f>
        <v>5445.5625000000009</v>
      </c>
      <c r="Q320" s="272">
        <f t="shared" ref="Q320:Q383" si="46">5007*12</f>
        <v>60084</v>
      </c>
      <c r="R320" s="272">
        <f t="shared" ref="R320:R383" si="47">18.07%*J320</f>
        <v>56229.322500000002</v>
      </c>
      <c r="S320" s="272">
        <f t="shared" si="39"/>
        <v>2125.44</v>
      </c>
    </row>
    <row r="321" spans="1:21" s="270" customFormat="1" x14ac:dyDescent="0.25">
      <c r="A321" s="335" t="str">
        <f t="shared" si="42"/>
        <v>501443</v>
      </c>
      <c r="B321" s="271">
        <v>1443</v>
      </c>
      <c r="C321" s="271">
        <v>200214</v>
      </c>
      <c r="D321" s="268" t="s">
        <v>894</v>
      </c>
      <c r="E321" s="268" t="s">
        <v>1278</v>
      </c>
      <c r="F321" s="268" t="s">
        <v>2862</v>
      </c>
      <c r="G321" s="268"/>
      <c r="H321" s="268" t="s">
        <v>2630</v>
      </c>
      <c r="I321" s="268" t="s">
        <v>2801</v>
      </c>
      <c r="J321" s="272">
        <v>311175</v>
      </c>
      <c r="K321" s="272">
        <f t="shared" si="43"/>
        <v>25931.25</v>
      </c>
      <c r="L321" s="272">
        <f t="shared" si="44"/>
        <v>12141.24</v>
      </c>
      <c r="M321" s="269">
        <v>0</v>
      </c>
      <c r="N321" s="272">
        <f t="shared" si="40"/>
        <v>129.60000000000002</v>
      </c>
      <c r="O321" s="273">
        <v>0</v>
      </c>
      <c r="P321" s="273">
        <f t="shared" si="45"/>
        <v>5445.5625000000009</v>
      </c>
      <c r="Q321" s="272">
        <f t="shared" si="46"/>
        <v>60084</v>
      </c>
      <c r="R321" s="272">
        <f t="shared" si="47"/>
        <v>56229.322500000002</v>
      </c>
      <c r="S321" s="272">
        <f t="shared" ref="S321:S384" si="48">177.12*12</f>
        <v>2125.44</v>
      </c>
    </row>
    <row r="322" spans="1:21" s="270" customFormat="1" x14ac:dyDescent="0.25">
      <c r="A322" s="335" t="str">
        <f t="shared" si="42"/>
        <v>501443</v>
      </c>
      <c r="B322" s="271">
        <v>1443</v>
      </c>
      <c r="C322" s="271">
        <v>200216</v>
      </c>
      <c r="D322" s="268" t="s">
        <v>894</v>
      </c>
      <c r="E322" s="268" t="s">
        <v>1290</v>
      </c>
      <c r="F322" s="268" t="s">
        <v>1286</v>
      </c>
      <c r="G322" s="268"/>
      <c r="H322" s="268" t="s">
        <v>2863</v>
      </c>
      <c r="I322" s="268" t="s">
        <v>2801</v>
      </c>
      <c r="J322" s="272">
        <v>311175</v>
      </c>
      <c r="K322" s="272">
        <f t="shared" si="43"/>
        <v>25931.25</v>
      </c>
      <c r="L322" s="272">
        <f t="shared" si="44"/>
        <v>12141.24</v>
      </c>
      <c r="M322" s="269">
        <v>0</v>
      </c>
      <c r="N322" s="272">
        <f t="shared" si="40"/>
        <v>129.60000000000002</v>
      </c>
      <c r="O322" s="273">
        <v>0</v>
      </c>
      <c r="P322" s="273">
        <f t="shared" si="45"/>
        <v>5445.5625000000009</v>
      </c>
      <c r="Q322" s="272">
        <f t="shared" si="46"/>
        <v>60084</v>
      </c>
      <c r="R322" s="272">
        <f t="shared" si="47"/>
        <v>56229.322500000002</v>
      </c>
      <c r="S322" s="272">
        <f t="shared" si="48"/>
        <v>2125.44</v>
      </c>
    </row>
    <row r="323" spans="1:21" s="270" customFormat="1" x14ac:dyDescent="0.25">
      <c r="A323" s="335" t="str">
        <f t="shared" si="42"/>
        <v>501406</v>
      </c>
      <c r="B323" s="271">
        <v>1406</v>
      </c>
      <c r="C323" s="271">
        <v>200218</v>
      </c>
      <c r="D323" s="268" t="s">
        <v>894</v>
      </c>
      <c r="E323" s="268" t="s">
        <v>1278</v>
      </c>
      <c r="F323" s="268" t="s">
        <v>2653</v>
      </c>
      <c r="G323" s="268"/>
      <c r="H323" s="268" t="s">
        <v>2864</v>
      </c>
      <c r="I323" s="268" t="s">
        <v>2801</v>
      </c>
      <c r="J323" s="272">
        <v>311175</v>
      </c>
      <c r="K323" s="272">
        <f t="shared" si="43"/>
        <v>25931.25</v>
      </c>
      <c r="L323" s="272">
        <f t="shared" si="44"/>
        <v>12141.24</v>
      </c>
      <c r="M323" s="269">
        <v>0</v>
      </c>
      <c r="N323" s="272">
        <f t="shared" si="40"/>
        <v>129.60000000000002</v>
      </c>
      <c r="O323" s="273">
        <v>0</v>
      </c>
      <c r="P323" s="273">
        <f t="shared" si="45"/>
        <v>5445.5625000000009</v>
      </c>
      <c r="Q323" s="272">
        <f t="shared" si="46"/>
        <v>60084</v>
      </c>
      <c r="R323" s="272">
        <f t="shared" si="47"/>
        <v>56229.322500000002</v>
      </c>
      <c r="S323" s="272">
        <f t="shared" si="48"/>
        <v>2125.44</v>
      </c>
    </row>
    <row r="324" spans="1:21" s="270" customFormat="1" x14ac:dyDescent="0.25">
      <c r="A324" s="335" t="str">
        <f t="shared" si="42"/>
        <v>501443</v>
      </c>
      <c r="B324" s="271">
        <v>1443</v>
      </c>
      <c r="C324" s="271">
        <v>200220</v>
      </c>
      <c r="D324" s="268" t="s">
        <v>894</v>
      </c>
      <c r="E324" s="268" t="s">
        <v>1278</v>
      </c>
      <c r="F324" s="268" t="s">
        <v>1309</v>
      </c>
      <c r="G324" s="268"/>
      <c r="H324" s="268" t="s">
        <v>2865</v>
      </c>
      <c r="I324" s="268" t="s">
        <v>2801</v>
      </c>
      <c r="J324" s="272">
        <v>311175</v>
      </c>
      <c r="K324" s="272">
        <f t="shared" si="43"/>
        <v>25931.25</v>
      </c>
      <c r="L324" s="272">
        <f t="shared" si="44"/>
        <v>12141.24</v>
      </c>
      <c r="M324" s="269">
        <v>0</v>
      </c>
      <c r="N324" s="272">
        <f t="shared" si="40"/>
        <v>129.60000000000002</v>
      </c>
      <c r="O324" s="273">
        <v>0</v>
      </c>
      <c r="P324" s="273">
        <f t="shared" si="45"/>
        <v>5445.5625000000009</v>
      </c>
      <c r="Q324" s="272">
        <f t="shared" si="46"/>
        <v>60084</v>
      </c>
      <c r="R324" s="272">
        <f t="shared" si="47"/>
        <v>56229.322500000002</v>
      </c>
      <c r="S324" s="272">
        <f t="shared" si="48"/>
        <v>2125.44</v>
      </c>
    </row>
    <row r="325" spans="1:21" s="270" customFormat="1" x14ac:dyDescent="0.25">
      <c r="A325" s="335" t="str">
        <f t="shared" si="42"/>
        <v>501406</v>
      </c>
      <c r="B325" s="271">
        <v>1406</v>
      </c>
      <c r="C325" s="271">
        <v>200221</v>
      </c>
      <c r="D325" s="268" t="s">
        <v>894</v>
      </c>
      <c r="E325" s="268" t="s">
        <v>1278</v>
      </c>
      <c r="F325" s="268" t="s">
        <v>2866</v>
      </c>
      <c r="G325" s="268"/>
      <c r="H325" s="268" t="s">
        <v>2867</v>
      </c>
      <c r="I325" s="268" t="s">
        <v>2801</v>
      </c>
      <c r="J325" s="272">
        <v>311175</v>
      </c>
      <c r="K325" s="272">
        <f t="shared" si="43"/>
        <v>25931.25</v>
      </c>
      <c r="L325" s="272">
        <f t="shared" si="44"/>
        <v>12141.24</v>
      </c>
      <c r="M325" s="269">
        <v>0</v>
      </c>
      <c r="N325" s="272">
        <f t="shared" ref="N325:N388" si="49">10.8*12</f>
        <v>129.60000000000002</v>
      </c>
      <c r="O325" s="273">
        <v>0</v>
      </c>
      <c r="P325" s="273">
        <f t="shared" si="45"/>
        <v>5445.5625000000009</v>
      </c>
      <c r="Q325" s="272">
        <f t="shared" si="46"/>
        <v>60084</v>
      </c>
      <c r="R325" s="272">
        <f t="shared" si="47"/>
        <v>56229.322500000002</v>
      </c>
      <c r="S325" s="272">
        <f t="shared" si="48"/>
        <v>2125.44</v>
      </c>
    </row>
    <row r="326" spans="1:21" s="270" customFormat="1" x14ac:dyDescent="0.25">
      <c r="A326" s="335" t="str">
        <f t="shared" si="42"/>
        <v>501443</v>
      </c>
      <c r="B326" s="271">
        <v>1443</v>
      </c>
      <c r="C326" s="271">
        <v>200223</v>
      </c>
      <c r="D326" s="268" t="s">
        <v>894</v>
      </c>
      <c r="E326" s="268" t="s">
        <v>1290</v>
      </c>
      <c r="F326" s="268" t="s">
        <v>2868</v>
      </c>
      <c r="G326" s="268"/>
      <c r="H326" s="268" t="s">
        <v>2869</v>
      </c>
      <c r="I326" s="268" t="s">
        <v>2801</v>
      </c>
      <c r="J326" s="272">
        <v>311175</v>
      </c>
      <c r="K326" s="272">
        <f t="shared" si="43"/>
        <v>25931.25</v>
      </c>
      <c r="L326" s="272">
        <f t="shared" si="44"/>
        <v>12141.24</v>
      </c>
      <c r="M326" s="269">
        <v>0</v>
      </c>
      <c r="N326" s="272">
        <f t="shared" si="49"/>
        <v>129.60000000000002</v>
      </c>
      <c r="O326" s="273">
        <v>0</v>
      </c>
      <c r="P326" s="273">
        <f t="shared" si="45"/>
        <v>5445.5625000000009</v>
      </c>
      <c r="Q326" s="272">
        <f t="shared" si="46"/>
        <v>60084</v>
      </c>
      <c r="R326" s="272">
        <f t="shared" si="47"/>
        <v>56229.322500000002</v>
      </c>
      <c r="S326" s="272">
        <f t="shared" si="48"/>
        <v>2125.44</v>
      </c>
    </row>
    <row r="327" spans="1:21" s="270" customFormat="1" x14ac:dyDescent="0.25">
      <c r="A327" s="335" t="str">
        <f t="shared" si="42"/>
        <v>501406</v>
      </c>
      <c r="B327" s="271">
        <v>1406</v>
      </c>
      <c r="C327" s="271">
        <v>200224</v>
      </c>
      <c r="D327" s="268" t="s">
        <v>894</v>
      </c>
      <c r="E327" s="268" t="s">
        <v>1278</v>
      </c>
      <c r="F327" s="268" t="s">
        <v>2870</v>
      </c>
      <c r="G327" s="268"/>
      <c r="H327" s="268" t="s">
        <v>2871</v>
      </c>
      <c r="I327" s="268" t="s">
        <v>2801</v>
      </c>
      <c r="J327" s="272">
        <v>311175</v>
      </c>
      <c r="K327" s="272">
        <f t="shared" si="43"/>
        <v>25931.25</v>
      </c>
      <c r="L327" s="272">
        <f t="shared" si="44"/>
        <v>12141.24</v>
      </c>
      <c r="M327" s="269">
        <v>0</v>
      </c>
      <c r="N327" s="272">
        <f t="shared" si="49"/>
        <v>129.60000000000002</v>
      </c>
      <c r="O327" s="273">
        <v>0</v>
      </c>
      <c r="P327" s="273">
        <f t="shared" si="45"/>
        <v>5445.5625000000009</v>
      </c>
      <c r="Q327" s="272">
        <f t="shared" si="46"/>
        <v>60084</v>
      </c>
      <c r="R327" s="272">
        <f t="shared" si="47"/>
        <v>56229.322500000002</v>
      </c>
      <c r="S327" s="272">
        <f t="shared" si="48"/>
        <v>2125.44</v>
      </c>
    </row>
    <row r="328" spans="1:21" s="270" customFormat="1" x14ac:dyDescent="0.25">
      <c r="A328" s="335" t="str">
        <f t="shared" si="42"/>
        <v>501443</v>
      </c>
      <c r="B328" s="271">
        <v>1443</v>
      </c>
      <c r="C328" s="271">
        <v>200226</v>
      </c>
      <c r="D328" s="268" t="s">
        <v>894</v>
      </c>
      <c r="E328" s="268" t="s">
        <v>1278</v>
      </c>
      <c r="F328" s="268" t="s">
        <v>2872</v>
      </c>
      <c r="G328" s="268"/>
      <c r="H328" s="268" t="s">
        <v>2873</v>
      </c>
      <c r="I328" s="268" t="s">
        <v>2801</v>
      </c>
      <c r="J328" s="272">
        <v>311175</v>
      </c>
      <c r="K328" s="272">
        <f t="shared" si="43"/>
        <v>25931.25</v>
      </c>
      <c r="L328" s="272">
        <f t="shared" si="44"/>
        <v>12141.24</v>
      </c>
      <c r="M328" s="269">
        <v>0</v>
      </c>
      <c r="N328" s="272">
        <f t="shared" si="49"/>
        <v>129.60000000000002</v>
      </c>
      <c r="O328" s="273">
        <v>0</v>
      </c>
      <c r="P328" s="273">
        <f t="shared" si="45"/>
        <v>5445.5625000000009</v>
      </c>
      <c r="Q328" s="272">
        <f t="shared" si="46"/>
        <v>60084</v>
      </c>
      <c r="R328" s="272">
        <f t="shared" si="47"/>
        <v>56229.322500000002</v>
      </c>
      <c r="S328" s="272">
        <f t="shared" si="48"/>
        <v>2125.44</v>
      </c>
    </row>
    <row r="329" spans="1:21" s="270" customFormat="1" x14ac:dyDescent="0.25">
      <c r="A329" s="335" t="str">
        <f t="shared" si="42"/>
        <v>501443</v>
      </c>
      <c r="B329" s="271">
        <v>1443</v>
      </c>
      <c r="C329" s="271">
        <v>200227</v>
      </c>
      <c r="D329" s="268" t="s">
        <v>894</v>
      </c>
      <c r="E329" s="268" t="s">
        <v>1290</v>
      </c>
      <c r="F329" s="268" t="s">
        <v>2874</v>
      </c>
      <c r="G329" s="268"/>
      <c r="H329" s="268" t="s">
        <v>2875</v>
      </c>
      <c r="I329" s="268" t="s">
        <v>2801</v>
      </c>
      <c r="J329" s="272">
        <v>311175</v>
      </c>
      <c r="K329" s="272">
        <f t="shared" si="43"/>
        <v>25931.25</v>
      </c>
      <c r="L329" s="272">
        <f t="shared" si="44"/>
        <v>12141.24</v>
      </c>
      <c r="M329" s="269">
        <v>0</v>
      </c>
      <c r="N329" s="272">
        <f t="shared" si="49"/>
        <v>129.60000000000002</v>
      </c>
      <c r="O329" s="273">
        <v>0</v>
      </c>
      <c r="P329" s="273">
        <f t="shared" si="45"/>
        <v>5445.5625000000009</v>
      </c>
      <c r="Q329" s="272">
        <f t="shared" si="46"/>
        <v>60084</v>
      </c>
      <c r="R329" s="272">
        <f t="shared" si="47"/>
        <v>56229.322500000002</v>
      </c>
      <c r="S329" s="272">
        <f t="shared" si="48"/>
        <v>2125.44</v>
      </c>
    </row>
    <row r="330" spans="1:21" s="270" customFormat="1" x14ac:dyDescent="0.25">
      <c r="A330" s="335" t="str">
        <f t="shared" si="42"/>
        <v>501443</v>
      </c>
      <c r="B330" s="271">
        <v>1443</v>
      </c>
      <c r="C330" s="271">
        <v>200230</v>
      </c>
      <c r="D330" s="268" t="s">
        <v>894</v>
      </c>
      <c r="E330" s="268" t="s">
        <v>1290</v>
      </c>
      <c r="F330" s="268" t="s">
        <v>2484</v>
      </c>
      <c r="G330" s="268"/>
      <c r="H330" s="268" t="s">
        <v>2876</v>
      </c>
      <c r="I330" s="268" t="s">
        <v>2801</v>
      </c>
      <c r="J330" s="272">
        <v>311175</v>
      </c>
      <c r="K330" s="272">
        <f t="shared" si="43"/>
        <v>25931.25</v>
      </c>
      <c r="L330" s="272">
        <f t="shared" si="44"/>
        <v>12141.24</v>
      </c>
      <c r="M330" s="269">
        <v>0</v>
      </c>
      <c r="N330" s="272">
        <f t="shared" si="49"/>
        <v>129.60000000000002</v>
      </c>
      <c r="O330" s="273">
        <v>0</v>
      </c>
      <c r="P330" s="273">
        <f t="shared" si="45"/>
        <v>5445.5625000000009</v>
      </c>
      <c r="Q330" s="272">
        <f t="shared" si="46"/>
        <v>60084</v>
      </c>
      <c r="R330" s="272">
        <f t="shared" si="47"/>
        <v>56229.322500000002</v>
      </c>
      <c r="S330" s="272">
        <f t="shared" si="48"/>
        <v>2125.44</v>
      </c>
    </row>
    <row r="331" spans="1:21" s="270" customFormat="1" x14ac:dyDescent="0.25">
      <c r="A331" s="335" t="str">
        <f t="shared" si="42"/>
        <v>501406</v>
      </c>
      <c r="B331" s="271">
        <v>1406</v>
      </c>
      <c r="C331" s="271">
        <v>200233</v>
      </c>
      <c r="D331" s="268" t="s">
        <v>894</v>
      </c>
      <c r="E331" s="268" t="s">
        <v>1290</v>
      </c>
      <c r="F331" s="268" t="s">
        <v>2217</v>
      </c>
      <c r="G331" s="268"/>
      <c r="H331" s="268" t="s">
        <v>2877</v>
      </c>
      <c r="I331" s="268" t="s">
        <v>2801</v>
      </c>
      <c r="J331" s="272">
        <v>311175</v>
      </c>
      <c r="K331" s="272">
        <f t="shared" si="43"/>
        <v>25931.25</v>
      </c>
      <c r="L331" s="272">
        <f t="shared" si="44"/>
        <v>12141.24</v>
      </c>
      <c r="M331" s="269">
        <v>0</v>
      </c>
      <c r="N331" s="272">
        <f t="shared" si="49"/>
        <v>129.60000000000002</v>
      </c>
      <c r="O331" s="273">
        <v>0</v>
      </c>
      <c r="P331" s="273">
        <f t="shared" si="45"/>
        <v>5445.5625000000009</v>
      </c>
      <c r="Q331" s="272">
        <f t="shared" si="46"/>
        <v>60084</v>
      </c>
      <c r="R331" s="272">
        <f t="shared" si="47"/>
        <v>56229.322500000002</v>
      </c>
      <c r="S331" s="272">
        <f t="shared" si="48"/>
        <v>2125.44</v>
      </c>
    </row>
    <row r="332" spans="1:21" s="270" customFormat="1" x14ac:dyDescent="0.25">
      <c r="A332" s="335">
        <v>501443</v>
      </c>
      <c r="B332" s="271">
        <v>1443</v>
      </c>
      <c r="C332" s="271">
        <v>30070</v>
      </c>
      <c r="D332" s="268" t="s">
        <v>894</v>
      </c>
      <c r="E332" s="268" t="s">
        <v>1290</v>
      </c>
      <c r="F332" s="268" t="s">
        <v>2878</v>
      </c>
      <c r="G332" s="268">
        <v>10</v>
      </c>
      <c r="H332" s="268" t="s">
        <v>2664</v>
      </c>
      <c r="I332" s="268" t="s">
        <v>2879</v>
      </c>
      <c r="J332" s="272">
        <v>307704</v>
      </c>
      <c r="K332" s="272">
        <f t="shared" si="43"/>
        <v>25642</v>
      </c>
      <c r="L332" s="272">
        <f t="shared" si="44"/>
        <v>12141.24</v>
      </c>
      <c r="M332" s="269">
        <v>0</v>
      </c>
      <c r="N332" s="272">
        <f t="shared" si="49"/>
        <v>129.60000000000002</v>
      </c>
      <c r="O332" s="273">
        <v>0</v>
      </c>
      <c r="P332" s="273">
        <f t="shared" si="45"/>
        <v>5384.8200000000006</v>
      </c>
      <c r="Q332" s="272">
        <f t="shared" si="46"/>
        <v>60084</v>
      </c>
      <c r="R332" s="272">
        <f t="shared" si="47"/>
        <v>55602.112800000003</v>
      </c>
      <c r="S332" s="272">
        <f t="shared" si="48"/>
        <v>2125.44</v>
      </c>
    </row>
    <row r="333" spans="1:21" s="270" customFormat="1" x14ac:dyDescent="0.25">
      <c r="A333" s="335">
        <v>501445</v>
      </c>
      <c r="B333" s="271">
        <v>1451</v>
      </c>
      <c r="C333" s="271">
        <v>85630</v>
      </c>
      <c r="D333" s="268" t="s">
        <v>894</v>
      </c>
      <c r="E333" s="268" t="s">
        <v>1278</v>
      </c>
      <c r="F333" s="268" t="s">
        <v>2880</v>
      </c>
      <c r="G333" s="268">
        <v>10</v>
      </c>
      <c r="H333" s="268" t="s">
        <v>2881</v>
      </c>
      <c r="I333" s="268" t="s">
        <v>2848</v>
      </c>
      <c r="J333" s="272">
        <v>307704</v>
      </c>
      <c r="K333" s="272">
        <f t="shared" si="43"/>
        <v>25642</v>
      </c>
      <c r="L333" s="272">
        <f t="shared" si="44"/>
        <v>12141.24</v>
      </c>
      <c r="M333" s="269">
        <v>0</v>
      </c>
      <c r="N333" s="272">
        <f t="shared" si="49"/>
        <v>129.60000000000002</v>
      </c>
      <c r="O333" s="273">
        <v>0</v>
      </c>
      <c r="P333" s="273">
        <f t="shared" si="45"/>
        <v>5384.8200000000006</v>
      </c>
      <c r="Q333" s="272">
        <f t="shared" si="46"/>
        <v>60084</v>
      </c>
      <c r="R333" s="272">
        <f t="shared" si="47"/>
        <v>55602.112800000003</v>
      </c>
      <c r="S333" s="272">
        <f t="shared" si="48"/>
        <v>2125.44</v>
      </c>
    </row>
    <row r="334" spans="1:21" x14ac:dyDescent="0.25">
      <c r="A334" s="337">
        <v>501444</v>
      </c>
      <c r="B334" s="276">
        <v>1444</v>
      </c>
      <c r="C334" s="276">
        <v>23427</v>
      </c>
      <c r="D334" s="268" t="s">
        <v>894</v>
      </c>
      <c r="E334" s="268" t="s">
        <v>1290</v>
      </c>
      <c r="F334" s="268" t="s">
        <v>2497</v>
      </c>
      <c r="G334" s="268">
        <v>10</v>
      </c>
      <c r="H334" s="268" t="s">
        <v>2882</v>
      </c>
      <c r="I334" s="268" t="s">
        <v>2883</v>
      </c>
      <c r="J334" s="269">
        <v>300552</v>
      </c>
      <c r="K334" s="273">
        <f t="shared" si="43"/>
        <v>25046</v>
      </c>
      <c r="L334" s="272">
        <f t="shared" si="44"/>
        <v>12141.24</v>
      </c>
      <c r="M334" s="269">
        <f>500*12</f>
        <v>6000</v>
      </c>
      <c r="N334" s="273">
        <f t="shared" si="49"/>
        <v>129.60000000000002</v>
      </c>
      <c r="O334" s="273">
        <v>0</v>
      </c>
      <c r="P334" s="273">
        <f t="shared" si="45"/>
        <v>5259.6600000000008</v>
      </c>
      <c r="Q334" s="272">
        <f t="shared" si="46"/>
        <v>60084</v>
      </c>
      <c r="R334" s="273">
        <f t="shared" si="47"/>
        <v>54309.746399999996</v>
      </c>
      <c r="S334" s="273">
        <f t="shared" si="48"/>
        <v>2125.44</v>
      </c>
      <c r="T334" s="270"/>
      <c r="U334" s="270"/>
    </row>
    <row r="335" spans="1:21" s="270" customFormat="1" x14ac:dyDescent="0.25">
      <c r="A335" s="335">
        <v>501443</v>
      </c>
      <c r="B335" s="271">
        <v>1443</v>
      </c>
      <c r="C335" s="271">
        <v>34720</v>
      </c>
      <c r="D335" s="268" t="s">
        <v>894</v>
      </c>
      <c r="E335" s="268" t="s">
        <v>1290</v>
      </c>
      <c r="F335" s="268" t="s">
        <v>2878</v>
      </c>
      <c r="G335" s="268">
        <v>10</v>
      </c>
      <c r="H335" s="268" t="s">
        <v>2884</v>
      </c>
      <c r="I335" s="268" t="s">
        <v>2885</v>
      </c>
      <c r="J335" s="272">
        <v>300552</v>
      </c>
      <c r="K335" s="272">
        <f t="shared" si="43"/>
        <v>25046</v>
      </c>
      <c r="L335" s="272">
        <f t="shared" si="44"/>
        <v>12141.24</v>
      </c>
      <c r="M335" s="269">
        <v>0</v>
      </c>
      <c r="N335" s="272">
        <f t="shared" si="49"/>
        <v>129.60000000000002</v>
      </c>
      <c r="O335" s="273">
        <v>0</v>
      </c>
      <c r="P335" s="273">
        <f t="shared" si="45"/>
        <v>5259.6600000000008</v>
      </c>
      <c r="Q335" s="272">
        <f t="shared" si="46"/>
        <v>60084</v>
      </c>
      <c r="R335" s="272">
        <f t="shared" si="47"/>
        <v>54309.746399999996</v>
      </c>
      <c r="S335" s="272">
        <f t="shared" si="48"/>
        <v>2125.44</v>
      </c>
    </row>
    <row r="336" spans="1:21" s="270" customFormat="1" x14ac:dyDescent="0.25">
      <c r="A336" s="335">
        <v>501443</v>
      </c>
      <c r="B336" s="271">
        <v>1443</v>
      </c>
      <c r="C336" s="271">
        <v>58900</v>
      </c>
      <c r="D336" s="268" t="s">
        <v>894</v>
      </c>
      <c r="E336" s="268" t="s">
        <v>1290</v>
      </c>
      <c r="F336" s="268" t="s">
        <v>2886</v>
      </c>
      <c r="G336" s="268">
        <v>10</v>
      </c>
      <c r="H336" s="268" t="s">
        <v>2887</v>
      </c>
      <c r="I336" s="268" t="s">
        <v>2888</v>
      </c>
      <c r="J336" s="272">
        <v>300552</v>
      </c>
      <c r="K336" s="272">
        <f t="shared" si="43"/>
        <v>25046</v>
      </c>
      <c r="L336" s="272">
        <f t="shared" si="44"/>
        <v>12141.24</v>
      </c>
      <c r="M336" s="269">
        <v>0</v>
      </c>
      <c r="N336" s="272">
        <f t="shared" si="49"/>
        <v>129.60000000000002</v>
      </c>
      <c r="O336" s="273">
        <v>0</v>
      </c>
      <c r="P336" s="273">
        <f t="shared" si="45"/>
        <v>5259.6600000000008</v>
      </c>
      <c r="Q336" s="272">
        <f t="shared" si="46"/>
        <v>60084</v>
      </c>
      <c r="R336" s="272">
        <f t="shared" si="47"/>
        <v>54309.746399999996</v>
      </c>
      <c r="S336" s="272">
        <f t="shared" si="48"/>
        <v>2125.44</v>
      </c>
    </row>
    <row r="337" spans="1:21" s="270" customFormat="1" x14ac:dyDescent="0.25">
      <c r="A337" s="337">
        <v>501444</v>
      </c>
      <c r="B337" s="276">
        <v>1444</v>
      </c>
      <c r="C337" s="276">
        <v>33954</v>
      </c>
      <c r="D337" s="268" t="s">
        <v>894</v>
      </c>
      <c r="E337" s="268" t="s">
        <v>1290</v>
      </c>
      <c r="F337" s="268" t="s">
        <v>1306</v>
      </c>
      <c r="G337" s="268">
        <v>10</v>
      </c>
      <c r="H337" s="268" t="s">
        <v>2889</v>
      </c>
      <c r="I337" s="268" t="s">
        <v>2890</v>
      </c>
      <c r="J337" s="269">
        <v>293676</v>
      </c>
      <c r="K337" s="273">
        <f t="shared" si="43"/>
        <v>24473</v>
      </c>
      <c r="L337" s="272">
        <f t="shared" si="44"/>
        <v>12141.24</v>
      </c>
      <c r="M337" s="269">
        <f>500*12</f>
        <v>6000</v>
      </c>
      <c r="N337" s="273">
        <f t="shared" si="49"/>
        <v>129.60000000000002</v>
      </c>
      <c r="O337" s="273">
        <v>0</v>
      </c>
      <c r="P337" s="273">
        <f t="shared" si="45"/>
        <v>5139.3300000000008</v>
      </c>
      <c r="Q337" s="272">
        <f t="shared" si="46"/>
        <v>60084</v>
      </c>
      <c r="R337" s="273">
        <f t="shared" si="47"/>
        <v>53067.253199999999</v>
      </c>
      <c r="S337" s="273">
        <f t="shared" si="48"/>
        <v>2125.44</v>
      </c>
    </row>
    <row r="338" spans="1:21" s="270" customFormat="1" x14ac:dyDescent="0.25">
      <c r="A338" s="335">
        <v>501406</v>
      </c>
      <c r="B338" s="271">
        <v>1406</v>
      </c>
      <c r="C338" s="271">
        <v>35897</v>
      </c>
      <c r="D338" s="268" t="s">
        <v>894</v>
      </c>
      <c r="E338" s="268" t="s">
        <v>1278</v>
      </c>
      <c r="F338" s="268" t="s">
        <v>2502</v>
      </c>
      <c r="G338" s="268">
        <v>10</v>
      </c>
      <c r="H338" s="268" t="s">
        <v>2891</v>
      </c>
      <c r="I338" s="268" t="s">
        <v>2844</v>
      </c>
      <c r="J338" s="272">
        <v>293676</v>
      </c>
      <c r="K338" s="272">
        <f t="shared" si="43"/>
        <v>24473</v>
      </c>
      <c r="L338" s="272">
        <f t="shared" si="44"/>
        <v>12141.24</v>
      </c>
      <c r="M338" s="269">
        <v>0</v>
      </c>
      <c r="N338" s="272">
        <f t="shared" si="49"/>
        <v>129.60000000000002</v>
      </c>
      <c r="O338" s="273">
        <v>0</v>
      </c>
      <c r="P338" s="273">
        <f t="shared" si="45"/>
        <v>5139.3300000000008</v>
      </c>
      <c r="Q338" s="272">
        <f t="shared" si="46"/>
        <v>60084</v>
      </c>
      <c r="R338" s="272">
        <f t="shared" si="47"/>
        <v>53067.253199999999</v>
      </c>
      <c r="S338" s="272">
        <f t="shared" si="48"/>
        <v>2125.44</v>
      </c>
    </row>
    <row r="339" spans="1:21" s="270" customFormat="1" x14ac:dyDescent="0.25">
      <c r="A339" s="335">
        <v>501443</v>
      </c>
      <c r="B339" s="271">
        <v>1443</v>
      </c>
      <c r="C339" s="271">
        <v>58586</v>
      </c>
      <c r="D339" s="268" t="s">
        <v>894</v>
      </c>
      <c r="E339" s="268" t="s">
        <v>1290</v>
      </c>
      <c r="F339" s="268" t="s">
        <v>2768</v>
      </c>
      <c r="G339" s="268">
        <v>10</v>
      </c>
      <c r="H339" s="268" t="s">
        <v>2892</v>
      </c>
      <c r="I339" s="268" t="s">
        <v>2890</v>
      </c>
      <c r="J339" s="272">
        <v>293676</v>
      </c>
      <c r="K339" s="272">
        <f t="shared" si="43"/>
        <v>24473</v>
      </c>
      <c r="L339" s="272">
        <f t="shared" si="44"/>
        <v>12141.24</v>
      </c>
      <c r="M339" s="269">
        <v>0</v>
      </c>
      <c r="N339" s="272">
        <f t="shared" si="49"/>
        <v>129.60000000000002</v>
      </c>
      <c r="O339" s="273">
        <v>0</v>
      </c>
      <c r="P339" s="273">
        <f t="shared" si="45"/>
        <v>5139.3300000000008</v>
      </c>
      <c r="Q339" s="272">
        <f t="shared" si="46"/>
        <v>60084</v>
      </c>
      <c r="R339" s="272">
        <f t="shared" si="47"/>
        <v>53067.253199999999</v>
      </c>
      <c r="S339" s="272">
        <f t="shared" si="48"/>
        <v>2125.44</v>
      </c>
    </row>
    <row r="340" spans="1:21" s="270" customFormat="1" x14ac:dyDescent="0.25">
      <c r="A340" s="335">
        <v>501406</v>
      </c>
      <c r="B340" s="271">
        <v>1406</v>
      </c>
      <c r="C340" s="271">
        <v>59543</v>
      </c>
      <c r="D340" s="268" t="s">
        <v>894</v>
      </c>
      <c r="E340" s="268" t="s">
        <v>1278</v>
      </c>
      <c r="F340" s="268" t="s">
        <v>2893</v>
      </c>
      <c r="G340" s="268">
        <v>10</v>
      </c>
      <c r="H340" s="268" t="s">
        <v>2894</v>
      </c>
      <c r="I340" s="268" t="s">
        <v>2848</v>
      </c>
      <c r="J340" s="272">
        <v>293676</v>
      </c>
      <c r="K340" s="272">
        <f t="shared" si="43"/>
        <v>24473</v>
      </c>
      <c r="L340" s="272">
        <f t="shared" si="44"/>
        <v>12141.24</v>
      </c>
      <c r="M340" s="269">
        <v>0</v>
      </c>
      <c r="N340" s="272">
        <f t="shared" si="49"/>
        <v>129.60000000000002</v>
      </c>
      <c r="O340" s="273">
        <v>0</v>
      </c>
      <c r="P340" s="273">
        <f t="shared" si="45"/>
        <v>5139.3300000000008</v>
      </c>
      <c r="Q340" s="272">
        <f t="shared" si="46"/>
        <v>60084</v>
      </c>
      <c r="R340" s="272">
        <f t="shared" si="47"/>
        <v>53067.253199999999</v>
      </c>
      <c r="S340" s="272">
        <f t="shared" si="48"/>
        <v>2125.44</v>
      </c>
    </row>
    <row r="341" spans="1:21" s="270" customFormat="1" x14ac:dyDescent="0.25">
      <c r="A341" s="335">
        <v>501444</v>
      </c>
      <c r="B341" s="271">
        <v>1444</v>
      </c>
      <c r="C341" s="271">
        <v>83690</v>
      </c>
      <c r="D341" s="268" t="s">
        <v>894</v>
      </c>
      <c r="E341" s="268" t="s">
        <v>1278</v>
      </c>
      <c r="F341" s="268" t="s">
        <v>2895</v>
      </c>
      <c r="G341" s="268">
        <v>10</v>
      </c>
      <c r="H341" s="268" t="s">
        <v>2896</v>
      </c>
      <c r="I341" s="268" t="s">
        <v>2848</v>
      </c>
      <c r="J341" s="272">
        <v>293676</v>
      </c>
      <c r="K341" s="272">
        <f t="shared" si="43"/>
        <v>24473</v>
      </c>
      <c r="L341" s="272">
        <f t="shared" si="44"/>
        <v>12141.24</v>
      </c>
      <c r="M341" s="269">
        <v>0</v>
      </c>
      <c r="N341" s="272">
        <f t="shared" si="49"/>
        <v>129.60000000000002</v>
      </c>
      <c r="O341" s="273">
        <v>0</v>
      </c>
      <c r="P341" s="273">
        <f t="shared" si="45"/>
        <v>5139.3300000000008</v>
      </c>
      <c r="Q341" s="272">
        <f t="shared" si="46"/>
        <v>60084</v>
      </c>
      <c r="R341" s="272">
        <f t="shared" si="47"/>
        <v>53067.253199999999</v>
      </c>
      <c r="S341" s="272">
        <f t="shared" si="48"/>
        <v>2125.44</v>
      </c>
    </row>
    <row r="342" spans="1:21" s="270" customFormat="1" x14ac:dyDescent="0.25">
      <c r="A342" s="335">
        <v>501443</v>
      </c>
      <c r="B342" s="271">
        <v>1443</v>
      </c>
      <c r="C342" s="271">
        <v>27601</v>
      </c>
      <c r="D342" s="268" t="s">
        <v>894</v>
      </c>
      <c r="E342" s="268" t="s">
        <v>1290</v>
      </c>
      <c r="F342" s="268" t="s">
        <v>2897</v>
      </c>
      <c r="G342" s="268">
        <v>10</v>
      </c>
      <c r="H342" s="268" t="s">
        <v>2898</v>
      </c>
      <c r="I342" s="268" t="s">
        <v>2787</v>
      </c>
      <c r="J342" s="272">
        <v>286944</v>
      </c>
      <c r="K342" s="272">
        <f t="shared" si="43"/>
        <v>23912</v>
      </c>
      <c r="L342" s="272">
        <f t="shared" si="44"/>
        <v>12141.24</v>
      </c>
      <c r="M342" s="269">
        <v>0</v>
      </c>
      <c r="N342" s="272">
        <f t="shared" si="49"/>
        <v>129.60000000000002</v>
      </c>
      <c r="O342" s="273">
        <v>0</v>
      </c>
      <c r="P342" s="273">
        <f t="shared" si="45"/>
        <v>5021.5200000000004</v>
      </c>
      <c r="Q342" s="272">
        <f t="shared" si="46"/>
        <v>60084</v>
      </c>
      <c r="R342" s="272">
        <f t="shared" si="47"/>
        <v>51850.7808</v>
      </c>
      <c r="S342" s="272">
        <f t="shared" si="48"/>
        <v>2125.44</v>
      </c>
    </row>
    <row r="343" spans="1:21" s="270" customFormat="1" x14ac:dyDescent="0.25">
      <c r="A343" s="335">
        <v>501443</v>
      </c>
      <c r="B343" s="271">
        <v>1443</v>
      </c>
      <c r="C343" s="271">
        <v>44383</v>
      </c>
      <c r="D343" s="268" t="s">
        <v>894</v>
      </c>
      <c r="E343" s="268" t="s">
        <v>1290</v>
      </c>
      <c r="F343" s="268" t="s">
        <v>2838</v>
      </c>
      <c r="G343" s="268">
        <v>10</v>
      </c>
      <c r="H343" s="268" t="s">
        <v>2899</v>
      </c>
      <c r="I343" s="268" t="s">
        <v>2883</v>
      </c>
      <c r="J343" s="272">
        <v>286944</v>
      </c>
      <c r="K343" s="272">
        <f t="shared" si="43"/>
        <v>23912</v>
      </c>
      <c r="L343" s="272">
        <f t="shared" si="44"/>
        <v>12141.24</v>
      </c>
      <c r="M343" s="269">
        <v>0</v>
      </c>
      <c r="N343" s="272">
        <f t="shared" si="49"/>
        <v>129.60000000000002</v>
      </c>
      <c r="O343" s="273">
        <v>0</v>
      </c>
      <c r="P343" s="273">
        <f t="shared" si="45"/>
        <v>5021.5200000000004</v>
      </c>
      <c r="Q343" s="272">
        <f t="shared" si="46"/>
        <v>60084</v>
      </c>
      <c r="R343" s="272">
        <f t="shared" si="47"/>
        <v>51850.7808</v>
      </c>
      <c r="S343" s="272">
        <f t="shared" si="48"/>
        <v>2125.44</v>
      </c>
    </row>
    <row r="344" spans="1:21" s="270" customFormat="1" x14ac:dyDescent="0.25">
      <c r="A344" s="335">
        <v>501443</v>
      </c>
      <c r="B344" s="271">
        <v>1443</v>
      </c>
      <c r="C344" s="271">
        <v>58366</v>
      </c>
      <c r="D344" s="268" t="s">
        <v>894</v>
      </c>
      <c r="E344" s="268" t="s">
        <v>1290</v>
      </c>
      <c r="F344" s="268" t="s">
        <v>2900</v>
      </c>
      <c r="G344" s="268">
        <v>10</v>
      </c>
      <c r="H344" s="268" t="s">
        <v>2901</v>
      </c>
      <c r="I344" s="268" t="s">
        <v>2902</v>
      </c>
      <c r="J344" s="272">
        <v>286944</v>
      </c>
      <c r="K344" s="272">
        <f t="shared" si="43"/>
        <v>23912</v>
      </c>
      <c r="L344" s="272">
        <f t="shared" si="44"/>
        <v>12141.24</v>
      </c>
      <c r="M344" s="269">
        <v>0</v>
      </c>
      <c r="N344" s="272">
        <f t="shared" si="49"/>
        <v>129.60000000000002</v>
      </c>
      <c r="O344" s="273">
        <v>0</v>
      </c>
      <c r="P344" s="273">
        <f t="shared" si="45"/>
        <v>5021.5200000000004</v>
      </c>
      <c r="Q344" s="272">
        <f t="shared" si="46"/>
        <v>60084</v>
      </c>
      <c r="R344" s="272">
        <f t="shared" si="47"/>
        <v>51850.7808</v>
      </c>
      <c r="S344" s="272">
        <f t="shared" si="48"/>
        <v>2125.44</v>
      </c>
      <c r="T344" s="277"/>
      <c r="U344" s="277"/>
    </row>
    <row r="345" spans="1:21" s="270" customFormat="1" x14ac:dyDescent="0.25">
      <c r="A345" s="335">
        <v>501443</v>
      </c>
      <c r="B345" s="271">
        <v>1443</v>
      </c>
      <c r="C345" s="271">
        <v>85711</v>
      </c>
      <c r="D345" s="268" t="s">
        <v>894</v>
      </c>
      <c r="E345" s="268" t="s">
        <v>1290</v>
      </c>
      <c r="F345" s="268" t="s">
        <v>2903</v>
      </c>
      <c r="G345" s="268">
        <v>10</v>
      </c>
      <c r="H345" s="268" t="s">
        <v>2904</v>
      </c>
      <c r="I345" s="268" t="s">
        <v>2883</v>
      </c>
      <c r="J345" s="272">
        <v>286944</v>
      </c>
      <c r="K345" s="272">
        <f t="shared" si="43"/>
        <v>23912</v>
      </c>
      <c r="L345" s="272">
        <f t="shared" si="44"/>
        <v>12141.24</v>
      </c>
      <c r="M345" s="269">
        <v>0</v>
      </c>
      <c r="N345" s="272">
        <f t="shared" si="49"/>
        <v>129.60000000000002</v>
      </c>
      <c r="O345" s="273">
        <v>0</v>
      </c>
      <c r="P345" s="273">
        <f t="shared" si="45"/>
        <v>5021.5200000000004</v>
      </c>
      <c r="Q345" s="272">
        <f t="shared" si="46"/>
        <v>60084</v>
      </c>
      <c r="R345" s="272">
        <f t="shared" si="47"/>
        <v>51850.7808</v>
      </c>
      <c r="S345" s="272">
        <f t="shared" si="48"/>
        <v>2125.44</v>
      </c>
    </row>
    <row r="346" spans="1:21" s="270" customFormat="1" x14ac:dyDescent="0.25">
      <c r="A346" s="335">
        <v>501204</v>
      </c>
      <c r="B346" s="271">
        <v>1204</v>
      </c>
      <c r="C346" s="271">
        <v>85795</v>
      </c>
      <c r="D346" s="268" t="s">
        <v>894</v>
      </c>
      <c r="E346" s="268" t="s">
        <v>1278</v>
      </c>
      <c r="F346" s="268" t="s">
        <v>2512</v>
      </c>
      <c r="G346" s="268">
        <v>10</v>
      </c>
      <c r="H346" s="268" t="s">
        <v>2905</v>
      </c>
      <c r="I346" s="268" t="s">
        <v>2906</v>
      </c>
      <c r="J346" s="272">
        <v>273912</v>
      </c>
      <c r="K346" s="272">
        <f t="shared" si="43"/>
        <v>22826</v>
      </c>
      <c r="L346" s="272">
        <f t="shared" si="44"/>
        <v>12141.24</v>
      </c>
      <c r="M346" s="269">
        <v>0</v>
      </c>
      <c r="N346" s="272">
        <f t="shared" si="49"/>
        <v>129.60000000000002</v>
      </c>
      <c r="O346" s="273">
        <v>0</v>
      </c>
      <c r="P346" s="273">
        <f t="shared" si="45"/>
        <v>4793.46</v>
      </c>
      <c r="Q346" s="272">
        <f t="shared" si="46"/>
        <v>60084</v>
      </c>
      <c r="R346" s="272">
        <f t="shared" si="47"/>
        <v>49495.898399999998</v>
      </c>
      <c r="S346" s="272">
        <f t="shared" si="48"/>
        <v>2125.44</v>
      </c>
    </row>
    <row r="347" spans="1:21" s="270" customFormat="1" x14ac:dyDescent="0.25">
      <c r="A347" s="335">
        <v>501406</v>
      </c>
      <c r="B347" s="271">
        <v>1406</v>
      </c>
      <c r="C347" s="271">
        <v>200176</v>
      </c>
      <c r="D347" s="268" t="s">
        <v>894</v>
      </c>
      <c r="E347" s="268" t="s">
        <v>1278</v>
      </c>
      <c r="F347" s="268" t="s">
        <v>2193</v>
      </c>
      <c r="G347" s="268">
        <v>10</v>
      </c>
      <c r="H347" s="268" t="s">
        <v>2907</v>
      </c>
      <c r="I347" s="268" t="s">
        <v>2848</v>
      </c>
      <c r="J347" s="272">
        <v>273912</v>
      </c>
      <c r="K347" s="272">
        <f t="shared" si="43"/>
        <v>22826</v>
      </c>
      <c r="L347" s="272">
        <f t="shared" si="44"/>
        <v>12141.24</v>
      </c>
      <c r="M347" s="269">
        <v>0</v>
      </c>
      <c r="N347" s="272">
        <f t="shared" si="49"/>
        <v>129.60000000000002</v>
      </c>
      <c r="O347" s="273">
        <v>0</v>
      </c>
      <c r="P347" s="273">
        <f t="shared" si="45"/>
        <v>4793.46</v>
      </c>
      <c r="Q347" s="272">
        <f t="shared" si="46"/>
        <v>60084</v>
      </c>
      <c r="R347" s="272">
        <f t="shared" si="47"/>
        <v>49495.898399999998</v>
      </c>
      <c r="S347" s="272">
        <f t="shared" si="48"/>
        <v>2125.44</v>
      </c>
    </row>
    <row r="348" spans="1:21" s="270" customFormat="1" x14ac:dyDescent="0.25">
      <c r="A348" s="335">
        <v>501443</v>
      </c>
      <c r="B348" s="271">
        <v>1443</v>
      </c>
      <c r="C348" s="271">
        <v>1601</v>
      </c>
      <c r="D348" s="268" t="s">
        <v>894</v>
      </c>
      <c r="E348" s="268" t="s">
        <v>1290</v>
      </c>
      <c r="F348" s="268" t="s">
        <v>2450</v>
      </c>
      <c r="G348" s="268">
        <v>11</v>
      </c>
      <c r="H348" s="268" t="s">
        <v>2322</v>
      </c>
      <c r="I348" s="268" t="s">
        <v>2908</v>
      </c>
      <c r="J348" s="272">
        <v>273912</v>
      </c>
      <c r="K348" s="272">
        <f t="shared" si="43"/>
        <v>22826</v>
      </c>
      <c r="L348" s="272">
        <f t="shared" si="44"/>
        <v>12141.24</v>
      </c>
      <c r="M348" s="269">
        <v>0</v>
      </c>
      <c r="N348" s="272">
        <f t="shared" si="49"/>
        <v>129.60000000000002</v>
      </c>
      <c r="O348" s="273">
        <v>0</v>
      </c>
      <c r="P348" s="273">
        <f t="shared" si="45"/>
        <v>4793.46</v>
      </c>
      <c r="Q348" s="272">
        <f t="shared" si="46"/>
        <v>60084</v>
      </c>
      <c r="R348" s="272">
        <f t="shared" si="47"/>
        <v>49495.898399999998</v>
      </c>
      <c r="S348" s="272">
        <f t="shared" si="48"/>
        <v>2125.44</v>
      </c>
    </row>
    <row r="349" spans="1:21" x14ac:dyDescent="0.25">
      <c r="A349" s="335">
        <v>501443</v>
      </c>
      <c r="B349" s="271">
        <v>1443</v>
      </c>
      <c r="C349" s="271">
        <v>59666</v>
      </c>
      <c r="D349" s="268" t="s">
        <v>894</v>
      </c>
      <c r="E349" s="268" t="s">
        <v>1278</v>
      </c>
      <c r="F349" s="268" t="s">
        <v>2520</v>
      </c>
      <c r="G349" s="268">
        <v>11</v>
      </c>
      <c r="H349" s="268" t="s">
        <v>2909</v>
      </c>
      <c r="I349" s="268" t="s">
        <v>2910</v>
      </c>
      <c r="J349" s="272">
        <v>273912</v>
      </c>
      <c r="K349" s="272">
        <f t="shared" si="43"/>
        <v>22826</v>
      </c>
      <c r="L349" s="272">
        <f t="shared" si="44"/>
        <v>12141.24</v>
      </c>
      <c r="M349" s="269">
        <v>0</v>
      </c>
      <c r="N349" s="272">
        <f t="shared" si="49"/>
        <v>129.60000000000002</v>
      </c>
      <c r="O349" s="273">
        <v>0</v>
      </c>
      <c r="P349" s="273">
        <f t="shared" si="45"/>
        <v>4793.46</v>
      </c>
      <c r="Q349" s="272">
        <f t="shared" si="46"/>
        <v>60084</v>
      </c>
      <c r="R349" s="272">
        <f t="shared" si="47"/>
        <v>49495.898399999998</v>
      </c>
      <c r="S349" s="272">
        <f t="shared" si="48"/>
        <v>2125.44</v>
      </c>
    </row>
    <row r="350" spans="1:21" s="270" customFormat="1" x14ac:dyDescent="0.25">
      <c r="A350" s="335">
        <v>501206</v>
      </c>
      <c r="B350" s="271">
        <v>1206</v>
      </c>
      <c r="C350" s="271">
        <v>59909</v>
      </c>
      <c r="D350" s="268" t="s">
        <v>876</v>
      </c>
      <c r="E350" s="268" t="s">
        <v>1290</v>
      </c>
      <c r="F350" s="268" t="s">
        <v>731</v>
      </c>
      <c r="G350" s="268">
        <v>11</v>
      </c>
      <c r="H350" s="268" t="s">
        <v>2911</v>
      </c>
      <c r="I350" s="268" t="s">
        <v>2912</v>
      </c>
      <c r="J350" s="272">
        <v>273912</v>
      </c>
      <c r="K350" s="272">
        <f t="shared" si="43"/>
        <v>22826</v>
      </c>
      <c r="L350" s="272">
        <f t="shared" si="44"/>
        <v>12141.24</v>
      </c>
      <c r="M350" s="269">
        <v>0</v>
      </c>
      <c r="N350" s="272">
        <f t="shared" si="49"/>
        <v>129.60000000000002</v>
      </c>
      <c r="O350" s="273">
        <v>0</v>
      </c>
      <c r="P350" s="273">
        <f t="shared" si="45"/>
        <v>4793.46</v>
      </c>
      <c r="Q350" s="272">
        <f t="shared" si="46"/>
        <v>60084</v>
      </c>
      <c r="R350" s="272">
        <f t="shared" si="47"/>
        <v>49495.898399999998</v>
      </c>
      <c r="S350" s="272">
        <f t="shared" si="48"/>
        <v>2125.44</v>
      </c>
    </row>
    <row r="351" spans="1:21" s="270" customFormat="1" x14ac:dyDescent="0.25">
      <c r="A351" s="335">
        <v>501101</v>
      </c>
      <c r="B351" s="271">
        <v>1101</v>
      </c>
      <c r="C351" s="271">
        <v>84848</v>
      </c>
      <c r="D351" s="268" t="s">
        <v>894</v>
      </c>
      <c r="E351" s="268" t="s">
        <v>1278</v>
      </c>
      <c r="F351" s="268" t="s">
        <v>2913</v>
      </c>
      <c r="G351" s="268">
        <v>11</v>
      </c>
      <c r="H351" s="268" t="s">
        <v>2914</v>
      </c>
      <c r="I351" s="268" t="s">
        <v>2915</v>
      </c>
      <c r="J351" s="272">
        <v>273912</v>
      </c>
      <c r="K351" s="272">
        <f t="shared" si="43"/>
        <v>22826</v>
      </c>
      <c r="L351" s="272">
        <f t="shared" si="44"/>
        <v>12141.24</v>
      </c>
      <c r="M351" s="269">
        <v>0</v>
      </c>
      <c r="N351" s="272">
        <f t="shared" si="49"/>
        <v>129.60000000000002</v>
      </c>
      <c r="O351" s="273">
        <v>0</v>
      </c>
      <c r="P351" s="273">
        <f t="shared" si="45"/>
        <v>4793.46</v>
      </c>
      <c r="Q351" s="272">
        <f t="shared" si="46"/>
        <v>60084</v>
      </c>
      <c r="R351" s="272">
        <f t="shared" si="47"/>
        <v>49495.898399999998</v>
      </c>
      <c r="S351" s="272">
        <f t="shared" si="48"/>
        <v>2125.44</v>
      </c>
    </row>
    <row r="352" spans="1:21" s="270" customFormat="1" x14ac:dyDescent="0.25">
      <c r="A352" s="335">
        <v>501206</v>
      </c>
      <c r="B352" s="271">
        <v>1206</v>
      </c>
      <c r="C352" s="271">
        <v>85740</v>
      </c>
      <c r="D352" s="268" t="s">
        <v>876</v>
      </c>
      <c r="E352" s="268" t="s">
        <v>1278</v>
      </c>
      <c r="F352" s="268" t="s">
        <v>2802</v>
      </c>
      <c r="G352" s="268">
        <v>11</v>
      </c>
      <c r="H352" s="268" t="s">
        <v>2916</v>
      </c>
      <c r="I352" s="268" t="s">
        <v>2917</v>
      </c>
      <c r="J352" s="272">
        <v>273912</v>
      </c>
      <c r="K352" s="272">
        <f t="shared" si="43"/>
        <v>22826</v>
      </c>
      <c r="L352" s="272">
        <f t="shared" si="44"/>
        <v>12141.24</v>
      </c>
      <c r="M352" s="269">
        <v>0</v>
      </c>
      <c r="N352" s="272">
        <f t="shared" si="49"/>
        <v>129.60000000000002</v>
      </c>
      <c r="O352" s="273">
        <v>0</v>
      </c>
      <c r="P352" s="273">
        <f t="shared" si="45"/>
        <v>4793.46</v>
      </c>
      <c r="Q352" s="272">
        <f t="shared" si="46"/>
        <v>60084</v>
      </c>
      <c r="R352" s="272">
        <f t="shared" si="47"/>
        <v>49495.898399999998</v>
      </c>
      <c r="S352" s="272">
        <f t="shared" si="48"/>
        <v>2125.44</v>
      </c>
    </row>
    <row r="353" spans="1:21" s="270" customFormat="1" x14ac:dyDescent="0.25">
      <c r="A353" s="335">
        <v>501443</v>
      </c>
      <c r="B353" s="271">
        <v>1443</v>
      </c>
      <c r="C353" s="271">
        <v>91983</v>
      </c>
      <c r="D353" s="268" t="s">
        <v>876</v>
      </c>
      <c r="E353" s="268" t="s">
        <v>1290</v>
      </c>
      <c r="F353" s="268" t="s">
        <v>2627</v>
      </c>
      <c r="G353" s="268">
        <v>11</v>
      </c>
      <c r="H353" s="268" t="s">
        <v>2918</v>
      </c>
      <c r="I353" s="268" t="s">
        <v>2912</v>
      </c>
      <c r="J353" s="272">
        <v>273912</v>
      </c>
      <c r="K353" s="272">
        <f t="shared" si="43"/>
        <v>22826</v>
      </c>
      <c r="L353" s="272">
        <f t="shared" si="44"/>
        <v>12141.24</v>
      </c>
      <c r="M353" s="269">
        <v>0</v>
      </c>
      <c r="N353" s="272">
        <f t="shared" si="49"/>
        <v>129.60000000000002</v>
      </c>
      <c r="O353" s="273">
        <v>0</v>
      </c>
      <c r="P353" s="273">
        <f t="shared" si="45"/>
        <v>4793.46</v>
      </c>
      <c r="Q353" s="272">
        <f t="shared" si="46"/>
        <v>60084</v>
      </c>
      <c r="R353" s="272">
        <f t="shared" si="47"/>
        <v>49495.898399999998</v>
      </c>
      <c r="S353" s="272">
        <f t="shared" si="48"/>
        <v>2125.44</v>
      </c>
    </row>
    <row r="354" spans="1:21" s="270" customFormat="1" x14ac:dyDescent="0.25">
      <c r="A354" s="335">
        <v>501103</v>
      </c>
      <c r="B354" s="271">
        <v>1103</v>
      </c>
      <c r="C354" s="271">
        <v>200044</v>
      </c>
      <c r="D354" s="268" t="s">
        <v>894</v>
      </c>
      <c r="E354" s="268" t="s">
        <v>1290</v>
      </c>
      <c r="F354" s="268" t="s">
        <v>1306</v>
      </c>
      <c r="G354" s="268">
        <v>11</v>
      </c>
      <c r="H354" s="268" t="s">
        <v>2919</v>
      </c>
      <c r="I354" s="268" t="s">
        <v>2835</v>
      </c>
      <c r="J354" s="272">
        <v>273912</v>
      </c>
      <c r="K354" s="272">
        <f t="shared" si="43"/>
        <v>22826</v>
      </c>
      <c r="L354" s="272">
        <f t="shared" si="44"/>
        <v>12141.24</v>
      </c>
      <c r="M354" s="269">
        <v>0</v>
      </c>
      <c r="N354" s="272">
        <f t="shared" si="49"/>
        <v>129.60000000000002</v>
      </c>
      <c r="O354" s="273">
        <v>0</v>
      </c>
      <c r="P354" s="273">
        <f t="shared" si="45"/>
        <v>4793.46</v>
      </c>
      <c r="Q354" s="272">
        <f t="shared" si="46"/>
        <v>60084</v>
      </c>
      <c r="R354" s="272">
        <f t="shared" si="47"/>
        <v>49495.898399999998</v>
      </c>
      <c r="S354" s="272">
        <f t="shared" si="48"/>
        <v>2125.44</v>
      </c>
    </row>
    <row r="355" spans="1:21" s="270" customFormat="1" x14ac:dyDescent="0.25">
      <c r="A355" s="335">
        <v>114501</v>
      </c>
      <c r="B355" s="271">
        <v>1406</v>
      </c>
      <c r="C355" s="271">
        <v>200136</v>
      </c>
      <c r="D355" s="268" t="s">
        <v>894</v>
      </c>
      <c r="E355" s="268" t="s">
        <v>1290</v>
      </c>
      <c r="F355" s="268" t="s">
        <v>2920</v>
      </c>
      <c r="G355" s="268">
        <v>11</v>
      </c>
      <c r="H355" s="268" t="s">
        <v>2921</v>
      </c>
      <c r="I355" s="268" t="s">
        <v>2848</v>
      </c>
      <c r="J355" s="272">
        <v>273912</v>
      </c>
      <c r="K355" s="272">
        <f t="shared" si="43"/>
        <v>22826</v>
      </c>
      <c r="L355" s="272">
        <f t="shared" si="44"/>
        <v>12141.24</v>
      </c>
      <c r="M355" s="269">
        <v>0</v>
      </c>
      <c r="N355" s="272">
        <f t="shared" si="49"/>
        <v>129.60000000000002</v>
      </c>
      <c r="O355" s="273">
        <v>0</v>
      </c>
      <c r="P355" s="273">
        <f t="shared" si="45"/>
        <v>4793.46</v>
      </c>
      <c r="Q355" s="272">
        <f t="shared" si="46"/>
        <v>60084</v>
      </c>
      <c r="R355" s="272">
        <f t="shared" si="47"/>
        <v>49495.898399999998</v>
      </c>
      <c r="S355" s="272">
        <f t="shared" si="48"/>
        <v>2125.44</v>
      </c>
    </row>
    <row r="356" spans="1:21" s="270" customFormat="1" x14ac:dyDescent="0.25">
      <c r="A356" s="335">
        <v>501445</v>
      </c>
      <c r="B356" s="271">
        <v>1445</v>
      </c>
      <c r="C356" s="271">
        <v>200155</v>
      </c>
      <c r="D356" s="268" t="s">
        <v>894</v>
      </c>
      <c r="E356" s="268" t="s">
        <v>1278</v>
      </c>
      <c r="F356" s="268" t="s">
        <v>2922</v>
      </c>
      <c r="G356" s="268">
        <v>11</v>
      </c>
      <c r="H356" s="268" t="s">
        <v>2398</v>
      </c>
      <c r="I356" s="268" t="s">
        <v>2910</v>
      </c>
      <c r="J356" s="272">
        <v>273912</v>
      </c>
      <c r="K356" s="272">
        <f t="shared" si="43"/>
        <v>22826</v>
      </c>
      <c r="L356" s="272">
        <f t="shared" si="44"/>
        <v>12141.24</v>
      </c>
      <c r="M356" s="269">
        <v>0</v>
      </c>
      <c r="N356" s="272">
        <f t="shared" si="49"/>
        <v>129.60000000000002</v>
      </c>
      <c r="O356" s="273">
        <v>0</v>
      </c>
      <c r="P356" s="273">
        <f t="shared" si="45"/>
        <v>4793.46</v>
      </c>
      <c r="Q356" s="272">
        <f t="shared" si="46"/>
        <v>60084</v>
      </c>
      <c r="R356" s="272">
        <f t="shared" si="47"/>
        <v>49495.898399999998</v>
      </c>
      <c r="S356" s="272">
        <f t="shared" si="48"/>
        <v>2125.44</v>
      </c>
    </row>
    <row r="357" spans="1:21" s="270" customFormat="1" x14ac:dyDescent="0.25">
      <c r="A357" s="335">
        <v>501101</v>
      </c>
      <c r="B357" s="271">
        <v>1101</v>
      </c>
      <c r="C357" s="271">
        <v>200169</v>
      </c>
      <c r="D357" s="268" t="s">
        <v>894</v>
      </c>
      <c r="E357" s="268" t="s">
        <v>1278</v>
      </c>
      <c r="F357" s="268" t="s">
        <v>2391</v>
      </c>
      <c r="G357" s="268">
        <v>11</v>
      </c>
      <c r="H357" s="268" t="s">
        <v>2923</v>
      </c>
      <c r="I357" s="268" t="s">
        <v>2835</v>
      </c>
      <c r="J357" s="272">
        <v>273912</v>
      </c>
      <c r="K357" s="272">
        <f t="shared" si="43"/>
        <v>22826</v>
      </c>
      <c r="L357" s="272">
        <f t="shared" si="44"/>
        <v>12141.24</v>
      </c>
      <c r="M357" s="269">
        <v>0</v>
      </c>
      <c r="N357" s="272">
        <f t="shared" si="49"/>
        <v>129.60000000000002</v>
      </c>
      <c r="O357" s="273">
        <v>0</v>
      </c>
      <c r="P357" s="273">
        <f t="shared" si="45"/>
        <v>4793.46</v>
      </c>
      <c r="Q357" s="272">
        <f t="shared" si="46"/>
        <v>60084</v>
      </c>
      <c r="R357" s="272">
        <f t="shared" si="47"/>
        <v>49495.898399999998</v>
      </c>
      <c r="S357" s="272">
        <f t="shared" si="48"/>
        <v>2125.44</v>
      </c>
    </row>
    <row r="358" spans="1:21" s="270" customFormat="1" x14ac:dyDescent="0.25">
      <c r="A358" s="335">
        <v>501304</v>
      </c>
      <c r="B358" s="271">
        <v>1304</v>
      </c>
      <c r="C358" s="271">
        <v>200201</v>
      </c>
      <c r="D358" s="268" t="s">
        <v>894</v>
      </c>
      <c r="E358" s="268" t="s">
        <v>1278</v>
      </c>
      <c r="F358" s="268" t="s">
        <v>2742</v>
      </c>
      <c r="G358" s="268">
        <v>11</v>
      </c>
      <c r="H358" s="268" t="s">
        <v>2924</v>
      </c>
      <c r="I358" s="268" t="s">
        <v>2910</v>
      </c>
      <c r="J358" s="272">
        <v>273912</v>
      </c>
      <c r="K358" s="272">
        <f t="shared" si="43"/>
        <v>22826</v>
      </c>
      <c r="L358" s="272">
        <f t="shared" si="44"/>
        <v>12141.24</v>
      </c>
      <c r="M358" s="269">
        <v>0</v>
      </c>
      <c r="N358" s="272">
        <f t="shared" si="49"/>
        <v>129.60000000000002</v>
      </c>
      <c r="O358" s="273">
        <v>0</v>
      </c>
      <c r="P358" s="273">
        <f t="shared" si="45"/>
        <v>4793.46</v>
      </c>
      <c r="Q358" s="272">
        <f t="shared" si="46"/>
        <v>60084</v>
      </c>
      <c r="R358" s="272">
        <f t="shared" si="47"/>
        <v>49495.898399999998</v>
      </c>
      <c r="S358" s="272">
        <f t="shared" si="48"/>
        <v>2125.44</v>
      </c>
    </row>
    <row r="359" spans="1:21" s="270" customFormat="1" x14ac:dyDescent="0.25">
      <c r="A359" s="335">
        <v>501205</v>
      </c>
      <c r="B359" s="271">
        <v>1205</v>
      </c>
      <c r="C359" s="271">
        <v>200202</v>
      </c>
      <c r="D359" s="268" t="s">
        <v>894</v>
      </c>
      <c r="E359" s="268" t="s">
        <v>1278</v>
      </c>
      <c r="F359" s="268" t="s">
        <v>2925</v>
      </c>
      <c r="G359" s="268">
        <v>11</v>
      </c>
      <c r="H359" s="268" t="s">
        <v>2926</v>
      </c>
      <c r="I359" s="268" t="s">
        <v>2910</v>
      </c>
      <c r="J359" s="272">
        <v>273912</v>
      </c>
      <c r="K359" s="272">
        <f t="shared" si="43"/>
        <v>22826</v>
      </c>
      <c r="L359" s="272">
        <f t="shared" si="44"/>
        <v>12141.24</v>
      </c>
      <c r="M359" s="269">
        <v>0</v>
      </c>
      <c r="N359" s="272">
        <f t="shared" si="49"/>
        <v>129.60000000000002</v>
      </c>
      <c r="O359" s="273">
        <v>0</v>
      </c>
      <c r="P359" s="273">
        <f t="shared" si="45"/>
        <v>4793.46</v>
      </c>
      <c r="Q359" s="272">
        <f t="shared" si="46"/>
        <v>60084</v>
      </c>
      <c r="R359" s="272">
        <f t="shared" si="47"/>
        <v>49495.898399999998</v>
      </c>
      <c r="S359" s="272">
        <f t="shared" si="48"/>
        <v>2125.44</v>
      </c>
    </row>
    <row r="360" spans="1:21" x14ac:dyDescent="0.25">
      <c r="A360" s="335">
        <v>501503</v>
      </c>
      <c r="B360" s="271">
        <v>1503</v>
      </c>
      <c r="C360" s="271">
        <v>200203</v>
      </c>
      <c r="D360" s="268" t="s">
        <v>894</v>
      </c>
      <c r="E360" s="268" t="s">
        <v>1278</v>
      </c>
      <c r="F360" s="268" t="s">
        <v>2927</v>
      </c>
      <c r="G360" s="268">
        <v>11</v>
      </c>
      <c r="H360" s="268" t="s">
        <v>2928</v>
      </c>
      <c r="I360" s="268" t="s">
        <v>2929</v>
      </c>
      <c r="J360" s="272">
        <v>273912</v>
      </c>
      <c r="K360" s="272">
        <f t="shared" si="43"/>
        <v>22826</v>
      </c>
      <c r="L360" s="272">
        <f t="shared" si="44"/>
        <v>12141.24</v>
      </c>
      <c r="M360" s="269">
        <v>0</v>
      </c>
      <c r="N360" s="272">
        <f t="shared" si="49"/>
        <v>129.60000000000002</v>
      </c>
      <c r="O360" s="273">
        <v>0</v>
      </c>
      <c r="P360" s="273">
        <f t="shared" si="45"/>
        <v>4793.46</v>
      </c>
      <c r="Q360" s="272">
        <f t="shared" si="46"/>
        <v>60084</v>
      </c>
      <c r="R360" s="272">
        <f t="shared" si="47"/>
        <v>49495.898399999998</v>
      </c>
      <c r="S360" s="272">
        <f t="shared" si="48"/>
        <v>2125.44</v>
      </c>
      <c r="T360" s="270"/>
      <c r="U360" s="270"/>
    </row>
    <row r="361" spans="1:21" s="270" customFormat="1" x14ac:dyDescent="0.25">
      <c r="A361" s="335">
        <v>501105</v>
      </c>
      <c r="B361" s="271">
        <v>1105</v>
      </c>
      <c r="C361" s="271">
        <v>200235</v>
      </c>
      <c r="D361" s="268" t="s">
        <v>894</v>
      </c>
      <c r="E361" s="268" t="s">
        <v>1278</v>
      </c>
      <c r="F361" s="268" t="s">
        <v>2391</v>
      </c>
      <c r="G361" s="268">
        <v>11</v>
      </c>
      <c r="H361" s="268" t="s">
        <v>2622</v>
      </c>
      <c r="I361" s="268" t="s">
        <v>2848</v>
      </c>
      <c r="J361" s="272">
        <v>273912</v>
      </c>
      <c r="K361" s="272">
        <f t="shared" si="43"/>
        <v>22826</v>
      </c>
      <c r="L361" s="272">
        <f t="shared" si="44"/>
        <v>12141.24</v>
      </c>
      <c r="M361" s="269">
        <v>0</v>
      </c>
      <c r="N361" s="272">
        <f t="shared" si="49"/>
        <v>129.60000000000002</v>
      </c>
      <c r="O361" s="273">
        <v>0</v>
      </c>
      <c r="P361" s="273">
        <f t="shared" si="45"/>
        <v>4793.46</v>
      </c>
      <c r="Q361" s="272">
        <f t="shared" si="46"/>
        <v>60084</v>
      </c>
      <c r="R361" s="272">
        <f t="shared" si="47"/>
        <v>49495.898399999998</v>
      </c>
      <c r="S361" s="272">
        <f t="shared" si="48"/>
        <v>2125.44</v>
      </c>
    </row>
    <row r="362" spans="1:21" s="270" customFormat="1" x14ac:dyDescent="0.25">
      <c r="A362" s="335" t="str">
        <f>CONCATENATE(50,B362)</f>
        <v>501305</v>
      </c>
      <c r="B362" s="271">
        <v>1305</v>
      </c>
      <c r="C362" s="271">
        <v>200240</v>
      </c>
      <c r="D362" s="268" t="s">
        <v>894</v>
      </c>
      <c r="E362" s="268" t="s">
        <v>1278</v>
      </c>
      <c r="F362" s="268" t="s">
        <v>2240</v>
      </c>
      <c r="G362" s="268">
        <v>11</v>
      </c>
      <c r="H362" s="268" t="s">
        <v>2930</v>
      </c>
      <c r="I362" s="268" t="s">
        <v>2910</v>
      </c>
      <c r="J362" s="272">
        <v>273912</v>
      </c>
      <c r="K362" s="272">
        <f t="shared" si="43"/>
        <v>22826</v>
      </c>
      <c r="L362" s="272">
        <f t="shared" si="44"/>
        <v>12141.24</v>
      </c>
      <c r="M362" s="269">
        <v>0</v>
      </c>
      <c r="N362" s="272">
        <f t="shared" si="49"/>
        <v>129.60000000000002</v>
      </c>
      <c r="O362" s="273">
        <v>0</v>
      </c>
      <c r="P362" s="273">
        <f t="shared" si="45"/>
        <v>4793.46</v>
      </c>
      <c r="Q362" s="272">
        <f t="shared" si="46"/>
        <v>60084</v>
      </c>
      <c r="R362" s="272">
        <f t="shared" si="47"/>
        <v>49495.898399999998</v>
      </c>
      <c r="S362" s="272">
        <f t="shared" si="48"/>
        <v>2125.44</v>
      </c>
    </row>
    <row r="363" spans="1:21" s="270" customFormat="1" x14ac:dyDescent="0.25">
      <c r="A363" s="335">
        <v>501452</v>
      </c>
      <c r="B363" s="271">
        <v>1452</v>
      </c>
      <c r="C363" s="271">
        <v>200246</v>
      </c>
      <c r="D363" s="268" t="s">
        <v>894</v>
      </c>
      <c r="E363" s="268" t="s">
        <v>1278</v>
      </c>
      <c r="F363" s="268" t="s">
        <v>2506</v>
      </c>
      <c r="G363" s="268">
        <v>11</v>
      </c>
      <c r="H363" s="268" t="s">
        <v>2931</v>
      </c>
      <c r="I363" s="268" t="s">
        <v>2932</v>
      </c>
      <c r="J363" s="272">
        <v>273912</v>
      </c>
      <c r="K363" s="272">
        <f t="shared" si="43"/>
        <v>22826</v>
      </c>
      <c r="L363" s="272">
        <f t="shared" si="44"/>
        <v>12141.24</v>
      </c>
      <c r="M363" s="269">
        <v>0</v>
      </c>
      <c r="N363" s="272">
        <f t="shared" si="49"/>
        <v>129.60000000000002</v>
      </c>
      <c r="O363" s="273">
        <v>0</v>
      </c>
      <c r="P363" s="273">
        <f t="shared" si="45"/>
        <v>4793.46</v>
      </c>
      <c r="Q363" s="272">
        <f t="shared" si="46"/>
        <v>60084</v>
      </c>
      <c r="R363" s="272">
        <f t="shared" si="47"/>
        <v>49495.898399999998</v>
      </c>
      <c r="S363" s="272">
        <f t="shared" si="48"/>
        <v>2125.44</v>
      </c>
    </row>
    <row r="364" spans="1:21" s="270" customFormat="1" x14ac:dyDescent="0.25">
      <c r="A364" s="335">
        <v>501101</v>
      </c>
      <c r="B364" s="271">
        <v>1101</v>
      </c>
      <c r="C364" s="271">
        <v>200256</v>
      </c>
      <c r="D364" s="268" t="s">
        <v>894</v>
      </c>
      <c r="E364" s="268" t="s">
        <v>1278</v>
      </c>
      <c r="F364" s="268" t="s">
        <v>2261</v>
      </c>
      <c r="G364" s="268">
        <v>11</v>
      </c>
      <c r="H364" s="268" t="s">
        <v>2645</v>
      </c>
      <c r="I364" s="268" t="s">
        <v>2848</v>
      </c>
      <c r="J364" s="272">
        <v>273912</v>
      </c>
      <c r="K364" s="272">
        <f t="shared" si="43"/>
        <v>22826</v>
      </c>
      <c r="L364" s="272">
        <f t="shared" si="44"/>
        <v>12141.24</v>
      </c>
      <c r="M364" s="269">
        <v>0</v>
      </c>
      <c r="N364" s="272">
        <f t="shared" si="49"/>
        <v>129.60000000000002</v>
      </c>
      <c r="O364" s="273">
        <v>0</v>
      </c>
      <c r="P364" s="273">
        <f t="shared" si="45"/>
        <v>4793.46</v>
      </c>
      <c r="Q364" s="272">
        <f t="shared" si="46"/>
        <v>60084</v>
      </c>
      <c r="R364" s="272">
        <f t="shared" si="47"/>
        <v>49495.898399999998</v>
      </c>
      <c r="S364" s="272">
        <f t="shared" si="48"/>
        <v>2125.44</v>
      </c>
    </row>
    <row r="365" spans="1:21" s="270" customFormat="1" x14ac:dyDescent="0.25">
      <c r="A365" s="335" t="str">
        <f>CONCATENATE(50,B365)</f>
        <v>501305</v>
      </c>
      <c r="B365" s="271">
        <v>1305</v>
      </c>
      <c r="C365" s="271">
        <v>200348</v>
      </c>
      <c r="D365" s="268" t="s">
        <v>894</v>
      </c>
      <c r="E365" s="268" t="s">
        <v>1278</v>
      </c>
      <c r="F365" s="268" t="s">
        <v>2933</v>
      </c>
      <c r="G365" s="268">
        <v>11</v>
      </c>
      <c r="H365" s="268" t="s">
        <v>2934</v>
      </c>
      <c r="I365" s="268" t="s">
        <v>2848</v>
      </c>
      <c r="J365" s="272">
        <v>273912</v>
      </c>
      <c r="K365" s="272">
        <f t="shared" si="43"/>
        <v>22826</v>
      </c>
      <c r="L365" s="272">
        <f t="shared" si="44"/>
        <v>12141.24</v>
      </c>
      <c r="M365" s="269">
        <v>0</v>
      </c>
      <c r="N365" s="272">
        <f t="shared" si="49"/>
        <v>129.60000000000002</v>
      </c>
      <c r="O365" s="273">
        <v>0</v>
      </c>
      <c r="P365" s="273">
        <f t="shared" si="45"/>
        <v>4793.46</v>
      </c>
      <c r="Q365" s="272">
        <f t="shared" si="46"/>
        <v>60084</v>
      </c>
      <c r="R365" s="272">
        <f t="shared" si="47"/>
        <v>49495.898399999998</v>
      </c>
      <c r="S365" s="272">
        <f t="shared" si="48"/>
        <v>2125.44</v>
      </c>
    </row>
    <row r="366" spans="1:21" s="270" customFormat="1" x14ac:dyDescent="0.25">
      <c r="A366" s="335">
        <v>501443</v>
      </c>
      <c r="B366" s="271">
        <v>1443</v>
      </c>
      <c r="C366" s="271">
        <v>4417</v>
      </c>
      <c r="D366" s="268" t="s">
        <v>1698</v>
      </c>
      <c r="E366" s="268" t="s">
        <v>1278</v>
      </c>
      <c r="F366" s="268" t="s">
        <v>2935</v>
      </c>
      <c r="G366" s="268">
        <v>11</v>
      </c>
      <c r="H366" s="268" t="s">
        <v>2936</v>
      </c>
      <c r="I366" s="268" t="s">
        <v>2937</v>
      </c>
      <c r="J366" s="272">
        <v>273912</v>
      </c>
      <c r="K366" s="272">
        <f t="shared" si="43"/>
        <v>22826</v>
      </c>
      <c r="L366" s="272">
        <f t="shared" si="44"/>
        <v>12141.24</v>
      </c>
      <c r="M366" s="269">
        <v>0</v>
      </c>
      <c r="N366" s="272">
        <f t="shared" si="49"/>
        <v>129.60000000000002</v>
      </c>
      <c r="O366" s="273">
        <v>0</v>
      </c>
      <c r="P366" s="273">
        <f t="shared" si="45"/>
        <v>4793.46</v>
      </c>
      <c r="Q366" s="272">
        <f t="shared" si="46"/>
        <v>60084</v>
      </c>
      <c r="R366" s="272">
        <f t="shared" si="47"/>
        <v>49495.898399999998</v>
      </c>
      <c r="S366" s="272">
        <f t="shared" si="48"/>
        <v>2125.44</v>
      </c>
    </row>
    <row r="367" spans="1:21" s="270" customFormat="1" x14ac:dyDescent="0.25">
      <c r="A367" s="335">
        <v>501406</v>
      </c>
      <c r="B367" s="271">
        <v>1406</v>
      </c>
      <c r="C367" s="271">
        <v>200013</v>
      </c>
      <c r="D367" s="268" t="s">
        <v>894</v>
      </c>
      <c r="E367" s="268" t="s">
        <v>1278</v>
      </c>
      <c r="F367" s="268" t="s">
        <v>2938</v>
      </c>
      <c r="G367" s="268">
        <v>10</v>
      </c>
      <c r="H367" s="268" t="s">
        <v>2939</v>
      </c>
      <c r="I367" s="268" t="s">
        <v>2848</v>
      </c>
      <c r="J367" s="272">
        <v>267588</v>
      </c>
      <c r="K367" s="272">
        <f t="shared" si="43"/>
        <v>22299</v>
      </c>
      <c r="L367" s="272">
        <f t="shared" si="44"/>
        <v>12141.24</v>
      </c>
      <c r="M367" s="269">
        <v>0</v>
      </c>
      <c r="N367" s="272">
        <f t="shared" si="49"/>
        <v>129.60000000000002</v>
      </c>
      <c r="O367" s="273">
        <v>0</v>
      </c>
      <c r="P367" s="273">
        <f t="shared" si="45"/>
        <v>4682.7900000000009</v>
      </c>
      <c r="Q367" s="272">
        <f t="shared" si="46"/>
        <v>60084</v>
      </c>
      <c r="R367" s="272">
        <f t="shared" si="47"/>
        <v>48353.151599999997</v>
      </c>
      <c r="S367" s="272">
        <f t="shared" si="48"/>
        <v>2125.44</v>
      </c>
      <c r="T367" s="277"/>
      <c r="U367" s="277"/>
    </row>
    <row r="368" spans="1:21" s="270" customFormat="1" x14ac:dyDescent="0.25">
      <c r="A368" s="335">
        <v>501406</v>
      </c>
      <c r="B368" s="271">
        <v>1406</v>
      </c>
      <c r="C368" s="271">
        <v>200127</v>
      </c>
      <c r="D368" s="268" t="s">
        <v>894</v>
      </c>
      <c r="E368" s="268" t="s">
        <v>1278</v>
      </c>
      <c r="F368" s="268" t="s">
        <v>2940</v>
      </c>
      <c r="G368" s="268">
        <v>10</v>
      </c>
      <c r="H368" s="268" t="s">
        <v>2941</v>
      </c>
      <c r="I368" s="268" t="s">
        <v>2848</v>
      </c>
      <c r="J368" s="272">
        <v>267588</v>
      </c>
      <c r="K368" s="272">
        <f t="shared" si="43"/>
        <v>22299</v>
      </c>
      <c r="L368" s="272">
        <f t="shared" si="44"/>
        <v>12141.24</v>
      </c>
      <c r="M368" s="269">
        <v>0</v>
      </c>
      <c r="N368" s="272">
        <f t="shared" si="49"/>
        <v>129.60000000000002</v>
      </c>
      <c r="O368" s="273">
        <v>0</v>
      </c>
      <c r="P368" s="273">
        <f t="shared" si="45"/>
        <v>4682.7900000000009</v>
      </c>
      <c r="Q368" s="272">
        <f t="shared" si="46"/>
        <v>60084</v>
      </c>
      <c r="R368" s="272">
        <f t="shared" si="47"/>
        <v>48353.151599999997</v>
      </c>
      <c r="S368" s="272">
        <f t="shared" si="48"/>
        <v>2125.44</v>
      </c>
    </row>
    <row r="369" spans="1:21" s="270" customFormat="1" x14ac:dyDescent="0.25">
      <c r="A369" s="335" t="str">
        <f>CONCATENATE(50,B369)</f>
        <v>501406</v>
      </c>
      <c r="B369" s="271">
        <v>1406</v>
      </c>
      <c r="C369" s="271">
        <v>200354</v>
      </c>
      <c r="D369" s="268" t="s">
        <v>894</v>
      </c>
      <c r="E369" s="268" t="s">
        <v>1290</v>
      </c>
      <c r="F369" s="268" t="s">
        <v>2386</v>
      </c>
      <c r="G369" s="268">
        <v>10</v>
      </c>
      <c r="H369" s="268" t="s">
        <v>2942</v>
      </c>
      <c r="I369" s="268" t="s">
        <v>2879</v>
      </c>
      <c r="J369" s="272">
        <v>267588</v>
      </c>
      <c r="K369" s="272">
        <f t="shared" si="43"/>
        <v>22299</v>
      </c>
      <c r="L369" s="272">
        <f t="shared" si="44"/>
        <v>12141.24</v>
      </c>
      <c r="M369" s="269">
        <v>0</v>
      </c>
      <c r="N369" s="272">
        <f t="shared" si="49"/>
        <v>129.60000000000002</v>
      </c>
      <c r="O369" s="273">
        <v>0</v>
      </c>
      <c r="P369" s="273">
        <f t="shared" si="45"/>
        <v>4682.7900000000009</v>
      </c>
      <c r="Q369" s="272">
        <f t="shared" si="46"/>
        <v>60084</v>
      </c>
      <c r="R369" s="272">
        <f t="shared" si="47"/>
        <v>48353.151599999997</v>
      </c>
      <c r="S369" s="272">
        <f t="shared" si="48"/>
        <v>2125.44</v>
      </c>
    </row>
    <row r="370" spans="1:21" s="270" customFormat="1" x14ac:dyDescent="0.25">
      <c r="A370" s="335">
        <v>501406</v>
      </c>
      <c r="B370" s="271">
        <v>1406</v>
      </c>
      <c r="C370" s="271">
        <v>1656</v>
      </c>
      <c r="D370" s="268" t="s">
        <v>894</v>
      </c>
      <c r="E370" s="268" t="s">
        <v>1290</v>
      </c>
      <c r="F370" s="268" t="s">
        <v>2306</v>
      </c>
      <c r="G370" s="268">
        <v>11</v>
      </c>
      <c r="H370" s="268" t="s">
        <v>2943</v>
      </c>
      <c r="I370" s="268" t="s">
        <v>2944</v>
      </c>
      <c r="J370" s="272">
        <v>267588</v>
      </c>
      <c r="K370" s="272">
        <f t="shared" si="43"/>
        <v>22299</v>
      </c>
      <c r="L370" s="272">
        <f t="shared" si="44"/>
        <v>12141.24</v>
      </c>
      <c r="M370" s="269">
        <v>0</v>
      </c>
      <c r="N370" s="272">
        <f t="shared" si="49"/>
        <v>129.60000000000002</v>
      </c>
      <c r="O370" s="273">
        <v>0</v>
      </c>
      <c r="P370" s="273">
        <f t="shared" si="45"/>
        <v>4682.7900000000009</v>
      </c>
      <c r="Q370" s="272">
        <f t="shared" si="46"/>
        <v>60084</v>
      </c>
      <c r="R370" s="272">
        <f t="shared" si="47"/>
        <v>48353.151599999997</v>
      </c>
      <c r="S370" s="272">
        <f t="shared" si="48"/>
        <v>2125.44</v>
      </c>
    </row>
    <row r="371" spans="1:21" x14ac:dyDescent="0.25">
      <c r="A371" s="337">
        <v>501444</v>
      </c>
      <c r="B371" s="276">
        <v>1444</v>
      </c>
      <c r="C371" s="276">
        <v>8280</v>
      </c>
      <c r="D371" s="268" t="s">
        <v>894</v>
      </c>
      <c r="E371" s="268" t="s">
        <v>1290</v>
      </c>
      <c r="F371" s="268" t="s">
        <v>2768</v>
      </c>
      <c r="G371" s="268">
        <v>11</v>
      </c>
      <c r="H371" s="268" t="s">
        <v>2945</v>
      </c>
      <c r="I371" s="268" t="s">
        <v>2946</v>
      </c>
      <c r="J371" s="269">
        <v>267588</v>
      </c>
      <c r="K371" s="273">
        <f t="shared" si="43"/>
        <v>22299</v>
      </c>
      <c r="L371" s="272">
        <f t="shared" si="44"/>
        <v>12141.24</v>
      </c>
      <c r="M371" s="269">
        <f>750*12</f>
        <v>9000</v>
      </c>
      <c r="N371" s="273">
        <f t="shared" si="49"/>
        <v>129.60000000000002</v>
      </c>
      <c r="O371" s="273">
        <v>0</v>
      </c>
      <c r="P371" s="273">
        <f t="shared" si="45"/>
        <v>4682.7900000000009</v>
      </c>
      <c r="Q371" s="272">
        <f t="shared" si="46"/>
        <v>60084</v>
      </c>
      <c r="R371" s="273">
        <f t="shared" si="47"/>
        <v>48353.151599999997</v>
      </c>
      <c r="S371" s="273">
        <f t="shared" si="48"/>
        <v>2125.44</v>
      </c>
      <c r="T371" s="270"/>
      <c r="U371" s="270"/>
    </row>
    <row r="372" spans="1:21" s="270" customFormat="1" x14ac:dyDescent="0.25">
      <c r="A372" s="335">
        <v>501406</v>
      </c>
      <c r="B372" s="271">
        <v>1406</v>
      </c>
      <c r="C372" s="271">
        <v>8358</v>
      </c>
      <c r="D372" s="268" t="s">
        <v>894</v>
      </c>
      <c r="E372" s="268" t="s">
        <v>1290</v>
      </c>
      <c r="F372" s="268" t="s">
        <v>2565</v>
      </c>
      <c r="G372" s="268">
        <v>11</v>
      </c>
      <c r="H372" s="268" t="s">
        <v>2796</v>
      </c>
      <c r="I372" s="268" t="s">
        <v>2946</v>
      </c>
      <c r="J372" s="272">
        <v>267588</v>
      </c>
      <c r="K372" s="272">
        <f t="shared" si="43"/>
        <v>22299</v>
      </c>
      <c r="L372" s="272">
        <f t="shared" si="44"/>
        <v>12141.24</v>
      </c>
      <c r="M372" s="269">
        <v>0</v>
      </c>
      <c r="N372" s="272">
        <f t="shared" si="49"/>
        <v>129.60000000000002</v>
      </c>
      <c r="O372" s="273">
        <v>0</v>
      </c>
      <c r="P372" s="273">
        <f t="shared" si="45"/>
        <v>4682.7900000000009</v>
      </c>
      <c r="Q372" s="272">
        <f t="shared" si="46"/>
        <v>60084</v>
      </c>
      <c r="R372" s="272">
        <f t="shared" si="47"/>
        <v>48353.151599999997</v>
      </c>
      <c r="S372" s="272">
        <f t="shared" si="48"/>
        <v>2125.44</v>
      </c>
    </row>
    <row r="373" spans="1:21" x14ac:dyDescent="0.25">
      <c r="A373" s="335">
        <v>501406</v>
      </c>
      <c r="B373" s="271">
        <v>1406</v>
      </c>
      <c r="C373" s="271">
        <v>23430</v>
      </c>
      <c r="D373" s="268" t="s">
        <v>894</v>
      </c>
      <c r="E373" s="268" t="s">
        <v>1290</v>
      </c>
      <c r="F373" s="268" t="s">
        <v>2799</v>
      </c>
      <c r="G373" s="268">
        <v>11</v>
      </c>
      <c r="H373" s="268" t="s">
        <v>2947</v>
      </c>
      <c r="I373" s="268" t="s">
        <v>2946</v>
      </c>
      <c r="J373" s="272">
        <v>267588</v>
      </c>
      <c r="K373" s="272">
        <f t="shared" si="43"/>
        <v>22299</v>
      </c>
      <c r="L373" s="272">
        <f t="shared" si="44"/>
        <v>12141.24</v>
      </c>
      <c r="M373" s="269">
        <v>0</v>
      </c>
      <c r="N373" s="272">
        <f t="shared" si="49"/>
        <v>129.60000000000002</v>
      </c>
      <c r="O373" s="273">
        <v>0</v>
      </c>
      <c r="P373" s="273">
        <f t="shared" si="45"/>
        <v>4682.7900000000009</v>
      </c>
      <c r="Q373" s="272">
        <f t="shared" si="46"/>
        <v>60084</v>
      </c>
      <c r="R373" s="272">
        <f t="shared" si="47"/>
        <v>48353.151599999997</v>
      </c>
      <c r="S373" s="272">
        <f t="shared" si="48"/>
        <v>2125.44</v>
      </c>
      <c r="T373" s="270"/>
      <c r="U373" s="270"/>
    </row>
    <row r="374" spans="1:21" s="270" customFormat="1" x14ac:dyDescent="0.25">
      <c r="A374" s="337">
        <v>501443</v>
      </c>
      <c r="B374" s="276">
        <v>1443</v>
      </c>
      <c r="C374" s="276">
        <v>34005</v>
      </c>
      <c r="D374" s="268" t="s">
        <v>894</v>
      </c>
      <c r="E374" s="268" t="s">
        <v>1290</v>
      </c>
      <c r="F374" s="268" t="s">
        <v>1290</v>
      </c>
      <c r="G374" s="268">
        <v>11</v>
      </c>
      <c r="H374" s="268" t="s">
        <v>2948</v>
      </c>
      <c r="I374" s="268" t="s">
        <v>2946</v>
      </c>
      <c r="J374" s="269">
        <v>267588</v>
      </c>
      <c r="K374" s="273">
        <f t="shared" si="43"/>
        <v>22299</v>
      </c>
      <c r="L374" s="272">
        <f t="shared" si="44"/>
        <v>12141.24</v>
      </c>
      <c r="M374" s="269">
        <f>750*12</f>
        <v>9000</v>
      </c>
      <c r="N374" s="273">
        <f t="shared" si="49"/>
        <v>129.60000000000002</v>
      </c>
      <c r="O374" s="273">
        <v>0</v>
      </c>
      <c r="P374" s="273">
        <f t="shared" si="45"/>
        <v>4682.7900000000009</v>
      </c>
      <c r="Q374" s="272">
        <f t="shared" si="46"/>
        <v>60084</v>
      </c>
      <c r="R374" s="273">
        <f t="shared" si="47"/>
        <v>48353.151599999997</v>
      </c>
      <c r="S374" s="273">
        <f t="shared" si="48"/>
        <v>2125.44</v>
      </c>
    </row>
    <row r="375" spans="1:21" s="270" customFormat="1" x14ac:dyDescent="0.25">
      <c r="A375" s="335">
        <v>501406</v>
      </c>
      <c r="B375" s="271">
        <v>1406</v>
      </c>
      <c r="C375" s="271">
        <v>34212</v>
      </c>
      <c r="D375" s="268" t="s">
        <v>894</v>
      </c>
      <c r="E375" s="268" t="s">
        <v>1290</v>
      </c>
      <c r="F375" s="268" t="s">
        <v>2949</v>
      </c>
      <c r="G375" s="268">
        <v>11</v>
      </c>
      <c r="H375" s="268" t="s">
        <v>2796</v>
      </c>
      <c r="I375" s="268" t="s">
        <v>2946</v>
      </c>
      <c r="J375" s="272">
        <v>267588</v>
      </c>
      <c r="K375" s="272">
        <f t="shared" si="43"/>
        <v>22299</v>
      </c>
      <c r="L375" s="272">
        <f t="shared" si="44"/>
        <v>12141.24</v>
      </c>
      <c r="M375" s="269">
        <v>0</v>
      </c>
      <c r="N375" s="272">
        <f t="shared" si="49"/>
        <v>129.60000000000002</v>
      </c>
      <c r="O375" s="273">
        <v>0</v>
      </c>
      <c r="P375" s="273">
        <f t="shared" si="45"/>
        <v>4682.7900000000009</v>
      </c>
      <c r="Q375" s="272">
        <f t="shared" si="46"/>
        <v>60084</v>
      </c>
      <c r="R375" s="272">
        <f t="shared" si="47"/>
        <v>48353.151599999997</v>
      </c>
      <c r="S375" s="272">
        <f t="shared" si="48"/>
        <v>2125.44</v>
      </c>
    </row>
    <row r="376" spans="1:21" s="270" customFormat="1" x14ac:dyDescent="0.25">
      <c r="A376" s="335">
        <v>501444</v>
      </c>
      <c r="B376" s="271">
        <v>1444</v>
      </c>
      <c r="C376" s="271">
        <v>34238</v>
      </c>
      <c r="D376" s="268" t="s">
        <v>894</v>
      </c>
      <c r="E376" s="268" t="s">
        <v>1290</v>
      </c>
      <c r="F376" s="268" t="s">
        <v>2950</v>
      </c>
      <c r="G376" s="268">
        <v>11</v>
      </c>
      <c r="H376" s="268" t="s">
        <v>2951</v>
      </c>
      <c r="I376" s="268" t="s">
        <v>2946</v>
      </c>
      <c r="J376" s="272">
        <v>267588</v>
      </c>
      <c r="K376" s="272">
        <f t="shared" si="43"/>
        <v>22299</v>
      </c>
      <c r="L376" s="272">
        <f t="shared" si="44"/>
        <v>12141.24</v>
      </c>
      <c r="M376" s="269">
        <v>0</v>
      </c>
      <c r="N376" s="272">
        <f t="shared" si="49"/>
        <v>129.60000000000002</v>
      </c>
      <c r="O376" s="273">
        <v>0</v>
      </c>
      <c r="P376" s="273">
        <f t="shared" si="45"/>
        <v>4682.7900000000009</v>
      </c>
      <c r="Q376" s="272">
        <f t="shared" si="46"/>
        <v>60084</v>
      </c>
      <c r="R376" s="272">
        <f t="shared" si="47"/>
        <v>48353.151599999997</v>
      </c>
      <c r="S376" s="272">
        <f t="shared" si="48"/>
        <v>2125.44</v>
      </c>
    </row>
    <row r="377" spans="1:21" s="270" customFormat="1" x14ac:dyDescent="0.25">
      <c r="A377" s="337">
        <v>501443</v>
      </c>
      <c r="B377" s="276">
        <v>1443</v>
      </c>
      <c r="C377" s="276">
        <v>35952</v>
      </c>
      <c r="D377" s="268" t="s">
        <v>894</v>
      </c>
      <c r="E377" s="268" t="s">
        <v>1290</v>
      </c>
      <c r="F377" s="268" t="s">
        <v>2952</v>
      </c>
      <c r="G377" s="268">
        <v>11</v>
      </c>
      <c r="H377" s="268" t="s">
        <v>2295</v>
      </c>
      <c r="I377" s="268" t="s">
        <v>2946</v>
      </c>
      <c r="J377" s="269">
        <v>267588</v>
      </c>
      <c r="K377" s="273">
        <f t="shared" si="43"/>
        <v>22299</v>
      </c>
      <c r="L377" s="272">
        <f t="shared" si="44"/>
        <v>12141.24</v>
      </c>
      <c r="M377" s="269">
        <f>750*12</f>
        <v>9000</v>
      </c>
      <c r="N377" s="273">
        <f t="shared" si="49"/>
        <v>129.60000000000002</v>
      </c>
      <c r="O377" s="273">
        <v>0</v>
      </c>
      <c r="P377" s="273">
        <f t="shared" si="45"/>
        <v>4682.7900000000009</v>
      </c>
      <c r="Q377" s="272">
        <f t="shared" si="46"/>
        <v>60084</v>
      </c>
      <c r="R377" s="273">
        <f t="shared" si="47"/>
        <v>48353.151599999997</v>
      </c>
      <c r="S377" s="273">
        <f t="shared" si="48"/>
        <v>2125.44</v>
      </c>
    </row>
    <row r="378" spans="1:21" s="270" customFormat="1" x14ac:dyDescent="0.25">
      <c r="A378" s="337">
        <v>501443</v>
      </c>
      <c r="B378" s="276">
        <v>1457</v>
      </c>
      <c r="C378" s="276">
        <v>36045</v>
      </c>
      <c r="D378" s="268" t="s">
        <v>894</v>
      </c>
      <c r="E378" s="268" t="s">
        <v>1290</v>
      </c>
      <c r="F378" s="268" t="s">
        <v>2953</v>
      </c>
      <c r="G378" s="268">
        <v>11</v>
      </c>
      <c r="H378" s="268" t="s">
        <v>2954</v>
      </c>
      <c r="I378" s="268" t="s">
        <v>2955</v>
      </c>
      <c r="J378" s="269">
        <v>267588</v>
      </c>
      <c r="K378" s="273">
        <f t="shared" si="43"/>
        <v>22299</v>
      </c>
      <c r="L378" s="272">
        <f t="shared" si="44"/>
        <v>12141.24</v>
      </c>
      <c r="M378" s="269">
        <f>500*12</f>
        <v>6000</v>
      </c>
      <c r="N378" s="273">
        <f t="shared" si="49"/>
        <v>129.60000000000002</v>
      </c>
      <c r="O378" s="273">
        <v>0</v>
      </c>
      <c r="P378" s="273">
        <f t="shared" si="45"/>
        <v>4682.7900000000009</v>
      </c>
      <c r="Q378" s="272">
        <f t="shared" si="46"/>
        <v>60084</v>
      </c>
      <c r="R378" s="273">
        <f t="shared" si="47"/>
        <v>48353.151599999997</v>
      </c>
      <c r="S378" s="273">
        <f t="shared" si="48"/>
        <v>2125.44</v>
      </c>
    </row>
    <row r="379" spans="1:21" s="270" customFormat="1" x14ac:dyDescent="0.25">
      <c r="A379" s="337">
        <v>501444</v>
      </c>
      <c r="B379" s="276">
        <v>1444</v>
      </c>
      <c r="C379" s="276">
        <v>44260</v>
      </c>
      <c r="D379" s="268" t="s">
        <v>894</v>
      </c>
      <c r="E379" s="268" t="s">
        <v>1290</v>
      </c>
      <c r="F379" s="268" t="s">
        <v>2229</v>
      </c>
      <c r="G379" s="268">
        <v>11</v>
      </c>
      <c r="H379" s="268" t="s">
        <v>2956</v>
      </c>
      <c r="I379" s="268" t="s">
        <v>2946</v>
      </c>
      <c r="J379" s="269">
        <v>267588</v>
      </c>
      <c r="K379" s="273">
        <f t="shared" si="43"/>
        <v>22299</v>
      </c>
      <c r="L379" s="272">
        <f t="shared" si="44"/>
        <v>12141.24</v>
      </c>
      <c r="M379" s="269">
        <f>500*12</f>
        <v>6000</v>
      </c>
      <c r="N379" s="273">
        <f t="shared" si="49"/>
        <v>129.60000000000002</v>
      </c>
      <c r="O379" s="273">
        <v>0</v>
      </c>
      <c r="P379" s="273">
        <f t="shared" si="45"/>
        <v>4682.7900000000009</v>
      </c>
      <c r="Q379" s="272">
        <f t="shared" si="46"/>
        <v>60084</v>
      </c>
      <c r="R379" s="273">
        <f t="shared" si="47"/>
        <v>48353.151599999997</v>
      </c>
      <c r="S379" s="273">
        <f t="shared" si="48"/>
        <v>2125.44</v>
      </c>
    </row>
    <row r="380" spans="1:21" s="270" customFormat="1" x14ac:dyDescent="0.25">
      <c r="A380" s="335">
        <v>501443</v>
      </c>
      <c r="B380" s="271">
        <v>1443</v>
      </c>
      <c r="C380" s="271">
        <v>51619</v>
      </c>
      <c r="D380" s="268" t="s">
        <v>894</v>
      </c>
      <c r="E380" s="268" t="s">
        <v>1278</v>
      </c>
      <c r="F380" s="268" t="s">
        <v>2957</v>
      </c>
      <c r="G380" s="268">
        <v>11</v>
      </c>
      <c r="H380" s="268" t="s">
        <v>2958</v>
      </c>
      <c r="I380" s="268" t="s">
        <v>2908</v>
      </c>
      <c r="J380" s="272">
        <v>267588</v>
      </c>
      <c r="K380" s="272">
        <f t="shared" si="43"/>
        <v>22299</v>
      </c>
      <c r="L380" s="272">
        <f t="shared" si="44"/>
        <v>12141.24</v>
      </c>
      <c r="M380" s="269">
        <v>0</v>
      </c>
      <c r="N380" s="272">
        <f t="shared" si="49"/>
        <v>129.60000000000002</v>
      </c>
      <c r="O380" s="273">
        <v>0</v>
      </c>
      <c r="P380" s="273">
        <f t="shared" si="45"/>
        <v>4682.7900000000009</v>
      </c>
      <c r="Q380" s="272">
        <f t="shared" si="46"/>
        <v>60084</v>
      </c>
      <c r="R380" s="272">
        <f t="shared" si="47"/>
        <v>48353.151599999997</v>
      </c>
      <c r="S380" s="272">
        <f t="shared" si="48"/>
        <v>2125.44</v>
      </c>
    </row>
    <row r="381" spans="1:21" s="270" customFormat="1" x14ac:dyDescent="0.25">
      <c r="A381" s="335">
        <v>501443</v>
      </c>
      <c r="B381" s="271">
        <v>1443</v>
      </c>
      <c r="C381" s="271">
        <v>51664</v>
      </c>
      <c r="D381" s="268" t="s">
        <v>894</v>
      </c>
      <c r="E381" s="268" t="s">
        <v>1290</v>
      </c>
      <c r="F381" s="268" t="s">
        <v>2737</v>
      </c>
      <c r="G381" s="268">
        <v>11</v>
      </c>
      <c r="H381" s="268" t="s">
        <v>2959</v>
      </c>
      <c r="I381" s="268" t="s">
        <v>2960</v>
      </c>
      <c r="J381" s="272">
        <v>267588</v>
      </c>
      <c r="K381" s="272">
        <f t="shared" si="43"/>
        <v>22299</v>
      </c>
      <c r="L381" s="272">
        <f t="shared" si="44"/>
        <v>12141.24</v>
      </c>
      <c r="M381" s="269">
        <v>0</v>
      </c>
      <c r="N381" s="272">
        <f t="shared" si="49"/>
        <v>129.60000000000002</v>
      </c>
      <c r="O381" s="273">
        <v>0</v>
      </c>
      <c r="P381" s="273">
        <f t="shared" si="45"/>
        <v>4682.7900000000009</v>
      </c>
      <c r="Q381" s="272">
        <f t="shared" si="46"/>
        <v>60084</v>
      </c>
      <c r="R381" s="272">
        <f t="shared" si="47"/>
        <v>48353.151599999997</v>
      </c>
      <c r="S381" s="272">
        <f t="shared" si="48"/>
        <v>2125.44</v>
      </c>
    </row>
    <row r="382" spans="1:21" s="270" customFormat="1" x14ac:dyDescent="0.25">
      <c r="A382" s="335">
        <v>501406</v>
      </c>
      <c r="B382" s="271">
        <v>1406</v>
      </c>
      <c r="C382" s="271">
        <v>51884</v>
      </c>
      <c r="D382" s="268" t="s">
        <v>894</v>
      </c>
      <c r="E382" s="268" t="s">
        <v>1290</v>
      </c>
      <c r="F382" s="268" t="s">
        <v>2838</v>
      </c>
      <c r="G382" s="268">
        <v>11</v>
      </c>
      <c r="H382" s="268" t="s">
        <v>2961</v>
      </c>
      <c r="I382" s="268" t="s">
        <v>2946</v>
      </c>
      <c r="J382" s="272">
        <v>267588</v>
      </c>
      <c r="K382" s="272">
        <f t="shared" si="43"/>
        <v>22299</v>
      </c>
      <c r="L382" s="272">
        <f t="shared" si="44"/>
        <v>12141.24</v>
      </c>
      <c r="M382" s="269">
        <v>0</v>
      </c>
      <c r="N382" s="272">
        <f t="shared" si="49"/>
        <v>129.60000000000002</v>
      </c>
      <c r="O382" s="273">
        <v>0</v>
      </c>
      <c r="P382" s="273">
        <f t="shared" si="45"/>
        <v>4682.7900000000009</v>
      </c>
      <c r="Q382" s="272">
        <f t="shared" si="46"/>
        <v>60084</v>
      </c>
      <c r="R382" s="272">
        <f t="shared" si="47"/>
        <v>48353.151599999997</v>
      </c>
      <c r="S382" s="272">
        <f t="shared" si="48"/>
        <v>2125.44</v>
      </c>
    </row>
    <row r="383" spans="1:21" s="270" customFormat="1" x14ac:dyDescent="0.25">
      <c r="A383" s="335">
        <v>501406</v>
      </c>
      <c r="B383" s="271">
        <v>1406</v>
      </c>
      <c r="C383" s="271">
        <v>51907</v>
      </c>
      <c r="D383" s="268" t="s">
        <v>894</v>
      </c>
      <c r="E383" s="268" t="s">
        <v>1290</v>
      </c>
      <c r="F383" s="268" t="s">
        <v>1293</v>
      </c>
      <c r="G383" s="268">
        <v>11</v>
      </c>
      <c r="H383" s="268" t="s">
        <v>2962</v>
      </c>
      <c r="I383" s="268" t="s">
        <v>2963</v>
      </c>
      <c r="J383" s="272">
        <v>267588</v>
      </c>
      <c r="K383" s="272">
        <f t="shared" si="43"/>
        <v>22299</v>
      </c>
      <c r="L383" s="272">
        <f t="shared" si="44"/>
        <v>12141.24</v>
      </c>
      <c r="M383" s="269">
        <v>0</v>
      </c>
      <c r="N383" s="272">
        <f t="shared" si="49"/>
        <v>129.60000000000002</v>
      </c>
      <c r="O383" s="273">
        <v>0</v>
      </c>
      <c r="P383" s="273">
        <f t="shared" si="45"/>
        <v>4682.7900000000009</v>
      </c>
      <c r="Q383" s="272">
        <f t="shared" si="46"/>
        <v>60084</v>
      </c>
      <c r="R383" s="272">
        <f t="shared" si="47"/>
        <v>48353.151599999997</v>
      </c>
      <c r="S383" s="272">
        <f t="shared" si="48"/>
        <v>2125.44</v>
      </c>
    </row>
    <row r="384" spans="1:21" s="270" customFormat="1" x14ac:dyDescent="0.25">
      <c r="A384" s="337">
        <v>501443</v>
      </c>
      <c r="B384" s="276">
        <v>1443</v>
      </c>
      <c r="C384" s="276">
        <v>83658</v>
      </c>
      <c r="D384" s="268" t="s">
        <v>894</v>
      </c>
      <c r="E384" s="268" t="s">
        <v>1290</v>
      </c>
      <c r="F384" s="268" t="s">
        <v>2964</v>
      </c>
      <c r="G384" s="268">
        <v>11</v>
      </c>
      <c r="H384" s="268" t="s">
        <v>2965</v>
      </c>
      <c r="I384" s="268" t="s">
        <v>2946</v>
      </c>
      <c r="J384" s="269">
        <v>267588</v>
      </c>
      <c r="K384" s="273">
        <f t="shared" ref="K384:K447" si="50">J384/12</f>
        <v>22299</v>
      </c>
      <c r="L384" s="272">
        <f t="shared" ref="L384:L447" si="51">1011.77*12</f>
        <v>12141.24</v>
      </c>
      <c r="M384" s="269">
        <f>750*12</f>
        <v>9000</v>
      </c>
      <c r="N384" s="273">
        <f t="shared" si="49"/>
        <v>129.60000000000002</v>
      </c>
      <c r="O384" s="273">
        <v>0</v>
      </c>
      <c r="P384" s="273">
        <f t="shared" ref="P384:P447" si="52">J384*1.75%</f>
        <v>4682.7900000000009</v>
      </c>
      <c r="Q384" s="272">
        <f t="shared" ref="Q384:Q447" si="53">5007*12</f>
        <v>60084</v>
      </c>
      <c r="R384" s="273">
        <f t="shared" ref="R384:R447" si="54">18.07%*J384</f>
        <v>48353.151599999997</v>
      </c>
      <c r="S384" s="273">
        <f t="shared" si="48"/>
        <v>2125.44</v>
      </c>
    </row>
    <row r="385" spans="1:19" s="270" customFormat="1" x14ac:dyDescent="0.25">
      <c r="A385" s="337">
        <v>501443</v>
      </c>
      <c r="B385" s="276">
        <v>1443</v>
      </c>
      <c r="C385" s="276">
        <v>83742</v>
      </c>
      <c r="D385" s="268" t="s">
        <v>894</v>
      </c>
      <c r="E385" s="268" t="s">
        <v>1290</v>
      </c>
      <c r="F385" s="268" t="s">
        <v>2966</v>
      </c>
      <c r="G385" s="268">
        <v>11</v>
      </c>
      <c r="H385" s="268" t="s">
        <v>2967</v>
      </c>
      <c r="I385" s="268" t="s">
        <v>2946</v>
      </c>
      <c r="J385" s="269">
        <v>267588</v>
      </c>
      <c r="K385" s="273">
        <f t="shared" si="50"/>
        <v>22299</v>
      </c>
      <c r="L385" s="272">
        <f t="shared" si="51"/>
        <v>12141.24</v>
      </c>
      <c r="M385" s="269">
        <f>750*12</f>
        <v>9000</v>
      </c>
      <c r="N385" s="273">
        <f t="shared" si="49"/>
        <v>129.60000000000002</v>
      </c>
      <c r="O385" s="273">
        <v>0</v>
      </c>
      <c r="P385" s="273">
        <f t="shared" si="52"/>
        <v>4682.7900000000009</v>
      </c>
      <c r="Q385" s="272">
        <f t="shared" si="53"/>
        <v>60084</v>
      </c>
      <c r="R385" s="273">
        <f t="shared" si="54"/>
        <v>48353.151599999997</v>
      </c>
      <c r="S385" s="273">
        <f t="shared" ref="S385:S448" si="55">177.12*12</f>
        <v>2125.44</v>
      </c>
    </row>
    <row r="386" spans="1:19" s="270" customFormat="1" x14ac:dyDescent="0.25">
      <c r="A386" s="337">
        <v>501443</v>
      </c>
      <c r="B386" s="276">
        <v>1443</v>
      </c>
      <c r="C386" s="276">
        <v>83755</v>
      </c>
      <c r="D386" s="268" t="s">
        <v>894</v>
      </c>
      <c r="E386" s="268" t="s">
        <v>1290</v>
      </c>
      <c r="F386" s="268" t="s">
        <v>2968</v>
      </c>
      <c r="G386" s="268">
        <v>11</v>
      </c>
      <c r="H386" s="268" t="s">
        <v>2969</v>
      </c>
      <c r="I386" s="268" t="s">
        <v>2946</v>
      </c>
      <c r="J386" s="269">
        <v>267588</v>
      </c>
      <c r="K386" s="273">
        <f t="shared" si="50"/>
        <v>22299</v>
      </c>
      <c r="L386" s="272">
        <f t="shared" si="51"/>
        <v>12141.24</v>
      </c>
      <c r="M386" s="269">
        <f>750*12</f>
        <v>9000</v>
      </c>
      <c r="N386" s="273">
        <f t="shared" si="49"/>
        <v>129.60000000000002</v>
      </c>
      <c r="O386" s="273">
        <v>0</v>
      </c>
      <c r="P386" s="273">
        <f t="shared" si="52"/>
        <v>4682.7900000000009</v>
      </c>
      <c r="Q386" s="272">
        <f t="shared" si="53"/>
        <v>60084</v>
      </c>
      <c r="R386" s="273">
        <f t="shared" si="54"/>
        <v>48353.151599999997</v>
      </c>
      <c r="S386" s="273">
        <f t="shared" si="55"/>
        <v>2125.44</v>
      </c>
    </row>
    <row r="387" spans="1:19" s="270" customFormat="1" x14ac:dyDescent="0.25">
      <c r="A387" s="337">
        <v>501443</v>
      </c>
      <c r="B387" s="276">
        <v>1443</v>
      </c>
      <c r="C387" s="276">
        <v>84026</v>
      </c>
      <c r="D387" s="268" t="s">
        <v>894</v>
      </c>
      <c r="E387" s="268" t="s">
        <v>1290</v>
      </c>
      <c r="F387" s="268" t="s">
        <v>2637</v>
      </c>
      <c r="G387" s="268">
        <v>11</v>
      </c>
      <c r="H387" s="268" t="s">
        <v>2970</v>
      </c>
      <c r="I387" s="268" t="s">
        <v>2946</v>
      </c>
      <c r="J387" s="269">
        <v>267588</v>
      </c>
      <c r="K387" s="273">
        <f t="shared" si="50"/>
        <v>22299</v>
      </c>
      <c r="L387" s="272">
        <f t="shared" si="51"/>
        <v>12141.24</v>
      </c>
      <c r="M387" s="269">
        <f>750*12</f>
        <v>9000</v>
      </c>
      <c r="N387" s="273">
        <f t="shared" si="49"/>
        <v>129.60000000000002</v>
      </c>
      <c r="O387" s="273">
        <v>0</v>
      </c>
      <c r="P387" s="273">
        <f t="shared" si="52"/>
        <v>4682.7900000000009</v>
      </c>
      <c r="Q387" s="272">
        <f t="shared" si="53"/>
        <v>60084</v>
      </c>
      <c r="R387" s="273">
        <f t="shared" si="54"/>
        <v>48353.151599999997</v>
      </c>
      <c r="S387" s="273">
        <f t="shared" si="55"/>
        <v>2125.44</v>
      </c>
    </row>
    <row r="388" spans="1:19" s="270" customFormat="1" x14ac:dyDescent="0.25">
      <c r="A388" s="335">
        <v>501204</v>
      </c>
      <c r="B388" s="271">
        <v>1204</v>
      </c>
      <c r="C388" s="271">
        <v>51635</v>
      </c>
      <c r="D388" s="268" t="s">
        <v>894</v>
      </c>
      <c r="E388" s="268" t="s">
        <v>1278</v>
      </c>
      <c r="F388" s="268" t="s">
        <v>2971</v>
      </c>
      <c r="G388" s="268">
        <v>10</v>
      </c>
      <c r="H388" s="268" t="s">
        <v>2972</v>
      </c>
      <c r="I388" s="268" t="s">
        <v>2906</v>
      </c>
      <c r="J388" s="272">
        <v>261504</v>
      </c>
      <c r="K388" s="272">
        <f t="shared" si="50"/>
        <v>21792</v>
      </c>
      <c r="L388" s="272">
        <f t="shared" si="51"/>
        <v>12141.24</v>
      </c>
      <c r="M388" s="269">
        <v>0</v>
      </c>
      <c r="N388" s="272">
        <f t="shared" si="49"/>
        <v>129.60000000000002</v>
      </c>
      <c r="O388" s="273">
        <v>0</v>
      </c>
      <c r="P388" s="273">
        <f t="shared" si="52"/>
        <v>4576.3200000000006</v>
      </c>
      <c r="Q388" s="272">
        <f t="shared" si="53"/>
        <v>60084</v>
      </c>
      <c r="R388" s="272">
        <f t="shared" si="54"/>
        <v>47253.772799999999</v>
      </c>
      <c r="S388" s="272">
        <f t="shared" si="55"/>
        <v>2125.44</v>
      </c>
    </row>
    <row r="389" spans="1:19" s="270" customFormat="1" x14ac:dyDescent="0.25">
      <c r="A389" s="335">
        <v>501204</v>
      </c>
      <c r="B389" s="271">
        <v>1204</v>
      </c>
      <c r="C389" s="271">
        <v>200012</v>
      </c>
      <c r="D389" s="268" t="s">
        <v>1698</v>
      </c>
      <c r="E389" s="268" t="s">
        <v>1278</v>
      </c>
      <c r="F389" s="268" t="s">
        <v>2973</v>
      </c>
      <c r="G389" s="268">
        <v>10</v>
      </c>
      <c r="H389" s="268" t="s">
        <v>2974</v>
      </c>
      <c r="I389" s="268" t="s">
        <v>2906</v>
      </c>
      <c r="J389" s="272">
        <v>261504</v>
      </c>
      <c r="K389" s="272">
        <f t="shared" si="50"/>
        <v>21792</v>
      </c>
      <c r="L389" s="272">
        <f t="shared" si="51"/>
        <v>12141.24</v>
      </c>
      <c r="M389" s="269">
        <v>0</v>
      </c>
      <c r="N389" s="272">
        <f t="shared" ref="N389:N452" si="56">10.8*12</f>
        <v>129.60000000000002</v>
      </c>
      <c r="O389" s="273">
        <v>0</v>
      </c>
      <c r="P389" s="273">
        <f t="shared" si="52"/>
        <v>4576.3200000000006</v>
      </c>
      <c r="Q389" s="272">
        <f t="shared" si="53"/>
        <v>60084</v>
      </c>
      <c r="R389" s="272">
        <f t="shared" si="54"/>
        <v>47253.772799999999</v>
      </c>
      <c r="S389" s="272">
        <f t="shared" si="55"/>
        <v>2125.44</v>
      </c>
    </row>
    <row r="390" spans="1:19" s="270" customFormat="1" x14ac:dyDescent="0.25">
      <c r="A390" s="337">
        <v>501443</v>
      </c>
      <c r="B390" s="276">
        <v>1443</v>
      </c>
      <c r="C390" s="276">
        <v>34128</v>
      </c>
      <c r="D390" s="268" t="s">
        <v>894</v>
      </c>
      <c r="E390" s="268" t="s">
        <v>1290</v>
      </c>
      <c r="F390" s="268" t="s">
        <v>2971</v>
      </c>
      <c r="G390" s="268">
        <v>11</v>
      </c>
      <c r="H390" s="268" t="s">
        <v>2975</v>
      </c>
      <c r="I390" s="268" t="s">
        <v>2946</v>
      </c>
      <c r="J390" s="269">
        <v>261504</v>
      </c>
      <c r="K390" s="273">
        <f t="shared" si="50"/>
        <v>21792</v>
      </c>
      <c r="L390" s="272">
        <f t="shared" si="51"/>
        <v>12141.24</v>
      </c>
      <c r="M390" s="269">
        <f>750*12</f>
        <v>9000</v>
      </c>
      <c r="N390" s="273">
        <f t="shared" si="56"/>
        <v>129.60000000000002</v>
      </c>
      <c r="O390" s="273">
        <v>0</v>
      </c>
      <c r="P390" s="273">
        <f t="shared" si="52"/>
        <v>4576.3200000000006</v>
      </c>
      <c r="Q390" s="272">
        <f t="shared" si="53"/>
        <v>60084</v>
      </c>
      <c r="R390" s="273">
        <f t="shared" si="54"/>
        <v>47253.772799999999</v>
      </c>
      <c r="S390" s="273">
        <f t="shared" si="55"/>
        <v>2125.44</v>
      </c>
    </row>
    <row r="391" spans="1:19" s="270" customFormat="1" x14ac:dyDescent="0.25">
      <c r="A391" s="335">
        <v>501443</v>
      </c>
      <c r="B391" s="271">
        <v>1443</v>
      </c>
      <c r="C391" s="271">
        <v>56562</v>
      </c>
      <c r="D391" s="268" t="s">
        <v>894</v>
      </c>
      <c r="E391" s="268" t="s">
        <v>1290</v>
      </c>
      <c r="F391" s="268" t="s">
        <v>2976</v>
      </c>
      <c r="G391" s="268">
        <v>11</v>
      </c>
      <c r="H391" s="268" t="s">
        <v>2977</v>
      </c>
      <c r="I391" s="268" t="s">
        <v>2978</v>
      </c>
      <c r="J391" s="272">
        <v>261504</v>
      </c>
      <c r="K391" s="272">
        <f t="shared" si="50"/>
        <v>21792</v>
      </c>
      <c r="L391" s="272">
        <f t="shared" si="51"/>
        <v>12141.24</v>
      </c>
      <c r="M391" s="269">
        <v>0</v>
      </c>
      <c r="N391" s="272">
        <f t="shared" si="56"/>
        <v>129.60000000000002</v>
      </c>
      <c r="O391" s="273">
        <v>0</v>
      </c>
      <c r="P391" s="273">
        <f t="shared" si="52"/>
        <v>4576.3200000000006</v>
      </c>
      <c r="Q391" s="272">
        <f t="shared" si="53"/>
        <v>60084</v>
      </c>
      <c r="R391" s="272">
        <f t="shared" si="54"/>
        <v>47253.772799999999</v>
      </c>
      <c r="S391" s="272">
        <f t="shared" si="55"/>
        <v>2125.44</v>
      </c>
    </row>
    <row r="392" spans="1:19" s="270" customFormat="1" x14ac:dyDescent="0.25">
      <c r="A392" s="335" t="str">
        <f>CONCATENATE(50,B392)</f>
        <v>501406</v>
      </c>
      <c r="B392" s="271">
        <v>1406</v>
      </c>
      <c r="C392" s="271">
        <v>200349</v>
      </c>
      <c r="D392" s="268" t="s">
        <v>894</v>
      </c>
      <c r="E392" s="268" t="s">
        <v>1278</v>
      </c>
      <c r="F392" s="268" t="s">
        <v>2979</v>
      </c>
      <c r="G392" s="268">
        <v>11</v>
      </c>
      <c r="H392" s="268" t="s">
        <v>2980</v>
      </c>
      <c r="I392" s="268" t="s">
        <v>2848</v>
      </c>
      <c r="J392" s="272">
        <v>261108</v>
      </c>
      <c r="K392" s="272">
        <f t="shared" si="50"/>
        <v>21759</v>
      </c>
      <c r="L392" s="272">
        <f t="shared" si="51"/>
        <v>12141.24</v>
      </c>
      <c r="M392" s="269">
        <v>0</v>
      </c>
      <c r="N392" s="272">
        <f t="shared" si="56"/>
        <v>129.60000000000002</v>
      </c>
      <c r="O392" s="273">
        <v>0</v>
      </c>
      <c r="P392" s="273">
        <f t="shared" si="52"/>
        <v>4569.3900000000003</v>
      </c>
      <c r="Q392" s="272">
        <f t="shared" si="53"/>
        <v>60084</v>
      </c>
      <c r="R392" s="272">
        <f t="shared" si="54"/>
        <v>47182.215600000003</v>
      </c>
      <c r="S392" s="272">
        <f t="shared" si="55"/>
        <v>2125.44</v>
      </c>
    </row>
    <row r="393" spans="1:19" s="270" customFormat="1" x14ac:dyDescent="0.25">
      <c r="A393" s="335">
        <v>501406</v>
      </c>
      <c r="B393" s="271">
        <v>1406</v>
      </c>
      <c r="C393" s="271">
        <v>83632</v>
      </c>
      <c r="D393" s="268" t="s">
        <v>894</v>
      </c>
      <c r="E393" s="268" t="s">
        <v>1290</v>
      </c>
      <c r="F393" s="268" t="s">
        <v>2647</v>
      </c>
      <c r="G393" s="268">
        <v>10</v>
      </c>
      <c r="H393" s="268" t="s">
        <v>2981</v>
      </c>
      <c r="I393" s="268" t="s">
        <v>2848</v>
      </c>
      <c r="J393" s="272">
        <v>255552</v>
      </c>
      <c r="K393" s="272">
        <f t="shared" si="50"/>
        <v>21296</v>
      </c>
      <c r="L393" s="272">
        <f t="shared" si="51"/>
        <v>12141.24</v>
      </c>
      <c r="M393" s="269">
        <v>0</v>
      </c>
      <c r="N393" s="272">
        <f t="shared" si="56"/>
        <v>129.60000000000002</v>
      </c>
      <c r="O393" s="273">
        <v>0</v>
      </c>
      <c r="P393" s="273">
        <f t="shared" si="52"/>
        <v>4472.1600000000008</v>
      </c>
      <c r="Q393" s="272">
        <f t="shared" si="53"/>
        <v>60084</v>
      </c>
      <c r="R393" s="272">
        <f t="shared" si="54"/>
        <v>46178.246399999996</v>
      </c>
      <c r="S393" s="272">
        <f t="shared" si="55"/>
        <v>2125.44</v>
      </c>
    </row>
    <row r="394" spans="1:19" s="270" customFormat="1" x14ac:dyDescent="0.25">
      <c r="A394" s="335">
        <v>501406</v>
      </c>
      <c r="B394" s="271">
        <v>1406</v>
      </c>
      <c r="C394" s="271">
        <v>83700</v>
      </c>
      <c r="D394" s="268" t="s">
        <v>894</v>
      </c>
      <c r="E394" s="268" t="s">
        <v>1290</v>
      </c>
      <c r="F394" s="268" t="s">
        <v>2982</v>
      </c>
      <c r="G394" s="268">
        <v>10</v>
      </c>
      <c r="H394" s="268" t="s">
        <v>2983</v>
      </c>
      <c r="I394" s="268" t="s">
        <v>2848</v>
      </c>
      <c r="J394" s="272">
        <v>255552</v>
      </c>
      <c r="K394" s="272">
        <f t="shared" si="50"/>
        <v>21296</v>
      </c>
      <c r="L394" s="272">
        <f t="shared" si="51"/>
        <v>12141.24</v>
      </c>
      <c r="M394" s="269">
        <v>0</v>
      </c>
      <c r="N394" s="272">
        <f t="shared" si="56"/>
        <v>129.60000000000002</v>
      </c>
      <c r="O394" s="273">
        <v>0</v>
      </c>
      <c r="P394" s="273">
        <f t="shared" si="52"/>
        <v>4472.1600000000008</v>
      </c>
      <c r="Q394" s="272">
        <f t="shared" si="53"/>
        <v>60084</v>
      </c>
      <c r="R394" s="272">
        <f t="shared" si="54"/>
        <v>46178.246399999996</v>
      </c>
      <c r="S394" s="272">
        <f t="shared" si="55"/>
        <v>2125.44</v>
      </c>
    </row>
    <row r="395" spans="1:19" s="270" customFormat="1" x14ac:dyDescent="0.25">
      <c r="A395" s="335">
        <v>501203</v>
      </c>
      <c r="B395" s="271">
        <v>1203</v>
      </c>
      <c r="C395" s="271">
        <v>200011</v>
      </c>
      <c r="D395" s="268" t="s">
        <v>894</v>
      </c>
      <c r="E395" s="268" t="s">
        <v>1278</v>
      </c>
      <c r="F395" s="268" t="s">
        <v>2984</v>
      </c>
      <c r="G395" s="268">
        <v>10</v>
      </c>
      <c r="H395" s="268" t="s">
        <v>2985</v>
      </c>
      <c r="I395" s="268" t="s">
        <v>2929</v>
      </c>
      <c r="J395" s="272">
        <v>255552</v>
      </c>
      <c r="K395" s="272">
        <f t="shared" si="50"/>
        <v>21296</v>
      </c>
      <c r="L395" s="272">
        <f t="shared" si="51"/>
        <v>12141.24</v>
      </c>
      <c r="M395" s="269">
        <v>0</v>
      </c>
      <c r="N395" s="272">
        <f t="shared" si="56"/>
        <v>129.60000000000002</v>
      </c>
      <c r="O395" s="273">
        <v>0</v>
      </c>
      <c r="P395" s="273">
        <f t="shared" si="52"/>
        <v>4472.1600000000008</v>
      </c>
      <c r="Q395" s="272">
        <f t="shared" si="53"/>
        <v>60084</v>
      </c>
      <c r="R395" s="272">
        <f t="shared" si="54"/>
        <v>46178.246399999996</v>
      </c>
      <c r="S395" s="272">
        <f t="shared" si="55"/>
        <v>2125.44</v>
      </c>
    </row>
    <row r="396" spans="1:19" s="270" customFormat="1" x14ac:dyDescent="0.25">
      <c r="A396" s="335">
        <v>501406</v>
      </c>
      <c r="B396" s="271">
        <v>1406</v>
      </c>
      <c r="C396" s="271">
        <v>200123</v>
      </c>
      <c r="D396" s="268" t="s">
        <v>894</v>
      </c>
      <c r="E396" s="268" t="s">
        <v>1278</v>
      </c>
      <c r="F396" s="268" t="s">
        <v>2434</v>
      </c>
      <c r="G396" s="268">
        <v>10</v>
      </c>
      <c r="H396" s="268" t="s">
        <v>2582</v>
      </c>
      <c r="I396" s="268" t="s">
        <v>2848</v>
      </c>
      <c r="J396" s="272">
        <v>255552</v>
      </c>
      <c r="K396" s="272">
        <f t="shared" si="50"/>
        <v>21296</v>
      </c>
      <c r="L396" s="272">
        <f t="shared" si="51"/>
        <v>12141.24</v>
      </c>
      <c r="M396" s="269">
        <v>0</v>
      </c>
      <c r="N396" s="272">
        <f t="shared" si="56"/>
        <v>129.60000000000002</v>
      </c>
      <c r="O396" s="273">
        <v>0</v>
      </c>
      <c r="P396" s="273">
        <f t="shared" si="52"/>
        <v>4472.1600000000008</v>
      </c>
      <c r="Q396" s="272">
        <f t="shared" si="53"/>
        <v>60084</v>
      </c>
      <c r="R396" s="272">
        <f t="shared" si="54"/>
        <v>46178.246399999996</v>
      </c>
      <c r="S396" s="272">
        <f t="shared" si="55"/>
        <v>2125.44</v>
      </c>
    </row>
    <row r="397" spans="1:19" s="270" customFormat="1" x14ac:dyDescent="0.25">
      <c r="A397" s="335">
        <v>501443</v>
      </c>
      <c r="B397" s="271">
        <v>1443</v>
      </c>
      <c r="C397" s="271">
        <v>200160</v>
      </c>
      <c r="D397" s="268" t="s">
        <v>894</v>
      </c>
      <c r="E397" s="268" t="s">
        <v>1278</v>
      </c>
      <c r="F397" s="268" t="s">
        <v>1306</v>
      </c>
      <c r="G397" s="268">
        <v>10</v>
      </c>
      <c r="H397" s="268" t="s">
        <v>2986</v>
      </c>
      <c r="I397" s="268" t="s">
        <v>2987</v>
      </c>
      <c r="J397" s="272">
        <v>255552</v>
      </c>
      <c r="K397" s="272">
        <f t="shared" si="50"/>
        <v>21296</v>
      </c>
      <c r="L397" s="272">
        <f t="shared" si="51"/>
        <v>12141.24</v>
      </c>
      <c r="M397" s="269">
        <v>0</v>
      </c>
      <c r="N397" s="272">
        <f t="shared" si="56"/>
        <v>129.60000000000002</v>
      </c>
      <c r="O397" s="273">
        <v>0</v>
      </c>
      <c r="P397" s="273">
        <f t="shared" si="52"/>
        <v>4472.1600000000008</v>
      </c>
      <c r="Q397" s="272">
        <f t="shared" si="53"/>
        <v>60084</v>
      </c>
      <c r="R397" s="272">
        <f t="shared" si="54"/>
        <v>46178.246399999996</v>
      </c>
      <c r="S397" s="272">
        <f t="shared" si="55"/>
        <v>2125.44</v>
      </c>
    </row>
    <row r="398" spans="1:19" s="270" customFormat="1" x14ac:dyDescent="0.25">
      <c r="A398" s="335" t="str">
        <f>CONCATENATE(50,B398)</f>
        <v>501445</v>
      </c>
      <c r="B398" s="271">
        <v>1445</v>
      </c>
      <c r="C398" s="271">
        <v>200321</v>
      </c>
      <c r="D398" s="268" t="s">
        <v>894</v>
      </c>
      <c r="E398" s="268" t="s">
        <v>1278</v>
      </c>
      <c r="F398" s="268" t="s">
        <v>2971</v>
      </c>
      <c r="G398" s="268">
        <v>10</v>
      </c>
      <c r="H398" s="268" t="s">
        <v>2635</v>
      </c>
      <c r="I398" s="268" t="s">
        <v>2844</v>
      </c>
      <c r="J398" s="272">
        <v>255552</v>
      </c>
      <c r="K398" s="272">
        <f t="shared" si="50"/>
        <v>21296</v>
      </c>
      <c r="L398" s="272">
        <f t="shared" si="51"/>
        <v>12141.24</v>
      </c>
      <c r="M398" s="269">
        <v>0</v>
      </c>
      <c r="N398" s="272">
        <f t="shared" si="56"/>
        <v>129.60000000000002</v>
      </c>
      <c r="O398" s="273">
        <v>0</v>
      </c>
      <c r="P398" s="273">
        <f t="shared" si="52"/>
        <v>4472.1600000000008</v>
      </c>
      <c r="Q398" s="272">
        <f t="shared" si="53"/>
        <v>60084</v>
      </c>
      <c r="R398" s="272">
        <f t="shared" si="54"/>
        <v>46178.246399999996</v>
      </c>
      <c r="S398" s="272">
        <f t="shared" si="55"/>
        <v>2125.44</v>
      </c>
    </row>
    <row r="399" spans="1:19" s="270" customFormat="1" x14ac:dyDescent="0.25">
      <c r="A399" s="335" t="str">
        <f>CONCATENATE(50,B399)</f>
        <v>501445</v>
      </c>
      <c r="B399" s="271">
        <v>1445</v>
      </c>
      <c r="C399" s="271">
        <v>200421</v>
      </c>
      <c r="D399" s="268" t="s">
        <v>894</v>
      </c>
      <c r="E399" s="268" t="s">
        <v>1278</v>
      </c>
      <c r="F399" s="268" t="s">
        <v>2976</v>
      </c>
      <c r="G399" s="268">
        <v>10</v>
      </c>
      <c r="H399" s="268" t="s">
        <v>2988</v>
      </c>
      <c r="I399" s="268" t="s">
        <v>2844</v>
      </c>
      <c r="J399" s="272">
        <v>255552</v>
      </c>
      <c r="K399" s="272">
        <f t="shared" si="50"/>
        <v>21296</v>
      </c>
      <c r="L399" s="272">
        <f t="shared" si="51"/>
        <v>12141.24</v>
      </c>
      <c r="M399" s="269">
        <v>0</v>
      </c>
      <c r="N399" s="272">
        <f t="shared" si="56"/>
        <v>129.60000000000002</v>
      </c>
      <c r="O399" s="273">
        <v>0</v>
      </c>
      <c r="P399" s="273">
        <f t="shared" si="52"/>
        <v>4472.1600000000008</v>
      </c>
      <c r="Q399" s="272">
        <f t="shared" si="53"/>
        <v>60084</v>
      </c>
      <c r="R399" s="272">
        <f t="shared" si="54"/>
        <v>46178.246399999996</v>
      </c>
      <c r="S399" s="272">
        <f t="shared" si="55"/>
        <v>2125.44</v>
      </c>
    </row>
    <row r="400" spans="1:19" s="270" customFormat="1" x14ac:dyDescent="0.25">
      <c r="A400" s="335" t="str">
        <f t="shared" ref="A400:A401" si="57">CONCATENATE(50,B400)</f>
        <v>501406</v>
      </c>
      <c r="B400" s="271">
        <v>1406</v>
      </c>
      <c r="C400" s="271">
        <v>200441</v>
      </c>
      <c r="D400" s="268" t="s">
        <v>894</v>
      </c>
      <c r="E400" s="268" t="s">
        <v>1278</v>
      </c>
      <c r="F400" s="268" t="s">
        <v>2362</v>
      </c>
      <c r="G400" s="268">
        <v>10</v>
      </c>
      <c r="H400" s="268" t="s">
        <v>2989</v>
      </c>
      <c r="I400" s="268" t="s">
        <v>2848</v>
      </c>
      <c r="J400" s="272">
        <v>255552</v>
      </c>
      <c r="K400" s="272">
        <f t="shared" si="50"/>
        <v>21296</v>
      </c>
      <c r="L400" s="272">
        <f t="shared" si="51"/>
        <v>12141.24</v>
      </c>
      <c r="M400" s="269">
        <v>0</v>
      </c>
      <c r="N400" s="272">
        <f t="shared" si="56"/>
        <v>129.60000000000002</v>
      </c>
      <c r="O400" s="273">
        <v>0</v>
      </c>
      <c r="P400" s="273">
        <f t="shared" si="52"/>
        <v>4472.1600000000008</v>
      </c>
      <c r="Q400" s="272">
        <f t="shared" si="53"/>
        <v>60084</v>
      </c>
      <c r="R400" s="272">
        <f t="shared" si="54"/>
        <v>46178.246399999996</v>
      </c>
      <c r="S400" s="272">
        <f t="shared" si="55"/>
        <v>2125.44</v>
      </c>
    </row>
    <row r="401" spans="1:21" s="270" customFormat="1" x14ac:dyDescent="0.25">
      <c r="A401" s="335" t="str">
        <f t="shared" si="57"/>
        <v>501406</v>
      </c>
      <c r="B401" s="271">
        <v>1406</v>
      </c>
      <c r="C401" s="271">
        <v>200444</v>
      </c>
      <c r="D401" s="268" t="s">
        <v>894</v>
      </c>
      <c r="E401" s="268" t="s">
        <v>1278</v>
      </c>
      <c r="F401" s="268" t="s">
        <v>894</v>
      </c>
      <c r="G401" s="268">
        <v>10</v>
      </c>
      <c r="H401" s="268" t="s">
        <v>2990</v>
      </c>
      <c r="I401" s="268" t="s">
        <v>2848</v>
      </c>
      <c r="J401" s="272">
        <v>255552</v>
      </c>
      <c r="K401" s="272">
        <f t="shared" si="50"/>
        <v>21296</v>
      </c>
      <c r="L401" s="272">
        <f t="shared" si="51"/>
        <v>12141.24</v>
      </c>
      <c r="M401" s="269">
        <v>0</v>
      </c>
      <c r="N401" s="272">
        <f t="shared" si="56"/>
        <v>129.60000000000002</v>
      </c>
      <c r="O401" s="273">
        <v>0</v>
      </c>
      <c r="P401" s="273">
        <f t="shared" si="52"/>
        <v>4472.1600000000008</v>
      </c>
      <c r="Q401" s="272">
        <f t="shared" si="53"/>
        <v>60084</v>
      </c>
      <c r="R401" s="272">
        <f t="shared" si="54"/>
        <v>46178.246399999996</v>
      </c>
      <c r="S401" s="272">
        <f t="shared" si="55"/>
        <v>2125.44</v>
      </c>
    </row>
    <row r="402" spans="1:21" s="270" customFormat="1" x14ac:dyDescent="0.25">
      <c r="A402" s="335">
        <v>501406</v>
      </c>
      <c r="B402" s="271">
        <v>1406</v>
      </c>
      <c r="C402" s="271">
        <v>34160</v>
      </c>
      <c r="D402" s="268" t="s">
        <v>894</v>
      </c>
      <c r="E402" s="268" t="s">
        <v>1290</v>
      </c>
      <c r="F402" s="268" t="s">
        <v>2991</v>
      </c>
      <c r="G402" s="268">
        <v>11</v>
      </c>
      <c r="H402" s="268" t="s">
        <v>2992</v>
      </c>
      <c r="I402" s="268" t="s">
        <v>2944</v>
      </c>
      <c r="J402" s="272">
        <v>255552</v>
      </c>
      <c r="K402" s="272">
        <f t="shared" si="50"/>
        <v>21296</v>
      </c>
      <c r="L402" s="272">
        <f t="shared" si="51"/>
        <v>12141.24</v>
      </c>
      <c r="M402" s="269">
        <v>0</v>
      </c>
      <c r="N402" s="272">
        <f t="shared" si="56"/>
        <v>129.60000000000002</v>
      </c>
      <c r="O402" s="273">
        <v>0</v>
      </c>
      <c r="P402" s="273">
        <f t="shared" si="52"/>
        <v>4472.1600000000008</v>
      </c>
      <c r="Q402" s="272">
        <f t="shared" si="53"/>
        <v>60084</v>
      </c>
      <c r="R402" s="272">
        <f t="shared" si="54"/>
        <v>46178.246399999996</v>
      </c>
      <c r="S402" s="272">
        <f t="shared" si="55"/>
        <v>2125.44</v>
      </c>
    </row>
    <row r="403" spans="1:21" s="270" customFormat="1" x14ac:dyDescent="0.25">
      <c r="A403" s="335">
        <v>501444</v>
      </c>
      <c r="B403" s="271">
        <v>1444</v>
      </c>
      <c r="C403" s="271">
        <v>35570</v>
      </c>
      <c r="D403" s="268" t="s">
        <v>894</v>
      </c>
      <c r="E403" s="268" t="s">
        <v>1290</v>
      </c>
      <c r="F403" s="268" t="s">
        <v>2993</v>
      </c>
      <c r="G403" s="268">
        <v>11</v>
      </c>
      <c r="H403" s="268" t="s">
        <v>2994</v>
      </c>
      <c r="I403" s="268" t="s">
        <v>2995</v>
      </c>
      <c r="J403" s="272">
        <v>255552</v>
      </c>
      <c r="K403" s="272">
        <f t="shared" si="50"/>
        <v>21296</v>
      </c>
      <c r="L403" s="272">
        <f t="shared" si="51"/>
        <v>12141.24</v>
      </c>
      <c r="M403" s="269">
        <v>0</v>
      </c>
      <c r="N403" s="272">
        <f t="shared" si="56"/>
        <v>129.60000000000002</v>
      </c>
      <c r="O403" s="273">
        <v>0</v>
      </c>
      <c r="P403" s="273">
        <f t="shared" si="52"/>
        <v>4472.1600000000008</v>
      </c>
      <c r="Q403" s="272">
        <f t="shared" si="53"/>
        <v>60084</v>
      </c>
      <c r="R403" s="272">
        <f t="shared" si="54"/>
        <v>46178.246399999996</v>
      </c>
      <c r="S403" s="272">
        <f t="shared" si="55"/>
        <v>2125.44</v>
      </c>
    </row>
    <row r="404" spans="1:21" s="270" customFormat="1" x14ac:dyDescent="0.25">
      <c r="A404" s="335">
        <v>501443</v>
      </c>
      <c r="B404" s="271">
        <v>1443</v>
      </c>
      <c r="C404" s="271">
        <v>38933</v>
      </c>
      <c r="D404" s="268" t="s">
        <v>894</v>
      </c>
      <c r="E404" s="268" t="s">
        <v>1290</v>
      </c>
      <c r="F404" s="268" t="s">
        <v>2996</v>
      </c>
      <c r="G404" s="268">
        <v>11</v>
      </c>
      <c r="H404" s="268" t="s">
        <v>2997</v>
      </c>
      <c r="I404" s="268" t="s">
        <v>2946</v>
      </c>
      <c r="J404" s="272">
        <v>255552</v>
      </c>
      <c r="K404" s="272">
        <f t="shared" si="50"/>
        <v>21296</v>
      </c>
      <c r="L404" s="272">
        <f t="shared" si="51"/>
        <v>12141.24</v>
      </c>
      <c r="M404" s="269">
        <v>0</v>
      </c>
      <c r="N404" s="272">
        <f t="shared" si="56"/>
        <v>129.60000000000002</v>
      </c>
      <c r="O404" s="273">
        <v>0</v>
      </c>
      <c r="P404" s="273">
        <f t="shared" si="52"/>
        <v>4472.1600000000008</v>
      </c>
      <c r="Q404" s="272">
        <f t="shared" si="53"/>
        <v>60084</v>
      </c>
      <c r="R404" s="272">
        <f t="shared" si="54"/>
        <v>46178.246399999996</v>
      </c>
      <c r="S404" s="272">
        <f t="shared" si="55"/>
        <v>2125.44</v>
      </c>
    </row>
    <row r="405" spans="1:21" s="270" customFormat="1" x14ac:dyDescent="0.25">
      <c r="A405" s="335">
        <v>501444</v>
      </c>
      <c r="B405" s="271">
        <v>1444</v>
      </c>
      <c r="C405" s="271">
        <v>44341</v>
      </c>
      <c r="D405" s="268" t="s">
        <v>894</v>
      </c>
      <c r="E405" s="268" t="s">
        <v>1290</v>
      </c>
      <c r="F405" s="268" t="s">
        <v>2998</v>
      </c>
      <c r="G405" s="268">
        <v>11</v>
      </c>
      <c r="H405" s="268" t="s">
        <v>2999</v>
      </c>
      <c r="I405" s="268" t="s">
        <v>2995</v>
      </c>
      <c r="J405" s="272">
        <v>255552</v>
      </c>
      <c r="K405" s="272">
        <f t="shared" si="50"/>
        <v>21296</v>
      </c>
      <c r="L405" s="272">
        <f t="shared" si="51"/>
        <v>12141.24</v>
      </c>
      <c r="M405" s="269">
        <v>0</v>
      </c>
      <c r="N405" s="272">
        <f t="shared" si="56"/>
        <v>129.60000000000002</v>
      </c>
      <c r="O405" s="273">
        <v>0</v>
      </c>
      <c r="P405" s="273">
        <f t="shared" si="52"/>
        <v>4472.1600000000008</v>
      </c>
      <c r="Q405" s="272">
        <f t="shared" si="53"/>
        <v>60084</v>
      </c>
      <c r="R405" s="272">
        <f t="shared" si="54"/>
        <v>46178.246399999996</v>
      </c>
      <c r="S405" s="272">
        <f t="shared" si="55"/>
        <v>2125.44</v>
      </c>
    </row>
    <row r="406" spans="1:21" s="270" customFormat="1" x14ac:dyDescent="0.25">
      <c r="A406" s="335">
        <v>501444</v>
      </c>
      <c r="B406" s="271">
        <v>1444</v>
      </c>
      <c r="C406" s="271">
        <v>51583</v>
      </c>
      <c r="D406" s="268" t="s">
        <v>894</v>
      </c>
      <c r="E406" s="268" t="s">
        <v>1290</v>
      </c>
      <c r="F406" s="268" t="s">
        <v>2381</v>
      </c>
      <c r="G406" s="268">
        <v>11</v>
      </c>
      <c r="H406" s="268" t="s">
        <v>3000</v>
      </c>
      <c r="I406" s="268" t="s">
        <v>2995</v>
      </c>
      <c r="J406" s="272">
        <v>255552</v>
      </c>
      <c r="K406" s="272">
        <f t="shared" si="50"/>
        <v>21296</v>
      </c>
      <c r="L406" s="272">
        <f t="shared" si="51"/>
        <v>12141.24</v>
      </c>
      <c r="M406" s="269">
        <v>0</v>
      </c>
      <c r="N406" s="272">
        <f t="shared" si="56"/>
        <v>129.60000000000002</v>
      </c>
      <c r="O406" s="273">
        <v>0</v>
      </c>
      <c r="P406" s="273">
        <f t="shared" si="52"/>
        <v>4472.1600000000008</v>
      </c>
      <c r="Q406" s="272">
        <f t="shared" si="53"/>
        <v>60084</v>
      </c>
      <c r="R406" s="272">
        <f t="shared" si="54"/>
        <v>46178.246399999996</v>
      </c>
      <c r="S406" s="272">
        <f t="shared" si="55"/>
        <v>2125.44</v>
      </c>
    </row>
    <row r="407" spans="1:21" s="270" customFormat="1" x14ac:dyDescent="0.25">
      <c r="A407" s="335">
        <v>501443</v>
      </c>
      <c r="B407" s="271">
        <v>1443</v>
      </c>
      <c r="C407" s="271">
        <v>51693</v>
      </c>
      <c r="D407" s="268" t="s">
        <v>894</v>
      </c>
      <c r="E407" s="268" t="s">
        <v>1290</v>
      </c>
      <c r="F407" s="268" t="s">
        <v>3001</v>
      </c>
      <c r="G407" s="268">
        <v>11</v>
      </c>
      <c r="H407" s="268" t="s">
        <v>3002</v>
      </c>
      <c r="I407" s="268" t="s">
        <v>2944</v>
      </c>
      <c r="J407" s="272">
        <v>255552</v>
      </c>
      <c r="K407" s="272">
        <f t="shared" si="50"/>
        <v>21296</v>
      </c>
      <c r="L407" s="272">
        <f t="shared" si="51"/>
        <v>12141.24</v>
      </c>
      <c r="M407" s="269">
        <v>0</v>
      </c>
      <c r="N407" s="272">
        <f t="shared" si="56"/>
        <v>129.60000000000002</v>
      </c>
      <c r="O407" s="273">
        <v>0</v>
      </c>
      <c r="P407" s="273">
        <f t="shared" si="52"/>
        <v>4472.1600000000008</v>
      </c>
      <c r="Q407" s="272">
        <f t="shared" si="53"/>
        <v>60084</v>
      </c>
      <c r="R407" s="272">
        <f t="shared" si="54"/>
        <v>46178.246399999996</v>
      </c>
      <c r="S407" s="272">
        <f t="shared" si="55"/>
        <v>2125.44</v>
      </c>
    </row>
    <row r="408" spans="1:21" s="270" customFormat="1" x14ac:dyDescent="0.25">
      <c r="A408" s="335">
        <v>501443</v>
      </c>
      <c r="B408" s="271">
        <v>1443</v>
      </c>
      <c r="C408" s="271">
        <v>51703</v>
      </c>
      <c r="D408" s="268" t="s">
        <v>894</v>
      </c>
      <c r="E408" s="268" t="s">
        <v>1290</v>
      </c>
      <c r="F408" s="268" t="s">
        <v>2637</v>
      </c>
      <c r="G408" s="268">
        <v>11</v>
      </c>
      <c r="H408" s="268" t="s">
        <v>3003</v>
      </c>
      <c r="I408" s="268" t="s">
        <v>2946</v>
      </c>
      <c r="J408" s="272">
        <v>255552</v>
      </c>
      <c r="K408" s="272">
        <f t="shared" si="50"/>
        <v>21296</v>
      </c>
      <c r="L408" s="272">
        <f t="shared" si="51"/>
        <v>12141.24</v>
      </c>
      <c r="M408" s="269">
        <v>0</v>
      </c>
      <c r="N408" s="272">
        <f t="shared" si="56"/>
        <v>129.60000000000002</v>
      </c>
      <c r="O408" s="273">
        <v>0</v>
      </c>
      <c r="P408" s="273">
        <f t="shared" si="52"/>
        <v>4472.1600000000008</v>
      </c>
      <c r="Q408" s="272">
        <f t="shared" si="53"/>
        <v>60084</v>
      </c>
      <c r="R408" s="272">
        <f t="shared" si="54"/>
        <v>46178.246399999996</v>
      </c>
      <c r="S408" s="272">
        <f t="shared" si="55"/>
        <v>2125.44</v>
      </c>
    </row>
    <row r="409" spans="1:21" s="270" customFormat="1" x14ac:dyDescent="0.25">
      <c r="A409" s="335">
        <v>501444</v>
      </c>
      <c r="B409" s="271">
        <v>1444</v>
      </c>
      <c r="C409" s="271">
        <v>57435</v>
      </c>
      <c r="D409" s="268" t="s">
        <v>894</v>
      </c>
      <c r="E409" s="268" t="s">
        <v>1290</v>
      </c>
      <c r="F409" s="268" t="s">
        <v>894</v>
      </c>
      <c r="G409" s="268">
        <v>11</v>
      </c>
      <c r="H409" s="268" t="s">
        <v>3004</v>
      </c>
      <c r="I409" s="268" t="s">
        <v>2995</v>
      </c>
      <c r="J409" s="272">
        <v>255552</v>
      </c>
      <c r="K409" s="272">
        <f t="shared" si="50"/>
        <v>21296</v>
      </c>
      <c r="L409" s="272">
        <f t="shared" si="51"/>
        <v>12141.24</v>
      </c>
      <c r="M409" s="269">
        <v>0</v>
      </c>
      <c r="N409" s="272">
        <f t="shared" si="56"/>
        <v>129.60000000000002</v>
      </c>
      <c r="O409" s="273">
        <v>0</v>
      </c>
      <c r="P409" s="273">
        <f t="shared" si="52"/>
        <v>4472.1600000000008</v>
      </c>
      <c r="Q409" s="272">
        <f t="shared" si="53"/>
        <v>60084</v>
      </c>
      <c r="R409" s="272">
        <f t="shared" si="54"/>
        <v>46178.246399999996</v>
      </c>
      <c r="S409" s="272">
        <f t="shared" si="55"/>
        <v>2125.44</v>
      </c>
    </row>
    <row r="410" spans="1:21" s="270" customFormat="1" x14ac:dyDescent="0.25">
      <c r="A410" s="335">
        <v>501444</v>
      </c>
      <c r="B410" s="271">
        <v>1444</v>
      </c>
      <c r="C410" s="271">
        <v>58971</v>
      </c>
      <c r="D410" s="268" t="s">
        <v>894</v>
      </c>
      <c r="E410" s="268" t="s">
        <v>1290</v>
      </c>
      <c r="F410" s="268" t="s">
        <v>2637</v>
      </c>
      <c r="G410" s="268">
        <v>11</v>
      </c>
      <c r="H410" s="268" t="s">
        <v>3005</v>
      </c>
      <c r="I410" s="268" t="s">
        <v>2995</v>
      </c>
      <c r="J410" s="272">
        <v>255552</v>
      </c>
      <c r="K410" s="272">
        <f t="shared" si="50"/>
        <v>21296</v>
      </c>
      <c r="L410" s="272">
        <f t="shared" si="51"/>
        <v>12141.24</v>
      </c>
      <c r="M410" s="269">
        <v>0</v>
      </c>
      <c r="N410" s="272">
        <f t="shared" si="56"/>
        <v>129.60000000000002</v>
      </c>
      <c r="O410" s="273">
        <v>0</v>
      </c>
      <c r="P410" s="273">
        <f t="shared" si="52"/>
        <v>4472.1600000000008</v>
      </c>
      <c r="Q410" s="272">
        <f t="shared" si="53"/>
        <v>60084</v>
      </c>
      <c r="R410" s="272">
        <f t="shared" si="54"/>
        <v>46178.246399999996</v>
      </c>
      <c r="S410" s="272">
        <f t="shared" si="55"/>
        <v>2125.44</v>
      </c>
    </row>
    <row r="411" spans="1:21" s="270" customFormat="1" x14ac:dyDescent="0.25">
      <c r="A411" s="335">
        <v>501206</v>
      </c>
      <c r="B411" s="271">
        <v>1206</v>
      </c>
      <c r="C411" s="271">
        <v>59501</v>
      </c>
      <c r="D411" s="268" t="s">
        <v>894</v>
      </c>
      <c r="E411" s="268" t="s">
        <v>1290</v>
      </c>
      <c r="F411" s="268" t="s">
        <v>3006</v>
      </c>
      <c r="G411" s="268">
        <v>11</v>
      </c>
      <c r="H411" s="268" t="s">
        <v>3007</v>
      </c>
      <c r="I411" s="268" t="s">
        <v>2840</v>
      </c>
      <c r="J411" s="272">
        <v>255552</v>
      </c>
      <c r="K411" s="272">
        <f t="shared" si="50"/>
        <v>21296</v>
      </c>
      <c r="L411" s="272">
        <f t="shared" si="51"/>
        <v>12141.24</v>
      </c>
      <c r="M411" s="269">
        <v>0</v>
      </c>
      <c r="N411" s="272">
        <f t="shared" si="56"/>
        <v>129.60000000000002</v>
      </c>
      <c r="O411" s="273">
        <v>0</v>
      </c>
      <c r="P411" s="273">
        <f t="shared" si="52"/>
        <v>4472.1600000000008</v>
      </c>
      <c r="Q411" s="272">
        <f t="shared" si="53"/>
        <v>60084</v>
      </c>
      <c r="R411" s="272">
        <f t="shared" si="54"/>
        <v>46178.246399999996</v>
      </c>
      <c r="S411" s="272">
        <f t="shared" si="55"/>
        <v>2125.44</v>
      </c>
    </row>
    <row r="412" spans="1:21" s="270" customFormat="1" x14ac:dyDescent="0.25">
      <c r="A412" s="337">
        <v>501444</v>
      </c>
      <c r="B412" s="276">
        <v>1444</v>
      </c>
      <c r="C412" s="276">
        <v>84615</v>
      </c>
      <c r="D412" s="268" t="s">
        <v>894</v>
      </c>
      <c r="E412" s="268" t="s">
        <v>1290</v>
      </c>
      <c r="F412" s="268" t="s">
        <v>3008</v>
      </c>
      <c r="G412" s="268">
        <v>11</v>
      </c>
      <c r="H412" s="268" t="s">
        <v>3009</v>
      </c>
      <c r="I412" s="268" t="s">
        <v>2995</v>
      </c>
      <c r="J412" s="269">
        <v>255552</v>
      </c>
      <c r="K412" s="273">
        <f t="shared" si="50"/>
        <v>21296</v>
      </c>
      <c r="L412" s="272">
        <f t="shared" si="51"/>
        <v>12141.24</v>
      </c>
      <c r="M412" s="269">
        <f>500*12</f>
        <v>6000</v>
      </c>
      <c r="N412" s="273">
        <f t="shared" si="56"/>
        <v>129.60000000000002</v>
      </c>
      <c r="O412" s="273">
        <v>0</v>
      </c>
      <c r="P412" s="273">
        <f t="shared" si="52"/>
        <v>4472.1600000000008</v>
      </c>
      <c r="Q412" s="272">
        <f t="shared" si="53"/>
        <v>60084</v>
      </c>
      <c r="R412" s="273">
        <f t="shared" si="54"/>
        <v>46178.246399999996</v>
      </c>
      <c r="S412" s="273">
        <f t="shared" si="55"/>
        <v>2125.44</v>
      </c>
      <c r="T412" s="277"/>
      <c r="U412" s="277"/>
    </row>
    <row r="413" spans="1:21" s="270" customFormat="1" x14ac:dyDescent="0.25">
      <c r="A413" s="335" t="str">
        <f t="shared" ref="A413:A415" si="58">CONCATENATE(50,B413)</f>
        <v>501406</v>
      </c>
      <c r="B413" s="271">
        <v>1406</v>
      </c>
      <c r="C413" s="271">
        <v>200436</v>
      </c>
      <c r="D413" s="268" t="s">
        <v>894</v>
      </c>
      <c r="E413" s="268" t="s">
        <v>1278</v>
      </c>
      <c r="F413" s="268" t="s">
        <v>1306</v>
      </c>
      <c r="G413" s="268">
        <v>10</v>
      </c>
      <c r="H413" s="268" t="s">
        <v>3010</v>
      </c>
      <c r="I413" s="268" t="s">
        <v>2848</v>
      </c>
      <c r="J413" s="272">
        <v>249840</v>
      </c>
      <c r="K413" s="272">
        <f t="shared" si="50"/>
        <v>20820</v>
      </c>
      <c r="L413" s="272">
        <f t="shared" si="51"/>
        <v>12141.24</v>
      </c>
      <c r="M413" s="269">
        <v>0</v>
      </c>
      <c r="N413" s="272">
        <f t="shared" si="56"/>
        <v>129.60000000000002</v>
      </c>
      <c r="O413" s="273">
        <v>0</v>
      </c>
      <c r="P413" s="273">
        <f t="shared" si="52"/>
        <v>4372.2000000000007</v>
      </c>
      <c r="Q413" s="272">
        <f t="shared" si="53"/>
        <v>60084</v>
      </c>
      <c r="R413" s="272">
        <f t="shared" si="54"/>
        <v>45146.088000000003</v>
      </c>
      <c r="S413" s="272">
        <f t="shared" si="55"/>
        <v>2125.44</v>
      </c>
      <c r="T413" s="277"/>
      <c r="U413" s="277"/>
    </row>
    <row r="414" spans="1:21" s="270" customFormat="1" x14ac:dyDescent="0.25">
      <c r="A414" s="335" t="str">
        <f t="shared" si="58"/>
        <v>501406</v>
      </c>
      <c r="B414" s="271">
        <v>1406</v>
      </c>
      <c r="C414" s="271">
        <v>200437</v>
      </c>
      <c r="D414" s="268" t="s">
        <v>894</v>
      </c>
      <c r="E414" s="268" t="s">
        <v>1278</v>
      </c>
      <c r="F414" s="268" t="s">
        <v>3011</v>
      </c>
      <c r="G414" s="268">
        <v>10</v>
      </c>
      <c r="H414" s="268" t="s">
        <v>3012</v>
      </c>
      <c r="I414" s="268" t="s">
        <v>2848</v>
      </c>
      <c r="J414" s="272">
        <v>249840</v>
      </c>
      <c r="K414" s="272">
        <f t="shared" si="50"/>
        <v>20820</v>
      </c>
      <c r="L414" s="272">
        <f t="shared" si="51"/>
        <v>12141.24</v>
      </c>
      <c r="M414" s="269">
        <v>0</v>
      </c>
      <c r="N414" s="272">
        <f t="shared" si="56"/>
        <v>129.60000000000002</v>
      </c>
      <c r="O414" s="273">
        <v>0</v>
      </c>
      <c r="P414" s="273">
        <f t="shared" si="52"/>
        <v>4372.2000000000007</v>
      </c>
      <c r="Q414" s="272">
        <f t="shared" si="53"/>
        <v>60084</v>
      </c>
      <c r="R414" s="272">
        <f t="shared" si="54"/>
        <v>45146.088000000003</v>
      </c>
      <c r="S414" s="272">
        <f t="shared" si="55"/>
        <v>2125.44</v>
      </c>
    </row>
    <row r="415" spans="1:21" s="270" customFormat="1" x14ac:dyDescent="0.25">
      <c r="A415" s="335" t="str">
        <f t="shared" si="58"/>
        <v>501406</v>
      </c>
      <c r="B415" s="271">
        <v>1406</v>
      </c>
      <c r="C415" s="271">
        <v>200475</v>
      </c>
      <c r="D415" s="268" t="s">
        <v>894</v>
      </c>
      <c r="E415" s="268" t="s">
        <v>1290</v>
      </c>
      <c r="F415" s="268" t="s">
        <v>3013</v>
      </c>
      <c r="G415" s="268">
        <v>10</v>
      </c>
      <c r="H415" s="268" t="s">
        <v>3014</v>
      </c>
      <c r="I415" s="268" t="s">
        <v>2848</v>
      </c>
      <c r="J415" s="272">
        <v>249840</v>
      </c>
      <c r="K415" s="272">
        <f t="shared" si="50"/>
        <v>20820</v>
      </c>
      <c r="L415" s="272">
        <f t="shared" si="51"/>
        <v>12141.24</v>
      </c>
      <c r="M415" s="269">
        <v>0</v>
      </c>
      <c r="N415" s="272">
        <f t="shared" si="56"/>
        <v>129.60000000000002</v>
      </c>
      <c r="O415" s="273">
        <v>0</v>
      </c>
      <c r="P415" s="273">
        <f t="shared" si="52"/>
        <v>4372.2000000000007</v>
      </c>
      <c r="Q415" s="272">
        <f t="shared" si="53"/>
        <v>60084</v>
      </c>
      <c r="R415" s="272">
        <f t="shared" si="54"/>
        <v>45146.088000000003</v>
      </c>
      <c r="S415" s="272">
        <f t="shared" si="55"/>
        <v>2125.44</v>
      </c>
      <c r="T415" s="277"/>
      <c r="U415" s="277"/>
    </row>
    <row r="416" spans="1:21" s="270" customFormat="1" x14ac:dyDescent="0.25">
      <c r="A416" s="335">
        <v>501444</v>
      </c>
      <c r="B416" s="271">
        <v>1444</v>
      </c>
      <c r="C416" s="271">
        <v>1724</v>
      </c>
      <c r="D416" s="268" t="s">
        <v>894</v>
      </c>
      <c r="E416" s="268" t="s">
        <v>1290</v>
      </c>
      <c r="F416" s="268" t="s">
        <v>2971</v>
      </c>
      <c r="G416" s="268">
        <v>11</v>
      </c>
      <c r="H416" s="268" t="s">
        <v>3015</v>
      </c>
      <c r="I416" s="268" t="s">
        <v>2946</v>
      </c>
      <c r="J416" s="272">
        <v>249840</v>
      </c>
      <c r="K416" s="272">
        <f t="shared" si="50"/>
        <v>20820</v>
      </c>
      <c r="L416" s="272">
        <f t="shared" si="51"/>
        <v>12141.24</v>
      </c>
      <c r="M416" s="269">
        <v>0</v>
      </c>
      <c r="N416" s="272">
        <f t="shared" si="56"/>
        <v>129.60000000000002</v>
      </c>
      <c r="O416" s="273">
        <v>0</v>
      </c>
      <c r="P416" s="273">
        <f t="shared" si="52"/>
        <v>4372.2000000000007</v>
      </c>
      <c r="Q416" s="272">
        <f t="shared" si="53"/>
        <v>60084</v>
      </c>
      <c r="R416" s="272">
        <f t="shared" si="54"/>
        <v>45146.088000000003</v>
      </c>
      <c r="S416" s="272">
        <f t="shared" si="55"/>
        <v>2125.44</v>
      </c>
    </row>
    <row r="417" spans="1:19" s="270" customFormat="1" x14ac:dyDescent="0.25">
      <c r="A417" s="335">
        <v>501406</v>
      </c>
      <c r="B417" s="271">
        <v>1406</v>
      </c>
      <c r="C417" s="271">
        <v>44325</v>
      </c>
      <c r="D417" s="268" t="s">
        <v>894</v>
      </c>
      <c r="E417" s="268" t="s">
        <v>1290</v>
      </c>
      <c r="F417" s="268" t="s">
        <v>2838</v>
      </c>
      <c r="G417" s="268">
        <v>11</v>
      </c>
      <c r="H417" s="268" t="s">
        <v>3016</v>
      </c>
      <c r="I417" s="268" t="s">
        <v>2946</v>
      </c>
      <c r="J417" s="272">
        <v>249840</v>
      </c>
      <c r="K417" s="272">
        <f t="shared" si="50"/>
        <v>20820</v>
      </c>
      <c r="L417" s="272">
        <f t="shared" si="51"/>
        <v>12141.24</v>
      </c>
      <c r="M417" s="269">
        <v>0</v>
      </c>
      <c r="N417" s="272">
        <f t="shared" si="56"/>
        <v>129.60000000000002</v>
      </c>
      <c r="O417" s="273">
        <v>0</v>
      </c>
      <c r="P417" s="273">
        <f t="shared" si="52"/>
        <v>4372.2000000000007</v>
      </c>
      <c r="Q417" s="272">
        <f t="shared" si="53"/>
        <v>60084</v>
      </c>
      <c r="R417" s="272">
        <f t="shared" si="54"/>
        <v>45146.088000000003</v>
      </c>
      <c r="S417" s="272">
        <f t="shared" si="55"/>
        <v>2125.44</v>
      </c>
    </row>
    <row r="418" spans="1:19" s="270" customFormat="1" x14ac:dyDescent="0.25">
      <c r="A418" s="335">
        <v>501406</v>
      </c>
      <c r="B418" s="271">
        <v>1406</v>
      </c>
      <c r="C418" s="271">
        <v>200014</v>
      </c>
      <c r="D418" s="268" t="s">
        <v>894</v>
      </c>
      <c r="E418" s="268" t="s">
        <v>1278</v>
      </c>
      <c r="F418" s="268" t="s">
        <v>3017</v>
      </c>
      <c r="G418" s="268">
        <v>11</v>
      </c>
      <c r="H418" s="268" t="s">
        <v>3018</v>
      </c>
      <c r="I418" s="268" t="s">
        <v>2848</v>
      </c>
      <c r="J418" s="272">
        <v>249840</v>
      </c>
      <c r="K418" s="272">
        <f t="shared" si="50"/>
        <v>20820</v>
      </c>
      <c r="L418" s="272">
        <f t="shared" si="51"/>
        <v>12141.24</v>
      </c>
      <c r="M418" s="269">
        <v>0</v>
      </c>
      <c r="N418" s="272">
        <f t="shared" si="56"/>
        <v>129.60000000000002</v>
      </c>
      <c r="O418" s="273">
        <v>0</v>
      </c>
      <c r="P418" s="273">
        <f t="shared" si="52"/>
        <v>4372.2000000000007</v>
      </c>
      <c r="Q418" s="272">
        <f t="shared" si="53"/>
        <v>60084</v>
      </c>
      <c r="R418" s="272">
        <f t="shared" si="54"/>
        <v>45146.088000000003</v>
      </c>
      <c r="S418" s="272">
        <f t="shared" si="55"/>
        <v>2125.44</v>
      </c>
    </row>
    <row r="419" spans="1:19" s="270" customFormat="1" x14ac:dyDescent="0.25">
      <c r="A419" s="335">
        <v>501406</v>
      </c>
      <c r="B419" s="271">
        <v>1406</v>
      </c>
      <c r="C419" s="271">
        <v>200262</v>
      </c>
      <c r="D419" s="268" t="s">
        <v>894</v>
      </c>
      <c r="E419" s="268" t="s">
        <v>1278</v>
      </c>
      <c r="F419" s="268" t="s">
        <v>3006</v>
      </c>
      <c r="G419" s="268">
        <v>11</v>
      </c>
      <c r="H419" s="268" t="s">
        <v>3019</v>
      </c>
      <c r="I419" s="268" t="s">
        <v>2848</v>
      </c>
      <c r="J419" s="272">
        <v>249840</v>
      </c>
      <c r="K419" s="272">
        <f t="shared" si="50"/>
        <v>20820</v>
      </c>
      <c r="L419" s="272">
        <f t="shared" si="51"/>
        <v>12141.24</v>
      </c>
      <c r="M419" s="269">
        <v>0</v>
      </c>
      <c r="N419" s="272">
        <f t="shared" si="56"/>
        <v>129.60000000000002</v>
      </c>
      <c r="O419" s="273">
        <v>0</v>
      </c>
      <c r="P419" s="273">
        <f t="shared" si="52"/>
        <v>4372.2000000000007</v>
      </c>
      <c r="Q419" s="272">
        <f t="shared" si="53"/>
        <v>60084</v>
      </c>
      <c r="R419" s="272">
        <f t="shared" si="54"/>
        <v>45146.088000000003</v>
      </c>
      <c r="S419" s="272">
        <f t="shared" si="55"/>
        <v>2125.44</v>
      </c>
    </row>
    <row r="420" spans="1:19" s="270" customFormat="1" x14ac:dyDescent="0.25">
      <c r="A420" s="335" t="str">
        <f>CONCATENATE(50,B420)</f>
        <v>501406</v>
      </c>
      <c r="B420" s="271">
        <v>1406</v>
      </c>
      <c r="C420" s="271">
        <v>200513</v>
      </c>
      <c r="D420" s="268" t="s">
        <v>894</v>
      </c>
      <c r="E420" s="268" t="s">
        <v>1278</v>
      </c>
      <c r="F420" s="268" t="s">
        <v>3006</v>
      </c>
      <c r="G420" s="268">
        <v>11</v>
      </c>
      <c r="H420" s="268" t="s">
        <v>3020</v>
      </c>
      <c r="I420" s="268" t="s">
        <v>3021</v>
      </c>
      <c r="J420" s="272">
        <v>249840</v>
      </c>
      <c r="K420" s="272">
        <f t="shared" si="50"/>
        <v>20820</v>
      </c>
      <c r="L420" s="272">
        <f t="shared" si="51"/>
        <v>12141.24</v>
      </c>
      <c r="M420" s="269">
        <v>0</v>
      </c>
      <c r="N420" s="272">
        <f t="shared" si="56"/>
        <v>129.60000000000002</v>
      </c>
      <c r="O420" s="273">
        <v>0</v>
      </c>
      <c r="P420" s="273">
        <f t="shared" si="52"/>
        <v>4372.2000000000007</v>
      </c>
      <c r="Q420" s="272">
        <f t="shared" si="53"/>
        <v>60084</v>
      </c>
      <c r="R420" s="272">
        <f t="shared" si="54"/>
        <v>45146.088000000003</v>
      </c>
      <c r="S420" s="272">
        <f t="shared" si="55"/>
        <v>2125.44</v>
      </c>
    </row>
    <row r="421" spans="1:19" s="270" customFormat="1" x14ac:dyDescent="0.25">
      <c r="A421" s="335">
        <v>501406</v>
      </c>
      <c r="B421" s="271">
        <v>1406</v>
      </c>
      <c r="C421" s="271">
        <v>34089</v>
      </c>
      <c r="D421" s="268" t="s">
        <v>894</v>
      </c>
      <c r="E421" s="268" t="s">
        <v>1290</v>
      </c>
      <c r="F421" s="268" t="s">
        <v>2229</v>
      </c>
      <c r="G421" s="268">
        <v>12</v>
      </c>
      <c r="H421" s="268" t="s">
        <v>3022</v>
      </c>
      <c r="I421" s="268" t="s">
        <v>3023</v>
      </c>
      <c r="J421" s="272">
        <v>245388</v>
      </c>
      <c r="K421" s="272">
        <f t="shared" si="50"/>
        <v>20449</v>
      </c>
      <c r="L421" s="272">
        <f t="shared" si="51"/>
        <v>12141.24</v>
      </c>
      <c r="M421" s="269">
        <v>0</v>
      </c>
      <c r="N421" s="272">
        <f t="shared" si="56"/>
        <v>129.60000000000002</v>
      </c>
      <c r="O421" s="273">
        <v>0</v>
      </c>
      <c r="P421" s="273">
        <f t="shared" si="52"/>
        <v>4294.29</v>
      </c>
      <c r="Q421" s="272">
        <f t="shared" si="53"/>
        <v>60084</v>
      </c>
      <c r="R421" s="272">
        <f t="shared" si="54"/>
        <v>44341.611599999997</v>
      </c>
      <c r="S421" s="272">
        <f t="shared" si="55"/>
        <v>2125.44</v>
      </c>
    </row>
    <row r="422" spans="1:19" s="270" customFormat="1" x14ac:dyDescent="0.25">
      <c r="A422" s="335">
        <v>501206</v>
      </c>
      <c r="B422" s="271">
        <v>1206</v>
      </c>
      <c r="C422" s="271">
        <v>200037</v>
      </c>
      <c r="D422" s="268" t="s">
        <v>894</v>
      </c>
      <c r="E422" s="268" t="s">
        <v>1290</v>
      </c>
      <c r="F422" s="268" t="s">
        <v>2193</v>
      </c>
      <c r="G422" s="268">
        <v>12</v>
      </c>
      <c r="H422" s="268" t="s">
        <v>3024</v>
      </c>
      <c r="I422" s="268" t="s">
        <v>2840</v>
      </c>
      <c r="J422" s="272">
        <v>245388</v>
      </c>
      <c r="K422" s="272">
        <f t="shared" si="50"/>
        <v>20449</v>
      </c>
      <c r="L422" s="272">
        <f t="shared" si="51"/>
        <v>12141.24</v>
      </c>
      <c r="M422" s="269">
        <v>0</v>
      </c>
      <c r="N422" s="272">
        <f t="shared" si="56"/>
        <v>129.60000000000002</v>
      </c>
      <c r="O422" s="273">
        <v>0</v>
      </c>
      <c r="P422" s="273">
        <f t="shared" si="52"/>
        <v>4294.29</v>
      </c>
      <c r="Q422" s="272">
        <f t="shared" si="53"/>
        <v>60084</v>
      </c>
      <c r="R422" s="272">
        <f t="shared" si="54"/>
        <v>44341.611599999997</v>
      </c>
      <c r="S422" s="272">
        <f t="shared" si="55"/>
        <v>2125.44</v>
      </c>
    </row>
    <row r="423" spans="1:19" s="270" customFormat="1" x14ac:dyDescent="0.25">
      <c r="A423" s="335">
        <v>501503</v>
      </c>
      <c r="B423" s="271">
        <v>1503</v>
      </c>
      <c r="C423" s="271">
        <v>200091</v>
      </c>
      <c r="D423" s="268" t="s">
        <v>894</v>
      </c>
      <c r="E423" s="268" t="s">
        <v>1290</v>
      </c>
      <c r="F423" s="268" t="s">
        <v>3025</v>
      </c>
      <c r="G423" s="268">
        <v>12</v>
      </c>
      <c r="H423" s="268" t="s">
        <v>3026</v>
      </c>
      <c r="I423" s="268" t="s">
        <v>3027</v>
      </c>
      <c r="J423" s="272">
        <v>245388</v>
      </c>
      <c r="K423" s="272">
        <f t="shared" si="50"/>
        <v>20449</v>
      </c>
      <c r="L423" s="272">
        <f t="shared" si="51"/>
        <v>12141.24</v>
      </c>
      <c r="M423" s="269">
        <v>0</v>
      </c>
      <c r="N423" s="272">
        <f t="shared" si="56"/>
        <v>129.60000000000002</v>
      </c>
      <c r="O423" s="273">
        <v>0</v>
      </c>
      <c r="P423" s="273">
        <f t="shared" si="52"/>
        <v>4294.29</v>
      </c>
      <c r="Q423" s="272">
        <f t="shared" si="53"/>
        <v>60084</v>
      </c>
      <c r="R423" s="272">
        <f t="shared" si="54"/>
        <v>44341.611599999997</v>
      </c>
      <c r="S423" s="272">
        <f t="shared" si="55"/>
        <v>2125.44</v>
      </c>
    </row>
    <row r="424" spans="1:19" s="270" customFormat="1" x14ac:dyDescent="0.25">
      <c r="A424" s="335">
        <v>501503</v>
      </c>
      <c r="B424" s="271">
        <v>1503</v>
      </c>
      <c r="C424" s="271">
        <v>200095</v>
      </c>
      <c r="D424" s="268" t="s">
        <v>894</v>
      </c>
      <c r="E424" s="268" t="s">
        <v>1290</v>
      </c>
      <c r="F424" s="268" t="s">
        <v>3028</v>
      </c>
      <c r="G424" s="268">
        <v>12</v>
      </c>
      <c r="H424" s="268" t="s">
        <v>3029</v>
      </c>
      <c r="I424" s="268" t="s">
        <v>3027</v>
      </c>
      <c r="J424" s="272">
        <v>245388</v>
      </c>
      <c r="K424" s="272">
        <f t="shared" si="50"/>
        <v>20449</v>
      </c>
      <c r="L424" s="272">
        <f t="shared" si="51"/>
        <v>12141.24</v>
      </c>
      <c r="M424" s="269">
        <v>0</v>
      </c>
      <c r="N424" s="272">
        <f t="shared" si="56"/>
        <v>129.60000000000002</v>
      </c>
      <c r="O424" s="273">
        <v>0</v>
      </c>
      <c r="P424" s="273">
        <f t="shared" si="52"/>
        <v>4294.29</v>
      </c>
      <c r="Q424" s="272">
        <f t="shared" si="53"/>
        <v>60084</v>
      </c>
      <c r="R424" s="272">
        <f t="shared" si="54"/>
        <v>44341.611599999997</v>
      </c>
      <c r="S424" s="272">
        <f t="shared" si="55"/>
        <v>2125.44</v>
      </c>
    </row>
    <row r="425" spans="1:19" s="270" customFormat="1" x14ac:dyDescent="0.25">
      <c r="A425" s="335">
        <v>501408</v>
      </c>
      <c r="B425" s="271">
        <v>1408</v>
      </c>
      <c r="C425" s="271">
        <v>200204</v>
      </c>
      <c r="D425" s="268" t="s">
        <v>894</v>
      </c>
      <c r="E425" s="268" t="s">
        <v>1278</v>
      </c>
      <c r="F425" s="268" t="s">
        <v>2514</v>
      </c>
      <c r="G425" s="268">
        <v>12</v>
      </c>
      <c r="H425" s="268" t="s">
        <v>2209</v>
      </c>
      <c r="I425" s="268" t="s">
        <v>2847</v>
      </c>
      <c r="J425" s="272">
        <v>245388</v>
      </c>
      <c r="K425" s="272">
        <f t="shared" si="50"/>
        <v>20449</v>
      </c>
      <c r="L425" s="272">
        <f t="shared" si="51"/>
        <v>12141.24</v>
      </c>
      <c r="M425" s="269">
        <v>0</v>
      </c>
      <c r="N425" s="272">
        <f t="shared" si="56"/>
        <v>129.60000000000002</v>
      </c>
      <c r="O425" s="273">
        <v>0</v>
      </c>
      <c r="P425" s="273">
        <f t="shared" si="52"/>
        <v>4294.29</v>
      </c>
      <c r="Q425" s="272">
        <f t="shared" si="53"/>
        <v>60084</v>
      </c>
      <c r="R425" s="272">
        <f t="shared" si="54"/>
        <v>44341.611599999997</v>
      </c>
      <c r="S425" s="272">
        <f t="shared" si="55"/>
        <v>2125.44</v>
      </c>
    </row>
    <row r="426" spans="1:19" s="270" customFormat="1" x14ac:dyDescent="0.25">
      <c r="A426" s="335">
        <v>501503</v>
      </c>
      <c r="B426" s="271">
        <v>1503</v>
      </c>
      <c r="C426" s="271">
        <v>200350</v>
      </c>
      <c r="D426" s="268" t="s">
        <v>894</v>
      </c>
      <c r="E426" s="268" t="s">
        <v>1290</v>
      </c>
      <c r="F426" s="268" t="s">
        <v>2217</v>
      </c>
      <c r="G426" s="268">
        <v>12</v>
      </c>
      <c r="H426" s="268" t="s">
        <v>3030</v>
      </c>
      <c r="I426" s="268" t="s">
        <v>3031</v>
      </c>
      <c r="J426" s="272">
        <v>245388</v>
      </c>
      <c r="K426" s="272">
        <f t="shared" si="50"/>
        <v>20449</v>
      </c>
      <c r="L426" s="272">
        <f t="shared" si="51"/>
        <v>12141.24</v>
      </c>
      <c r="M426" s="269">
        <v>0</v>
      </c>
      <c r="N426" s="272">
        <f t="shared" si="56"/>
        <v>129.60000000000002</v>
      </c>
      <c r="O426" s="273">
        <v>0</v>
      </c>
      <c r="P426" s="273">
        <f t="shared" si="52"/>
        <v>4294.29</v>
      </c>
      <c r="Q426" s="272">
        <f t="shared" si="53"/>
        <v>60084</v>
      </c>
      <c r="R426" s="272">
        <f t="shared" si="54"/>
        <v>44341.611599999997</v>
      </c>
      <c r="S426" s="272">
        <f t="shared" si="55"/>
        <v>2125.44</v>
      </c>
    </row>
    <row r="427" spans="1:19" s="270" customFormat="1" x14ac:dyDescent="0.25">
      <c r="A427" s="335">
        <v>501406</v>
      </c>
      <c r="B427" s="271">
        <v>1406</v>
      </c>
      <c r="C427" s="271">
        <v>23375</v>
      </c>
      <c r="D427" s="268" t="s">
        <v>894</v>
      </c>
      <c r="E427" s="268" t="s">
        <v>1290</v>
      </c>
      <c r="F427" s="268" t="s">
        <v>2565</v>
      </c>
      <c r="G427" s="268">
        <v>12</v>
      </c>
      <c r="H427" s="268" t="s">
        <v>2943</v>
      </c>
      <c r="I427" s="268" t="s">
        <v>2890</v>
      </c>
      <c r="J427" s="272">
        <v>234276</v>
      </c>
      <c r="K427" s="272">
        <f t="shared" si="50"/>
        <v>19523</v>
      </c>
      <c r="L427" s="272">
        <f t="shared" si="51"/>
        <v>12141.24</v>
      </c>
      <c r="M427" s="269">
        <v>0</v>
      </c>
      <c r="N427" s="272">
        <f t="shared" si="56"/>
        <v>129.60000000000002</v>
      </c>
      <c r="O427" s="273">
        <v>0</v>
      </c>
      <c r="P427" s="273">
        <f t="shared" si="52"/>
        <v>4099.8300000000008</v>
      </c>
      <c r="Q427" s="272">
        <f t="shared" si="53"/>
        <v>60084</v>
      </c>
      <c r="R427" s="272">
        <f t="shared" si="54"/>
        <v>42333.673199999997</v>
      </c>
      <c r="S427" s="272">
        <f t="shared" si="55"/>
        <v>2125.44</v>
      </c>
    </row>
    <row r="428" spans="1:19" s="270" customFormat="1" x14ac:dyDescent="0.25">
      <c r="A428" s="335">
        <v>501444</v>
      </c>
      <c r="B428" s="271">
        <v>1444</v>
      </c>
      <c r="C428" s="271">
        <v>36061</v>
      </c>
      <c r="D428" s="268" t="s">
        <v>894</v>
      </c>
      <c r="E428" s="268" t="s">
        <v>1278</v>
      </c>
      <c r="F428" s="268" t="s">
        <v>2649</v>
      </c>
      <c r="G428" s="268">
        <v>12</v>
      </c>
      <c r="H428" s="268" t="s">
        <v>2496</v>
      </c>
      <c r="I428" s="268" t="s">
        <v>2890</v>
      </c>
      <c r="J428" s="272">
        <v>234276</v>
      </c>
      <c r="K428" s="272">
        <f t="shared" si="50"/>
        <v>19523</v>
      </c>
      <c r="L428" s="272">
        <f t="shared" si="51"/>
        <v>12141.24</v>
      </c>
      <c r="M428" s="269">
        <v>0</v>
      </c>
      <c r="N428" s="272">
        <f t="shared" si="56"/>
        <v>129.60000000000002</v>
      </c>
      <c r="O428" s="273">
        <v>0</v>
      </c>
      <c r="P428" s="273">
        <f t="shared" si="52"/>
        <v>4099.8300000000008</v>
      </c>
      <c r="Q428" s="272">
        <f t="shared" si="53"/>
        <v>60084</v>
      </c>
      <c r="R428" s="272">
        <f t="shared" si="54"/>
        <v>42333.673199999997</v>
      </c>
      <c r="S428" s="272">
        <f t="shared" si="55"/>
        <v>2125.44</v>
      </c>
    </row>
    <row r="429" spans="1:19" s="270" customFormat="1" x14ac:dyDescent="0.25">
      <c r="A429" s="335">
        <v>501444</v>
      </c>
      <c r="B429" s="271">
        <v>1444</v>
      </c>
      <c r="C429" s="271">
        <v>38098</v>
      </c>
      <c r="D429" s="268" t="s">
        <v>894</v>
      </c>
      <c r="E429" s="268" t="s">
        <v>1290</v>
      </c>
      <c r="F429" s="268" t="s">
        <v>2649</v>
      </c>
      <c r="G429" s="268">
        <v>12</v>
      </c>
      <c r="H429" s="268" t="s">
        <v>3032</v>
      </c>
      <c r="I429" s="268" t="s">
        <v>2890</v>
      </c>
      <c r="J429" s="272">
        <v>234276</v>
      </c>
      <c r="K429" s="272">
        <f t="shared" si="50"/>
        <v>19523</v>
      </c>
      <c r="L429" s="272">
        <f t="shared" si="51"/>
        <v>12141.24</v>
      </c>
      <c r="M429" s="269">
        <v>0</v>
      </c>
      <c r="N429" s="272">
        <f t="shared" si="56"/>
        <v>129.60000000000002</v>
      </c>
      <c r="O429" s="273">
        <v>0</v>
      </c>
      <c r="P429" s="273">
        <f t="shared" si="52"/>
        <v>4099.8300000000008</v>
      </c>
      <c r="Q429" s="272">
        <f t="shared" si="53"/>
        <v>60084</v>
      </c>
      <c r="R429" s="272">
        <f t="shared" si="54"/>
        <v>42333.673199999997</v>
      </c>
      <c r="S429" s="272">
        <f t="shared" si="55"/>
        <v>2125.44</v>
      </c>
    </row>
    <row r="430" spans="1:19" s="270" customFormat="1" x14ac:dyDescent="0.25">
      <c r="A430" s="335">
        <v>501406</v>
      </c>
      <c r="B430" s="271">
        <v>1406</v>
      </c>
      <c r="C430" s="271">
        <v>40811</v>
      </c>
      <c r="D430" s="268" t="s">
        <v>894</v>
      </c>
      <c r="E430" s="268" t="s">
        <v>1290</v>
      </c>
      <c r="F430" s="268" t="s">
        <v>2768</v>
      </c>
      <c r="G430" s="268">
        <v>12</v>
      </c>
      <c r="H430" s="268" t="s">
        <v>3033</v>
      </c>
      <c r="I430" s="268" t="s">
        <v>2890</v>
      </c>
      <c r="J430" s="272">
        <v>234276</v>
      </c>
      <c r="K430" s="272">
        <f t="shared" si="50"/>
        <v>19523</v>
      </c>
      <c r="L430" s="272">
        <f t="shared" si="51"/>
        <v>12141.24</v>
      </c>
      <c r="M430" s="269">
        <v>0</v>
      </c>
      <c r="N430" s="272">
        <f t="shared" si="56"/>
        <v>129.60000000000002</v>
      </c>
      <c r="O430" s="273">
        <v>0</v>
      </c>
      <c r="P430" s="273">
        <f t="shared" si="52"/>
        <v>4099.8300000000008</v>
      </c>
      <c r="Q430" s="272">
        <f t="shared" si="53"/>
        <v>60084</v>
      </c>
      <c r="R430" s="272">
        <f t="shared" si="54"/>
        <v>42333.673199999997</v>
      </c>
      <c r="S430" s="272">
        <f t="shared" si="55"/>
        <v>2125.44</v>
      </c>
    </row>
    <row r="431" spans="1:19" s="270" customFormat="1" x14ac:dyDescent="0.25">
      <c r="A431" s="335">
        <v>501443</v>
      </c>
      <c r="B431" s="271">
        <v>1443</v>
      </c>
      <c r="C431" s="271">
        <v>58968</v>
      </c>
      <c r="D431" s="268" t="s">
        <v>894</v>
      </c>
      <c r="E431" s="268" t="s">
        <v>1290</v>
      </c>
      <c r="F431" s="268" t="s">
        <v>2838</v>
      </c>
      <c r="G431" s="268">
        <v>12</v>
      </c>
      <c r="H431" s="268" t="s">
        <v>3034</v>
      </c>
      <c r="I431" s="268" t="s">
        <v>2890</v>
      </c>
      <c r="J431" s="272">
        <v>234276</v>
      </c>
      <c r="K431" s="272">
        <f t="shared" si="50"/>
        <v>19523</v>
      </c>
      <c r="L431" s="272">
        <f t="shared" si="51"/>
        <v>12141.24</v>
      </c>
      <c r="M431" s="269">
        <v>0</v>
      </c>
      <c r="N431" s="272">
        <f t="shared" si="56"/>
        <v>129.60000000000002</v>
      </c>
      <c r="O431" s="273">
        <v>0</v>
      </c>
      <c r="P431" s="273">
        <f t="shared" si="52"/>
        <v>4099.8300000000008</v>
      </c>
      <c r="Q431" s="272">
        <f t="shared" si="53"/>
        <v>60084</v>
      </c>
      <c r="R431" s="272">
        <f t="shared" si="54"/>
        <v>42333.673199999997</v>
      </c>
      <c r="S431" s="272">
        <f t="shared" si="55"/>
        <v>2125.44</v>
      </c>
    </row>
    <row r="432" spans="1:19" s="270" customFormat="1" x14ac:dyDescent="0.25">
      <c r="A432" s="335">
        <v>501443</v>
      </c>
      <c r="B432" s="271">
        <v>1443</v>
      </c>
      <c r="C432" s="271">
        <v>84880</v>
      </c>
      <c r="D432" s="268" t="s">
        <v>894</v>
      </c>
      <c r="E432" s="268" t="s">
        <v>1278</v>
      </c>
      <c r="F432" s="268" t="s">
        <v>3035</v>
      </c>
      <c r="G432" s="268">
        <v>12</v>
      </c>
      <c r="H432" s="268" t="s">
        <v>3036</v>
      </c>
      <c r="I432" s="268" t="s">
        <v>2890</v>
      </c>
      <c r="J432" s="272">
        <v>234276</v>
      </c>
      <c r="K432" s="272">
        <f t="shared" si="50"/>
        <v>19523</v>
      </c>
      <c r="L432" s="272">
        <f t="shared" si="51"/>
        <v>12141.24</v>
      </c>
      <c r="M432" s="269">
        <v>0</v>
      </c>
      <c r="N432" s="272">
        <f t="shared" si="56"/>
        <v>129.60000000000002</v>
      </c>
      <c r="O432" s="273">
        <v>0</v>
      </c>
      <c r="P432" s="273">
        <f t="shared" si="52"/>
        <v>4099.8300000000008</v>
      </c>
      <c r="Q432" s="272">
        <f t="shared" si="53"/>
        <v>60084</v>
      </c>
      <c r="R432" s="272">
        <f t="shared" si="54"/>
        <v>42333.673199999997</v>
      </c>
      <c r="S432" s="272">
        <f t="shared" si="55"/>
        <v>2125.44</v>
      </c>
    </row>
    <row r="433" spans="1:21" s="270" customFormat="1" x14ac:dyDescent="0.25">
      <c r="A433" s="335">
        <v>501443</v>
      </c>
      <c r="B433" s="271">
        <v>1443</v>
      </c>
      <c r="C433" s="271">
        <v>39246</v>
      </c>
      <c r="D433" s="268" t="s">
        <v>894</v>
      </c>
      <c r="E433" s="268" t="s">
        <v>1290</v>
      </c>
      <c r="F433" s="268" t="s">
        <v>1276</v>
      </c>
      <c r="G433" s="268">
        <v>12</v>
      </c>
      <c r="H433" s="268" t="s">
        <v>3037</v>
      </c>
      <c r="I433" s="268" t="s">
        <v>2890</v>
      </c>
      <c r="J433" s="272">
        <v>228756</v>
      </c>
      <c r="K433" s="272">
        <f t="shared" si="50"/>
        <v>19063</v>
      </c>
      <c r="L433" s="272">
        <f t="shared" si="51"/>
        <v>12141.24</v>
      </c>
      <c r="M433" s="269">
        <v>0</v>
      </c>
      <c r="N433" s="272">
        <f t="shared" si="56"/>
        <v>129.60000000000002</v>
      </c>
      <c r="O433" s="273">
        <v>0</v>
      </c>
      <c r="P433" s="273">
        <f t="shared" si="52"/>
        <v>4003.2300000000005</v>
      </c>
      <c r="Q433" s="272">
        <f t="shared" si="53"/>
        <v>60084</v>
      </c>
      <c r="R433" s="272">
        <f t="shared" si="54"/>
        <v>41336.209199999998</v>
      </c>
      <c r="S433" s="272">
        <f t="shared" si="55"/>
        <v>2125.44</v>
      </c>
    </row>
    <row r="434" spans="1:21" s="270" customFormat="1" x14ac:dyDescent="0.25">
      <c r="A434" s="335">
        <v>501444</v>
      </c>
      <c r="B434" s="271">
        <v>1444</v>
      </c>
      <c r="C434" s="271">
        <v>40468</v>
      </c>
      <c r="D434" s="268" t="s">
        <v>894</v>
      </c>
      <c r="E434" s="268" t="s">
        <v>1290</v>
      </c>
      <c r="F434" s="268" t="s">
        <v>2725</v>
      </c>
      <c r="G434" s="268">
        <v>12</v>
      </c>
      <c r="H434" s="268" t="s">
        <v>3038</v>
      </c>
      <c r="I434" s="268" t="s">
        <v>3039</v>
      </c>
      <c r="J434" s="272">
        <v>228756</v>
      </c>
      <c r="K434" s="272">
        <f t="shared" si="50"/>
        <v>19063</v>
      </c>
      <c r="L434" s="272">
        <f t="shared" si="51"/>
        <v>12141.24</v>
      </c>
      <c r="M434" s="269">
        <v>0</v>
      </c>
      <c r="N434" s="272">
        <f t="shared" si="56"/>
        <v>129.60000000000002</v>
      </c>
      <c r="O434" s="273">
        <v>0</v>
      </c>
      <c r="P434" s="273">
        <f t="shared" si="52"/>
        <v>4003.2300000000005</v>
      </c>
      <c r="Q434" s="272">
        <f t="shared" si="53"/>
        <v>60084</v>
      </c>
      <c r="R434" s="272">
        <f t="shared" si="54"/>
        <v>41336.209199999998</v>
      </c>
      <c r="S434" s="272">
        <f t="shared" si="55"/>
        <v>2125.44</v>
      </c>
    </row>
    <row r="435" spans="1:21" s="270" customFormat="1" x14ac:dyDescent="0.25">
      <c r="A435" s="335">
        <v>501443</v>
      </c>
      <c r="B435" s="271">
        <v>1443</v>
      </c>
      <c r="C435" s="271">
        <v>41315</v>
      </c>
      <c r="D435" s="268" t="s">
        <v>894</v>
      </c>
      <c r="E435" s="268" t="s">
        <v>1290</v>
      </c>
      <c r="F435" s="268" t="s">
        <v>2408</v>
      </c>
      <c r="G435" s="268">
        <v>12</v>
      </c>
      <c r="H435" s="268" t="s">
        <v>3040</v>
      </c>
      <c r="I435" s="268" t="s">
        <v>3039</v>
      </c>
      <c r="J435" s="272">
        <v>228756</v>
      </c>
      <c r="K435" s="272">
        <f t="shared" si="50"/>
        <v>19063</v>
      </c>
      <c r="L435" s="272">
        <f t="shared" si="51"/>
        <v>12141.24</v>
      </c>
      <c r="M435" s="269">
        <v>0</v>
      </c>
      <c r="N435" s="272">
        <f t="shared" si="56"/>
        <v>129.60000000000002</v>
      </c>
      <c r="O435" s="273">
        <v>0</v>
      </c>
      <c r="P435" s="273">
        <f t="shared" si="52"/>
        <v>4003.2300000000005</v>
      </c>
      <c r="Q435" s="272">
        <f t="shared" si="53"/>
        <v>60084</v>
      </c>
      <c r="R435" s="272">
        <f t="shared" si="54"/>
        <v>41336.209199999998</v>
      </c>
      <c r="S435" s="272">
        <f t="shared" si="55"/>
        <v>2125.44</v>
      </c>
    </row>
    <row r="436" spans="1:21" s="270" customFormat="1" x14ac:dyDescent="0.25">
      <c r="A436" s="335">
        <v>501443</v>
      </c>
      <c r="B436" s="271">
        <v>1443</v>
      </c>
      <c r="C436" s="271">
        <v>200061</v>
      </c>
      <c r="D436" s="268" t="s">
        <v>894</v>
      </c>
      <c r="E436" s="268" t="s">
        <v>1290</v>
      </c>
      <c r="F436" s="268" t="s">
        <v>2193</v>
      </c>
      <c r="G436" s="268">
        <v>12</v>
      </c>
      <c r="H436" s="268" t="s">
        <v>3041</v>
      </c>
      <c r="I436" s="268" t="s">
        <v>3039</v>
      </c>
      <c r="J436" s="272">
        <v>228756</v>
      </c>
      <c r="K436" s="272">
        <f t="shared" si="50"/>
        <v>19063</v>
      </c>
      <c r="L436" s="272">
        <f t="shared" si="51"/>
        <v>12141.24</v>
      </c>
      <c r="M436" s="269">
        <v>0</v>
      </c>
      <c r="N436" s="272">
        <f t="shared" si="56"/>
        <v>129.60000000000002</v>
      </c>
      <c r="O436" s="273">
        <v>0</v>
      </c>
      <c r="P436" s="273">
        <f t="shared" si="52"/>
        <v>4003.2300000000005</v>
      </c>
      <c r="Q436" s="272">
        <f t="shared" si="53"/>
        <v>60084</v>
      </c>
      <c r="R436" s="272">
        <f t="shared" si="54"/>
        <v>41336.209199999998</v>
      </c>
      <c r="S436" s="272">
        <f t="shared" si="55"/>
        <v>2125.44</v>
      </c>
    </row>
    <row r="437" spans="1:21" s="270" customFormat="1" x14ac:dyDescent="0.25">
      <c r="A437" s="335">
        <v>501444</v>
      </c>
      <c r="B437" s="271">
        <v>1444</v>
      </c>
      <c r="C437" s="271">
        <v>200140</v>
      </c>
      <c r="D437" s="268" t="s">
        <v>894</v>
      </c>
      <c r="E437" s="268" t="s">
        <v>1290</v>
      </c>
      <c r="F437" s="268" t="s">
        <v>3042</v>
      </c>
      <c r="G437" s="268">
        <v>12</v>
      </c>
      <c r="H437" s="268" t="s">
        <v>3043</v>
      </c>
      <c r="I437" s="268" t="s">
        <v>3044</v>
      </c>
      <c r="J437" s="272">
        <v>228756</v>
      </c>
      <c r="K437" s="272">
        <f t="shared" si="50"/>
        <v>19063</v>
      </c>
      <c r="L437" s="272">
        <f t="shared" si="51"/>
        <v>12141.24</v>
      </c>
      <c r="M437" s="269">
        <v>0</v>
      </c>
      <c r="N437" s="272">
        <f t="shared" si="56"/>
        <v>129.60000000000002</v>
      </c>
      <c r="O437" s="273">
        <v>0</v>
      </c>
      <c r="P437" s="273">
        <f t="shared" si="52"/>
        <v>4003.2300000000005</v>
      </c>
      <c r="Q437" s="272">
        <f t="shared" si="53"/>
        <v>60084</v>
      </c>
      <c r="R437" s="272">
        <f t="shared" si="54"/>
        <v>41336.209199999998</v>
      </c>
      <c r="S437" s="272">
        <f t="shared" si="55"/>
        <v>2125.44</v>
      </c>
    </row>
    <row r="438" spans="1:21" s="270" customFormat="1" x14ac:dyDescent="0.25">
      <c r="A438" s="335">
        <v>501444</v>
      </c>
      <c r="B438" s="271">
        <v>1444</v>
      </c>
      <c r="C438" s="271">
        <v>200144</v>
      </c>
      <c r="D438" s="268" t="s">
        <v>894</v>
      </c>
      <c r="E438" s="268" t="s">
        <v>1290</v>
      </c>
      <c r="F438" s="268" t="s">
        <v>3045</v>
      </c>
      <c r="G438" s="268">
        <v>12</v>
      </c>
      <c r="H438" s="268" t="s">
        <v>3046</v>
      </c>
      <c r="I438" s="268" t="s">
        <v>3044</v>
      </c>
      <c r="J438" s="272">
        <v>228756</v>
      </c>
      <c r="K438" s="272">
        <f t="shared" si="50"/>
        <v>19063</v>
      </c>
      <c r="L438" s="272">
        <f t="shared" si="51"/>
        <v>12141.24</v>
      </c>
      <c r="M438" s="269">
        <v>0</v>
      </c>
      <c r="N438" s="272">
        <f t="shared" si="56"/>
        <v>129.60000000000002</v>
      </c>
      <c r="O438" s="273">
        <v>0</v>
      </c>
      <c r="P438" s="273">
        <f t="shared" si="52"/>
        <v>4003.2300000000005</v>
      </c>
      <c r="Q438" s="272">
        <f t="shared" si="53"/>
        <v>60084</v>
      </c>
      <c r="R438" s="272">
        <f t="shared" si="54"/>
        <v>41336.209199999998</v>
      </c>
      <c r="S438" s="272">
        <f t="shared" si="55"/>
        <v>2125.44</v>
      </c>
      <c r="T438" s="277"/>
      <c r="U438" s="277"/>
    </row>
    <row r="439" spans="1:21" s="270" customFormat="1" x14ac:dyDescent="0.25">
      <c r="A439" s="335">
        <v>501444</v>
      </c>
      <c r="B439" s="271">
        <v>1444</v>
      </c>
      <c r="C439" s="271">
        <v>200146</v>
      </c>
      <c r="D439" s="268" t="s">
        <v>894</v>
      </c>
      <c r="E439" s="268" t="s">
        <v>1290</v>
      </c>
      <c r="F439" s="268" t="s">
        <v>2240</v>
      </c>
      <c r="G439" s="268">
        <v>12</v>
      </c>
      <c r="H439" s="268" t="s">
        <v>3047</v>
      </c>
      <c r="I439" s="268" t="s">
        <v>3048</v>
      </c>
      <c r="J439" s="272">
        <v>228756</v>
      </c>
      <c r="K439" s="272">
        <f t="shared" si="50"/>
        <v>19063</v>
      </c>
      <c r="L439" s="272">
        <f t="shared" si="51"/>
        <v>12141.24</v>
      </c>
      <c r="M439" s="269">
        <v>0</v>
      </c>
      <c r="N439" s="272">
        <f t="shared" si="56"/>
        <v>129.60000000000002</v>
      </c>
      <c r="O439" s="273">
        <v>0</v>
      </c>
      <c r="P439" s="273">
        <f t="shared" si="52"/>
        <v>4003.2300000000005</v>
      </c>
      <c r="Q439" s="272">
        <f t="shared" si="53"/>
        <v>60084</v>
      </c>
      <c r="R439" s="272">
        <f t="shared" si="54"/>
        <v>41336.209199999998</v>
      </c>
      <c r="S439" s="272">
        <f t="shared" si="55"/>
        <v>2125.44</v>
      </c>
    </row>
    <row r="440" spans="1:21" s="270" customFormat="1" x14ac:dyDescent="0.25">
      <c r="A440" s="335">
        <v>501444</v>
      </c>
      <c r="B440" s="271">
        <v>1444</v>
      </c>
      <c r="C440" s="271">
        <v>200288</v>
      </c>
      <c r="D440" s="268" t="s">
        <v>894</v>
      </c>
      <c r="E440" s="268" t="s">
        <v>1290</v>
      </c>
      <c r="F440" s="268" t="s">
        <v>2949</v>
      </c>
      <c r="G440" s="268">
        <v>12</v>
      </c>
      <c r="H440" s="268" t="s">
        <v>3049</v>
      </c>
      <c r="I440" s="268" t="s">
        <v>3039</v>
      </c>
      <c r="J440" s="272">
        <v>228756</v>
      </c>
      <c r="K440" s="272">
        <f t="shared" si="50"/>
        <v>19063</v>
      </c>
      <c r="L440" s="272">
        <f t="shared" si="51"/>
        <v>12141.24</v>
      </c>
      <c r="M440" s="269">
        <v>0</v>
      </c>
      <c r="N440" s="272">
        <f t="shared" si="56"/>
        <v>129.60000000000002</v>
      </c>
      <c r="O440" s="273">
        <v>0</v>
      </c>
      <c r="P440" s="273">
        <f t="shared" si="52"/>
        <v>4003.2300000000005</v>
      </c>
      <c r="Q440" s="272">
        <f t="shared" si="53"/>
        <v>60084</v>
      </c>
      <c r="R440" s="272">
        <f t="shared" si="54"/>
        <v>41336.209199999998</v>
      </c>
      <c r="S440" s="272">
        <f t="shared" si="55"/>
        <v>2125.44</v>
      </c>
    </row>
    <row r="441" spans="1:21" s="270" customFormat="1" x14ac:dyDescent="0.25">
      <c r="A441" s="335">
        <v>501505</v>
      </c>
      <c r="B441" s="271">
        <v>1505</v>
      </c>
      <c r="C441" s="271">
        <v>22842</v>
      </c>
      <c r="D441" s="268" t="s">
        <v>894</v>
      </c>
      <c r="E441" s="268" t="s">
        <v>1290</v>
      </c>
      <c r="F441" s="268" t="s">
        <v>2571</v>
      </c>
      <c r="G441" s="268">
        <v>13</v>
      </c>
      <c r="H441" s="268" t="s">
        <v>3050</v>
      </c>
      <c r="I441" s="268" t="s">
        <v>2831</v>
      </c>
      <c r="J441" s="272">
        <v>214884</v>
      </c>
      <c r="K441" s="272">
        <f t="shared" si="50"/>
        <v>17907</v>
      </c>
      <c r="L441" s="272">
        <f t="shared" si="51"/>
        <v>12141.24</v>
      </c>
      <c r="M441" s="269">
        <v>0</v>
      </c>
      <c r="N441" s="272">
        <f t="shared" si="56"/>
        <v>129.60000000000002</v>
      </c>
      <c r="O441" s="273">
        <v>0</v>
      </c>
      <c r="P441" s="273">
        <f t="shared" si="52"/>
        <v>3760.4700000000003</v>
      </c>
      <c r="Q441" s="272">
        <f t="shared" si="53"/>
        <v>60084</v>
      </c>
      <c r="R441" s="272">
        <f t="shared" si="54"/>
        <v>38829.538800000002</v>
      </c>
      <c r="S441" s="272">
        <f t="shared" si="55"/>
        <v>2125.44</v>
      </c>
    </row>
    <row r="442" spans="1:21" s="270" customFormat="1" x14ac:dyDescent="0.25">
      <c r="A442" s="335">
        <v>501444</v>
      </c>
      <c r="B442" s="271">
        <v>1444</v>
      </c>
      <c r="C442" s="271">
        <v>51570</v>
      </c>
      <c r="D442" s="268" t="s">
        <v>894</v>
      </c>
      <c r="E442" s="268" t="s">
        <v>1290</v>
      </c>
      <c r="F442" s="268" t="s">
        <v>3051</v>
      </c>
      <c r="G442" s="268">
        <v>13</v>
      </c>
      <c r="H442" s="268" t="s">
        <v>3052</v>
      </c>
      <c r="I442" s="268" t="s">
        <v>3053</v>
      </c>
      <c r="J442" s="272">
        <v>214884</v>
      </c>
      <c r="K442" s="272">
        <f t="shared" si="50"/>
        <v>17907</v>
      </c>
      <c r="L442" s="272">
        <f t="shared" si="51"/>
        <v>12141.24</v>
      </c>
      <c r="M442" s="269">
        <v>0</v>
      </c>
      <c r="N442" s="272">
        <f t="shared" si="56"/>
        <v>129.60000000000002</v>
      </c>
      <c r="O442" s="273">
        <v>0</v>
      </c>
      <c r="P442" s="273">
        <f t="shared" si="52"/>
        <v>3760.4700000000003</v>
      </c>
      <c r="Q442" s="272">
        <f t="shared" si="53"/>
        <v>60084</v>
      </c>
      <c r="R442" s="272">
        <f t="shared" si="54"/>
        <v>38829.538800000002</v>
      </c>
      <c r="S442" s="272">
        <f t="shared" si="55"/>
        <v>2125.44</v>
      </c>
    </row>
    <row r="443" spans="1:21" s="270" customFormat="1" x14ac:dyDescent="0.25">
      <c r="A443" s="335">
        <v>501505</v>
      </c>
      <c r="B443" s="271">
        <v>1505</v>
      </c>
      <c r="C443" s="271">
        <v>83771</v>
      </c>
      <c r="D443" s="268" t="s">
        <v>894</v>
      </c>
      <c r="E443" s="268" t="s">
        <v>1290</v>
      </c>
      <c r="F443" s="268" t="s">
        <v>3054</v>
      </c>
      <c r="G443" s="268">
        <v>13</v>
      </c>
      <c r="H443" s="268" t="s">
        <v>3055</v>
      </c>
      <c r="I443" s="268" t="s">
        <v>2978</v>
      </c>
      <c r="J443" s="272">
        <v>214884</v>
      </c>
      <c r="K443" s="272">
        <f t="shared" si="50"/>
        <v>17907</v>
      </c>
      <c r="L443" s="272">
        <f t="shared" si="51"/>
        <v>12141.24</v>
      </c>
      <c r="M443" s="269">
        <v>0</v>
      </c>
      <c r="N443" s="272">
        <f t="shared" si="56"/>
        <v>129.60000000000002</v>
      </c>
      <c r="O443" s="273">
        <v>0</v>
      </c>
      <c r="P443" s="273">
        <f t="shared" si="52"/>
        <v>3760.4700000000003</v>
      </c>
      <c r="Q443" s="272">
        <f t="shared" si="53"/>
        <v>60084</v>
      </c>
      <c r="R443" s="272">
        <f t="shared" si="54"/>
        <v>38829.538800000002</v>
      </c>
      <c r="S443" s="272">
        <f t="shared" si="55"/>
        <v>2125.44</v>
      </c>
    </row>
    <row r="444" spans="1:21" s="270" customFormat="1" x14ac:dyDescent="0.25">
      <c r="A444" s="335">
        <v>501503</v>
      </c>
      <c r="B444" s="271">
        <v>1503</v>
      </c>
      <c r="C444" s="271">
        <v>200068</v>
      </c>
      <c r="D444" s="268" t="s">
        <v>894</v>
      </c>
      <c r="E444" s="268" t="s">
        <v>1290</v>
      </c>
      <c r="F444" s="268" t="s">
        <v>2193</v>
      </c>
      <c r="G444" s="268">
        <v>13</v>
      </c>
      <c r="H444" s="268" t="s">
        <v>3056</v>
      </c>
      <c r="I444" s="268" t="s">
        <v>3057</v>
      </c>
      <c r="J444" s="272">
        <v>214884</v>
      </c>
      <c r="K444" s="272">
        <f t="shared" si="50"/>
        <v>17907</v>
      </c>
      <c r="L444" s="272">
        <f t="shared" si="51"/>
        <v>12141.24</v>
      </c>
      <c r="M444" s="269">
        <v>0</v>
      </c>
      <c r="N444" s="272">
        <f t="shared" si="56"/>
        <v>129.60000000000002</v>
      </c>
      <c r="O444" s="273">
        <v>0</v>
      </c>
      <c r="P444" s="273">
        <f t="shared" si="52"/>
        <v>3760.4700000000003</v>
      </c>
      <c r="Q444" s="272">
        <f t="shared" si="53"/>
        <v>60084</v>
      </c>
      <c r="R444" s="272">
        <f t="shared" si="54"/>
        <v>38829.538800000002</v>
      </c>
      <c r="S444" s="272">
        <f t="shared" si="55"/>
        <v>2125.44</v>
      </c>
    </row>
    <row r="445" spans="1:21" s="270" customFormat="1" x14ac:dyDescent="0.25">
      <c r="A445" s="335">
        <v>501503</v>
      </c>
      <c r="B445" s="271">
        <v>1503</v>
      </c>
      <c r="C445" s="271">
        <v>200069</v>
      </c>
      <c r="D445" s="268" t="s">
        <v>894</v>
      </c>
      <c r="E445" s="268" t="s">
        <v>1290</v>
      </c>
      <c r="F445" s="268" t="s">
        <v>2788</v>
      </c>
      <c r="G445" s="268">
        <v>13</v>
      </c>
      <c r="H445" s="268" t="s">
        <v>3058</v>
      </c>
      <c r="I445" s="268" t="s">
        <v>3027</v>
      </c>
      <c r="J445" s="272">
        <v>214884</v>
      </c>
      <c r="K445" s="272">
        <f t="shared" si="50"/>
        <v>17907</v>
      </c>
      <c r="L445" s="272">
        <f t="shared" si="51"/>
        <v>12141.24</v>
      </c>
      <c r="M445" s="269">
        <v>0</v>
      </c>
      <c r="N445" s="272">
        <f t="shared" si="56"/>
        <v>129.60000000000002</v>
      </c>
      <c r="O445" s="273">
        <v>0</v>
      </c>
      <c r="P445" s="273">
        <f t="shared" si="52"/>
        <v>3760.4700000000003</v>
      </c>
      <c r="Q445" s="272">
        <f t="shared" si="53"/>
        <v>60084</v>
      </c>
      <c r="R445" s="272">
        <f t="shared" si="54"/>
        <v>38829.538800000002</v>
      </c>
      <c r="S445" s="272">
        <f t="shared" si="55"/>
        <v>2125.44</v>
      </c>
    </row>
    <row r="446" spans="1:21" s="270" customFormat="1" x14ac:dyDescent="0.25">
      <c r="A446" s="335">
        <v>501503</v>
      </c>
      <c r="B446" s="271">
        <v>1503</v>
      </c>
      <c r="C446" s="271">
        <v>200070</v>
      </c>
      <c r="D446" s="268" t="s">
        <v>894</v>
      </c>
      <c r="E446" s="268" t="s">
        <v>1290</v>
      </c>
      <c r="F446" s="268" t="s">
        <v>3059</v>
      </c>
      <c r="G446" s="268">
        <v>13</v>
      </c>
      <c r="H446" s="268" t="s">
        <v>3060</v>
      </c>
      <c r="I446" s="268" t="s">
        <v>3057</v>
      </c>
      <c r="J446" s="272">
        <v>214884</v>
      </c>
      <c r="K446" s="272">
        <f t="shared" si="50"/>
        <v>17907</v>
      </c>
      <c r="L446" s="272">
        <f t="shared" si="51"/>
        <v>12141.24</v>
      </c>
      <c r="M446" s="269">
        <v>0</v>
      </c>
      <c r="N446" s="272">
        <f t="shared" si="56"/>
        <v>129.60000000000002</v>
      </c>
      <c r="O446" s="273">
        <v>0</v>
      </c>
      <c r="P446" s="273">
        <f t="shared" si="52"/>
        <v>3760.4700000000003</v>
      </c>
      <c r="Q446" s="272">
        <f t="shared" si="53"/>
        <v>60084</v>
      </c>
      <c r="R446" s="272">
        <f t="shared" si="54"/>
        <v>38829.538800000002</v>
      </c>
      <c r="S446" s="272">
        <f t="shared" si="55"/>
        <v>2125.44</v>
      </c>
    </row>
    <row r="447" spans="1:21" s="270" customFormat="1" x14ac:dyDescent="0.25">
      <c r="A447" s="335">
        <v>501503</v>
      </c>
      <c r="B447" s="271">
        <v>1503</v>
      </c>
      <c r="C447" s="271">
        <v>200071</v>
      </c>
      <c r="D447" s="268" t="s">
        <v>894</v>
      </c>
      <c r="E447" s="268" t="s">
        <v>1290</v>
      </c>
      <c r="F447" s="268" t="s">
        <v>2351</v>
      </c>
      <c r="G447" s="268">
        <v>13</v>
      </c>
      <c r="H447" s="268" t="s">
        <v>3061</v>
      </c>
      <c r="I447" s="268" t="s">
        <v>3057</v>
      </c>
      <c r="J447" s="272">
        <v>214884</v>
      </c>
      <c r="K447" s="272">
        <f t="shared" si="50"/>
        <v>17907</v>
      </c>
      <c r="L447" s="272">
        <f t="shared" si="51"/>
        <v>12141.24</v>
      </c>
      <c r="M447" s="269">
        <v>0</v>
      </c>
      <c r="N447" s="272">
        <f t="shared" si="56"/>
        <v>129.60000000000002</v>
      </c>
      <c r="O447" s="273">
        <v>0</v>
      </c>
      <c r="P447" s="273">
        <f t="shared" si="52"/>
        <v>3760.4700000000003</v>
      </c>
      <c r="Q447" s="272">
        <f t="shared" si="53"/>
        <v>60084</v>
      </c>
      <c r="R447" s="272">
        <f t="shared" si="54"/>
        <v>38829.538800000002</v>
      </c>
      <c r="S447" s="272">
        <f t="shared" si="55"/>
        <v>2125.44</v>
      </c>
    </row>
    <row r="448" spans="1:21" s="270" customFormat="1" x14ac:dyDescent="0.25">
      <c r="A448" s="335">
        <v>501503</v>
      </c>
      <c r="B448" s="271">
        <v>1503</v>
      </c>
      <c r="C448" s="271">
        <v>200072</v>
      </c>
      <c r="D448" s="268" t="s">
        <v>894</v>
      </c>
      <c r="E448" s="268" t="s">
        <v>1290</v>
      </c>
      <c r="F448" s="268" t="s">
        <v>2660</v>
      </c>
      <c r="G448" s="268">
        <v>13</v>
      </c>
      <c r="H448" s="268" t="s">
        <v>3062</v>
      </c>
      <c r="I448" s="268" t="s">
        <v>3057</v>
      </c>
      <c r="J448" s="272">
        <v>214884</v>
      </c>
      <c r="K448" s="272">
        <f t="shared" ref="K448:K511" si="59">J448/12</f>
        <v>17907</v>
      </c>
      <c r="L448" s="272">
        <f t="shared" ref="L448:L511" si="60">1011.77*12</f>
        <v>12141.24</v>
      </c>
      <c r="M448" s="269">
        <v>0</v>
      </c>
      <c r="N448" s="272">
        <f t="shared" si="56"/>
        <v>129.60000000000002</v>
      </c>
      <c r="O448" s="273">
        <v>0</v>
      </c>
      <c r="P448" s="273">
        <f t="shared" ref="P448:P511" si="61">J448*1.75%</f>
        <v>3760.4700000000003</v>
      </c>
      <c r="Q448" s="272">
        <f t="shared" ref="Q448:Q511" si="62">5007*12</f>
        <v>60084</v>
      </c>
      <c r="R448" s="272">
        <f t="shared" ref="R448:R511" si="63">18.07%*J448</f>
        <v>38829.538800000002</v>
      </c>
      <c r="S448" s="272">
        <f t="shared" si="55"/>
        <v>2125.44</v>
      </c>
    </row>
    <row r="449" spans="1:21" s="270" customFormat="1" x14ac:dyDescent="0.25">
      <c r="A449" s="335">
        <v>501503</v>
      </c>
      <c r="B449" s="271">
        <v>1503</v>
      </c>
      <c r="C449" s="271">
        <v>200073</v>
      </c>
      <c r="D449" s="268" t="s">
        <v>894</v>
      </c>
      <c r="E449" s="268" t="s">
        <v>1290</v>
      </c>
      <c r="F449" s="268" t="s">
        <v>3063</v>
      </c>
      <c r="G449" s="268">
        <v>13</v>
      </c>
      <c r="H449" s="268" t="s">
        <v>3064</v>
      </c>
      <c r="I449" s="268" t="s">
        <v>3057</v>
      </c>
      <c r="J449" s="272">
        <v>214884</v>
      </c>
      <c r="K449" s="272">
        <f t="shared" si="59"/>
        <v>17907</v>
      </c>
      <c r="L449" s="272">
        <f t="shared" si="60"/>
        <v>12141.24</v>
      </c>
      <c r="M449" s="269">
        <v>0</v>
      </c>
      <c r="N449" s="272">
        <f t="shared" si="56"/>
        <v>129.60000000000002</v>
      </c>
      <c r="O449" s="273">
        <v>0</v>
      </c>
      <c r="P449" s="273">
        <f t="shared" si="61"/>
        <v>3760.4700000000003</v>
      </c>
      <c r="Q449" s="272">
        <f t="shared" si="62"/>
        <v>60084</v>
      </c>
      <c r="R449" s="272">
        <f t="shared" si="63"/>
        <v>38829.538800000002</v>
      </c>
      <c r="S449" s="272">
        <f t="shared" ref="S449:S512" si="64">177.12*12</f>
        <v>2125.44</v>
      </c>
    </row>
    <row r="450" spans="1:21" s="270" customFormat="1" x14ac:dyDescent="0.25">
      <c r="A450" s="335">
        <v>501503</v>
      </c>
      <c r="B450" s="271">
        <v>1503</v>
      </c>
      <c r="C450" s="271">
        <v>200074</v>
      </c>
      <c r="D450" s="268" t="s">
        <v>894</v>
      </c>
      <c r="E450" s="268" t="s">
        <v>1290</v>
      </c>
      <c r="F450" s="268" t="s">
        <v>3065</v>
      </c>
      <c r="G450" s="268">
        <v>13</v>
      </c>
      <c r="H450" s="268" t="s">
        <v>3066</v>
      </c>
      <c r="I450" s="268" t="s">
        <v>3057</v>
      </c>
      <c r="J450" s="272">
        <v>214884</v>
      </c>
      <c r="K450" s="272">
        <f t="shared" si="59"/>
        <v>17907</v>
      </c>
      <c r="L450" s="272">
        <f t="shared" si="60"/>
        <v>12141.24</v>
      </c>
      <c r="M450" s="269">
        <v>0</v>
      </c>
      <c r="N450" s="272">
        <f t="shared" si="56"/>
        <v>129.60000000000002</v>
      </c>
      <c r="O450" s="273">
        <v>0</v>
      </c>
      <c r="P450" s="273">
        <f t="shared" si="61"/>
        <v>3760.4700000000003</v>
      </c>
      <c r="Q450" s="272">
        <f t="shared" si="62"/>
        <v>60084</v>
      </c>
      <c r="R450" s="272">
        <f t="shared" si="63"/>
        <v>38829.538800000002</v>
      </c>
      <c r="S450" s="272">
        <f t="shared" si="64"/>
        <v>2125.44</v>
      </c>
    </row>
    <row r="451" spans="1:21" s="270" customFormat="1" x14ac:dyDescent="0.25">
      <c r="A451" s="335">
        <v>501503</v>
      </c>
      <c r="B451" s="271">
        <v>1503</v>
      </c>
      <c r="C451" s="271">
        <v>200077</v>
      </c>
      <c r="D451" s="268" t="s">
        <v>894</v>
      </c>
      <c r="E451" s="268" t="s">
        <v>1290</v>
      </c>
      <c r="F451" s="268" t="s">
        <v>3067</v>
      </c>
      <c r="G451" s="268">
        <v>13</v>
      </c>
      <c r="H451" s="268" t="s">
        <v>2516</v>
      </c>
      <c r="I451" s="268" t="s">
        <v>3057</v>
      </c>
      <c r="J451" s="272">
        <v>214884</v>
      </c>
      <c r="K451" s="272">
        <f t="shared" si="59"/>
        <v>17907</v>
      </c>
      <c r="L451" s="272">
        <f t="shared" si="60"/>
        <v>12141.24</v>
      </c>
      <c r="M451" s="269">
        <v>0</v>
      </c>
      <c r="N451" s="272">
        <f t="shared" si="56"/>
        <v>129.60000000000002</v>
      </c>
      <c r="O451" s="273">
        <v>0</v>
      </c>
      <c r="P451" s="273">
        <f t="shared" si="61"/>
        <v>3760.4700000000003</v>
      </c>
      <c r="Q451" s="272">
        <f t="shared" si="62"/>
        <v>60084</v>
      </c>
      <c r="R451" s="272">
        <f t="shared" si="63"/>
        <v>38829.538800000002</v>
      </c>
      <c r="S451" s="272">
        <f t="shared" si="64"/>
        <v>2125.44</v>
      </c>
    </row>
    <row r="452" spans="1:21" s="270" customFormat="1" x14ac:dyDescent="0.25">
      <c r="A452" s="335">
        <v>501503</v>
      </c>
      <c r="B452" s="271">
        <v>1503</v>
      </c>
      <c r="C452" s="271">
        <v>200078</v>
      </c>
      <c r="D452" s="268" t="s">
        <v>894</v>
      </c>
      <c r="E452" s="268" t="s">
        <v>1290</v>
      </c>
      <c r="F452" s="268" t="s">
        <v>3068</v>
      </c>
      <c r="G452" s="268">
        <v>13</v>
      </c>
      <c r="H452" s="268" t="s">
        <v>3069</v>
      </c>
      <c r="I452" s="268" t="s">
        <v>3057</v>
      </c>
      <c r="J452" s="272">
        <v>214884</v>
      </c>
      <c r="K452" s="272">
        <f t="shared" si="59"/>
        <v>17907</v>
      </c>
      <c r="L452" s="272">
        <f t="shared" si="60"/>
        <v>12141.24</v>
      </c>
      <c r="M452" s="269">
        <v>0</v>
      </c>
      <c r="N452" s="272">
        <f t="shared" si="56"/>
        <v>129.60000000000002</v>
      </c>
      <c r="O452" s="273">
        <v>0</v>
      </c>
      <c r="P452" s="273">
        <f t="shared" si="61"/>
        <v>3760.4700000000003</v>
      </c>
      <c r="Q452" s="272">
        <f t="shared" si="62"/>
        <v>60084</v>
      </c>
      <c r="R452" s="272">
        <f t="shared" si="63"/>
        <v>38829.538800000002</v>
      </c>
      <c r="S452" s="272">
        <f t="shared" si="64"/>
        <v>2125.44</v>
      </c>
    </row>
    <row r="453" spans="1:21" s="270" customFormat="1" x14ac:dyDescent="0.25">
      <c r="A453" s="335">
        <v>501503</v>
      </c>
      <c r="B453" s="271">
        <v>1503</v>
      </c>
      <c r="C453" s="271">
        <v>200079</v>
      </c>
      <c r="D453" s="268" t="s">
        <v>894</v>
      </c>
      <c r="E453" s="268" t="s">
        <v>1290</v>
      </c>
      <c r="F453" s="268" t="s">
        <v>2193</v>
      </c>
      <c r="G453" s="268">
        <v>13</v>
      </c>
      <c r="H453" s="268" t="s">
        <v>3070</v>
      </c>
      <c r="I453" s="268" t="s">
        <v>3057</v>
      </c>
      <c r="J453" s="272">
        <v>214884</v>
      </c>
      <c r="K453" s="272">
        <f t="shared" si="59"/>
        <v>17907</v>
      </c>
      <c r="L453" s="272">
        <f t="shared" si="60"/>
        <v>12141.24</v>
      </c>
      <c r="M453" s="269">
        <v>0</v>
      </c>
      <c r="N453" s="272">
        <f t="shared" ref="N453:N516" si="65">10.8*12</f>
        <v>129.60000000000002</v>
      </c>
      <c r="O453" s="273">
        <v>0</v>
      </c>
      <c r="P453" s="273">
        <f t="shared" si="61"/>
        <v>3760.4700000000003</v>
      </c>
      <c r="Q453" s="272">
        <f t="shared" si="62"/>
        <v>60084</v>
      </c>
      <c r="R453" s="272">
        <f t="shared" si="63"/>
        <v>38829.538800000002</v>
      </c>
      <c r="S453" s="272">
        <f t="shared" si="64"/>
        <v>2125.44</v>
      </c>
    </row>
    <row r="454" spans="1:21" s="270" customFormat="1" x14ac:dyDescent="0.25">
      <c r="A454" s="335">
        <v>501503</v>
      </c>
      <c r="B454" s="271">
        <v>1503</v>
      </c>
      <c r="C454" s="271">
        <v>200080</v>
      </c>
      <c r="D454" s="268" t="s">
        <v>894</v>
      </c>
      <c r="E454" s="268" t="s">
        <v>1290</v>
      </c>
      <c r="F454" s="268" t="s">
        <v>2512</v>
      </c>
      <c r="G454" s="268">
        <v>13</v>
      </c>
      <c r="H454" s="268" t="s">
        <v>3071</v>
      </c>
      <c r="I454" s="268" t="s">
        <v>3057</v>
      </c>
      <c r="J454" s="272">
        <v>214884</v>
      </c>
      <c r="K454" s="272">
        <f t="shared" si="59"/>
        <v>17907</v>
      </c>
      <c r="L454" s="272">
        <f t="shared" si="60"/>
        <v>12141.24</v>
      </c>
      <c r="M454" s="269">
        <v>0</v>
      </c>
      <c r="N454" s="272">
        <f t="shared" si="65"/>
        <v>129.60000000000002</v>
      </c>
      <c r="O454" s="273">
        <v>0</v>
      </c>
      <c r="P454" s="273">
        <f t="shared" si="61"/>
        <v>3760.4700000000003</v>
      </c>
      <c r="Q454" s="272">
        <f t="shared" si="62"/>
        <v>60084</v>
      </c>
      <c r="R454" s="272">
        <f t="shared" si="63"/>
        <v>38829.538800000002</v>
      </c>
      <c r="S454" s="272">
        <f t="shared" si="64"/>
        <v>2125.44</v>
      </c>
    </row>
    <row r="455" spans="1:21" s="270" customFormat="1" x14ac:dyDescent="0.25">
      <c r="A455" s="335">
        <v>501503</v>
      </c>
      <c r="B455" s="271">
        <v>1503</v>
      </c>
      <c r="C455" s="271">
        <v>200081</v>
      </c>
      <c r="D455" s="268" t="s">
        <v>894</v>
      </c>
      <c r="E455" s="268" t="s">
        <v>1278</v>
      </c>
      <c r="F455" s="268" t="s">
        <v>1293</v>
      </c>
      <c r="G455" s="268">
        <v>13</v>
      </c>
      <c r="H455" s="268" t="s">
        <v>3069</v>
      </c>
      <c r="I455" s="268" t="s">
        <v>3057</v>
      </c>
      <c r="J455" s="272">
        <v>214884</v>
      </c>
      <c r="K455" s="272">
        <f t="shared" si="59"/>
        <v>17907</v>
      </c>
      <c r="L455" s="272">
        <f t="shared" si="60"/>
        <v>12141.24</v>
      </c>
      <c r="M455" s="269">
        <v>0</v>
      </c>
      <c r="N455" s="272">
        <f t="shared" si="65"/>
        <v>129.60000000000002</v>
      </c>
      <c r="O455" s="273">
        <v>0</v>
      </c>
      <c r="P455" s="273">
        <f t="shared" si="61"/>
        <v>3760.4700000000003</v>
      </c>
      <c r="Q455" s="272">
        <f t="shared" si="62"/>
        <v>60084</v>
      </c>
      <c r="R455" s="272">
        <f t="shared" si="63"/>
        <v>38829.538800000002</v>
      </c>
      <c r="S455" s="272">
        <f t="shared" si="64"/>
        <v>2125.44</v>
      </c>
    </row>
    <row r="456" spans="1:21" s="270" customFormat="1" x14ac:dyDescent="0.25">
      <c r="A456" s="335">
        <v>501503</v>
      </c>
      <c r="B456" s="271">
        <v>1503</v>
      </c>
      <c r="C456" s="271">
        <v>200082</v>
      </c>
      <c r="D456" s="268" t="s">
        <v>894</v>
      </c>
      <c r="E456" s="268" t="s">
        <v>1290</v>
      </c>
      <c r="F456" s="268" t="s">
        <v>2261</v>
      </c>
      <c r="G456" s="268">
        <v>13</v>
      </c>
      <c r="H456" s="268" t="s">
        <v>3026</v>
      </c>
      <c r="I456" s="268" t="s">
        <v>3027</v>
      </c>
      <c r="J456" s="272">
        <v>214884</v>
      </c>
      <c r="K456" s="272">
        <f t="shared" si="59"/>
        <v>17907</v>
      </c>
      <c r="L456" s="272">
        <f t="shared" si="60"/>
        <v>12141.24</v>
      </c>
      <c r="M456" s="269">
        <v>0</v>
      </c>
      <c r="N456" s="272">
        <f t="shared" si="65"/>
        <v>129.60000000000002</v>
      </c>
      <c r="O456" s="273">
        <v>0</v>
      </c>
      <c r="P456" s="273">
        <f t="shared" si="61"/>
        <v>3760.4700000000003</v>
      </c>
      <c r="Q456" s="272">
        <f t="shared" si="62"/>
        <v>60084</v>
      </c>
      <c r="R456" s="272">
        <f t="shared" si="63"/>
        <v>38829.538800000002</v>
      </c>
      <c r="S456" s="272">
        <f t="shared" si="64"/>
        <v>2125.44</v>
      </c>
    </row>
    <row r="457" spans="1:21" s="270" customFormat="1" x14ac:dyDescent="0.25">
      <c r="A457" s="335">
        <v>501503</v>
      </c>
      <c r="B457" s="271">
        <v>1503</v>
      </c>
      <c r="C457" s="271">
        <v>200083</v>
      </c>
      <c r="D457" s="268" t="s">
        <v>894</v>
      </c>
      <c r="E457" s="268" t="s">
        <v>1290</v>
      </c>
      <c r="F457" s="268" t="s">
        <v>2434</v>
      </c>
      <c r="G457" s="268">
        <v>13</v>
      </c>
      <c r="H457" s="268" t="s">
        <v>3072</v>
      </c>
      <c r="I457" s="268" t="s">
        <v>3057</v>
      </c>
      <c r="J457" s="272">
        <v>214884</v>
      </c>
      <c r="K457" s="272">
        <f t="shared" si="59"/>
        <v>17907</v>
      </c>
      <c r="L457" s="272">
        <f t="shared" si="60"/>
        <v>12141.24</v>
      </c>
      <c r="M457" s="269">
        <v>0</v>
      </c>
      <c r="N457" s="272">
        <f t="shared" si="65"/>
        <v>129.60000000000002</v>
      </c>
      <c r="O457" s="273">
        <v>0</v>
      </c>
      <c r="P457" s="273">
        <f t="shared" si="61"/>
        <v>3760.4700000000003</v>
      </c>
      <c r="Q457" s="272">
        <f t="shared" si="62"/>
        <v>60084</v>
      </c>
      <c r="R457" s="272">
        <f t="shared" si="63"/>
        <v>38829.538800000002</v>
      </c>
      <c r="S457" s="272">
        <f t="shared" si="64"/>
        <v>2125.44</v>
      </c>
    </row>
    <row r="458" spans="1:21" s="270" customFormat="1" x14ac:dyDescent="0.25">
      <c r="A458" s="335">
        <v>501503</v>
      </c>
      <c r="B458" s="271">
        <v>1503</v>
      </c>
      <c r="C458" s="271">
        <v>200084</v>
      </c>
      <c r="D458" s="268" t="s">
        <v>894</v>
      </c>
      <c r="E458" s="268" t="s">
        <v>1290</v>
      </c>
      <c r="F458" s="268" t="s">
        <v>2455</v>
      </c>
      <c r="G458" s="268">
        <v>13</v>
      </c>
      <c r="H458" s="268" t="s">
        <v>3073</v>
      </c>
      <c r="I458" s="268" t="s">
        <v>3057</v>
      </c>
      <c r="J458" s="272">
        <v>214884</v>
      </c>
      <c r="K458" s="272">
        <f t="shared" si="59"/>
        <v>17907</v>
      </c>
      <c r="L458" s="272">
        <f t="shared" si="60"/>
        <v>12141.24</v>
      </c>
      <c r="M458" s="269">
        <v>0</v>
      </c>
      <c r="N458" s="272">
        <f t="shared" si="65"/>
        <v>129.60000000000002</v>
      </c>
      <c r="O458" s="273">
        <v>0</v>
      </c>
      <c r="P458" s="273">
        <f t="shared" si="61"/>
        <v>3760.4700000000003</v>
      </c>
      <c r="Q458" s="272">
        <f t="shared" si="62"/>
        <v>60084</v>
      </c>
      <c r="R458" s="272">
        <f t="shared" si="63"/>
        <v>38829.538800000002</v>
      </c>
      <c r="S458" s="272">
        <f t="shared" si="64"/>
        <v>2125.44</v>
      </c>
    </row>
    <row r="459" spans="1:21" s="270" customFormat="1" x14ac:dyDescent="0.25">
      <c r="A459" s="335">
        <v>501503</v>
      </c>
      <c r="B459" s="271">
        <v>1503</v>
      </c>
      <c r="C459" s="271">
        <v>200085</v>
      </c>
      <c r="D459" s="268" t="s">
        <v>894</v>
      </c>
      <c r="E459" s="268" t="s">
        <v>1278</v>
      </c>
      <c r="F459" s="268" t="s">
        <v>3074</v>
      </c>
      <c r="G459" s="268">
        <v>13</v>
      </c>
      <c r="H459" s="268" t="s">
        <v>3075</v>
      </c>
      <c r="I459" s="268" t="s">
        <v>3057</v>
      </c>
      <c r="J459" s="272">
        <v>214884</v>
      </c>
      <c r="K459" s="272">
        <f t="shared" si="59"/>
        <v>17907</v>
      </c>
      <c r="L459" s="272">
        <f t="shared" si="60"/>
        <v>12141.24</v>
      </c>
      <c r="M459" s="269">
        <v>0</v>
      </c>
      <c r="N459" s="272">
        <f t="shared" si="65"/>
        <v>129.60000000000002</v>
      </c>
      <c r="O459" s="273">
        <v>0</v>
      </c>
      <c r="P459" s="273">
        <f t="shared" si="61"/>
        <v>3760.4700000000003</v>
      </c>
      <c r="Q459" s="272">
        <f t="shared" si="62"/>
        <v>60084</v>
      </c>
      <c r="R459" s="272">
        <f t="shared" si="63"/>
        <v>38829.538800000002</v>
      </c>
      <c r="S459" s="272">
        <f t="shared" si="64"/>
        <v>2125.44</v>
      </c>
    </row>
    <row r="460" spans="1:21" s="270" customFormat="1" x14ac:dyDescent="0.25">
      <c r="A460" s="335">
        <v>501503</v>
      </c>
      <c r="B460" s="271">
        <v>1503</v>
      </c>
      <c r="C460" s="271">
        <v>200087</v>
      </c>
      <c r="D460" s="268" t="s">
        <v>894</v>
      </c>
      <c r="E460" s="268" t="s">
        <v>1278</v>
      </c>
      <c r="F460" s="268" t="s">
        <v>2428</v>
      </c>
      <c r="G460" s="268">
        <v>13</v>
      </c>
      <c r="H460" s="268" t="s">
        <v>3076</v>
      </c>
      <c r="I460" s="268" t="s">
        <v>3057</v>
      </c>
      <c r="J460" s="272">
        <v>214884</v>
      </c>
      <c r="K460" s="272">
        <f t="shared" si="59"/>
        <v>17907</v>
      </c>
      <c r="L460" s="272">
        <f t="shared" si="60"/>
        <v>12141.24</v>
      </c>
      <c r="M460" s="269">
        <v>0</v>
      </c>
      <c r="N460" s="272">
        <f t="shared" si="65"/>
        <v>129.60000000000002</v>
      </c>
      <c r="O460" s="273">
        <v>0</v>
      </c>
      <c r="P460" s="273">
        <f t="shared" si="61"/>
        <v>3760.4700000000003</v>
      </c>
      <c r="Q460" s="272">
        <f t="shared" si="62"/>
        <v>60084</v>
      </c>
      <c r="R460" s="272">
        <f t="shared" si="63"/>
        <v>38829.538800000002</v>
      </c>
      <c r="S460" s="272">
        <f t="shared" si="64"/>
        <v>2125.44</v>
      </c>
    </row>
    <row r="461" spans="1:21" s="270" customFormat="1" x14ac:dyDescent="0.25">
      <c r="A461" s="335">
        <v>501503</v>
      </c>
      <c r="B461" s="271">
        <v>1503</v>
      </c>
      <c r="C461" s="271">
        <v>200089</v>
      </c>
      <c r="D461" s="268" t="s">
        <v>894</v>
      </c>
      <c r="E461" s="268" t="s">
        <v>1278</v>
      </c>
      <c r="F461" s="268" t="s">
        <v>3077</v>
      </c>
      <c r="G461" s="268">
        <v>13</v>
      </c>
      <c r="H461" s="268" t="s">
        <v>3078</v>
      </c>
      <c r="I461" s="268" t="s">
        <v>3057</v>
      </c>
      <c r="J461" s="272">
        <v>214884</v>
      </c>
      <c r="K461" s="272">
        <f t="shared" si="59"/>
        <v>17907</v>
      </c>
      <c r="L461" s="272">
        <f t="shared" si="60"/>
        <v>12141.24</v>
      </c>
      <c r="M461" s="269">
        <v>0</v>
      </c>
      <c r="N461" s="272">
        <f t="shared" si="65"/>
        <v>129.60000000000002</v>
      </c>
      <c r="O461" s="273">
        <v>0</v>
      </c>
      <c r="P461" s="273">
        <f t="shared" si="61"/>
        <v>3760.4700000000003</v>
      </c>
      <c r="Q461" s="272">
        <f t="shared" si="62"/>
        <v>60084</v>
      </c>
      <c r="R461" s="272">
        <f t="shared" si="63"/>
        <v>38829.538800000002</v>
      </c>
      <c r="S461" s="272">
        <f t="shared" si="64"/>
        <v>2125.44</v>
      </c>
    </row>
    <row r="462" spans="1:21" s="270" customFormat="1" x14ac:dyDescent="0.25">
      <c r="A462" s="335">
        <v>501503</v>
      </c>
      <c r="B462" s="271">
        <v>1503</v>
      </c>
      <c r="C462" s="271">
        <v>200092</v>
      </c>
      <c r="D462" s="268" t="s">
        <v>894</v>
      </c>
      <c r="E462" s="268" t="s">
        <v>1290</v>
      </c>
      <c r="F462" s="268" t="s">
        <v>2940</v>
      </c>
      <c r="G462" s="268">
        <v>13</v>
      </c>
      <c r="H462" s="268" t="s">
        <v>3002</v>
      </c>
      <c r="I462" s="268" t="s">
        <v>3057</v>
      </c>
      <c r="J462" s="272">
        <v>214884</v>
      </c>
      <c r="K462" s="272">
        <f t="shared" si="59"/>
        <v>17907</v>
      </c>
      <c r="L462" s="272">
        <f t="shared" si="60"/>
        <v>12141.24</v>
      </c>
      <c r="M462" s="269">
        <v>0</v>
      </c>
      <c r="N462" s="272">
        <f t="shared" si="65"/>
        <v>129.60000000000002</v>
      </c>
      <c r="O462" s="273">
        <v>0</v>
      </c>
      <c r="P462" s="273">
        <f t="shared" si="61"/>
        <v>3760.4700000000003</v>
      </c>
      <c r="Q462" s="272">
        <f t="shared" si="62"/>
        <v>60084</v>
      </c>
      <c r="R462" s="272">
        <f t="shared" si="63"/>
        <v>38829.538800000002</v>
      </c>
      <c r="S462" s="272">
        <f t="shared" si="64"/>
        <v>2125.44</v>
      </c>
      <c r="T462" s="277"/>
      <c r="U462" s="277"/>
    </row>
    <row r="463" spans="1:21" s="270" customFormat="1" x14ac:dyDescent="0.25">
      <c r="A463" s="335">
        <v>501503</v>
      </c>
      <c r="B463" s="271">
        <v>1503</v>
      </c>
      <c r="C463" s="271">
        <v>200093</v>
      </c>
      <c r="D463" s="268" t="s">
        <v>894</v>
      </c>
      <c r="E463" s="268" t="s">
        <v>1290</v>
      </c>
      <c r="F463" s="268" t="s">
        <v>2666</v>
      </c>
      <c r="G463" s="268">
        <v>13</v>
      </c>
      <c r="H463" s="268" t="s">
        <v>3079</v>
      </c>
      <c r="I463" s="268" t="s">
        <v>3057</v>
      </c>
      <c r="J463" s="272">
        <v>214884</v>
      </c>
      <c r="K463" s="272">
        <f t="shared" si="59"/>
        <v>17907</v>
      </c>
      <c r="L463" s="272">
        <f t="shared" si="60"/>
        <v>12141.24</v>
      </c>
      <c r="M463" s="269">
        <v>0</v>
      </c>
      <c r="N463" s="272">
        <f t="shared" si="65"/>
        <v>129.60000000000002</v>
      </c>
      <c r="O463" s="273">
        <v>0</v>
      </c>
      <c r="P463" s="273">
        <f t="shared" si="61"/>
        <v>3760.4700000000003</v>
      </c>
      <c r="Q463" s="272">
        <f t="shared" si="62"/>
        <v>60084</v>
      </c>
      <c r="R463" s="272">
        <f t="shared" si="63"/>
        <v>38829.538800000002</v>
      </c>
      <c r="S463" s="272">
        <f t="shared" si="64"/>
        <v>2125.44</v>
      </c>
    </row>
    <row r="464" spans="1:21" s="270" customFormat="1" x14ac:dyDescent="0.25">
      <c r="A464" s="335">
        <v>501503</v>
      </c>
      <c r="B464" s="271">
        <v>1503</v>
      </c>
      <c r="C464" s="271">
        <v>200094</v>
      </c>
      <c r="D464" s="268" t="s">
        <v>894</v>
      </c>
      <c r="E464" s="268" t="s">
        <v>1290</v>
      </c>
      <c r="F464" s="268" t="s">
        <v>2434</v>
      </c>
      <c r="G464" s="268">
        <v>13</v>
      </c>
      <c r="H464" s="268" t="s">
        <v>3080</v>
      </c>
      <c r="I464" s="268" t="s">
        <v>3057</v>
      </c>
      <c r="J464" s="272">
        <v>214884</v>
      </c>
      <c r="K464" s="272">
        <f t="shared" si="59"/>
        <v>17907</v>
      </c>
      <c r="L464" s="272">
        <f t="shared" si="60"/>
        <v>12141.24</v>
      </c>
      <c r="M464" s="269">
        <v>0</v>
      </c>
      <c r="N464" s="272">
        <f t="shared" si="65"/>
        <v>129.60000000000002</v>
      </c>
      <c r="O464" s="273">
        <v>0</v>
      </c>
      <c r="P464" s="273">
        <f t="shared" si="61"/>
        <v>3760.4700000000003</v>
      </c>
      <c r="Q464" s="272">
        <f t="shared" si="62"/>
        <v>60084</v>
      </c>
      <c r="R464" s="272">
        <f t="shared" si="63"/>
        <v>38829.538800000002</v>
      </c>
      <c r="S464" s="272">
        <f t="shared" si="64"/>
        <v>2125.44</v>
      </c>
    </row>
    <row r="465" spans="1:21" s="270" customFormat="1" x14ac:dyDescent="0.25">
      <c r="A465" s="335">
        <v>501503</v>
      </c>
      <c r="B465" s="271">
        <v>1503</v>
      </c>
      <c r="C465" s="271">
        <v>200096</v>
      </c>
      <c r="D465" s="268" t="s">
        <v>894</v>
      </c>
      <c r="E465" s="268" t="s">
        <v>1290</v>
      </c>
      <c r="F465" s="268" t="s">
        <v>3081</v>
      </c>
      <c r="G465" s="268">
        <v>13</v>
      </c>
      <c r="H465" s="268" t="s">
        <v>3082</v>
      </c>
      <c r="I465" s="268" t="s">
        <v>3057</v>
      </c>
      <c r="J465" s="272">
        <v>214884</v>
      </c>
      <c r="K465" s="272">
        <f t="shared" si="59"/>
        <v>17907</v>
      </c>
      <c r="L465" s="272">
        <f t="shared" si="60"/>
        <v>12141.24</v>
      </c>
      <c r="M465" s="269">
        <v>0</v>
      </c>
      <c r="N465" s="272">
        <f t="shared" si="65"/>
        <v>129.60000000000002</v>
      </c>
      <c r="O465" s="273">
        <v>0</v>
      </c>
      <c r="P465" s="273">
        <f t="shared" si="61"/>
        <v>3760.4700000000003</v>
      </c>
      <c r="Q465" s="272">
        <f t="shared" si="62"/>
        <v>60084</v>
      </c>
      <c r="R465" s="272">
        <f t="shared" si="63"/>
        <v>38829.538800000002</v>
      </c>
      <c r="S465" s="272">
        <f t="shared" si="64"/>
        <v>2125.44</v>
      </c>
    </row>
    <row r="466" spans="1:21" s="270" customFormat="1" x14ac:dyDescent="0.25">
      <c r="A466" s="335">
        <v>501503</v>
      </c>
      <c r="B466" s="271">
        <v>1503</v>
      </c>
      <c r="C466" s="271">
        <v>200097</v>
      </c>
      <c r="D466" s="268" t="s">
        <v>894</v>
      </c>
      <c r="E466" s="268" t="s">
        <v>1278</v>
      </c>
      <c r="F466" s="268" t="s">
        <v>3083</v>
      </c>
      <c r="G466" s="268">
        <v>13</v>
      </c>
      <c r="H466" s="268" t="s">
        <v>3084</v>
      </c>
      <c r="I466" s="268" t="s">
        <v>3057</v>
      </c>
      <c r="J466" s="272">
        <v>214884</v>
      </c>
      <c r="K466" s="272">
        <f t="shared" si="59"/>
        <v>17907</v>
      </c>
      <c r="L466" s="272">
        <f t="shared" si="60"/>
        <v>12141.24</v>
      </c>
      <c r="M466" s="269">
        <v>0</v>
      </c>
      <c r="N466" s="272">
        <f t="shared" si="65"/>
        <v>129.60000000000002</v>
      </c>
      <c r="O466" s="273">
        <v>0</v>
      </c>
      <c r="P466" s="273">
        <f t="shared" si="61"/>
        <v>3760.4700000000003</v>
      </c>
      <c r="Q466" s="272">
        <f t="shared" si="62"/>
        <v>60084</v>
      </c>
      <c r="R466" s="272">
        <f t="shared" si="63"/>
        <v>38829.538800000002</v>
      </c>
      <c r="S466" s="272">
        <f t="shared" si="64"/>
        <v>2125.44</v>
      </c>
    </row>
    <row r="467" spans="1:21" s="270" customFormat="1" x14ac:dyDescent="0.25">
      <c r="A467" s="335">
        <v>501503</v>
      </c>
      <c r="B467" s="271">
        <v>1503</v>
      </c>
      <c r="C467" s="271">
        <v>200098</v>
      </c>
      <c r="D467" s="268" t="s">
        <v>894</v>
      </c>
      <c r="E467" s="268" t="s">
        <v>1290</v>
      </c>
      <c r="F467" s="268" t="s">
        <v>3085</v>
      </c>
      <c r="G467" s="268">
        <v>13</v>
      </c>
      <c r="H467" s="268" t="s">
        <v>3086</v>
      </c>
      <c r="I467" s="268" t="s">
        <v>3057</v>
      </c>
      <c r="J467" s="272">
        <v>214884</v>
      </c>
      <c r="K467" s="272">
        <f t="shared" si="59"/>
        <v>17907</v>
      </c>
      <c r="L467" s="272">
        <f t="shared" si="60"/>
        <v>12141.24</v>
      </c>
      <c r="M467" s="269">
        <v>0</v>
      </c>
      <c r="N467" s="272">
        <f t="shared" si="65"/>
        <v>129.60000000000002</v>
      </c>
      <c r="O467" s="273">
        <v>0</v>
      </c>
      <c r="P467" s="273">
        <f t="shared" si="61"/>
        <v>3760.4700000000003</v>
      </c>
      <c r="Q467" s="272">
        <f t="shared" si="62"/>
        <v>60084</v>
      </c>
      <c r="R467" s="272">
        <f t="shared" si="63"/>
        <v>38829.538800000002</v>
      </c>
      <c r="S467" s="272">
        <f t="shared" si="64"/>
        <v>2125.44</v>
      </c>
    </row>
    <row r="468" spans="1:21" s="270" customFormat="1" x14ac:dyDescent="0.25">
      <c r="A468" s="335">
        <v>501503</v>
      </c>
      <c r="B468" s="271">
        <v>1503</v>
      </c>
      <c r="C468" s="271">
        <v>200099</v>
      </c>
      <c r="D468" s="268" t="s">
        <v>894</v>
      </c>
      <c r="E468" s="268" t="s">
        <v>1290</v>
      </c>
      <c r="F468" s="268" t="s">
        <v>2434</v>
      </c>
      <c r="G468" s="268">
        <v>13</v>
      </c>
      <c r="H468" s="268" t="s">
        <v>3087</v>
      </c>
      <c r="I468" s="268" t="s">
        <v>3057</v>
      </c>
      <c r="J468" s="272">
        <v>214884</v>
      </c>
      <c r="K468" s="272">
        <f t="shared" si="59"/>
        <v>17907</v>
      </c>
      <c r="L468" s="272">
        <f t="shared" si="60"/>
        <v>12141.24</v>
      </c>
      <c r="M468" s="269">
        <v>0</v>
      </c>
      <c r="N468" s="272">
        <f t="shared" si="65"/>
        <v>129.60000000000002</v>
      </c>
      <c r="O468" s="273">
        <v>0</v>
      </c>
      <c r="P468" s="273">
        <f t="shared" si="61"/>
        <v>3760.4700000000003</v>
      </c>
      <c r="Q468" s="272">
        <f t="shared" si="62"/>
        <v>60084</v>
      </c>
      <c r="R468" s="272">
        <f t="shared" si="63"/>
        <v>38829.538800000002</v>
      </c>
      <c r="S468" s="272">
        <f t="shared" si="64"/>
        <v>2125.44</v>
      </c>
    </row>
    <row r="469" spans="1:21" s="270" customFormat="1" x14ac:dyDescent="0.25">
      <c r="A469" s="335">
        <v>501503</v>
      </c>
      <c r="B469" s="271">
        <v>1503</v>
      </c>
      <c r="C469" s="271">
        <v>200100</v>
      </c>
      <c r="D469" s="268" t="s">
        <v>894</v>
      </c>
      <c r="E469" s="268" t="s">
        <v>1290</v>
      </c>
      <c r="F469" s="268" t="s">
        <v>2598</v>
      </c>
      <c r="G469" s="268">
        <v>13</v>
      </c>
      <c r="H469" s="268" t="s">
        <v>3088</v>
      </c>
      <c r="I469" s="268" t="s">
        <v>3057</v>
      </c>
      <c r="J469" s="272">
        <v>214884</v>
      </c>
      <c r="K469" s="272">
        <f t="shared" si="59"/>
        <v>17907</v>
      </c>
      <c r="L469" s="272">
        <f t="shared" si="60"/>
        <v>12141.24</v>
      </c>
      <c r="M469" s="269">
        <v>0</v>
      </c>
      <c r="N469" s="272">
        <f t="shared" si="65"/>
        <v>129.60000000000002</v>
      </c>
      <c r="O469" s="273">
        <v>0</v>
      </c>
      <c r="P469" s="273">
        <f t="shared" si="61"/>
        <v>3760.4700000000003</v>
      </c>
      <c r="Q469" s="272">
        <f t="shared" si="62"/>
        <v>60084</v>
      </c>
      <c r="R469" s="272">
        <f t="shared" si="63"/>
        <v>38829.538800000002</v>
      </c>
      <c r="S469" s="272">
        <f t="shared" si="64"/>
        <v>2125.44</v>
      </c>
    </row>
    <row r="470" spans="1:21" s="270" customFormat="1" x14ac:dyDescent="0.25">
      <c r="A470" s="335">
        <v>501503</v>
      </c>
      <c r="B470" s="271">
        <v>1503</v>
      </c>
      <c r="C470" s="271">
        <v>200101</v>
      </c>
      <c r="D470" s="268" t="s">
        <v>894</v>
      </c>
      <c r="E470" s="268" t="s">
        <v>1290</v>
      </c>
      <c r="F470" s="268" t="s">
        <v>3089</v>
      </c>
      <c r="G470" s="268">
        <v>13</v>
      </c>
      <c r="H470" s="268" t="s">
        <v>3090</v>
      </c>
      <c r="I470" s="268" t="s">
        <v>3057</v>
      </c>
      <c r="J470" s="272">
        <v>214884</v>
      </c>
      <c r="K470" s="272">
        <f t="shared" si="59"/>
        <v>17907</v>
      </c>
      <c r="L470" s="272">
        <f t="shared" si="60"/>
        <v>12141.24</v>
      </c>
      <c r="M470" s="269">
        <v>0</v>
      </c>
      <c r="N470" s="272">
        <f t="shared" si="65"/>
        <v>129.60000000000002</v>
      </c>
      <c r="O470" s="273">
        <v>0</v>
      </c>
      <c r="P470" s="273">
        <f t="shared" si="61"/>
        <v>3760.4700000000003</v>
      </c>
      <c r="Q470" s="272">
        <f t="shared" si="62"/>
        <v>60084</v>
      </c>
      <c r="R470" s="272">
        <f t="shared" si="63"/>
        <v>38829.538800000002</v>
      </c>
      <c r="S470" s="272">
        <f t="shared" si="64"/>
        <v>2125.44</v>
      </c>
    </row>
    <row r="471" spans="1:21" s="270" customFormat="1" x14ac:dyDescent="0.25">
      <c r="A471" s="335">
        <v>501503</v>
      </c>
      <c r="B471" s="271">
        <v>1503</v>
      </c>
      <c r="C471" s="271">
        <v>200102</v>
      </c>
      <c r="D471" s="268" t="s">
        <v>894</v>
      </c>
      <c r="E471" s="268" t="s">
        <v>1290</v>
      </c>
      <c r="F471" s="268" t="s">
        <v>2742</v>
      </c>
      <c r="G471" s="268">
        <v>13</v>
      </c>
      <c r="H471" s="268" t="s">
        <v>3091</v>
      </c>
      <c r="I471" s="268" t="s">
        <v>3057</v>
      </c>
      <c r="J471" s="272">
        <v>214884</v>
      </c>
      <c r="K471" s="272">
        <f t="shared" si="59"/>
        <v>17907</v>
      </c>
      <c r="L471" s="272">
        <f t="shared" si="60"/>
        <v>12141.24</v>
      </c>
      <c r="M471" s="269">
        <v>0</v>
      </c>
      <c r="N471" s="272">
        <f t="shared" si="65"/>
        <v>129.60000000000002</v>
      </c>
      <c r="O471" s="273">
        <v>0</v>
      </c>
      <c r="P471" s="273">
        <f t="shared" si="61"/>
        <v>3760.4700000000003</v>
      </c>
      <c r="Q471" s="272">
        <f t="shared" si="62"/>
        <v>60084</v>
      </c>
      <c r="R471" s="272">
        <f t="shared" si="63"/>
        <v>38829.538800000002</v>
      </c>
      <c r="S471" s="272">
        <f t="shared" si="64"/>
        <v>2125.44</v>
      </c>
      <c r="T471" s="277"/>
      <c r="U471" s="277"/>
    </row>
    <row r="472" spans="1:21" s="270" customFormat="1" x14ac:dyDescent="0.25">
      <c r="A472" s="335">
        <v>501503</v>
      </c>
      <c r="B472" s="271">
        <v>1503</v>
      </c>
      <c r="C472" s="271">
        <v>200103</v>
      </c>
      <c r="D472" s="268" t="s">
        <v>894</v>
      </c>
      <c r="E472" s="268" t="s">
        <v>1290</v>
      </c>
      <c r="F472" s="268" t="s">
        <v>2226</v>
      </c>
      <c r="G472" s="268">
        <v>13</v>
      </c>
      <c r="H472" s="268" t="s">
        <v>2238</v>
      </c>
      <c r="I472" s="268" t="s">
        <v>3057</v>
      </c>
      <c r="J472" s="272">
        <v>214884</v>
      </c>
      <c r="K472" s="272">
        <f t="shared" si="59"/>
        <v>17907</v>
      </c>
      <c r="L472" s="272">
        <f t="shared" si="60"/>
        <v>12141.24</v>
      </c>
      <c r="M472" s="269">
        <v>0</v>
      </c>
      <c r="N472" s="272">
        <f t="shared" si="65"/>
        <v>129.60000000000002</v>
      </c>
      <c r="O472" s="273">
        <v>0</v>
      </c>
      <c r="P472" s="273">
        <f t="shared" si="61"/>
        <v>3760.4700000000003</v>
      </c>
      <c r="Q472" s="272">
        <f t="shared" si="62"/>
        <v>60084</v>
      </c>
      <c r="R472" s="272">
        <f t="shared" si="63"/>
        <v>38829.538800000002</v>
      </c>
      <c r="S472" s="272">
        <f t="shared" si="64"/>
        <v>2125.44</v>
      </c>
    </row>
    <row r="473" spans="1:21" s="270" customFormat="1" x14ac:dyDescent="0.25">
      <c r="A473" s="335">
        <v>501503</v>
      </c>
      <c r="B473" s="271">
        <v>1503</v>
      </c>
      <c r="C473" s="271">
        <v>200104</v>
      </c>
      <c r="D473" s="268" t="s">
        <v>894</v>
      </c>
      <c r="E473" s="268" t="s">
        <v>1290</v>
      </c>
      <c r="F473" s="268" t="s">
        <v>2666</v>
      </c>
      <c r="G473" s="268">
        <v>13</v>
      </c>
      <c r="H473" s="268" t="s">
        <v>3092</v>
      </c>
      <c r="I473" s="268" t="s">
        <v>3057</v>
      </c>
      <c r="J473" s="272">
        <v>214884</v>
      </c>
      <c r="K473" s="272">
        <f t="shared" si="59"/>
        <v>17907</v>
      </c>
      <c r="L473" s="272">
        <f t="shared" si="60"/>
        <v>12141.24</v>
      </c>
      <c r="M473" s="269">
        <v>0</v>
      </c>
      <c r="N473" s="272">
        <f t="shared" si="65"/>
        <v>129.60000000000002</v>
      </c>
      <c r="O473" s="273">
        <v>0</v>
      </c>
      <c r="P473" s="273">
        <f t="shared" si="61"/>
        <v>3760.4700000000003</v>
      </c>
      <c r="Q473" s="272">
        <f t="shared" si="62"/>
        <v>60084</v>
      </c>
      <c r="R473" s="272">
        <f t="shared" si="63"/>
        <v>38829.538800000002</v>
      </c>
      <c r="S473" s="272">
        <f t="shared" si="64"/>
        <v>2125.44</v>
      </c>
    </row>
    <row r="474" spans="1:21" s="270" customFormat="1" x14ac:dyDescent="0.25">
      <c r="A474" s="335">
        <v>501503</v>
      </c>
      <c r="B474" s="271">
        <v>1503</v>
      </c>
      <c r="C474" s="271">
        <v>200264</v>
      </c>
      <c r="D474" s="268" t="s">
        <v>894</v>
      </c>
      <c r="E474" s="268" t="s">
        <v>1278</v>
      </c>
      <c r="F474" s="268" t="s">
        <v>2903</v>
      </c>
      <c r="G474" s="268">
        <v>13</v>
      </c>
      <c r="H474" s="268" t="s">
        <v>3093</v>
      </c>
      <c r="I474" s="268" t="s">
        <v>3057</v>
      </c>
      <c r="J474" s="272">
        <v>214884</v>
      </c>
      <c r="K474" s="272">
        <f t="shared" si="59"/>
        <v>17907</v>
      </c>
      <c r="L474" s="272">
        <f t="shared" si="60"/>
        <v>12141.24</v>
      </c>
      <c r="M474" s="269">
        <v>0</v>
      </c>
      <c r="N474" s="272">
        <f t="shared" si="65"/>
        <v>129.60000000000002</v>
      </c>
      <c r="O474" s="273">
        <v>0</v>
      </c>
      <c r="P474" s="273">
        <f t="shared" si="61"/>
        <v>3760.4700000000003</v>
      </c>
      <c r="Q474" s="272">
        <f t="shared" si="62"/>
        <v>60084</v>
      </c>
      <c r="R474" s="272">
        <f t="shared" si="63"/>
        <v>38829.538800000002</v>
      </c>
      <c r="S474" s="272">
        <f t="shared" si="64"/>
        <v>2125.44</v>
      </c>
    </row>
    <row r="475" spans="1:21" s="270" customFormat="1" x14ac:dyDescent="0.25">
      <c r="A475" s="335">
        <v>501503</v>
      </c>
      <c r="B475" s="271">
        <v>1503</v>
      </c>
      <c r="C475" s="271">
        <v>200282</v>
      </c>
      <c r="D475" s="268" t="s">
        <v>894</v>
      </c>
      <c r="E475" s="268" t="s">
        <v>1278</v>
      </c>
      <c r="F475" s="268" t="s">
        <v>2827</v>
      </c>
      <c r="G475" s="268">
        <v>13</v>
      </c>
      <c r="H475" s="268" t="s">
        <v>3094</v>
      </c>
      <c r="I475" s="268" t="s">
        <v>3057</v>
      </c>
      <c r="J475" s="272">
        <v>214884</v>
      </c>
      <c r="K475" s="272">
        <f t="shared" si="59"/>
        <v>17907</v>
      </c>
      <c r="L475" s="272">
        <f t="shared" si="60"/>
        <v>12141.24</v>
      </c>
      <c r="M475" s="269">
        <v>0</v>
      </c>
      <c r="N475" s="272">
        <f t="shared" si="65"/>
        <v>129.60000000000002</v>
      </c>
      <c r="O475" s="273">
        <v>0</v>
      </c>
      <c r="P475" s="273">
        <f t="shared" si="61"/>
        <v>3760.4700000000003</v>
      </c>
      <c r="Q475" s="272">
        <f t="shared" si="62"/>
        <v>60084</v>
      </c>
      <c r="R475" s="272">
        <f t="shared" si="63"/>
        <v>38829.538800000002</v>
      </c>
      <c r="S475" s="272">
        <f t="shared" si="64"/>
        <v>2125.44</v>
      </c>
    </row>
    <row r="476" spans="1:21" s="270" customFormat="1" x14ac:dyDescent="0.25">
      <c r="A476" s="335">
        <v>501443</v>
      </c>
      <c r="B476" s="271">
        <v>1443</v>
      </c>
      <c r="C476" s="271">
        <v>200290</v>
      </c>
      <c r="D476" s="268" t="s">
        <v>894</v>
      </c>
      <c r="E476" s="268" t="s">
        <v>1290</v>
      </c>
      <c r="F476" s="268" t="s">
        <v>2971</v>
      </c>
      <c r="G476" s="268">
        <v>11</v>
      </c>
      <c r="H476" s="268" t="s">
        <v>3095</v>
      </c>
      <c r="I476" s="268" t="s">
        <v>2978</v>
      </c>
      <c r="J476" s="272">
        <v>205440</v>
      </c>
      <c r="K476" s="272">
        <f t="shared" si="59"/>
        <v>17120</v>
      </c>
      <c r="L476" s="272">
        <f t="shared" si="60"/>
        <v>12141.24</v>
      </c>
      <c r="M476" s="269">
        <v>0</v>
      </c>
      <c r="N476" s="272">
        <f t="shared" si="65"/>
        <v>129.60000000000002</v>
      </c>
      <c r="O476" s="273">
        <v>0</v>
      </c>
      <c r="P476" s="273">
        <f t="shared" si="61"/>
        <v>3595.2000000000003</v>
      </c>
      <c r="Q476" s="272">
        <f t="shared" si="62"/>
        <v>60084</v>
      </c>
      <c r="R476" s="272">
        <f t="shared" si="63"/>
        <v>37123.008000000002</v>
      </c>
      <c r="S476" s="272">
        <f t="shared" si="64"/>
        <v>2125.44</v>
      </c>
    </row>
    <row r="477" spans="1:21" s="270" customFormat="1" x14ac:dyDescent="0.25">
      <c r="A477" s="335">
        <v>501503</v>
      </c>
      <c r="B477" s="271">
        <v>1503</v>
      </c>
      <c r="C477" s="271">
        <v>200295</v>
      </c>
      <c r="D477" s="268" t="s">
        <v>894</v>
      </c>
      <c r="E477" s="268" t="s">
        <v>1278</v>
      </c>
      <c r="F477" s="268" t="s">
        <v>2950</v>
      </c>
      <c r="G477" s="268">
        <v>12</v>
      </c>
      <c r="H477" s="268" t="s">
        <v>3096</v>
      </c>
      <c r="I477" s="268" t="s">
        <v>3057</v>
      </c>
      <c r="J477" s="272">
        <v>205440</v>
      </c>
      <c r="K477" s="272">
        <f t="shared" si="59"/>
        <v>17120</v>
      </c>
      <c r="L477" s="272">
        <f t="shared" si="60"/>
        <v>12141.24</v>
      </c>
      <c r="M477" s="269">
        <v>0</v>
      </c>
      <c r="N477" s="272">
        <f t="shared" si="65"/>
        <v>129.60000000000002</v>
      </c>
      <c r="O477" s="273">
        <v>0</v>
      </c>
      <c r="P477" s="273">
        <f t="shared" si="61"/>
        <v>3595.2000000000003</v>
      </c>
      <c r="Q477" s="272">
        <f t="shared" si="62"/>
        <v>60084</v>
      </c>
      <c r="R477" s="272">
        <f t="shared" si="63"/>
        <v>37123.008000000002</v>
      </c>
      <c r="S477" s="272">
        <f t="shared" si="64"/>
        <v>2125.44</v>
      </c>
    </row>
    <row r="478" spans="1:21" s="270" customFormat="1" x14ac:dyDescent="0.25">
      <c r="A478" s="335">
        <v>501503</v>
      </c>
      <c r="B478" s="271">
        <v>1503</v>
      </c>
      <c r="C478" s="271">
        <v>200298</v>
      </c>
      <c r="D478" s="268" t="s">
        <v>894</v>
      </c>
      <c r="E478" s="268" t="s">
        <v>1278</v>
      </c>
      <c r="F478" s="268" t="s">
        <v>3097</v>
      </c>
      <c r="G478" s="268">
        <v>12</v>
      </c>
      <c r="H478" s="268" t="s">
        <v>3098</v>
      </c>
      <c r="I478" s="268" t="s">
        <v>3057</v>
      </c>
      <c r="J478" s="272">
        <v>205440</v>
      </c>
      <c r="K478" s="272">
        <f t="shared" si="59"/>
        <v>17120</v>
      </c>
      <c r="L478" s="272">
        <f t="shared" si="60"/>
        <v>12141.24</v>
      </c>
      <c r="M478" s="269">
        <v>0</v>
      </c>
      <c r="N478" s="272">
        <f t="shared" si="65"/>
        <v>129.60000000000002</v>
      </c>
      <c r="O478" s="273">
        <v>0</v>
      </c>
      <c r="P478" s="273">
        <f t="shared" si="61"/>
        <v>3595.2000000000003</v>
      </c>
      <c r="Q478" s="272">
        <f t="shared" si="62"/>
        <v>60084</v>
      </c>
      <c r="R478" s="272">
        <f t="shared" si="63"/>
        <v>37123.008000000002</v>
      </c>
      <c r="S478" s="272">
        <f t="shared" si="64"/>
        <v>2125.44</v>
      </c>
    </row>
    <row r="479" spans="1:21" s="270" customFormat="1" x14ac:dyDescent="0.25">
      <c r="A479" s="335">
        <v>501503</v>
      </c>
      <c r="B479" s="271">
        <v>1503</v>
      </c>
      <c r="C479" s="271">
        <v>200447</v>
      </c>
      <c r="D479" s="268" t="s">
        <v>894</v>
      </c>
      <c r="E479" s="268" t="s">
        <v>1290</v>
      </c>
      <c r="F479" s="268" t="s">
        <v>3099</v>
      </c>
      <c r="G479" s="268">
        <v>12</v>
      </c>
      <c r="H479" s="268" t="s">
        <v>3100</v>
      </c>
      <c r="I479" s="268" t="s">
        <v>3057</v>
      </c>
      <c r="J479" s="272">
        <v>205440</v>
      </c>
      <c r="K479" s="272">
        <f t="shared" si="59"/>
        <v>17120</v>
      </c>
      <c r="L479" s="272">
        <f t="shared" si="60"/>
        <v>12141.24</v>
      </c>
      <c r="M479" s="269">
        <v>0</v>
      </c>
      <c r="N479" s="272">
        <f t="shared" si="65"/>
        <v>129.60000000000002</v>
      </c>
      <c r="O479" s="273">
        <v>0</v>
      </c>
      <c r="P479" s="273">
        <f t="shared" si="61"/>
        <v>3595.2000000000003</v>
      </c>
      <c r="Q479" s="272">
        <f t="shared" si="62"/>
        <v>60084</v>
      </c>
      <c r="R479" s="272">
        <f t="shared" si="63"/>
        <v>37123.008000000002</v>
      </c>
      <c r="S479" s="272">
        <f t="shared" si="64"/>
        <v>2125.44</v>
      </c>
    </row>
    <row r="480" spans="1:21" s="270" customFormat="1" x14ac:dyDescent="0.25">
      <c r="A480" s="335">
        <v>501503</v>
      </c>
      <c r="B480" s="271">
        <v>1503</v>
      </c>
      <c r="C480" s="271">
        <v>200453</v>
      </c>
      <c r="D480" s="268" t="s">
        <v>894</v>
      </c>
      <c r="E480" s="268" t="s">
        <v>1290</v>
      </c>
      <c r="F480" s="268" t="s">
        <v>3101</v>
      </c>
      <c r="G480" s="268">
        <v>12</v>
      </c>
      <c r="H480" s="268" t="s">
        <v>3102</v>
      </c>
      <c r="I480" s="268" t="s">
        <v>3057</v>
      </c>
      <c r="J480" s="272">
        <v>205440</v>
      </c>
      <c r="K480" s="272">
        <f t="shared" si="59"/>
        <v>17120</v>
      </c>
      <c r="L480" s="272">
        <f t="shared" si="60"/>
        <v>12141.24</v>
      </c>
      <c r="M480" s="269">
        <v>0</v>
      </c>
      <c r="N480" s="272">
        <f t="shared" si="65"/>
        <v>129.60000000000002</v>
      </c>
      <c r="O480" s="273">
        <v>0</v>
      </c>
      <c r="P480" s="273">
        <f t="shared" si="61"/>
        <v>3595.2000000000003</v>
      </c>
      <c r="Q480" s="272">
        <f t="shared" si="62"/>
        <v>60084</v>
      </c>
      <c r="R480" s="272">
        <f t="shared" si="63"/>
        <v>37123.008000000002</v>
      </c>
      <c r="S480" s="272">
        <f t="shared" si="64"/>
        <v>2125.44</v>
      </c>
    </row>
    <row r="481" spans="1:21" s="270" customFormat="1" x14ac:dyDescent="0.25">
      <c r="A481" s="335">
        <v>501503</v>
      </c>
      <c r="B481" s="271">
        <v>1503</v>
      </c>
      <c r="C481" s="271">
        <v>200454</v>
      </c>
      <c r="D481" s="268" t="s">
        <v>894</v>
      </c>
      <c r="E481" s="268" t="s">
        <v>1278</v>
      </c>
      <c r="F481" s="268" t="s">
        <v>2685</v>
      </c>
      <c r="G481" s="268">
        <v>12</v>
      </c>
      <c r="H481" s="268" t="s">
        <v>3103</v>
      </c>
      <c r="I481" s="268" t="s">
        <v>3057</v>
      </c>
      <c r="J481" s="272">
        <v>205440</v>
      </c>
      <c r="K481" s="272">
        <f t="shared" si="59"/>
        <v>17120</v>
      </c>
      <c r="L481" s="272">
        <f t="shared" si="60"/>
        <v>12141.24</v>
      </c>
      <c r="M481" s="269">
        <v>0</v>
      </c>
      <c r="N481" s="272">
        <f t="shared" si="65"/>
        <v>129.60000000000002</v>
      </c>
      <c r="O481" s="273">
        <v>0</v>
      </c>
      <c r="P481" s="273">
        <f t="shared" si="61"/>
        <v>3595.2000000000003</v>
      </c>
      <c r="Q481" s="272">
        <f t="shared" si="62"/>
        <v>60084</v>
      </c>
      <c r="R481" s="272">
        <f t="shared" si="63"/>
        <v>37123.008000000002</v>
      </c>
      <c r="S481" s="272">
        <f t="shared" si="64"/>
        <v>2125.44</v>
      </c>
    </row>
    <row r="482" spans="1:21" s="270" customFormat="1" x14ac:dyDescent="0.25">
      <c r="A482" s="335">
        <v>501503</v>
      </c>
      <c r="B482" s="271">
        <v>1503</v>
      </c>
      <c r="C482" s="271">
        <v>200458</v>
      </c>
      <c r="D482" s="268" t="s">
        <v>894</v>
      </c>
      <c r="E482" s="268" t="s">
        <v>1290</v>
      </c>
      <c r="F482" s="268" t="s">
        <v>2362</v>
      </c>
      <c r="G482" s="268">
        <v>12</v>
      </c>
      <c r="H482" s="268" t="s">
        <v>3104</v>
      </c>
      <c r="I482" s="268" t="s">
        <v>3057</v>
      </c>
      <c r="J482" s="272">
        <v>205440</v>
      </c>
      <c r="K482" s="272">
        <f t="shared" si="59"/>
        <v>17120</v>
      </c>
      <c r="L482" s="272">
        <f t="shared" si="60"/>
        <v>12141.24</v>
      </c>
      <c r="M482" s="269">
        <v>0</v>
      </c>
      <c r="N482" s="272">
        <f t="shared" si="65"/>
        <v>129.60000000000002</v>
      </c>
      <c r="O482" s="273">
        <v>0</v>
      </c>
      <c r="P482" s="273">
        <f t="shared" si="61"/>
        <v>3595.2000000000003</v>
      </c>
      <c r="Q482" s="272">
        <f t="shared" si="62"/>
        <v>60084</v>
      </c>
      <c r="R482" s="272">
        <f t="shared" si="63"/>
        <v>37123.008000000002</v>
      </c>
      <c r="S482" s="272">
        <f t="shared" si="64"/>
        <v>2125.44</v>
      </c>
    </row>
    <row r="483" spans="1:21" s="270" customFormat="1" x14ac:dyDescent="0.25">
      <c r="A483" s="335">
        <v>501503</v>
      </c>
      <c r="B483" s="271">
        <v>1503</v>
      </c>
      <c r="C483" s="271">
        <v>200459</v>
      </c>
      <c r="D483" s="268" t="s">
        <v>894</v>
      </c>
      <c r="E483" s="268" t="s">
        <v>1278</v>
      </c>
      <c r="F483" s="268" t="s">
        <v>3006</v>
      </c>
      <c r="G483" s="268">
        <v>12</v>
      </c>
      <c r="H483" s="268" t="s">
        <v>3105</v>
      </c>
      <c r="I483" s="268" t="s">
        <v>3057</v>
      </c>
      <c r="J483" s="272">
        <v>205440</v>
      </c>
      <c r="K483" s="272">
        <f t="shared" si="59"/>
        <v>17120</v>
      </c>
      <c r="L483" s="272">
        <f t="shared" si="60"/>
        <v>12141.24</v>
      </c>
      <c r="M483" s="269">
        <v>0</v>
      </c>
      <c r="N483" s="272">
        <f t="shared" si="65"/>
        <v>129.60000000000002</v>
      </c>
      <c r="O483" s="273">
        <v>0</v>
      </c>
      <c r="P483" s="273">
        <f t="shared" si="61"/>
        <v>3595.2000000000003</v>
      </c>
      <c r="Q483" s="272">
        <f t="shared" si="62"/>
        <v>60084</v>
      </c>
      <c r="R483" s="272">
        <f t="shared" si="63"/>
        <v>37123.008000000002</v>
      </c>
      <c r="S483" s="272">
        <f t="shared" si="64"/>
        <v>2125.44</v>
      </c>
    </row>
    <row r="484" spans="1:21" s="270" customFormat="1" x14ac:dyDescent="0.25">
      <c r="A484" s="335">
        <v>501503</v>
      </c>
      <c r="B484" s="271">
        <v>1503</v>
      </c>
      <c r="C484" s="271">
        <v>200464</v>
      </c>
      <c r="D484" s="268" t="s">
        <v>894</v>
      </c>
      <c r="E484" s="268" t="s">
        <v>1290</v>
      </c>
      <c r="F484" s="268" t="s">
        <v>2355</v>
      </c>
      <c r="G484" s="268">
        <v>12</v>
      </c>
      <c r="H484" s="268" t="s">
        <v>3106</v>
      </c>
      <c r="I484" s="268" t="s">
        <v>3057</v>
      </c>
      <c r="J484" s="272">
        <v>205440</v>
      </c>
      <c r="K484" s="272">
        <f t="shared" si="59"/>
        <v>17120</v>
      </c>
      <c r="L484" s="272">
        <f t="shared" si="60"/>
        <v>12141.24</v>
      </c>
      <c r="M484" s="269">
        <v>0</v>
      </c>
      <c r="N484" s="272">
        <f t="shared" si="65"/>
        <v>129.60000000000002</v>
      </c>
      <c r="O484" s="273">
        <v>0</v>
      </c>
      <c r="P484" s="273">
        <f t="shared" si="61"/>
        <v>3595.2000000000003</v>
      </c>
      <c r="Q484" s="272">
        <f t="shared" si="62"/>
        <v>60084</v>
      </c>
      <c r="R484" s="272">
        <f t="shared" si="63"/>
        <v>37123.008000000002</v>
      </c>
      <c r="S484" s="272">
        <f t="shared" si="64"/>
        <v>2125.44</v>
      </c>
    </row>
    <row r="485" spans="1:21" s="270" customFormat="1" x14ac:dyDescent="0.25">
      <c r="A485" s="335">
        <v>501503</v>
      </c>
      <c r="B485" s="271">
        <v>1503</v>
      </c>
      <c r="C485" s="271">
        <v>200471</v>
      </c>
      <c r="D485" s="268" t="s">
        <v>894</v>
      </c>
      <c r="E485" s="268" t="s">
        <v>1278</v>
      </c>
      <c r="F485" s="268" t="s">
        <v>2211</v>
      </c>
      <c r="G485" s="268">
        <v>12</v>
      </c>
      <c r="H485" s="268" t="s">
        <v>3107</v>
      </c>
      <c r="I485" s="268" t="s">
        <v>3057</v>
      </c>
      <c r="J485" s="272">
        <v>205440</v>
      </c>
      <c r="K485" s="272">
        <f t="shared" si="59"/>
        <v>17120</v>
      </c>
      <c r="L485" s="272">
        <f t="shared" si="60"/>
        <v>12141.24</v>
      </c>
      <c r="M485" s="269">
        <v>0</v>
      </c>
      <c r="N485" s="272">
        <f t="shared" si="65"/>
        <v>129.60000000000002</v>
      </c>
      <c r="O485" s="273">
        <v>0</v>
      </c>
      <c r="P485" s="273">
        <f t="shared" si="61"/>
        <v>3595.2000000000003</v>
      </c>
      <c r="Q485" s="272">
        <f t="shared" si="62"/>
        <v>60084</v>
      </c>
      <c r="R485" s="272">
        <f t="shared" si="63"/>
        <v>37123.008000000002</v>
      </c>
      <c r="S485" s="272">
        <f t="shared" si="64"/>
        <v>2125.44</v>
      </c>
    </row>
    <row r="486" spans="1:21" s="270" customFormat="1" x14ac:dyDescent="0.25">
      <c r="A486" s="335">
        <v>501503</v>
      </c>
      <c r="B486" s="271">
        <v>1503</v>
      </c>
      <c r="C486" s="271">
        <v>200477</v>
      </c>
      <c r="D486" s="268" t="s">
        <v>894</v>
      </c>
      <c r="E486" s="268" t="s">
        <v>1278</v>
      </c>
      <c r="F486" s="268" t="s">
        <v>2747</v>
      </c>
      <c r="G486" s="268">
        <v>12</v>
      </c>
      <c r="H486" s="268" t="s">
        <v>3108</v>
      </c>
      <c r="I486" s="268" t="s">
        <v>3057</v>
      </c>
      <c r="J486" s="272">
        <v>205440</v>
      </c>
      <c r="K486" s="272">
        <f t="shared" si="59"/>
        <v>17120</v>
      </c>
      <c r="L486" s="272">
        <f t="shared" si="60"/>
        <v>12141.24</v>
      </c>
      <c r="M486" s="269">
        <v>0</v>
      </c>
      <c r="N486" s="272">
        <f t="shared" si="65"/>
        <v>129.60000000000002</v>
      </c>
      <c r="O486" s="273">
        <v>0</v>
      </c>
      <c r="P486" s="273">
        <f t="shared" si="61"/>
        <v>3595.2000000000003</v>
      </c>
      <c r="Q486" s="272">
        <f t="shared" si="62"/>
        <v>60084</v>
      </c>
      <c r="R486" s="272">
        <f t="shared" si="63"/>
        <v>37123.008000000002</v>
      </c>
      <c r="S486" s="272">
        <f t="shared" si="64"/>
        <v>2125.44</v>
      </c>
    </row>
    <row r="487" spans="1:21" s="270" customFormat="1" x14ac:dyDescent="0.25">
      <c r="A487" s="335">
        <v>501503</v>
      </c>
      <c r="B487" s="271">
        <v>1503</v>
      </c>
      <c r="C487" s="271">
        <v>200478</v>
      </c>
      <c r="D487" s="268" t="s">
        <v>894</v>
      </c>
      <c r="E487" s="268" t="s">
        <v>1290</v>
      </c>
      <c r="F487" s="268" t="s">
        <v>2408</v>
      </c>
      <c r="G487" s="268">
        <v>12</v>
      </c>
      <c r="H487" s="268" t="s">
        <v>3109</v>
      </c>
      <c r="I487" s="268" t="s">
        <v>3057</v>
      </c>
      <c r="J487" s="272">
        <v>205440</v>
      </c>
      <c r="K487" s="272">
        <f t="shared" si="59"/>
        <v>17120</v>
      </c>
      <c r="L487" s="272">
        <f t="shared" si="60"/>
        <v>12141.24</v>
      </c>
      <c r="M487" s="269">
        <v>0</v>
      </c>
      <c r="N487" s="272">
        <f t="shared" si="65"/>
        <v>129.60000000000002</v>
      </c>
      <c r="O487" s="273">
        <v>0</v>
      </c>
      <c r="P487" s="273">
        <f t="shared" si="61"/>
        <v>3595.2000000000003</v>
      </c>
      <c r="Q487" s="272">
        <f t="shared" si="62"/>
        <v>60084</v>
      </c>
      <c r="R487" s="272">
        <f t="shared" si="63"/>
        <v>37123.008000000002</v>
      </c>
      <c r="S487" s="272">
        <f t="shared" si="64"/>
        <v>2125.44</v>
      </c>
      <c r="T487" s="277"/>
      <c r="U487" s="277"/>
    </row>
    <row r="488" spans="1:21" s="270" customFormat="1" x14ac:dyDescent="0.25">
      <c r="A488" s="335">
        <v>501503</v>
      </c>
      <c r="B488" s="271">
        <v>1503</v>
      </c>
      <c r="C488" s="271">
        <v>200494</v>
      </c>
      <c r="D488" s="268" t="s">
        <v>894</v>
      </c>
      <c r="E488" s="268" t="s">
        <v>1278</v>
      </c>
      <c r="F488" s="268" t="s">
        <v>2976</v>
      </c>
      <c r="G488" s="268">
        <v>12</v>
      </c>
      <c r="H488" s="268" t="s">
        <v>3110</v>
      </c>
      <c r="I488" s="268" t="s">
        <v>3057</v>
      </c>
      <c r="J488" s="272">
        <v>205440</v>
      </c>
      <c r="K488" s="272">
        <f t="shared" si="59"/>
        <v>17120</v>
      </c>
      <c r="L488" s="272">
        <f t="shared" si="60"/>
        <v>12141.24</v>
      </c>
      <c r="M488" s="269">
        <v>0</v>
      </c>
      <c r="N488" s="272">
        <f t="shared" si="65"/>
        <v>129.60000000000002</v>
      </c>
      <c r="O488" s="273">
        <v>0</v>
      </c>
      <c r="P488" s="273">
        <f t="shared" si="61"/>
        <v>3595.2000000000003</v>
      </c>
      <c r="Q488" s="272">
        <f t="shared" si="62"/>
        <v>60084</v>
      </c>
      <c r="R488" s="272">
        <f t="shared" si="63"/>
        <v>37123.008000000002</v>
      </c>
      <c r="S488" s="272">
        <f t="shared" si="64"/>
        <v>2125.44</v>
      </c>
    </row>
    <row r="489" spans="1:21" s="270" customFormat="1" x14ac:dyDescent="0.25">
      <c r="A489" s="335">
        <v>501503</v>
      </c>
      <c r="B489" s="271">
        <v>1503</v>
      </c>
      <c r="C489" s="271">
        <v>200512</v>
      </c>
      <c r="D489" s="268" t="s">
        <v>894</v>
      </c>
      <c r="E489" s="268" t="s">
        <v>1290</v>
      </c>
      <c r="F489" s="268" t="s">
        <v>2810</v>
      </c>
      <c r="G489" s="268">
        <v>12</v>
      </c>
      <c r="H489" s="268" t="s">
        <v>3111</v>
      </c>
      <c r="I489" s="268" t="s">
        <v>3057</v>
      </c>
      <c r="J489" s="272">
        <v>205440</v>
      </c>
      <c r="K489" s="272">
        <f t="shared" si="59"/>
        <v>17120</v>
      </c>
      <c r="L489" s="272">
        <f t="shared" si="60"/>
        <v>12141.24</v>
      </c>
      <c r="M489" s="269">
        <v>0</v>
      </c>
      <c r="N489" s="272">
        <f t="shared" si="65"/>
        <v>129.60000000000002</v>
      </c>
      <c r="O489" s="273">
        <v>0</v>
      </c>
      <c r="P489" s="273">
        <f t="shared" si="61"/>
        <v>3595.2000000000003</v>
      </c>
      <c r="Q489" s="272">
        <f t="shared" si="62"/>
        <v>60084</v>
      </c>
      <c r="R489" s="272">
        <f t="shared" si="63"/>
        <v>37123.008000000002</v>
      </c>
      <c r="S489" s="272">
        <f t="shared" si="64"/>
        <v>2125.44</v>
      </c>
    </row>
    <row r="490" spans="1:21" s="270" customFormat="1" x14ac:dyDescent="0.25">
      <c r="A490" s="335">
        <v>501503</v>
      </c>
      <c r="B490" s="271">
        <v>1503</v>
      </c>
      <c r="C490" s="271">
        <v>200525</v>
      </c>
      <c r="D490" s="268" t="s">
        <v>894</v>
      </c>
      <c r="E490" s="268" t="s">
        <v>1278</v>
      </c>
      <c r="F490" s="268" t="s">
        <v>2362</v>
      </c>
      <c r="G490" s="268">
        <v>12</v>
      </c>
      <c r="H490" s="268" t="s">
        <v>3112</v>
      </c>
      <c r="I490" s="268" t="s">
        <v>3057</v>
      </c>
      <c r="J490" s="272">
        <v>205440</v>
      </c>
      <c r="K490" s="272">
        <f t="shared" si="59"/>
        <v>17120</v>
      </c>
      <c r="L490" s="272">
        <f t="shared" si="60"/>
        <v>12141.24</v>
      </c>
      <c r="M490" s="269">
        <v>0</v>
      </c>
      <c r="N490" s="272">
        <f t="shared" si="65"/>
        <v>129.60000000000002</v>
      </c>
      <c r="O490" s="273">
        <v>0</v>
      </c>
      <c r="P490" s="273">
        <f t="shared" si="61"/>
        <v>3595.2000000000003</v>
      </c>
      <c r="Q490" s="272">
        <f t="shared" si="62"/>
        <v>60084</v>
      </c>
      <c r="R490" s="272">
        <f t="shared" si="63"/>
        <v>37123.008000000002</v>
      </c>
      <c r="S490" s="272">
        <f t="shared" si="64"/>
        <v>2125.44</v>
      </c>
    </row>
    <row r="491" spans="1:21" s="270" customFormat="1" x14ac:dyDescent="0.25">
      <c r="A491" s="335">
        <v>501503</v>
      </c>
      <c r="B491" s="271">
        <v>1503</v>
      </c>
      <c r="C491" s="271">
        <v>200535</v>
      </c>
      <c r="D491" s="268" t="s">
        <v>894</v>
      </c>
      <c r="E491" s="268" t="s">
        <v>1290</v>
      </c>
      <c r="F491" s="268" t="s">
        <v>2553</v>
      </c>
      <c r="G491" s="268">
        <v>12</v>
      </c>
      <c r="H491" s="268" t="s">
        <v>3113</v>
      </c>
      <c r="I491" s="268" t="s">
        <v>3057</v>
      </c>
      <c r="J491" s="272">
        <v>205440</v>
      </c>
      <c r="K491" s="272">
        <f t="shared" si="59"/>
        <v>17120</v>
      </c>
      <c r="L491" s="272">
        <f t="shared" si="60"/>
        <v>12141.24</v>
      </c>
      <c r="M491" s="269">
        <v>0</v>
      </c>
      <c r="N491" s="272">
        <f t="shared" si="65"/>
        <v>129.60000000000002</v>
      </c>
      <c r="O491" s="273">
        <v>0</v>
      </c>
      <c r="P491" s="273">
        <f t="shared" si="61"/>
        <v>3595.2000000000003</v>
      </c>
      <c r="Q491" s="272">
        <f t="shared" si="62"/>
        <v>60084</v>
      </c>
      <c r="R491" s="272">
        <f t="shared" si="63"/>
        <v>37123.008000000002</v>
      </c>
      <c r="S491" s="272">
        <f t="shared" si="64"/>
        <v>2125.44</v>
      </c>
    </row>
    <row r="492" spans="1:21" s="270" customFormat="1" x14ac:dyDescent="0.25">
      <c r="A492" s="335">
        <v>501502</v>
      </c>
      <c r="B492" s="271">
        <v>1503</v>
      </c>
      <c r="C492" s="271">
        <v>200542</v>
      </c>
      <c r="D492" s="268" t="s">
        <v>894</v>
      </c>
      <c r="E492" s="268" t="s">
        <v>1290</v>
      </c>
      <c r="F492" s="268" t="s">
        <v>2768</v>
      </c>
      <c r="G492" s="268">
        <v>12</v>
      </c>
      <c r="H492" s="268" t="s">
        <v>3114</v>
      </c>
      <c r="I492" s="268" t="s">
        <v>3057</v>
      </c>
      <c r="J492" s="272">
        <v>205440</v>
      </c>
      <c r="K492" s="272">
        <f t="shared" si="59"/>
        <v>17120</v>
      </c>
      <c r="L492" s="272">
        <f t="shared" si="60"/>
        <v>12141.24</v>
      </c>
      <c r="M492" s="269">
        <v>0</v>
      </c>
      <c r="N492" s="272">
        <f t="shared" si="65"/>
        <v>129.60000000000002</v>
      </c>
      <c r="O492" s="273">
        <v>0</v>
      </c>
      <c r="P492" s="273">
        <f t="shared" si="61"/>
        <v>3595.2000000000003</v>
      </c>
      <c r="Q492" s="272">
        <f t="shared" si="62"/>
        <v>60084</v>
      </c>
      <c r="R492" s="272">
        <f t="shared" si="63"/>
        <v>37123.008000000002</v>
      </c>
      <c r="S492" s="272">
        <f t="shared" si="64"/>
        <v>2125.44</v>
      </c>
    </row>
    <row r="493" spans="1:21" s="270" customFormat="1" x14ac:dyDescent="0.25">
      <c r="A493" s="335">
        <v>501503</v>
      </c>
      <c r="B493" s="271">
        <v>1503</v>
      </c>
      <c r="C493" s="271">
        <v>200543</v>
      </c>
      <c r="D493" s="268" t="s">
        <v>894</v>
      </c>
      <c r="E493" s="268" t="s">
        <v>1278</v>
      </c>
      <c r="F493" s="268" t="s">
        <v>2768</v>
      </c>
      <c r="G493" s="268">
        <v>12</v>
      </c>
      <c r="H493" s="268" t="s">
        <v>3115</v>
      </c>
      <c r="I493" s="268" t="s">
        <v>3057</v>
      </c>
      <c r="J493" s="272">
        <v>205440</v>
      </c>
      <c r="K493" s="272">
        <f t="shared" si="59"/>
        <v>17120</v>
      </c>
      <c r="L493" s="272">
        <f t="shared" si="60"/>
        <v>12141.24</v>
      </c>
      <c r="M493" s="269">
        <v>0</v>
      </c>
      <c r="N493" s="272">
        <f t="shared" si="65"/>
        <v>129.60000000000002</v>
      </c>
      <c r="O493" s="273">
        <v>0</v>
      </c>
      <c r="P493" s="273">
        <f t="shared" si="61"/>
        <v>3595.2000000000003</v>
      </c>
      <c r="Q493" s="272">
        <f t="shared" si="62"/>
        <v>60084</v>
      </c>
      <c r="R493" s="272">
        <f t="shared" si="63"/>
        <v>37123.008000000002</v>
      </c>
      <c r="S493" s="272">
        <f t="shared" si="64"/>
        <v>2125.44</v>
      </c>
    </row>
    <row r="494" spans="1:21" s="270" customFormat="1" x14ac:dyDescent="0.25">
      <c r="A494" s="335">
        <v>501503</v>
      </c>
      <c r="B494" s="271">
        <v>1503</v>
      </c>
      <c r="C494" s="271">
        <v>200590</v>
      </c>
      <c r="D494" s="268" t="s">
        <v>894</v>
      </c>
      <c r="E494" s="268" t="s">
        <v>1290</v>
      </c>
      <c r="F494" s="268" t="s">
        <v>3116</v>
      </c>
      <c r="G494" s="268">
        <v>12</v>
      </c>
      <c r="H494" s="268" t="s">
        <v>3117</v>
      </c>
      <c r="I494" s="268" t="s">
        <v>3057</v>
      </c>
      <c r="J494" s="272">
        <v>205440</v>
      </c>
      <c r="K494" s="272">
        <f t="shared" si="59"/>
        <v>17120</v>
      </c>
      <c r="L494" s="272">
        <f t="shared" si="60"/>
        <v>12141.24</v>
      </c>
      <c r="M494" s="269">
        <v>0</v>
      </c>
      <c r="N494" s="272">
        <f t="shared" si="65"/>
        <v>129.60000000000002</v>
      </c>
      <c r="O494" s="273">
        <v>0</v>
      </c>
      <c r="P494" s="273">
        <f t="shared" si="61"/>
        <v>3595.2000000000003</v>
      </c>
      <c r="Q494" s="272">
        <f t="shared" si="62"/>
        <v>60084</v>
      </c>
      <c r="R494" s="272">
        <f t="shared" si="63"/>
        <v>37123.008000000002</v>
      </c>
      <c r="S494" s="272">
        <f t="shared" si="64"/>
        <v>2125.44</v>
      </c>
      <c r="T494" s="277"/>
      <c r="U494" s="277"/>
    </row>
    <row r="495" spans="1:21" s="270" customFormat="1" x14ac:dyDescent="0.25">
      <c r="A495" s="335">
        <v>501503</v>
      </c>
      <c r="B495" s="271">
        <v>1503</v>
      </c>
      <c r="C495" s="271">
        <v>200591</v>
      </c>
      <c r="D495" s="268" t="s">
        <v>894</v>
      </c>
      <c r="E495" s="268" t="s">
        <v>1290</v>
      </c>
      <c r="F495" s="268" t="s">
        <v>2355</v>
      </c>
      <c r="G495" s="268">
        <v>12</v>
      </c>
      <c r="H495" s="268" t="s">
        <v>3118</v>
      </c>
      <c r="I495" s="268" t="s">
        <v>3057</v>
      </c>
      <c r="J495" s="272">
        <v>205440</v>
      </c>
      <c r="K495" s="272">
        <f t="shared" si="59"/>
        <v>17120</v>
      </c>
      <c r="L495" s="272">
        <f t="shared" si="60"/>
        <v>12141.24</v>
      </c>
      <c r="M495" s="269">
        <v>0</v>
      </c>
      <c r="N495" s="272">
        <f t="shared" si="65"/>
        <v>129.60000000000002</v>
      </c>
      <c r="O495" s="273">
        <v>0</v>
      </c>
      <c r="P495" s="273">
        <f t="shared" si="61"/>
        <v>3595.2000000000003</v>
      </c>
      <c r="Q495" s="272">
        <f t="shared" si="62"/>
        <v>60084</v>
      </c>
      <c r="R495" s="272">
        <f t="shared" si="63"/>
        <v>37123.008000000002</v>
      </c>
      <c r="S495" s="272">
        <f t="shared" si="64"/>
        <v>2125.44</v>
      </c>
      <c r="T495" s="277"/>
      <c r="U495" s="277"/>
    </row>
    <row r="496" spans="1:21" s="270" customFormat="1" x14ac:dyDescent="0.25">
      <c r="A496" s="335">
        <v>501101</v>
      </c>
      <c r="B496" s="271">
        <v>1445</v>
      </c>
      <c r="C496" s="271">
        <v>200273</v>
      </c>
      <c r="D496" s="268" t="s">
        <v>894</v>
      </c>
      <c r="E496" s="268" t="s">
        <v>1290</v>
      </c>
      <c r="F496" s="268" t="s">
        <v>3119</v>
      </c>
      <c r="G496" s="268">
        <v>13</v>
      </c>
      <c r="H496" s="268" t="s">
        <v>3120</v>
      </c>
      <c r="I496" s="268" t="s">
        <v>3121</v>
      </c>
      <c r="J496" s="272">
        <v>205440</v>
      </c>
      <c r="K496" s="272">
        <f t="shared" si="59"/>
        <v>17120</v>
      </c>
      <c r="L496" s="272">
        <f t="shared" si="60"/>
        <v>12141.24</v>
      </c>
      <c r="M496" s="269">
        <v>0</v>
      </c>
      <c r="N496" s="272">
        <f t="shared" si="65"/>
        <v>129.60000000000002</v>
      </c>
      <c r="O496" s="273">
        <v>0</v>
      </c>
      <c r="P496" s="273">
        <f t="shared" si="61"/>
        <v>3595.2000000000003</v>
      </c>
      <c r="Q496" s="272">
        <f t="shared" si="62"/>
        <v>60084</v>
      </c>
      <c r="R496" s="272">
        <f t="shared" si="63"/>
        <v>37123.008000000002</v>
      </c>
      <c r="S496" s="272">
        <f t="shared" si="64"/>
        <v>2125.44</v>
      </c>
    </row>
    <row r="497" spans="1:21" s="270" customFormat="1" x14ac:dyDescent="0.25">
      <c r="A497" s="335">
        <v>501444</v>
      </c>
      <c r="B497" s="271">
        <v>1444</v>
      </c>
      <c r="C497" s="271">
        <v>200434</v>
      </c>
      <c r="D497" s="268" t="s">
        <v>894</v>
      </c>
      <c r="E497" s="268" t="s">
        <v>1290</v>
      </c>
      <c r="F497" s="268" t="s">
        <v>3122</v>
      </c>
      <c r="G497" s="268">
        <v>13</v>
      </c>
      <c r="H497" s="268" t="s">
        <v>3123</v>
      </c>
      <c r="I497" s="268" t="s">
        <v>2978</v>
      </c>
      <c r="J497" s="272">
        <v>201816</v>
      </c>
      <c r="K497" s="272">
        <f t="shared" si="59"/>
        <v>16818</v>
      </c>
      <c r="L497" s="272">
        <f t="shared" si="60"/>
        <v>12141.24</v>
      </c>
      <c r="M497" s="269">
        <v>0</v>
      </c>
      <c r="N497" s="272">
        <f t="shared" si="65"/>
        <v>129.60000000000002</v>
      </c>
      <c r="O497" s="273">
        <v>0</v>
      </c>
      <c r="P497" s="273">
        <f t="shared" si="61"/>
        <v>3531.78</v>
      </c>
      <c r="Q497" s="272">
        <f t="shared" si="62"/>
        <v>60084</v>
      </c>
      <c r="R497" s="272">
        <f t="shared" si="63"/>
        <v>36468.1512</v>
      </c>
      <c r="S497" s="272">
        <f t="shared" si="64"/>
        <v>2125.44</v>
      </c>
    </row>
    <row r="498" spans="1:21" s="270" customFormat="1" x14ac:dyDescent="0.25">
      <c r="A498" s="335">
        <v>501305</v>
      </c>
      <c r="B498" s="271">
        <v>1305</v>
      </c>
      <c r="C498" s="271">
        <v>200143</v>
      </c>
      <c r="D498" s="268" t="s">
        <v>894</v>
      </c>
      <c r="E498" s="268" t="s">
        <v>1290</v>
      </c>
      <c r="F498" s="268" t="s">
        <v>3124</v>
      </c>
      <c r="G498" s="268">
        <v>14</v>
      </c>
      <c r="H498" s="268" t="s">
        <v>3125</v>
      </c>
      <c r="I498" s="268" t="s">
        <v>3126</v>
      </c>
      <c r="J498" s="272">
        <v>201816</v>
      </c>
      <c r="K498" s="272">
        <f t="shared" si="59"/>
        <v>16818</v>
      </c>
      <c r="L498" s="272">
        <f t="shared" si="60"/>
        <v>12141.24</v>
      </c>
      <c r="M498" s="269">
        <v>0</v>
      </c>
      <c r="N498" s="272">
        <f t="shared" si="65"/>
        <v>129.60000000000002</v>
      </c>
      <c r="O498" s="273">
        <v>0</v>
      </c>
      <c r="P498" s="273">
        <f t="shared" si="61"/>
        <v>3531.78</v>
      </c>
      <c r="Q498" s="272">
        <f t="shared" si="62"/>
        <v>60084</v>
      </c>
      <c r="R498" s="272">
        <f t="shared" si="63"/>
        <v>36468.1512</v>
      </c>
      <c r="S498" s="272">
        <f t="shared" si="64"/>
        <v>2125.44</v>
      </c>
    </row>
    <row r="499" spans="1:21" s="270" customFormat="1" x14ac:dyDescent="0.25">
      <c r="A499" s="335" t="str">
        <f>CONCATENATE(50,B499)</f>
        <v>501305</v>
      </c>
      <c r="B499" s="271">
        <v>1305</v>
      </c>
      <c r="C499" s="271">
        <v>200310</v>
      </c>
      <c r="D499" s="268" t="s">
        <v>894</v>
      </c>
      <c r="E499" s="268" t="s">
        <v>1290</v>
      </c>
      <c r="F499" s="268" t="s">
        <v>3122</v>
      </c>
      <c r="G499" s="268">
        <v>14</v>
      </c>
      <c r="H499" s="268" t="s">
        <v>3127</v>
      </c>
      <c r="I499" s="268" t="s">
        <v>3128</v>
      </c>
      <c r="J499" s="272">
        <v>201816</v>
      </c>
      <c r="K499" s="272">
        <f t="shared" si="59"/>
        <v>16818</v>
      </c>
      <c r="L499" s="272">
        <f t="shared" si="60"/>
        <v>12141.24</v>
      </c>
      <c r="M499" s="269">
        <v>0</v>
      </c>
      <c r="N499" s="272">
        <f t="shared" si="65"/>
        <v>129.60000000000002</v>
      </c>
      <c r="O499" s="273">
        <v>0</v>
      </c>
      <c r="P499" s="273">
        <f t="shared" si="61"/>
        <v>3531.78</v>
      </c>
      <c r="Q499" s="272">
        <f t="shared" si="62"/>
        <v>60084</v>
      </c>
      <c r="R499" s="272">
        <f t="shared" si="63"/>
        <v>36468.1512</v>
      </c>
      <c r="S499" s="272">
        <f t="shared" si="64"/>
        <v>2125.44</v>
      </c>
      <c r="T499" s="277"/>
      <c r="U499" s="277"/>
    </row>
    <row r="500" spans="1:21" s="270" customFormat="1" x14ac:dyDescent="0.25">
      <c r="A500" s="335">
        <v>501443</v>
      </c>
      <c r="B500" s="271">
        <v>1443</v>
      </c>
      <c r="C500" s="271">
        <v>3984</v>
      </c>
      <c r="D500" s="268" t="s">
        <v>1698</v>
      </c>
      <c r="E500" s="268" t="s">
        <v>1290</v>
      </c>
      <c r="F500" s="268" t="s">
        <v>3129</v>
      </c>
      <c r="G500" s="268">
        <v>15</v>
      </c>
      <c r="H500" s="268" t="s">
        <v>3130</v>
      </c>
      <c r="I500" s="268" t="s">
        <v>3131</v>
      </c>
      <c r="J500" s="272">
        <v>187104</v>
      </c>
      <c r="K500" s="272">
        <f t="shared" si="59"/>
        <v>15592</v>
      </c>
      <c r="L500" s="272">
        <f t="shared" si="60"/>
        <v>12141.24</v>
      </c>
      <c r="M500" s="269">
        <v>0</v>
      </c>
      <c r="N500" s="272">
        <f t="shared" si="65"/>
        <v>129.60000000000002</v>
      </c>
      <c r="O500" s="273">
        <v>0</v>
      </c>
      <c r="P500" s="273">
        <f t="shared" si="61"/>
        <v>3274.32</v>
      </c>
      <c r="Q500" s="272">
        <f t="shared" si="62"/>
        <v>60084</v>
      </c>
      <c r="R500" s="272">
        <f t="shared" si="63"/>
        <v>33809.692799999997</v>
      </c>
      <c r="S500" s="272">
        <f t="shared" si="64"/>
        <v>2125.44</v>
      </c>
    </row>
    <row r="501" spans="1:21" s="270" customFormat="1" x14ac:dyDescent="0.25">
      <c r="A501" s="335">
        <v>501444</v>
      </c>
      <c r="B501" s="271">
        <v>1444</v>
      </c>
      <c r="C501" s="271">
        <v>16528</v>
      </c>
      <c r="D501" s="268" t="s">
        <v>894</v>
      </c>
      <c r="E501" s="268" t="s">
        <v>1290</v>
      </c>
      <c r="F501" s="268" t="s">
        <v>2362</v>
      </c>
      <c r="G501" s="268">
        <v>15</v>
      </c>
      <c r="H501" s="268" t="s">
        <v>3132</v>
      </c>
      <c r="I501" s="268" t="s">
        <v>3133</v>
      </c>
      <c r="J501" s="272">
        <v>187104</v>
      </c>
      <c r="K501" s="272">
        <f t="shared" si="59"/>
        <v>15592</v>
      </c>
      <c r="L501" s="272">
        <f t="shared" si="60"/>
        <v>12141.24</v>
      </c>
      <c r="M501" s="269">
        <v>0</v>
      </c>
      <c r="N501" s="272">
        <f t="shared" si="65"/>
        <v>129.60000000000002</v>
      </c>
      <c r="O501" s="273">
        <v>0</v>
      </c>
      <c r="P501" s="273">
        <f t="shared" si="61"/>
        <v>3274.32</v>
      </c>
      <c r="Q501" s="272">
        <f t="shared" si="62"/>
        <v>60084</v>
      </c>
      <c r="R501" s="272">
        <f t="shared" si="63"/>
        <v>33809.692799999997</v>
      </c>
      <c r="S501" s="272">
        <f t="shared" si="64"/>
        <v>2125.44</v>
      </c>
    </row>
    <row r="502" spans="1:21" s="270" customFormat="1" x14ac:dyDescent="0.25">
      <c r="A502" s="335">
        <v>501444</v>
      </c>
      <c r="B502" s="271">
        <v>1444</v>
      </c>
      <c r="C502" s="271">
        <v>23566</v>
      </c>
      <c r="D502" s="268" t="s">
        <v>894</v>
      </c>
      <c r="E502" s="268" t="s">
        <v>1290</v>
      </c>
      <c r="F502" s="268" t="s">
        <v>3134</v>
      </c>
      <c r="G502" s="268">
        <v>15</v>
      </c>
      <c r="H502" s="268" t="s">
        <v>3135</v>
      </c>
      <c r="I502" s="268" t="s">
        <v>3133</v>
      </c>
      <c r="J502" s="272">
        <v>187104</v>
      </c>
      <c r="K502" s="272">
        <f t="shared" si="59"/>
        <v>15592</v>
      </c>
      <c r="L502" s="272">
        <f t="shared" si="60"/>
        <v>12141.24</v>
      </c>
      <c r="M502" s="269">
        <v>0</v>
      </c>
      <c r="N502" s="272">
        <f t="shared" si="65"/>
        <v>129.60000000000002</v>
      </c>
      <c r="O502" s="273">
        <v>0</v>
      </c>
      <c r="P502" s="273">
        <f t="shared" si="61"/>
        <v>3274.32</v>
      </c>
      <c r="Q502" s="272">
        <f t="shared" si="62"/>
        <v>60084</v>
      </c>
      <c r="R502" s="272">
        <f t="shared" si="63"/>
        <v>33809.692799999997</v>
      </c>
      <c r="S502" s="272">
        <f t="shared" si="64"/>
        <v>2125.44</v>
      </c>
    </row>
    <row r="503" spans="1:21" s="270" customFormat="1" x14ac:dyDescent="0.25">
      <c r="A503" s="335">
        <v>501444</v>
      </c>
      <c r="B503" s="271">
        <v>1444</v>
      </c>
      <c r="C503" s="271">
        <v>24471</v>
      </c>
      <c r="D503" s="268" t="s">
        <v>894</v>
      </c>
      <c r="E503" s="268" t="s">
        <v>1290</v>
      </c>
      <c r="F503" s="268" t="s">
        <v>2484</v>
      </c>
      <c r="G503" s="268">
        <v>15</v>
      </c>
      <c r="H503" s="268" t="s">
        <v>3136</v>
      </c>
      <c r="I503" s="268" t="s">
        <v>3133</v>
      </c>
      <c r="J503" s="272">
        <v>187104</v>
      </c>
      <c r="K503" s="272">
        <f t="shared" si="59"/>
        <v>15592</v>
      </c>
      <c r="L503" s="272">
        <f t="shared" si="60"/>
        <v>12141.24</v>
      </c>
      <c r="M503" s="269">
        <v>0</v>
      </c>
      <c r="N503" s="272">
        <f t="shared" si="65"/>
        <v>129.60000000000002</v>
      </c>
      <c r="O503" s="273">
        <v>0</v>
      </c>
      <c r="P503" s="273">
        <f t="shared" si="61"/>
        <v>3274.32</v>
      </c>
      <c r="Q503" s="272">
        <f t="shared" si="62"/>
        <v>60084</v>
      </c>
      <c r="R503" s="272">
        <f t="shared" si="63"/>
        <v>33809.692799999997</v>
      </c>
      <c r="S503" s="272">
        <f t="shared" si="64"/>
        <v>2125.44</v>
      </c>
    </row>
    <row r="504" spans="1:21" s="270" customFormat="1" x14ac:dyDescent="0.25">
      <c r="A504" s="335">
        <v>501444</v>
      </c>
      <c r="B504" s="271">
        <v>1444</v>
      </c>
      <c r="C504" s="271">
        <v>26958</v>
      </c>
      <c r="D504" s="268" t="s">
        <v>894</v>
      </c>
      <c r="E504" s="268" t="s">
        <v>1290</v>
      </c>
      <c r="F504" s="268" t="s">
        <v>2725</v>
      </c>
      <c r="G504" s="268">
        <v>15</v>
      </c>
      <c r="H504" s="268" t="s">
        <v>3137</v>
      </c>
      <c r="I504" s="268" t="s">
        <v>3133</v>
      </c>
      <c r="J504" s="272">
        <v>187104</v>
      </c>
      <c r="K504" s="272">
        <f t="shared" si="59"/>
        <v>15592</v>
      </c>
      <c r="L504" s="272">
        <f t="shared" si="60"/>
        <v>12141.24</v>
      </c>
      <c r="M504" s="269">
        <v>0</v>
      </c>
      <c r="N504" s="272">
        <f t="shared" si="65"/>
        <v>129.60000000000002</v>
      </c>
      <c r="O504" s="273">
        <v>0</v>
      </c>
      <c r="P504" s="273">
        <f t="shared" si="61"/>
        <v>3274.32</v>
      </c>
      <c r="Q504" s="272">
        <f t="shared" si="62"/>
        <v>60084</v>
      </c>
      <c r="R504" s="272">
        <f t="shared" si="63"/>
        <v>33809.692799999997</v>
      </c>
      <c r="S504" s="272">
        <f t="shared" si="64"/>
        <v>2125.44</v>
      </c>
    </row>
    <row r="505" spans="1:21" s="270" customFormat="1" x14ac:dyDescent="0.25">
      <c r="A505" s="335">
        <v>501444</v>
      </c>
      <c r="B505" s="271">
        <v>1444</v>
      </c>
      <c r="C505" s="271">
        <v>30795</v>
      </c>
      <c r="D505" s="268" t="s">
        <v>894</v>
      </c>
      <c r="E505" s="268" t="s">
        <v>1290</v>
      </c>
      <c r="F505" s="268" t="s">
        <v>2571</v>
      </c>
      <c r="G505" s="268">
        <v>15</v>
      </c>
      <c r="H505" s="268" t="s">
        <v>2545</v>
      </c>
      <c r="I505" s="268" t="s">
        <v>3133</v>
      </c>
      <c r="J505" s="272">
        <v>187104</v>
      </c>
      <c r="K505" s="272">
        <f t="shared" si="59"/>
        <v>15592</v>
      </c>
      <c r="L505" s="272">
        <f t="shared" si="60"/>
        <v>12141.24</v>
      </c>
      <c r="M505" s="269">
        <v>0</v>
      </c>
      <c r="N505" s="272">
        <f t="shared" si="65"/>
        <v>129.60000000000002</v>
      </c>
      <c r="O505" s="273">
        <v>0</v>
      </c>
      <c r="P505" s="273">
        <f t="shared" si="61"/>
        <v>3274.32</v>
      </c>
      <c r="Q505" s="272">
        <f t="shared" si="62"/>
        <v>60084</v>
      </c>
      <c r="R505" s="272">
        <f t="shared" si="63"/>
        <v>33809.692799999997</v>
      </c>
      <c r="S505" s="272">
        <f t="shared" si="64"/>
        <v>2125.44</v>
      </c>
    </row>
    <row r="506" spans="1:21" s="270" customFormat="1" x14ac:dyDescent="0.25">
      <c r="A506" s="335">
        <v>501407</v>
      </c>
      <c r="B506" s="271">
        <v>1407</v>
      </c>
      <c r="C506" s="271">
        <v>35046</v>
      </c>
      <c r="D506" s="268" t="s">
        <v>894</v>
      </c>
      <c r="E506" s="268" t="s">
        <v>1290</v>
      </c>
      <c r="F506" s="268" t="s">
        <v>2261</v>
      </c>
      <c r="G506" s="268">
        <v>15</v>
      </c>
      <c r="H506" s="268" t="s">
        <v>3070</v>
      </c>
      <c r="I506" s="268" t="s">
        <v>3133</v>
      </c>
      <c r="J506" s="272">
        <v>187104</v>
      </c>
      <c r="K506" s="272">
        <f t="shared" si="59"/>
        <v>15592</v>
      </c>
      <c r="L506" s="272">
        <f t="shared" si="60"/>
        <v>12141.24</v>
      </c>
      <c r="M506" s="269">
        <v>0</v>
      </c>
      <c r="N506" s="272">
        <f t="shared" si="65"/>
        <v>129.60000000000002</v>
      </c>
      <c r="O506" s="273">
        <v>0</v>
      </c>
      <c r="P506" s="273">
        <f t="shared" si="61"/>
        <v>3274.32</v>
      </c>
      <c r="Q506" s="272">
        <f t="shared" si="62"/>
        <v>60084</v>
      </c>
      <c r="R506" s="272">
        <f t="shared" si="63"/>
        <v>33809.692799999997</v>
      </c>
      <c r="S506" s="272">
        <f t="shared" si="64"/>
        <v>2125.44</v>
      </c>
    </row>
    <row r="507" spans="1:21" s="270" customFormat="1" x14ac:dyDescent="0.25">
      <c r="A507" s="335">
        <v>501206</v>
      </c>
      <c r="B507" s="271">
        <v>1206</v>
      </c>
      <c r="C507" s="271">
        <v>35415</v>
      </c>
      <c r="D507" s="268" t="s">
        <v>894</v>
      </c>
      <c r="E507" s="268" t="s">
        <v>1290</v>
      </c>
      <c r="F507" s="268" t="s">
        <v>3138</v>
      </c>
      <c r="G507" s="268">
        <v>15</v>
      </c>
      <c r="H507" s="268" t="s">
        <v>3139</v>
      </c>
      <c r="I507" s="268" t="s">
        <v>3140</v>
      </c>
      <c r="J507" s="272">
        <v>187104</v>
      </c>
      <c r="K507" s="272">
        <f t="shared" si="59"/>
        <v>15592</v>
      </c>
      <c r="L507" s="272">
        <f t="shared" si="60"/>
        <v>12141.24</v>
      </c>
      <c r="M507" s="269">
        <v>0</v>
      </c>
      <c r="N507" s="272">
        <f t="shared" si="65"/>
        <v>129.60000000000002</v>
      </c>
      <c r="O507" s="273">
        <v>0</v>
      </c>
      <c r="P507" s="273">
        <f t="shared" si="61"/>
        <v>3274.32</v>
      </c>
      <c r="Q507" s="272">
        <f t="shared" si="62"/>
        <v>60084</v>
      </c>
      <c r="R507" s="272">
        <f t="shared" si="63"/>
        <v>33809.692799999997</v>
      </c>
      <c r="S507" s="272">
        <f t="shared" si="64"/>
        <v>2125.44</v>
      </c>
    </row>
    <row r="508" spans="1:21" s="270" customFormat="1" x14ac:dyDescent="0.25">
      <c r="A508" s="335">
        <v>501443</v>
      </c>
      <c r="B508" s="271">
        <v>1443</v>
      </c>
      <c r="C508" s="271">
        <v>35457</v>
      </c>
      <c r="D508" s="268" t="s">
        <v>894</v>
      </c>
      <c r="E508" s="268" t="s">
        <v>1290</v>
      </c>
      <c r="F508" s="268" t="s">
        <v>2900</v>
      </c>
      <c r="G508" s="268">
        <v>15</v>
      </c>
      <c r="H508" s="268" t="s">
        <v>2466</v>
      </c>
      <c r="I508" s="268" t="s">
        <v>3133</v>
      </c>
      <c r="J508" s="272">
        <v>187104</v>
      </c>
      <c r="K508" s="272">
        <f t="shared" si="59"/>
        <v>15592</v>
      </c>
      <c r="L508" s="272">
        <f t="shared" si="60"/>
        <v>12141.24</v>
      </c>
      <c r="M508" s="269">
        <v>0</v>
      </c>
      <c r="N508" s="272">
        <f t="shared" si="65"/>
        <v>129.60000000000002</v>
      </c>
      <c r="O508" s="273">
        <v>0</v>
      </c>
      <c r="P508" s="273">
        <f t="shared" si="61"/>
        <v>3274.32</v>
      </c>
      <c r="Q508" s="272">
        <f t="shared" si="62"/>
        <v>60084</v>
      </c>
      <c r="R508" s="272">
        <f t="shared" si="63"/>
        <v>33809.692799999997</v>
      </c>
      <c r="S508" s="272">
        <f t="shared" si="64"/>
        <v>2125.44</v>
      </c>
    </row>
    <row r="509" spans="1:21" s="270" customFormat="1" x14ac:dyDescent="0.25">
      <c r="A509" s="335">
        <v>501443</v>
      </c>
      <c r="B509" s="271">
        <v>1443</v>
      </c>
      <c r="C509" s="271">
        <v>37125</v>
      </c>
      <c r="D509" s="268" t="s">
        <v>894</v>
      </c>
      <c r="E509" s="268" t="s">
        <v>1290</v>
      </c>
      <c r="F509" s="268" t="s">
        <v>3141</v>
      </c>
      <c r="G509" s="268">
        <v>15</v>
      </c>
      <c r="H509" s="268" t="s">
        <v>3142</v>
      </c>
      <c r="I509" s="268" t="s">
        <v>3133</v>
      </c>
      <c r="J509" s="272">
        <v>187104</v>
      </c>
      <c r="K509" s="272">
        <f t="shared" si="59"/>
        <v>15592</v>
      </c>
      <c r="L509" s="272">
        <f t="shared" si="60"/>
        <v>12141.24</v>
      </c>
      <c r="M509" s="269">
        <v>0</v>
      </c>
      <c r="N509" s="272">
        <f t="shared" si="65"/>
        <v>129.60000000000002</v>
      </c>
      <c r="O509" s="273">
        <v>0</v>
      </c>
      <c r="P509" s="273">
        <f t="shared" si="61"/>
        <v>3274.32</v>
      </c>
      <c r="Q509" s="272">
        <f t="shared" si="62"/>
        <v>60084</v>
      </c>
      <c r="R509" s="272">
        <f t="shared" si="63"/>
        <v>33809.692799999997</v>
      </c>
      <c r="S509" s="272">
        <f t="shared" si="64"/>
        <v>2125.44</v>
      </c>
    </row>
    <row r="510" spans="1:21" s="270" customFormat="1" x14ac:dyDescent="0.25">
      <c r="A510" s="335">
        <v>501444</v>
      </c>
      <c r="B510" s="271">
        <v>1444</v>
      </c>
      <c r="C510" s="271">
        <v>39725</v>
      </c>
      <c r="D510" s="268" t="s">
        <v>894</v>
      </c>
      <c r="E510" s="268" t="s">
        <v>1290</v>
      </c>
      <c r="F510" s="268" t="s">
        <v>2553</v>
      </c>
      <c r="G510" s="268">
        <v>15</v>
      </c>
      <c r="H510" s="268" t="s">
        <v>3143</v>
      </c>
      <c r="I510" s="268" t="s">
        <v>3133</v>
      </c>
      <c r="J510" s="272">
        <v>187104</v>
      </c>
      <c r="K510" s="272">
        <f t="shared" si="59"/>
        <v>15592</v>
      </c>
      <c r="L510" s="272">
        <f t="shared" si="60"/>
        <v>12141.24</v>
      </c>
      <c r="M510" s="269">
        <v>0</v>
      </c>
      <c r="N510" s="272">
        <f t="shared" si="65"/>
        <v>129.60000000000002</v>
      </c>
      <c r="O510" s="273">
        <v>0</v>
      </c>
      <c r="P510" s="273">
        <f t="shared" si="61"/>
        <v>3274.32</v>
      </c>
      <c r="Q510" s="272">
        <f t="shared" si="62"/>
        <v>60084</v>
      </c>
      <c r="R510" s="272">
        <f t="shared" si="63"/>
        <v>33809.692799999997</v>
      </c>
      <c r="S510" s="272">
        <f t="shared" si="64"/>
        <v>2125.44</v>
      </c>
    </row>
    <row r="511" spans="1:21" s="270" customFormat="1" x14ac:dyDescent="0.25">
      <c r="A511" s="335">
        <v>501443</v>
      </c>
      <c r="B511" s="271">
        <v>1443</v>
      </c>
      <c r="C511" s="271">
        <v>40219</v>
      </c>
      <c r="D511" s="268" t="s">
        <v>894</v>
      </c>
      <c r="E511" s="268" t="s">
        <v>1290</v>
      </c>
      <c r="F511" s="268" t="s">
        <v>2820</v>
      </c>
      <c r="G511" s="268">
        <v>15</v>
      </c>
      <c r="H511" s="268" t="s">
        <v>3144</v>
      </c>
      <c r="I511" s="268" t="s">
        <v>3133</v>
      </c>
      <c r="J511" s="272">
        <v>187104</v>
      </c>
      <c r="K511" s="272">
        <f t="shared" si="59"/>
        <v>15592</v>
      </c>
      <c r="L511" s="272">
        <f t="shared" si="60"/>
        <v>12141.24</v>
      </c>
      <c r="M511" s="269">
        <v>0</v>
      </c>
      <c r="N511" s="272">
        <f t="shared" si="65"/>
        <v>129.60000000000002</v>
      </c>
      <c r="O511" s="273">
        <v>0</v>
      </c>
      <c r="P511" s="273">
        <f t="shared" si="61"/>
        <v>3274.32</v>
      </c>
      <c r="Q511" s="272">
        <f t="shared" si="62"/>
        <v>60084</v>
      </c>
      <c r="R511" s="272">
        <f t="shared" si="63"/>
        <v>33809.692799999997</v>
      </c>
      <c r="S511" s="272">
        <f t="shared" si="64"/>
        <v>2125.44</v>
      </c>
    </row>
    <row r="512" spans="1:21" s="270" customFormat="1" x14ac:dyDescent="0.25">
      <c r="A512" s="335">
        <v>501444</v>
      </c>
      <c r="B512" s="271">
        <v>1444</v>
      </c>
      <c r="C512" s="271">
        <v>40235</v>
      </c>
      <c r="D512" s="268" t="s">
        <v>894</v>
      </c>
      <c r="E512" s="268" t="s">
        <v>1290</v>
      </c>
      <c r="F512" s="268" t="s">
        <v>2993</v>
      </c>
      <c r="G512" s="268">
        <v>15</v>
      </c>
      <c r="H512" s="268" t="s">
        <v>3145</v>
      </c>
      <c r="I512" s="268" t="s">
        <v>3146</v>
      </c>
      <c r="J512" s="272">
        <v>187104</v>
      </c>
      <c r="K512" s="272">
        <f t="shared" ref="K512:K575" si="66">J512/12</f>
        <v>15592</v>
      </c>
      <c r="L512" s="272">
        <f t="shared" ref="L512:L575" si="67">1011.77*12</f>
        <v>12141.24</v>
      </c>
      <c r="M512" s="269">
        <v>0</v>
      </c>
      <c r="N512" s="272">
        <f t="shared" si="65"/>
        <v>129.60000000000002</v>
      </c>
      <c r="O512" s="273">
        <v>0</v>
      </c>
      <c r="P512" s="273">
        <f t="shared" ref="P512:P575" si="68">J512*1.75%</f>
        <v>3274.32</v>
      </c>
      <c r="Q512" s="272">
        <f t="shared" ref="Q512:Q575" si="69">5007*12</f>
        <v>60084</v>
      </c>
      <c r="R512" s="272">
        <f t="shared" ref="R512:R575" si="70">18.07%*J512</f>
        <v>33809.692799999997</v>
      </c>
      <c r="S512" s="272">
        <f t="shared" si="64"/>
        <v>2125.44</v>
      </c>
    </row>
    <row r="513" spans="1:21" s="270" customFormat="1" x14ac:dyDescent="0.25">
      <c r="A513" s="335">
        <v>501444</v>
      </c>
      <c r="B513" s="271">
        <v>1444</v>
      </c>
      <c r="C513" s="271">
        <v>40316</v>
      </c>
      <c r="D513" s="268" t="s">
        <v>894</v>
      </c>
      <c r="E513" s="268" t="s">
        <v>1290</v>
      </c>
      <c r="F513" s="268" t="s">
        <v>2362</v>
      </c>
      <c r="G513" s="268">
        <v>15</v>
      </c>
      <c r="H513" s="268" t="s">
        <v>3147</v>
      </c>
      <c r="I513" s="268" t="s">
        <v>3133</v>
      </c>
      <c r="J513" s="272">
        <v>187104</v>
      </c>
      <c r="K513" s="272">
        <f t="shared" si="66"/>
        <v>15592</v>
      </c>
      <c r="L513" s="272">
        <f t="shared" si="67"/>
        <v>12141.24</v>
      </c>
      <c r="M513" s="269">
        <v>0</v>
      </c>
      <c r="N513" s="272">
        <f t="shared" si="65"/>
        <v>129.60000000000002</v>
      </c>
      <c r="O513" s="273">
        <v>0</v>
      </c>
      <c r="P513" s="273">
        <f t="shared" si="68"/>
        <v>3274.32</v>
      </c>
      <c r="Q513" s="272">
        <f t="shared" si="69"/>
        <v>60084</v>
      </c>
      <c r="R513" s="272">
        <f t="shared" si="70"/>
        <v>33809.692799999997</v>
      </c>
      <c r="S513" s="272">
        <f t="shared" ref="S513:S576" si="71">177.12*12</f>
        <v>2125.44</v>
      </c>
    </row>
    <row r="514" spans="1:21" s="270" customFormat="1" x14ac:dyDescent="0.25">
      <c r="A514" s="335">
        <v>501443</v>
      </c>
      <c r="B514" s="271">
        <v>1443</v>
      </c>
      <c r="C514" s="271">
        <v>40662</v>
      </c>
      <c r="D514" s="268" t="s">
        <v>894</v>
      </c>
      <c r="E514" s="268" t="s">
        <v>1290</v>
      </c>
      <c r="F514" s="268" t="s">
        <v>1290</v>
      </c>
      <c r="G514" s="268">
        <v>15</v>
      </c>
      <c r="H514" s="268" t="s">
        <v>3148</v>
      </c>
      <c r="I514" s="268" t="s">
        <v>3133</v>
      </c>
      <c r="J514" s="272">
        <v>187104</v>
      </c>
      <c r="K514" s="272">
        <f t="shared" si="66"/>
        <v>15592</v>
      </c>
      <c r="L514" s="272">
        <f t="shared" si="67"/>
        <v>12141.24</v>
      </c>
      <c r="M514" s="269">
        <v>0</v>
      </c>
      <c r="N514" s="272">
        <f t="shared" si="65"/>
        <v>129.60000000000002</v>
      </c>
      <c r="O514" s="273">
        <v>0</v>
      </c>
      <c r="P514" s="273">
        <f t="shared" si="68"/>
        <v>3274.32</v>
      </c>
      <c r="Q514" s="272">
        <f t="shared" si="69"/>
        <v>60084</v>
      </c>
      <c r="R514" s="272">
        <f t="shared" si="70"/>
        <v>33809.692799999997</v>
      </c>
      <c r="S514" s="272">
        <f t="shared" si="71"/>
        <v>2125.44</v>
      </c>
      <c r="T514" s="277"/>
      <c r="U514" s="277"/>
    </row>
    <row r="515" spans="1:21" s="270" customFormat="1" x14ac:dyDescent="0.25">
      <c r="A515" s="335">
        <v>501444</v>
      </c>
      <c r="B515" s="271">
        <v>1444</v>
      </c>
      <c r="C515" s="271">
        <v>40714</v>
      </c>
      <c r="D515" s="268" t="s">
        <v>894</v>
      </c>
      <c r="E515" s="268" t="s">
        <v>1290</v>
      </c>
      <c r="F515" s="268" t="s">
        <v>2768</v>
      </c>
      <c r="G515" s="268">
        <v>15</v>
      </c>
      <c r="H515" s="268" t="s">
        <v>2525</v>
      </c>
      <c r="I515" s="268" t="s">
        <v>3133</v>
      </c>
      <c r="J515" s="272">
        <v>187104</v>
      </c>
      <c r="K515" s="272">
        <f t="shared" si="66"/>
        <v>15592</v>
      </c>
      <c r="L515" s="272">
        <f t="shared" si="67"/>
        <v>12141.24</v>
      </c>
      <c r="M515" s="269">
        <v>0</v>
      </c>
      <c r="N515" s="272">
        <f t="shared" si="65"/>
        <v>129.60000000000002</v>
      </c>
      <c r="O515" s="273">
        <v>0</v>
      </c>
      <c r="P515" s="273">
        <f t="shared" si="68"/>
        <v>3274.32</v>
      </c>
      <c r="Q515" s="272">
        <f t="shared" si="69"/>
        <v>60084</v>
      </c>
      <c r="R515" s="272">
        <f t="shared" si="70"/>
        <v>33809.692799999997</v>
      </c>
      <c r="S515" s="272">
        <f t="shared" si="71"/>
        <v>2125.44</v>
      </c>
      <c r="T515" s="277"/>
      <c r="U515" s="277"/>
    </row>
    <row r="516" spans="1:21" s="270" customFormat="1" x14ac:dyDescent="0.25">
      <c r="A516" s="335">
        <v>501443</v>
      </c>
      <c r="B516" s="271">
        <v>1443</v>
      </c>
      <c r="C516" s="271">
        <v>41661</v>
      </c>
      <c r="D516" s="268" t="s">
        <v>894</v>
      </c>
      <c r="E516" s="268" t="s">
        <v>1290</v>
      </c>
      <c r="F516" s="268" t="s">
        <v>426</v>
      </c>
      <c r="G516" s="268">
        <v>15</v>
      </c>
      <c r="H516" s="268" t="s">
        <v>3149</v>
      </c>
      <c r="I516" s="268" t="s">
        <v>3133</v>
      </c>
      <c r="J516" s="272">
        <v>187104</v>
      </c>
      <c r="K516" s="272">
        <f t="shared" si="66"/>
        <v>15592</v>
      </c>
      <c r="L516" s="272">
        <f t="shared" si="67"/>
        <v>12141.24</v>
      </c>
      <c r="M516" s="269">
        <v>0</v>
      </c>
      <c r="N516" s="272">
        <f t="shared" si="65"/>
        <v>129.60000000000002</v>
      </c>
      <c r="O516" s="273">
        <v>0</v>
      </c>
      <c r="P516" s="273">
        <f t="shared" si="68"/>
        <v>3274.32</v>
      </c>
      <c r="Q516" s="272">
        <f t="shared" si="69"/>
        <v>60084</v>
      </c>
      <c r="R516" s="272">
        <f t="shared" si="70"/>
        <v>33809.692799999997</v>
      </c>
      <c r="S516" s="272">
        <f t="shared" si="71"/>
        <v>2125.44</v>
      </c>
    </row>
    <row r="517" spans="1:21" s="270" customFormat="1" x14ac:dyDescent="0.25">
      <c r="A517" s="335">
        <v>501444</v>
      </c>
      <c r="B517" s="271">
        <v>1444</v>
      </c>
      <c r="C517" s="271">
        <v>44354</v>
      </c>
      <c r="D517" s="268" t="s">
        <v>894</v>
      </c>
      <c r="E517" s="268" t="s">
        <v>1290</v>
      </c>
      <c r="F517" s="268" t="s">
        <v>2381</v>
      </c>
      <c r="G517" s="268">
        <v>15</v>
      </c>
      <c r="H517" s="268" t="s">
        <v>3150</v>
      </c>
      <c r="I517" s="268" t="s">
        <v>3133</v>
      </c>
      <c r="J517" s="272">
        <v>187104</v>
      </c>
      <c r="K517" s="272">
        <f t="shared" si="66"/>
        <v>15592</v>
      </c>
      <c r="L517" s="272">
        <f t="shared" si="67"/>
        <v>12141.24</v>
      </c>
      <c r="M517" s="269">
        <v>0</v>
      </c>
      <c r="N517" s="272">
        <f t="shared" ref="N517:N580" si="72">10.8*12</f>
        <v>129.60000000000002</v>
      </c>
      <c r="O517" s="273">
        <v>0</v>
      </c>
      <c r="P517" s="273">
        <f t="shared" si="68"/>
        <v>3274.32</v>
      </c>
      <c r="Q517" s="272">
        <f t="shared" si="69"/>
        <v>60084</v>
      </c>
      <c r="R517" s="272">
        <f t="shared" si="70"/>
        <v>33809.692799999997</v>
      </c>
      <c r="S517" s="272">
        <f t="shared" si="71"/>
        <v>2125.44</v>
      </c>
    </row>
    <row r="518" spans="1:21" s="270" customFormat="1" x14ac:dyDescent="0.25">
      <c r="A518" s="335">
        <v>501443</v>
      </c>
      <c r="B518" s="271">
        <v>1443</v>
      </c>
      <c r="C518" s="271">
        <v>45227</v>
      </c>
      <c r="D518" s="268" t="s">
        <v>894</v>
      </c>
      <c r="E518" s="268" t="s">
        <v>1290</v>
      </c>
      <c r="F518" s="268" t="s">
        <v>2744</v>
      </c>
      <c r="G518" s="268">
        <v>15</v>
      </c>
      <c r="H518" s="268" t="s">
        <v>3151</v>
      </c>
      <c r="I518" s="268" t="s">
        <v>3133</v>
      </c>
      <c r="J518" s="272">
        <v>187104</v>
      </c>
      <c r="K518" s="272">
        <f t="shared" si="66"/>
        <v>15592</v>
      </c>
      <c r="L518" s="272">
        <f t="shared" si="67"/>
        <v>12141.24</v>
      </c>
      <c r="M518" s="269">
        <v>0</v>
      </c>
      <c r="N518" s="272">
        <f t="shared" si="72"/>
        <v>129.60000000000002</v>
      </c>
      <c r="O518" s="273">
        <v>0</v>
      </c>
      <c r="P518" s="273">
        <f t="shared" si="68"/>
        <v>3274.32</v>
      </c>
      <c r="Q518" s="272">
        <f t="shared" si="69"/>
        <v>60084</v>
      </c>
      <c r="R518" s="272">
        <f t="shared" si="70"/>
        <v>33809.692799999997</v>
      </c>
      <c r="S518" s="272">
        <f t="shared" si="71"/>
        <v>2125.44</v>
      </c>
    </row>
    <row r="519" spans="1:21" s="270" customFormat="1" x14ac:dyDescent="0.25">
      <c r="A519" s="335">
        <v>501505</v>
      </c>
      <c r="B519" s="271">
        <v>1505</v>
      </c>
      <c r="C519" s="271">
        <v>46763</v>
      </c>
      <c r="D519" s="268" t="s">
        <v>894</v>
      </c>
      <c r="E519" s="268" t="s">
        <v>1290</v>
      </c>
      <c r="F519" s="268" t="s">
        <v>2949</v>
      </c>
      <c r="G519" s="268">
        <v>15</v>
      </c>
      <c r="H519" s="268" t="s">
        <v>3152</v>
      </c>
      <c r="I519" s="268" t="s">
        <v>3153</v>
      </c>
      <c r="J519" s="272">
        <v>187104</v>
      </c>
      <c r="K519" s="272">
        <f t="shared" si="66"/>
        <v>15592</v>
      </c>
      <c r="L519" s="272">
        <f t="shared" si="67"/>
        <v>12141.24</v>
      </c>
      <c r="M519" s="269">
        <v>0</v>
      </c>
      <c r="N519" s="272">
        <f t="shared" si="72"/>
        <v>129.60000000000002</v>
      </c>
      <c r="O519" s="273">
        <v>0</v>
      </c>
      <c r="P519" s="273">
        <f t="shared" si="68"/>
        <v>3274.32</v>
      </c>
      <c r="Q519" s="272">
        <f t="shared" si="69"/>
        <v>60084</v>
      </c>
      <c r="R519" s="272">
        <f t="shared" si="70"/>
        <v>33809.692799999997</v>
      </c>
      <c r="S519" s="272">
        <f t="shared" si="71"/>
        <v>2125.44</v>
      </c>
    </row>
    <row r="520" spans="1:21" s="270" customFormat="1" x14ac:dyDescent="0.25">
      <c r="A520" s="335">
        <v>501443</v>
      </c>
      <c r="B520" s="271">
        <v>1443</v>
      </c>
      <c r="C520" s="271">
        <v>51758</v>
      </c>
      <c r="D520" s="268" t="s">
        <v>894</v>
      </c>
      <c r="E520" s="268" t="s">
        <v>1278</v>
      </c>
      <c r="F520" s="268" t="s">
        <v>1293</v>
      </c>
      <c r="G520" s="268">
        <v>15</v>
      </c>
      <c r="H520" s="268" t="s">
        <v>3154</v>
      </c>
      <c r="I520" s="268" t="s">
        <v>3133</v>
      </c>
      <c r="J520" s="272">
        <v>187104</v>
      </c>
      <c r="K520" s="272">
        <f t="shared" si="66"/>
        <v>15592</v>
      </c>
      <c r="L520" s="272">
        <f t="shared" si="67"/>
        <v>12141.24</v>
      </c>
      <c r="M520" s="269">
        <v>0</v>
      </c>
      <c r="N520" s="272">
        <f t="shared" si="72"/>
        <v>129.60000000000002</v>
      </c>
      <c r="O520" s="273">
        <v>0</v>
      </c>
      <c r="P520" s="273">
        <f t="shared" si="68"/>
        <v>3274.32</v>
      </c>
      <c r="Q520" s="272">
        <f t="shared" si="69"/>
        <v>60084</v>
      </c>
      <c r="R520" s="272">
        <f t="shared" si="70"/>
        <v>33809.692799999997</v>
      </c>
      <c r="S520" s="272">
        <f t="shared" si="71"/>
        <v>2125.44</v>
      </c>
    </row>
    <row r="521" spans="1:21" s="270" customFormat="1" x14ac:dyDescent="0.25">
      <c r="A521" s="335">
        <v>501445</v>
      </c>
      <c r="B521" s="271">
        <v>1445</v>
      </c>
      <c r="C521" s="271">
        <v>51787</v>
      </c>
      <c r="D521" s="268" t="s">
        <v>894</v>
      </c>
      <c r="E521" s="268" t="s">
        <v>1290</v>
      </c>
      <c r="F521" s="268" t="s">
        <v>731</v>
      </c>
      <c r="G521" s="268">
        <v>15</v>
      </c>
      <c r="H521" s="268" t="s">
        <v>3155</v>
      </c>
      <c r="I521" s="268" t="s">
        <v>3133</v>
      </c>
      <c r="J521" s="272">
        <v>187104</v>
      </c>
      <c r="K521" s="272">
        <f t="shared" si="66"/>
        <v>15592</v>
      </c>
      <c r="L521" s="272">
        <f t="shared" si="67"/>
        <v>12141.24</v>
      </c>
      <c r="M521" s="269">
        <v>0</v>
      </c>
      <c r="N521" s="272">
        <f t="shared" si="72"/>
        <v>129.60000000000002</v>
      </c>
      <c r="O521" s="273">
        <v>0</v>
      </c>
      <c r="P521" s="273">
        <f t="shared" si="68"/>
        <v>3274.32</v>
      </c>
      <c r="Q521" s="272">
        <f t="shared" si="69"/>
        <v>60084</v>
      </c>
      <c r="R521" s="272">
        <f t="shared" si="70"/>
        <v>33809.692799999997</v>
      </c>
      <c r="S521" s="272">
        <f t="shared" si="71"/>
        <v>2125.44</v>
      </c>
    </row>
    <row r="522" spans="1:21" s="270" customFormat="1" x14ac:dyDescent="0.25">
      <c r="A522" s="335">
        <v>501444</v>
      </c>
      <c r="B522" s="271">
        <v>1444</v>
      </c>
      <c r="C522" s="271">
        <v>51790</v>
      </c>
      <c r="D522" s="268" t="s">
        <v>894</v>
      </c>
      <c r="E522" s="268" t="s">
        <v>1290</v>
      </c>
      <c r="F522" s="268" t="s">
        <v>3156</v>
      </c>
      <c r="G522" s="268">
        <v>15</v>
      </c>
      <c r="H522" s="268" t="s">
        <v>3157</v>
      </c>
      <c r="I522" s="268" t="s">
        <v>3133</v>
      </c>
      <c r="J522" s="272">
        <v>187104</v>
      </c>
      <c r="K522" s="272">
        <f t="shared" si="66"/>
        <v>15592</v>
      </c>
      <c r="L522" s="272">
        <f t="shared" si="67"/>
        <v>12141.24</v>
      </c>
      <c r="M522" s="269">
        <v>0</v>
      </c>
      <c r="N522" s="272">
        <f t="shared" si="72"/>
        <v>129.60000000000002</v>
      </c>
      <c r="O522" s="273">
        <v>0</v>
      </c>
      <c r="P522" s="273">
        <f t="shared" si="68"/>
        <v>3274.32</v>
      </c>
      <c r="Q522" s="272">
        <f t="shared" si="69"/>
        <v>60084</v>
      </c>
      <c r="R522" s="272">
        <f t="shared" si="70"/>
        <v>33809.692799999997</v>
      </c>
      <c r="S522" s="272">
        <f t="shared" si="71"/>
        <v>2125.44</v>
      </c>
    </row>
    <row r="523" spans="1:21" s="270" customFormat="1" x14ac:dyDescent="0.25">
      <c r="A523" s="335">
        <v>501443</v>
      </c>
      <c r="B523" s="271">
        <v>1443</v>
      </c>
      <c r="C523" s="271">
        <v>51871</v>
      </c>
      <c r="D523" s="268" t="s">
        <v>894</v>
      </c>
      <c r="E523" s="268" t="s">
        <v>1290</v>
      </c>
      <c r="F523" s="268" t="s">
        <v>3158</v>
      </c>
      <c r="G523" s="268">
        <v>15</v>
      </c>
      <c r="H523" s="268" t="s">
        <v>3159</v>
      </c>
      <c r="I523" s="268" t="s">
        <v>3133</v>
      </c>
      <c r="J523" s="272">
        <v>187104</v>
      </c>
      <c r="K523" s="272">
        <f t="shared" si="66"/>
        <v>15592</v>
      </c>
      <c r="L523" s="272">
        <f t="shared" si="67"/>
        <v>12141.24</v>
      </c>
      <c r="M523" s="269">
        <v>0</v>
      </c>
      <c r="N523" s="272">
        <f t="shared" si="72"/>
        <v>129.60000000000002</v>
      </c>
      <c r="O523" s="273">
        <v>0</v>
      </c>
      <c r="P523" s="273">
        <f t="shared" si="68"/>
        <v>3274.32</v>
      </c>
      <c r="Q523" s="272">
        <f t="shared" si="69"/>
        <v>60084</v>
      </c>
      <c r="R523" s="272">
        <f t="shared" si="70"/>
        <v>33809.692799999997</v>
      </c>
      <c r="S523" s="272">
        <f t="shared" si="71"/>
        <v>2125.44</v>
      </c>
    </row>
    <row r="524" spans="1:21" s="270" customFormat="1" x14ac:dyDescent="0.25">
      <c r="A524" s="335">
        <v>501444</v>
      </c>
      <c r="B524" s="271">
        <v>1444</v>
      </c>
      <c r="C524" s="271">
        <v>59420</v>
      </c>
      <c r="D524" s="268" t="s">
        <v>894</v>
      </c>
      <c r="E524" s="268" t="s">
        <v>1290</v>
      </c>
      <c r="F524" s="268" t="s">
        <v>1290</v>
      </c>
      <c r="G524" s="268">
        <v>15</v>
      </c>
      <c r="H524" s="268" t="s">
        <v>3003</v>
      </c>
      <c r="I524" s="268" t="s">
        <v>3133</v>
      </c>
      <c r="J524" s="272">
        <v>187104</v>
      </c>
      <c r="K524" s="272">
        <f t="shared" si="66"/>
        <v>15592</v>
      </c>
      <c r="L524" s="272">
        <f t="shared" si="67"/>
        <v>12141.24</v>
      </c>
      <c r="M524" s="269">
        <v>0</v>
      </c>
      <c r="N524" s="272">
        <f t="shared" si="72"/>
        <v>129.60000000000002</v>
      </c>
      <c r="O524" s="273">
        <v>0</v>
      </c>
      <c r="P524" s="273">
        <f t="shared" si="68"/>
        <v>3274.32</v>
      </c>
      <c r="Q524" s="272">
        <f t="shared" si="69"/>
        <v>60084</v>
      </c>
      <c r="R524" s="272">
        <f t="shared" si="70"/>
        <v>33809.692799999997</v>
      </c>
      <c r="S524" s="272">
        <f t="shared" si="71"/>
        <v>2125.44</v>
      </c>
    </row>
    <row r="525" spans="1:21" s="270" customFormat="1" x14ac:dyDescent="0.25">
      <c r="A525" s="335">
        <v>501443</v>
      </c>
      <c r="B525" s="271">
        <v>1443</v>
      </c>
      <c r="C525" s="271">
        <v>59462</v>
      </c>
      <c r="D525" s="268" t="s">
        <v>894</v>
      </c>
      <c r="E525" s="268" t="s">
        <v>1278</v>
      </c>
      <c r="F525" s="268" t="s">
        <v>2627</v>
      </c>
      <c r="G525" s="268">
        <v>15</v>
      </c>
      <c r="H525" s="268" t="s">
        <v>3160</v>
      </c>
      <c r="I525" s="268" t="s">
        <v>3133</v>
      </c>
      <c r="J525" s="272">
        <v>187104</v>
      </c>
      <c r="K525" s="272">
        <f t="shared" si="66"/>
        <v>15592</v>
      </c>
      <c r="L525" s="272">
        <f t="shared" si="67"/>
        <v>12141.24</v>
      </c>
      <c r="M525" s="269">
        <v>0</v>
      </c>
      <c r="N525" s="272">
        <f t="shared" si="72"/>
        <v>129.60000000000002</v>
      </c>
      <c r="O525" s="273">
        <v>0</v>
      </c>
      <c r="P525" s="273">
        <f t="shared" si="68"/>
        <v>3274.32</v>
      </c>
      <c r="Q525" s="272">
        <f t="shared" si="69"/>
        <v>60084</v>
      </c>
      <c r="R525" s="272">
        <f t="shared" si="70"/>
        <v>33809.692799999997</v>
      </c>
      <c r="S525" s="272">
        <f t="shared" si="71"/>
        <v>2125.44</v>
      </c>
    </row>
    <row r="526" spans="1:21" s="270" customFormat="1" x14ac:dyDescent="0.25">
      <c r="A526" s="335">
        <v>501406</v>
      </c>
      <c r="B526" s="271">
        <v>1406</v>
      </c>
      <c r="C526" s="271">
        <v>59585</v>
      </c>
      <c r="D526" s="268" t="s">
        <v>894</v>
      </c>
      <c r="E526" s="268" t="s">
        <v>1278</v>
      </c>
      <c r="F526" s="268" t="s">
        <v>2415</v>
      </c>
      <c r="G526" s="268">
        <v>15</v>
      </c>
      <c r="H526" s="268" t="s">
        <v>3161</v>
      </c>
      <c r="I526" s="268" t="s">
        <v>3133</v>
      </c>
      <c r="J526" s="272">
        <v>187104</v>
      </c>
      <c r="K526" s="272">
        <f t="shared" si="66"/>
        <v>15592</v>
      </c>
      <c r="L526" s="272">
        <f t="shared" si="67"/>
        <v>12141.24</v>
      </c>
      <c r="M526" s="269">
        <v>0</v>
      </c>
      <c r="N526" s="272">
        <f t="shared" si="72"/>
        <v>129.60000000000002</v>
      </c>
      <c r="O526" s="273">
        <v>0</v>
      </c>
      <c r="P526" s="273">
        <f t="shared" si="68"/>
        <v>3274.32</v>
      </c>
      <c r="Q526" s="272">
        <f t="shared" si="69"/>
        <v>60084</v>
      </c>
      <c r="R526" s="272">
        <f t="shared" si="70"/>
        <v>33809.692799999997</v>
      </c>
      <c r="S526" s="272">
        <f t="shared" si="71"/>
        <v>2125.44</v>
      </c>
    </row>
    <row r="527" spans="1:21" s="270" customFormat="1" x14ac:dyDescent="0.25">
      <c r="A527" s="335">
        <v>501444</v>
      </c>
      <c r="B527" s="271">
        <v>1444</v>
      </c>
      <c r="C527" s="271">
        <v>59828</v>
      </c>
      <c r="D527" s="268" t="s">
        <v>894</v>
      </c>
      <c r="E527" s="268" t="s">
        <v>1278</v>
      </c>
      <c r="F527" s="268" t="s">
        <v>2768</v>
      </c>
      <c r="G527" s="268">
        <v>15</v>
      </c>
      <c r="H527" s="268" t="s">
        <v>3162</v>
      </c>
      <c r="I527" s="268" t="s">
        <v>3133</v>
      </c>
      <c r="J527" s="272">
        <v>187104</v>
      </c>
      <c r="K527" s="272">
        <f t="shared" si="66"/>
        <v>15592</v>
      </c>
      <c r="L527" s="272">
        <f t="shared" si="67"/>
        <v>12141.24</v>
      </c>
      <c r="M527" s="269">
        <v>0</v>
      </c>
      <c r="N527" s="272">
        <f t="shared" si="72"/>
        <v>129.60000000000002</v>
      </c>
      <c r="O527" s="273">
        <v>0</v>
      </c>
      <c r="P527" s="273">
        <f t="shared" si="68"/>
        <v>3274.32</v>
      </c>
      <c r="Q527" s="272">
        <f t="shared" si="69"/>
        <v>60084</v>
      </c>
      <c r="R527" s="272">
        <f t="shared" si="70"/>
        <v>33809.692799999997</v>
      </c>
      <c r="S527" s="272">
        <f t="shared" si="71"/>
        <v>2125.44</v>
      </c>
    </row>
    <row r="528" spans="1:21" s="270" customFormat="1" x14ac:dyDescent="0.25">
      <c r="A528" s="335">
        <v>501443</v>
      </c>
      <c r="B528" s="271">
        <v>1443</v>
      </c>
      <c r="C528" s="271">
        <v>83661</v>
      </c>
      <c r="D528" s="268" t="s">
        <v>894</v>
      </c>
      <c r="E528" s="268" t="s">
        <v>1290</v>
      </c>
      <c r="F528" s="268" t="s">
        <v>3163</v>
      </c>
      <c r="G528" s="268">
        <v>15</v>
      </c>
      <c r="H528" s="268" t="s">
        <v>3164</v>
      </c>
      <c r="I528" s="268" t="s">
        <v>3133</v>
      </c>
      <c r="J528" s="272">
        <v>187104</v>
      </c>
      <c r="K528" s="272">
        <f t="shared" si="66"/>
        <v>15592</v>
      </c>
      <c r="L528" s="272">
        <f t="shared" si="67"/>
        <v>12141.24</v>
      </c>
      <c r="M528" s="269">
        <v>0</v>
      </c>
      <c r="N528" s="272">
        <f t="shared" si="72"/>
        <v>129.60000000000002</v>
      </c>
      <c r="O528" s="273">
        <v>0</v>
      </c>
      <c r="P528" s="273">
        <f t="shared" si="68"/>
        <v>3274.32</v>
      </c>
      <c r="Q528" s="272">
        <f t="shared" si="69"/>
        <v>60084</v>
      </c>
      <c r="R528" s="272">
        <f t="shared" si="70"/>
        <v>33809.692799999997</v>
      </c>
      <c r="S528" s="272">
        <f t="shared" si="71"/>
        <v>2125.44</v>
      </c>
    </row>
    <row r="529" spans="1:19" s="270" customFormat="1" x14ac:dyDescent="0.25">
      <c r="A529" s="335">
        <v>501444</v>
      </c>
      <c r="B529" s="271">
        <v>1444</v>
      </c>
      <c r="C529" s="271">
        <v>84592</v>
      </c>
      <c r="D529" s="268" t="s">
        <v>876</v>
      </c>
      <c r="E529" s="268" t="s">
        <v>1290</v>
      </c>
      <c r="F529" s="268" t="s">
        <v>3165</v>
      </c>
      <c r="G529" s="268">
        <v>15</v>
      </c>
      <c r="H529" s="268" t="s">
        <v>3166</v>
      </c>
      <c r="I529" s="268" t="s">
        <v>3133</v>
      </c>
      <c r="J529" s="272">
        <v>187104</v>
      </c>
      <c r="K529" s="272">
        <f t="shared" si="66"/>
        <v>15592</v>
      </c>
      <c r="L529" s="272">
        <f t="shared" si="67"/>
        <v>12141.24</v>
      </c>
      <c r="M529" s="269">
        <v>0</v>
      </c>
      <c r="N529" s="272">
        <f t="shared" si="72"/>
        <v>129.60000000000002</v>
      </c>
      <c r="O529" s="273">
        <v>0</v>
      </c>
      <c r="P529" s="273">
        <f t="shared" si="68"/>
        <v>3274.32</v>
      </c>
      <c r="Q529" s="272">
        <f t="shared" si="69"/>
        <v>60084</v>
      </c>
      <c r="R529" s="272">
        <f t="shared" si="70"/>
        <v>33809.692799999997</v>
      </c>
      <c r="S529" s="272">
        <f t="shared" si="71"/>
        <v>2125.44</v>
      </c>
    </row>
    <row r="530" spans="1:19" s="270" customFormat="1" x14ac:dyDescent="0.25">
      <c r="A530" s="335">
        <v>501444</v>
      </c>
      <c r="B530" s="271">
        <v>1444</v>
      </c>
      <c r="C530" s="271">
        <v>84602</v>
      </c>
      <c r="D530" s="268" t="s">
        <v>894</v>
      </c>
      <c r="E530" s="268" t="s">
        <v>1290</v>
      </c>
      <c r="F530" s="268" t="s">
        <v>1304</v>
      </c>
      <c r="G530" s="268">
        <v>15</v>
      </c>
      <c r="H530" s="268" t="s">
        <v>3167</v>
      </c>
      <c r="I530" s="268" t="s">
        <v>3133</v>
      </c>
      <c r="J530" s="272">
        <v>187104</v>
      </c>
      <c r="K530" s="272">
        <f t="shared" si="66"/>
        <v>15592</v>
      </c>
      <c r="L530" s="272">
        <f t="shared" si="67"/>
        <v>12141.24</v>
      </c>
      <c r="M530" s="269">
        <v>0</v>
      </c>
      <c r="N530" s="272">
        <f t="shared" si="72"/>
        <v>129.60000000000002</v>
      </c>
      <c r="O530" s="273">
        <v>0</v>
      </c>
      <c r="P530" s="273">
        <f t="shared" si="68"/>
        <v>3274.32</v>
      </c>
      <c r="Q530" s="272">
        <f t="shared" si="69"/>
        <v>60084</v>
      </c>
      <c r="R530" s="272">
        <f t="shared" si="70"/>
        <v>33809.692799999997</v>
      </c>
      <c r="S530" s="272">
        <f t="shared" si="71"/>
        <v>2125.44</v>
      </c>
    </row>
    <row r="531" spans="1:19" s="270" customFormat="1" x14ac:dyDescent="0.25">
      <c r="A531" s="335">
        <v>501443</v>
      </c>
      <c r="B531" s="271">
        <v>1443</v>
      </c>
      <c r="C531" s="271">
        <v>200009</v>
      </c>
      <c r="D531" s="268" t="s">
        <v>894</v>
      </c>
      <c r="E531" s="268" t="s">
        <v>1278</v>
      </c>
      <c r="F531" s="268" t="s">
        <v>2273</v>
      </c>
      <c r="G531" s="268">
        <v>15</v>
      </c>
      <c r="H531" s="268" t="s">
        <v>2853</v>
      </c>
      <c r="I531" s="268" t="s">
        <v>3133</v>
      </c>
      <c r="J531" s="272">
        <v>187104</v>
      </c>
      <c r="K531" s="272">
        <f t="shared" si="66"/>
        <v>15592</v>
      </c>
      <c r="L531" s="272">
        <f t="shared" si="67"/>
        <v>12141.24</v>
      </c>
      <c r="M531" s="269">
        <v>0</v>
      </c>
      <c r="N531" s="272">
        <f t="shared" si="72"/>
        <v>129.60000000000002</v>
      </c>
      <c r="O531" s="273">
        <v>0</v>
      </c>
      <c r="P531" s="273">
        <f t="shared" si="68"/>
        <v>3274.32</v>
      </c>
      <c r="Q531" s="272">
        <f t="shared" si="69"/>
        <v>60084</v>
      </c>
      <c r="R531" s="272">
        <f t="shared" si="70"/>
        <v>33809.692799999997</v>
      </c>
      <c r="S531" s="272">
        <f t="shared" si="71"/>
        <v>2125.44</v>
      </c>
    </row>
    <row r="532" spans="1:19" s="270" customFormat="1" x14ac:dyDescent="0.25">
      <c r="A532" s="335">
        <v>501443</v>
      </c>
      <c r="B532" s="271">
        <v>1443</v>
      </c>
      <c r="C532" s="271">
        <v>200010</v>
      </c>
      <c r="D532" s="268" t="s">
        <v>894</v>
      </c>
      <c r="E532" s="268" t="s">
        <v>1278</v>
      </c>
      <c r="F532" s="268" t="s">
        <v>3168</v>
      </c>
      <c r="G532" s="268">
        <v>15</v>
      </c>
      <c r="H532" s="268" t="s">
        <v>2664</v>
      </c>
      <c r="I532" s="268" t="s">
        <v>3133</v>
      </c>
      <c r="J532" s="272">
        <v>187104</v>
      </c>
      <c r="K532" s="272">
        <f t="shared" si="66"/>
        <v>15592</v>
      </c>
      <c r="L532" s="272">
        <f t="shared" si="67"/>
        <v>12141.24</v>
      </c>
      <c r="M532" s="269">
        <v>0</v>
      </c>
      <c r="N532" s="272">
        <f t="shared" si="72"/>
        <v>129.60000000000002</v>
      </c>
      <c r="O532" s="273">
        <v>0</v>
      </c>
      <c r="P532" s="273">
        <f t="shared" si="68"/>
        <v>3274.32</v>
      </c>
      <c r="Q532" s="272">
        <f t="shared" si="69"/>
        <v>60084</v>
      </c>
      <c r="R532" s="272">
        <f t="shared" si="70"/>
        <v>33809.692799999997</v>
      </c>
      <c r="S532" s="272">
        <f t="shared" si="71"/>
        <v>2125.44</v>
      </c>
    </row>
    <row r="533" spans="1:19" s="270" customFormat="1" x14ac:dyDescent="0.25">
      <c r="A533" s="335">
        <v>501443</v>
      </c>
      <c r="B533" s="271">
        <v>1443</v>
      </c>
      <c r="C533" s="271">
        <v>200016</v>
      </c>
      <c r="D533" s="268" t="s">
        <v>894</v>
      </c>
      <c r="E533" s="268" t="s">
        <v>1278</v>
      </c>
      <c r="F533" s="268" t="s">
        <v>2660</v>
      </c>
      <c r="G533" s="268">
        <v>15</v>
      </c>
      <c r="H533" s="268" t="s">
        <v>2559</v>
      </c>
      <c r="I533" s="268" t="s">
        <v>3133</v>
      </c>
      <c r="J533" s="272">
        <v>187104</v>
      </c>
      <c r="K533" s="272">
        <f t="shared" si="66"/>
        <v>15592</v>
      </c>
      <c r="L533" s="272">
        <f t="shared" si="67"/>
        <v>12141.24</v>
      </c>
      <c r="M533" s="269">
        <v>0</v>
      </c>
      <c r="N533" s="272">
        <f t="shared" si="72"/>
        <v>129.60000000000002</v>
      </c>
      <c r="O533" s="273">
        <v>0</v>
      </c>
      <c r="P533" s="273">
        <f t="shared" si="68"/>
        <v>3274.32</v>
      </c>
      <c r="Q533" s="272">
        <f t="shared" si="69"/>
        <v>60084</v>
      </c>
      <c r="R533" s="272">
        <f t="shared" si="70"/>
        <v>33809.692799999997</v>
      </c>
      <c r="S533" s="272">
        <f t="shared" si="71"/>
        <v>2125.44</v>
      </c>
    </row>
    <row r="534" spans="1:19" s="270" customFormat="1" x14ac:dyDescent="0.25">
      <c r="A534" s="335">
        <v>501444</v>
      </c>
      <c r="B534" s="271">
        <v>1444</v>
      </c>
      <c r="C534" s="271">
        <v>200019</v>
      </c>
      <c r="D534" s="268" t="s">
        <v>894</v>
      </c>
      <c r="E534" s="268" t="s">
        <v>1290</v>
      </c>
      <c r="F534" s="268" t="s">
        <v>3169</v>
      </c>
      <c r="G534" s="268">
        <v>15</v>
      </c>
      <c r="H534" s="268" t="s">
        <v>3170</v>
      </c>
      <c r="I534" s="268" t="s">
        <v>3133</v>
      </c>
      <c r="J534" s="272">
        <v>187104</v>
      </c>
      <c r="K534" s="272">
        <f t="shared" si="66"/>
        <v>15592</v>
      </c>
      <c r="L534" s="272">
        <f t="shared" si="67"/>
        <v>12141.24</v>
      </c>
      <c r="M534" s="269">
        <v>0</v>
      </c>
      <c r="N534" s="272">
        <f t="shared" si="72"/>
        <v>129.60000000000002</v>
      </c>
      <c r="O534" s="273">
        <v>0</v>
      </c>
      <c r="P534" s="273">
        <f t="shared" si="68"/>
        <v>3274.32</v>
      </c>
      <c r="Q534" s="272">
        <f t="shared" si="69"/>
        <v>60084</v>
      </c>
      <c r="R534" s="272">
        <f t="shared" si="70"/>
        <v>33809.692799999997</v>
      </c>
      <c r="S534" s="272">
        <f t="shared" si="71"/>
        <v>2125.44</v>
      </c>
    </row>
    <row r="535" spans="1:19" s="270" customFormat="1" x14ac:dyDescent="0.25">
      <c r="A535" s="335">
        <v>501444</v>
      </c>
      <c r="B535" s="271">
        <v>1444</v>
      </c>
      <c r="C535" s="271">
        <v>200020</v>
      </c>
      <c r="D535" s="268" t="s">
        <v>894</v>
      </c>
      <c r="E535" s="268" t="s">
        <v>1290</v>
      </c>
      <c r="F535" s="268" t="s">
        <v>2506</v>
      </c>
      <c r="G535" s="268">
        <v>15</v>
      </c>
      <c r="H535" s="268" t="s">
        <v>3171</v>
      </c>
      <c r="I535" s="268" t="s">
        <v>3172</v>
      </c>
      <c r="J535" s="272">
        <v>187104</v>
      </c>
      <c r="K535" s="272">
        <f t="shared" si="66"/>
        <v>15592</v>
      </c>
      <c r="L535" s="272">
        <f t="shared" si="67"/>
        <v>12141.24</v>
      </c>
      <c r="M535" s="269">
        <v>0</v>
      </c>
      <c r="N535" s="272">
        <f t="shared" si="72"/>
        <v>129.60000000000002</v>
      </c>
      <c r="O535" s="273">
        <v>0</v>
      </c>
      <c r="P535" s="273">
        <f t="shared" si="68"/>
        <v>3274.32</v>
      </c>
      <c r="Q535" s="272">
        <f t="shared" si="69"/>
        <v>60084</v>
      </c>
      <c r="R535" s="272">
        <f t="shared" si="70"/>
        <v>33809.692799999997</v>
      </c>
      <c r="S535" s="272">
        <f t="shared" si="71"/>
        <v>2125.44</v>
      </c>
    </row>
    <row r="536" spans="1:19" s="270" customFormat="1" x14ac:dyDescent="0.25">
      <c r="A536" s="335">
        <v>501443</v>
      </c>
      <c r="B536" s="271">
        <v>1443</v>
      </c>
      <c r="C536" s="271">
        <v>200034</v>
      </c>
      <c r="D536" s="268" t="s">
        <v>894</v>
      </c>
      <c r="E536" s="268" t="s">
        <v>1290</v>
      </c>
      <c r="F536" s="268" t="s">
        <v>2742</v>
      </c>
      <c r="G536" s="268">
        <v>15</v>
      </c>
      <c r="H536" s="268" t="s">
        <v>3173</v>
      </c>
      <c r="I536" s="268" t="s">
        <v>3133</v>
      </c>
      <c r="J536" s="272">
        <v>187104</v>
      </c>
      <c r="K536" s="272">
        <f t="shared" si="66"/>
        <v>15592</v>
      </c>
      <c r="L536" s="272">
        <f t="shared" si="67"/>
        <v>12141.24</v>
      </c>
      <c r="M536" s="269">
        <v>0</v>
      </c>
      <c r="N536" s="272">
        <f t="shared" si="72"/>
        <v>129.60000000000002</v>
      </c>
      <c r="O536" s="273">
        <v>0</v>
      </c>
      <c r="P536" s="273">
        <f t="shared" si="68"/>
        <v>3274.32</v>
      </c>
      <c r="Q536" s="272">
        <f t="shared" si="69"/>
        <v>60084</v>
      </c>
      <c r="R536" s="272">
        <f t="shared" si="70"/>
        <v>33809.692799999997</v>
      </c>
      <c r="S536" s="272">
        <f t="shared" si="71"/>
        <v>2125.44</v>
      </c>
    </row>
    <row r="537" spans="1:19" s="270" customFormat="1" x14ac:dyDescent="0.25">
      <c r="A537" s="335">
        <v>501406</v>
      </c>
      <c r="B537" s="271">
        <v>1406</v>
      </c>
      <c r="C537" s="271">
        <v>200116</v>
      </c>
      <c r="D537" s="268" t="s">
        <v>894</v>
      </c>
      <c r="E537" s="268" t="s">
        <v>1278</v>
      </c>
      <c r="F537" s="268" t="s">
        <v>3174</v>
      </c>
      <c r="G537" s="268">
        <v>15</v>
      </c>
      <c r="H537" s="268" t="s">
        <v>3175</v>
      </c>
      <c r="I537" s="268" t="s">
        <v>3133</v>
      </c>
      <c r="J537" s="272">
        <v>187104</v>
      </c>
      <c r="K537" s="272">
        <f t="shared" si="66"/>
        <v>15592</v>
      </c>
      <c r="L537" s="272">
        <f t="shared" si="67"/>
        <v>12141.24</v>
      </c>
      <c r="M537" s="269">
        <v>0</v>
      </c>
      <c r="N537" s="272">
        <f t="shared" si="72"/>
        <v>129.60000000000002</v>
      </c>
      <c r="O537" s="273">
        <v>0</v>
      </c>
      <c r="P537" s="273">
        <f t="shared" si="68"/>
        <v>3274.32</v>
      </c>
      <c r="Q537" s="272">
        <f t="shared" si="69"/>
        <v>60084</v>
      </c>
      <c r="R537" s="272">
        <f t="shared" si="70"/>
        <v>33809.692799999997</v>
      </c>
      <c r="S537" s="272">
        <f t="shared" si="71"/>
        <v>2125.44</v>
      </c>
    </row>
    <row r="538" spans="1:19" s="270" customFormat="1" x14ac:dyDescent="0.25">
      <c r="A538" s="335">
        <v>501406</v>
      </c>
      <c r="B538" s="271">
        <v>1406</v>
      </c>
      <c r="C538" s="271">
        <v>200128</v>
      </c>
      <c r="D538" s="268" t="s">
        <v>894</v>
      </c>
      <c r="E538" s="268" t="s">
        <v>1290</v>
      </c>
      <c r="F538" s="268" t="s">
        <v>2584</v>
      </c>
      <c r="G538" s="268">
        <v>15</v>
      </c>
      <c r="H538" s="268" t="s">
        <v>3176</v>
      </c>
      <c r="I538" s="268" t="s">
        <v>3133</v>
      </c>
      <c r="J538" s="272">
        <v>187104</v>
      </c>
      <c r="K538" s="272">
        <f t="shared" si="66"/>
        <v>15592</v>
      </c>
      <c r="L538" s="272">
        <f t="shared" si="67"/>
        <v>12141.24</v>
      </c>
      <c r="M538" s="269">
        <v>0</v>
      </c>
      <c r="N538" s="272">
        <f t="shared" si="72"/>
        <v>129.60000000000002</v>
      </c>
      <c r="O538" s="273">
        <v>0</v>
      </c>
      <c r="P538" s="273">
        <f t="shared" si="68"/>
        <v>3274.32</v>
      </c>
      <c r="Q538" s="272">
        <f t="shared" si="69"/>
        <v>60084</v>
      </c>
      <c r="R538" s="272">
        <f t="shared" si="70"/>
        <v>33809.692799999997</v>
      </c>
      <c r="S538" s="272">
        <f t="shared" si="71"/>
        <v>2125.44</v>
      </c>
    </row>
    <row r="539" spans="1:19" s="270" customFormat="1" x14ac:dyDescent="0.25">
      <c r="A539" s="335">
        <v>501406</v>
      </c>
      <c r="B539" s="271">
        <v>1406</v>
      </c>
      <c r="C539" s="271">
        <v>200130</v>
      </c>
      <c r="D539" s="268" t="s">
        <v>894</v>
      </c>
      <c r="E539" s="268" t="s">
        <v>1290</v>
      </c>
      <c r="F539" s="268" t="s">
        <v>3177</v>
      </c>
      <c r="G539" s="268">
        <v>15</v>
      </c>
      <c r="H539" s="268" t="s">
        <v>3178</v>
      </c>
      <c r="I539" s="268" t="s">
        <v>3133</v>
      </c>
      <c r="J539" s="272">
        <v>187104</v>
      </c>
      <c r="K539" s="272">
        <f t="shared" si="66"/>
        <v>15592</v>
      </c>
      <c r="L539" s="272">
        <f t="shared" si="67"/>
        <v>12141.24</v>
      </c>
      <c r="M539" s="269">
        <v>0</v>
      </c>
      <c r="N539" s="272">
        <f t="shared" si="72"/>
        <v>129.60000000000002</v>
      </c>
      <c r="O539" s="273">
        <v>0</v>
      </c>
      <c r="P539" s="273">
        <f t="shared" si="68"/>
        <v>3274.32</v>
      </c>
      <c r="Q539" s="272">
        <f t="shared" si="69"/>
        <v>60084</v>
      </c>
      <c r="R539" s="272">
        <f t="shared" si="70"/>
        <v>33809.692799999997</v>
      </c>
      <c r="S539" s="272">
        <f t="shared" si="71"/>
        <v>2125.44</v>
      </c>
    </row>
    <row r="540" spans="1:19" s="270" customFormat="1" x14ac:dyDescent="0.25">
      <c r="A540" s="335">
        <v>501506</v>
      </c>
      <c r="B540" s="271">
        <v>1506</v>
      </c>
      <c r="C540" s="271">
        <v>200131</v>
      </c>
      <c r="D540" s="268" t="s">
        <v>894</v>
      </c>
      <c r="E540" s="268" t="s">
        <v>1290</v>
      </c>
      <c r="F540" s="268" t="s">
        <v>3179</v>
      </c>
      <c r="G540" s="268">
        <v>15</v>
      </c>
      <c r="H540" s="268" t="s">
        <v>3180</v>
      </c>
      <c r="I540" s="268" t="s">
        <v>3133</v>
      </c>
      <c r="J540" s="272">
        <v>187104</v>
      </c>
      <c r="K540" s="272">
        <f t="shared" si="66"/>
        <v>15592</v>
      </c>
      <c r="L540" s="272">
        <f t="shared" si="67"/>
        <v>12141.24</v>
      </c>
      <c r="M540" s="269">
        <v>0</v>
      </c>
      <c r="N540" s="272">
        <f t="shared" si="72"/>
        <v>129.60000000000002</v>
      </c>
      <c r="O540" s="273">
        <v>0</v>
      </c>
      <c r="P540" s="273">
        <f t="shared" si="68"/>
        <v>3274.32</v>
      </c>
      <c r="Q540" s="272">
        <f t="shared" si="69"/>
        <v>60084</v>
      </c>
      <c r="R540" s="272">
        <f t="shared" si="70"/>
        <v>33809.692799999997</v>
      </c>
      <c r="S540" s="272">
        <f t="shared" si="71"/>
        <v>2125.44</v>
      </c>
    </row>
    <row r="541" spans="1:19" s="270" customFormat="1" x14ac:dyDescent="0.25">
      <c r="A541" s="335">
        <v>501406</v>
      </c>
      <c r="B541" s="271">
        <v>1406</v>
      </c>
      <c r="C541" s="271">
        <v>200134</v>
      </c>
      <c r="D541" s="268" t="s">
        <v>894</v>
      </c>
      <c r="E541" s="268" t="s">
        <v>1290</v>
      </c>
      <c r="F541" s="268" t="s">
        <v>3181</v>
      </c>
      <c r="G541" s="268">
        <v>15</v>
      </c>
      <c r="H541" s="268" t="s">
        <v>3182</v>
      </c>
      <c r="I541" s="268" t="s">
        <v>3133</v>
      </c>
      <c r="J541" s="272">
        <v>187104</v>
      </c>
      <c r="K541" s="272">
        <f t="shared" si="66"/>
        <v>15592</v>
      </c>
      <c r="L541" s="272">
        <f t="shared" si="67"/>
        <v>12141.24</v>
      </c>
      <c r="M541" s="269">
        <v>0</v>
      </c>
      <c r="N541" s="272">
        <f t="shared" si="72"/>
        <v>129.60000000000002</v>
      </c>
      <c r="O541" s="273">
        <v>0</v>
      </c>
      <c r="P541" s="273">
        <f t="shared" si="68"/>
        <v>3274.32</v>
      </c>
      <c r="Q541" s="272">
        <f t="shared" si="69"/>
        <v>60084</v>
      </c>
      <c r="R541" s="272">
        <f t="shared" si="70"/>
        <v>33809.692799999997</v>
      </c>
      <c r="S541" s="272">
        <f t="shared" si="71"/>
        <v>2125.44</v>
      </c>
    </row>
    <row r="542" spans="1:19" s="270" customFormat="1" x14ac:dyDescent="0.25">
      <c r="A542" s="335">
        <v>501506</v>
      </c>
      <c r="B542" s="271">
        <v>1506</v>
      </c>
      <c r="C542" s="271">
        <v>200148</v>
      </c>
      <c r="D542" s="268" t="s">
        <v>894</v>
      </c>
      <c r="E542" s="268" t="s">
        <v>1278</v>
      </c>
      <c r="F542" s="268" t="s">
        <v>1293</v>
      </c>
      <c r="G542" s="268">
        <v>15</v>
      </c>
      <c r="H542" s="268" t="s">
        <v>3183</v>
      </c>
      <c r="I542" s="268" t="s">
        <v>3133</v>
      </c>
      <c r="J542" s="272">
        <v>187104</v>
      </c>
      <c r="K542" s="272">
        <f t="shared" si="66"/>
        <v>15592</v>
      </c>
      <c r="L542" s="272">
        <f t="shared" si="67"/>
        <v>12141.24</v>
      </c>
      <c r="M542" s="269">
        <v>0</v>
      </c>
      <c r="N542" s="272">
        <f t="shared" si="72"/>
        <v>129.60000000000002</v>
      </c>
      <c r="O542" s="273">
        <v>0</v>
      </c>
      <c r="P542" s="273">
        <f t="shared" si="68"/>
        <v>3274.32</v>
      </c>
      <c r="Q542" s="272">
        <f t="shared" si="69"/>
        <v>60084</v>
      </c>
      <c r="R542" s="272">
        <f t="shared" si="70"/>
        <v>33809.692799999997</v>
      </c>
      <c r="S542" s="272">
        <f t="shared" si="71"/>
        <v>2125.44</v>
      </c>
    </row>
    <row r="543" spans="1:19" s="270" customFormat="1" x14ac:dyDescent="0.25">
      <c r="A543" s="335">
        <v>501506</v>
      </c>
      <c r="B543" s="271">
        <v>1506</v>
      </c>
      <c r="C543" s="271">
        <v>200149</v>
      </c>
      <c r="D543" s="268" t="s">
        <v>894</v>
      </c>
      <c r="E543" s="268" t="s">
        <v>1278</v>
      </c>
      <c r="F543" s="268" t="s">
        <v>3184</v>
      </c>
      <c r="G543" s="268">
        <v>15</v>
      </c>
      <c r="H543" s="268" t="s">
        <v>3185</v>
      </c>
      <c r="I543" s="268" t="s">
        <v>3133</v>
      </c>
      <c r="J543" s="272">
        <v>187104</v>
      </c>
      <c r="K543" s="272">
        <f t="shared" si="66"/>
        <v>15592</v>
      </c>
      <c r="L543" s="272">
        <f t="shared" si="67"/>
        <v>12141.24</v>
      </c>
      <c r="M543" s="269">
        <v>0</v>
      </c>
      <c r="N543" s="272">
        <f t="shared" si="72"/>
        <v>129.60000000000002</v>
      </c>
      <c r="O543" s="273">
        <v>0</v>
      </c>
      <c r="P543" s="273">
        <f t="shared" si="68"/>
        <v>3274.32</v>
      </c>
      <c r="Q543" s="272">
        <f t="shared" si="69"/>
        <v>60084</v>
      </c>
      <c r="R543" s="272">
        <f t="shared" si="70"/>
        <v>33809.692799999997</v>
      </c>
      <c r="S543" s="272">
        <f t="shared" si="71"/>
        <v>2125.44</v>
      </c>
    </row>
    <row r="544" spans="1:19" s="270" customFormat="1" x14ac:dyDescent="0.25">
      <c r="A544" s="335">
        <v>501506</v>
      </c>
      <c r="B544" s="271">
        <v>1506</v>
      </c>
      <c r="C544" s="271">
        <v>200151</v>
      </c>
      <c r="D544" s="268" t="s">
        <v>894</v>
      </c>
      <c r="E544" s="268" t="s">
        <v>1290</v>
      </c>
      <c r="F544" s="268" t="s">
        <v>2742</v>
      </c>
      <c r="G544" s="268">
        <v>15</v>
      </c>
      <c r="H544" s="268" t="s">
        <v>3186</v>
      </c>
      <c r="I544" s="268" t="s">
        <v>3133</v>
      </c>
      <c r="J544" s="272">
        <v>187104</v>
      </c>
      <c r="K544" s="272">
        <f t="shared" si="66"/>
        <v>15592</v>
      </c>
      <c r="L544" s="272">
        <f t="shared" si="67"/>
        <v>12141.24</v>
      </c>
      <c r="M544" s="269">
        <v>0</v>
      </c>
      <c r="N544" s="272">
        <f t="shared" si="72"/>
        <v>129.60000000000002</v>
      </c>
      <c r="O544" s="273">
        <v>0</v>
      </c>
      <c r="P544" s="273">
        <f t="shared" si="68"/>
        <v>3274.32</v>
      </c>
      <c r="Q544" s="272">
        <f t="shared" si="69"/>
        <v>60084</v>
      </c>
      <c r="R544" s="272">
        <f t="shared" si="70"/>
        <v>33809.692799999997</v>
      </c>
      <c r="S544" s="272">
        <f t="shared" si="71"/>
        <v>2125.44</v>
      </c>
    </row>
    <row r="545" spans="1:21" s="270" customFormat="1" x14ac:dyDescent="0.25">
      <c r="A545" s="335">
        <v>501506</v>
      </c>
      <c r="B545" s="271">
        <v>1506</v>
      </c>
      <c r="C545" s="271">
        <v>200152</v>
      </c>
      <c r="D545" s="268" t="s">
        <v>894</v>
      </c>
      <c r="E545" s="268" t="s">
        <v>1290</v>
      </c>
      <c r="F545" s="268" t="s">
        <v>2311</v>
      </c>
      <c r="G545" s="268">
        <v>15</v>
      </c>
      <c r="H545" s="268" t="s">
        <v>3187</v>
      </c>
      <c r="I545" s="268" t="s">
        <v>3133</v>
      </c>
      <c r="J545" s="272">
        <v>187104</v>
      </c>
      <c r="K545" s="272">
        <f t="shared" si="66"/>
        <v>15592</v>
      </c>
      <c r="L545" s="272">
        <f t="shared" si="67"/>
        <v>12141.24</v>
      </c>
      <c r="M545" s="269">
        <v>0</v>
      </c>
      <c r="N545" s="272">
        <f t="shared" si="72"/>
        <v>129.60000000000002</v>
      </c>
      <c r="O545" s="273">
        <v>0</v>
      </c>
      <c r="P545" s="273">
        <f t="shared" si="68"/>
        <v>3274.32</v>
      </c>
      <c r="Q545" s="272">
        <f t="shared" si="69"/>
        <v>60084</v>
      </c>
      <c r="R545" s="272">
        <f t="shared" si="70"/>
        <v>33809.692799999997</v>
      </c>
      <c r="S545" s="272">
        <f t="shared" si="71"/>
        <v>2125.44</v>
      </c>
    </row>
    <row r="546" spans="1:21" s="270" customFormat="1" x14ac:dyDescent="0.25">
      <c r="A546" s="335">
        <v>501445</v>
      </c>
      <c r="B546" s="271">
        <v>1445</v>
      </c>
      <c r="C546" s="271">
        <v>200153</v>
      </c>
      <c r="D546" s="268" t="s">
        <v>894</v>
      </c>
      <c r="E546" s="268" t="s">
        <v>1278</v>
      </c>
      <c r="F546" s="268" t="s">
        <v>3188</v>
      </c>
      <c r="G546" s="268">
        <v>15</v>
      </c>
      <c r="H546" s="268" t="s">
        <v>3189</v>
      </c>
      <c r="I546" s="268" t="s">
        <v>3133</v>
      </c>
      <c r="J546" s="272">
        <v>187104</v>
      </c>
      <c r="K546" s="272">
        <f t="shared" si="66"/>
        <v>15592</v>
      </c>
      <c r="L546" s="272">
        <f t="shared" si="67"/>
        <v>12141.24</v>
      </c>
      <c r="M546" s="269">
        <v>0</v>
      </c>
      <c r="N546" s="272">
        <f t="shared" si="72"/>
        <v>129.60000000000002</v>
      </c>
      <c r="O546" s="273">
        <v>0</v>
      </c>
      <c r="P546" s="273">
        <f t="shared" si="68"/>
        <v>3274.32</v>
      </c>
      <c r="Q546" s="272">
        <f t="shared" si="69"/>
        <v>60084</v>
      </c>
      <c r="R546" s="272">
        <f t="shared" si="70"/>
        <v>33809.692799999997</v>
      </c>
      <c r="S546" s="272">
        <f t="shared" si="71"/>
        <v>2125.44</v>
      </c>
    </row>
    <row r="547" spans="1:21" s="270" customFormat="1" x14ac:dyDescent="0.25">
      <c r="A547" s="335">
        <v>501506</v>
      </c>
      <c r="B547" s="271">
        <v>1506</v>
      </c>
      <c r="C547" s="271">
        <v>200154</v>
      </c>
      <c r="D547" s="268" t="s">
        <v>894</v>
      </c>
      <c r="E547" s="268" t="s">
        <v>1290</v>
      </c>
      <c r="F547" s="268" t="s">
        <v>3190</v>
      </c>
      <c r="G547" s="268">
        <v>15</v>
      </c>
      <c r="H547" s="268" t="s">
        <v>2839</v>
      </c>
      <c r="I547" s="268" t="s">
        <v>3133</v>
      </c>
      <c r="J547" s="272">
        <v>187104</v>
      </c>
      <c r="K547" s="272">
        <f t="shared" si="66"/>
        <v>15592</v>
      </c>
      <c r="L547" s="272">
        <f t="shared" si="67"/>
        <v>12141.24</v>
      </c>
      <c r="M547" s="269">
        <v>0</v>
      </c>
      <c r="N547" s="272">
        <f t="shared" si="72"/>
        <v>129.60000000000002</v>
      </c>
      <c r="O547" s="273">
        <v>0</v>
      </c>
      <c r="P547" s="273">
        <f t="shared" si="68"/>
        <v>3274.32</v>
      </c>
      <c r="Q547" s="272">
        <f t="shared" si="69"/>
        <v>60084</v>
      </c>
      <c r="R547" s="272">
        <f t="shared" si="70"/>
        <v>33809.692799999997</v>
      </c>
      <c r="S547" s="272">
        <f t="shared" si="71"/>
        <v>2125.44</v>
      </c>
    </row>
    <row r="548" spans="1:21" s="270" customFormat="1" x14ac:dyDescent="0.25">
      <c r="A548" s="335">
        <v>117101</v>
      </c>
      <c r="B548" s="271">
        <v>1406</v>
      </c>
      <c r="C548" s="271">
        <v>200159</v>
      </c>
      <c r="D548" s="268" t="s">
        <v>894</v>
      </c>
      <c r="E548" s="268" t="s">
        <v>1278</v>
      </c>
      <c r="F548" s="268" t="s">
        <v>3191</v>
      </c>
      <c r="G548" s="268">
        <v>15</v>
      </c>
      <c r="H548" s="268" t="s">
        <v>3192</v>
      </c>
      <c r="I548" s="268" t="s">
        <v>3133</v>
      </c>
      <c r="J548" s="272">
        <v>187104</v>
      </c>
      <c r="K548" s="272">
        <f t="shared" si="66"/>
        <v>15592</v>
      </c>
      <c r="L548" s="272">
        <f t="shared" si="67"/>
        <v>12141.24</v>
      </c>
      <c r="M548" s="269">
        <v>0</v>
      </c>
      <c r="N548" s="272">
        <f t="shared" si="72"/>
        <v>129.60000000000002</v>
      </c>
      <c r="O548" s="273">
        <v>0</v>
      </c>
      <c r="P548" s="273">
        <f t="shared" si="68"/>
        <v>3274.32</v>
      </c>
      <c r="Q548" s="272">
        <f t="shared" si="69"/>
        <v>60084</v>
      </c>
      <c r="R548" s="272">
        <f t="shared" si="70"/>
        <v>33809.692799999997</v>
      </c>
      <c r="S548" s="272">
        <f t="shared" si="71"/>
        <v>2125.44</v>
      </c>
    </row>
    <row r="549" spans="1:21" s="270" customFormat="1" x14ac:dyDescent="0.25">
      <c r="A549" s="335">
        <v>501406</v>
      </c>
      <c r="B549" s="271">
        <v>1406</v>
      </c>
      <c r="C549" s="271">
        <v>200174</v>
      </c>
      <c r="D549" s="268" t="s">
        <v>894</v>
      </c>
      <c r="E549" s="268" t="s">
        <v>1278</v>
      </c>
      <c r="F549" s="268" t="s">
        <v>2266</v>
      </c>
      <c r="G549" s="268">
        <v>15</v>
      </c>
      <c r="H549" s="268" t="s">
        <v>3193</v>
      </c>
      <c r="I549" s="268" t="s">
        <v>3133</v>
      </c>
      <c r="J549" s="272">
        <v>187104</v>
      </c>
      <c r="K549" s="272">
        <f t="shared" si="66"/>
        <v>15592</v>
      </c>
      <c r="L549" s="272">
        <f t="shared" si="67"/>
        <v>12141.24</v>
      </c>
      <c r="M549" s="269">
        <v>0</v>
      </c>
      <c r="N549" s="272">
        <f t="shared" si="72"/>
        <v>129.60000000000002</v>
      </c>
      <c r="O549" s="273">
        <v>0</v>
      </c>
      <c r="P549" s="273">
        <f t="shared" si="68"/>
        <v>3274.32</v>
      </c>
      <c r="Q549" s="272">
        <f t="shared" si="69"/>
        <v>60084</v>
      </c>
      <c r="R549" s="272">
        <f t="shared" si="70"/>
        <v>33809.692799999997</v>
      </c>
      <c r="S549" s="272">
        <f t="shared" si="71"/>
        <v>2125.44</v>
      </c>
    </row>
    <row r="550" spans="1:21" s="270" customFormat="1" x14ac:dyDescent="0.25">
      <c r="A550" s="335">
        <v>501506</v>
      </c>
      <c r="B550" s="271">
        <v>1506</v>
      </c>
      <c r="C550" s="271">
        <v>200406</v>
      </c>
      <c r="D550" s="268" t="s">
        <v>894</v>
      </c>
      <c r="E550" s="268" t="s">
        <v>1290</v>
      </c>
      <c r="F550" s="268" t="s">
        <v>2753</v>
      </c>
      <c r="G550" s="268">
        <v>15</v>
      </c>
      <c r="H550" s="268" t="s">
        <v>3194</v>
      </c>
      <c r="I550" s="268" t="s">
        <v>3195</v>
      </c>
      <c r="J550" s="272">
        <v>187104</v>
      </c>
      <c r="K550" s="272">
        <f t="shared" si="66"/>
        <v>15592</v>
      </c>
      <c r="L550" s="272">
        <f t="shared" si="67"/>
        <v>12141.24</v>
      </c>
      <c r="M550" s="269">
        <v>0</v>
      </c>
      <c r="N550" s="272">
        <f t="shared" si="72"/>
        <v>129.60000000000002</v>
      </c>
      <c r="O550" s="273">
        <v>0</v>
      </c>
      <c r="P550" s="273">
        <f t="shared" si="68"/>
        <v>3274.32</v>
      </c>
      <c r="Q550" s="272">
        <f t="shared" si="69"/>
        <v>60084</v>
      </c>
      <c r="R550" s="272">
        <f t="shared" si="70"/>
        <v>33809.692799999997</v>
      </c>
      <c r="S550" s="272">
        <f t="shared" si="71"/>
        <v>2125.44</v>
      </c>
    </row>
    <row r="551" spans="1:21" s="270" customFormat="1" x14ac:dyDescent="0.25">
      <c r="A551" s="335">
        <v>501443</v>
      </c>
      <c r="B551" s="271">
        <v>1443</v>
      </c>
      <c r="C551" s="271">
        <v>200300</v>
      </c>
      <c r="D551" s="268" t="s">
        <v>894</v>
      </c>
      <c r="E551" s="268" t="s">
        <v>1290</v>
      </c>
      <c r="F551" s="268" t="s">
        <v>2725</v>
      </c>
      <c r="G551" s="268">
        <v>13</v>
      </c>
      <c r="H551" s="268" t="s">
        <v>3196</v>
      </c>
      <c r="I551" s="268" t="s">
        <v>3197</v>
      </c>
      <c r="J551" s="272">
        <v>183336</v>
      </c>
      <c r="K551" s="272">
        <f t="shared" si="66"/>
        <v>15278</v>
      </c>
      <c r="L551" s="272">
        <f t="shared" si="67"/>
        <v>12141.24</v>
      </c>
      <c r="M551" s="269">
        <v>0</v>
      </c>
      <c r="N551" s="272">
        <f t="shared" si="72"/>
        <v>129.60000000000002</v>
      </c>
      <c r="O551" s="273">
        <v>0</v>
      </c>
      <c r="P551" s="273">
        <f t="shared" si="68"/>
        <v>3208.38</v>
      </c>
      <c r="Q551" s="272">
        <f t="shared" si="69"/>
        <v>60084</v>
      </c>
      <c r="R551" s="272">
        <f t="shared" si="70"/>
        <v>33128.815199999997</v>
      </c>
      <c r="S551" s="272">
        <f t="shared" si="71"/>
        <v>2125.44</v>
      </c>
    </row>
    <row r="552" spans="1:21" s="270" customFormat="1" x14ac:dyDescent="0.25">
      <c r="A552" s="335">
        <v>501445</v>
      </c>
      <c r="B552" s="271">
        <v>1445</v>
      </c>
      <c r="C552" s="271">
        <v>200440</v>
      </c>
      <c r="D552" s="268" t="s">
        <v>894</v>
      </c>
      <c r="E552" s="268" t="s">
        <v>1290</v>
      </c>
      <c r="F552" s="268" t="s">
        <v>2411</v>
      </c>
      <c r="G552" s="268">
        <v>13</v>
      </c>
      <c r="H552" s="268" t="s">
        <v>3198</v>
      </c>
      <c r="I552" s="268" t="s">
        <v>3197</v>
      </c>
      <c r="J552" s="272">
        <v>183336</v>
      </c>
      <c r="K552" s="272">
        <f t="shared" si="66"/>
        <v>15278</v>
      </c>
      <c r="L552" s="272">
        <f t="shared" si="67"/>
        <v>12141.24</v>
      </c>
      <c r="M552" s="269">
        <v>0</v>
      </c>
      <c r="N552" s="272">
        <f t="shared" si="72"/>
        <v>129.60000000000002</v>
      </c>
      <c r="O552" s="273">
        <v>0</v>
      </c>
      <c r="P552" s="273">
        <f t="shared" si="68"/>
        <v>3208.38</v>
      </c>
      <c r="Q552" s="272">
        <f t="shared" si="69"/>
        <v>60084</v>
      </c>
      <c r="R552" s="272">
        <f t="shared" si="70"/>
        <v>33128.815199999997</v>
      </c>
      <c r="S552" s="272">
        <f t="shared" si="71"/>
        <v>2125.44</v>
      </c>
    </row>
    <row r="553" spans="1:21" s="270" customFormat="1" x14ac:dyDescent="0.25">
      <c r="A553" s="335">
        <v>501505</v>
      </c>
      <c r="B553" s="271">
        <v>1505</v>
      </c>
      <c r="C553" s="271">
        <v>8277</v>
      </c>
      <c r="D553" s="268" t="s">
        <v>894</v>
      </c>
      <c r="E553" s="268" t="s">
        <v>1290</v>
      </c>
      <c r="F553" s="268" t="s">
        <v>3199</v>
      </c>
      <c r="G553" s="268">
        <v>15</v>
      </c>
      <c r="H553" s="268" t="s">
        <v>3200</v>
      </c>
      <c r="I553" s="268" t="s">
        <v>3201</v>
      </c>
      <c r="J553" s="272">
        <v>179496</v>
      </c>
      <c r="K553" s="272">
        <f t="shared" si="66"/>
        <v>14958</v>
      </c>
      <c r="L553" s="272">
        <f t="shared" si="67"/>
        <v>12141.24</v>
      </c>
      <c r="M553" s="269">
        <v>0</v>
      </c>
      <c r="N553" s="272">
        <f t="shared" si="72"/>
        <v>129.60000000000002</v>
      </c>
      <c r="O553" s="273">
        <v>0</v>
      </c>
      <c r="P553" s="273">
        <f t="shared" si="68"/>
        <v>3141.1800000000003</v>
      </c>
      <c r="Q553" s="272">
        <f t="shared" si="69"/>
        <v>60084</v>
      </c>
      <c r="R553" s="272">
        <f t="shared" si="70"/>
        <v>32434.927199999998</v>
      </c>
      <c r="S553" s="272">
        <f t="shared" si="71"/>
        <v>2125.44</v>
      </c>
      <c r="T553" s="277"/>
      <c r="U553" s="277"/>
    </row>
    <row r="554" spans="1:21" s="270" customFormat="1" x14ac:dyDescent="0.25">
      <c r="A554" s="335">
        <v>501443</v>
      </c>
      <c r="B554" s="271">
        <v>1443</v>
      </c>
      <c r="C554" s="271">
        <v>83616</v>
      </c>
      <c r="D554" s="268" t="s">
        <v>894</v>
      </c>
      <c r="E554" s="268" t="s">
        <v>1290</v>
      </c>
      <c r="F554" s="268" t="s">
        <v>2731</v>
      </c>
      <c r="G554" s="268">
        <v>15</v>
      </c>
      <c r="H554" s="268" t="s">
        <v>3202</v>
      </c>
      <c r="I554" s="268" t="s">
        <v>3201</v>
      </c>
      <c r="J554" s="272">
        <v>179496</v>
      </c>
      <c r="K554" s="272">
        <f t="shared" si="66"/>
        <v>14958</v>
      </c>
      <c r="L554" s="272">
        <f t="shared" si="67"/>
        <v>12141.24</v>
      </c>
      <c r="M554" s="269">
        <v>0</v>
      </c>
      <c r="N554" s="272">
        <f t="shared" si="72"/>
        <v>129.60000000000002</v>
      </c>
      <c r="O554" s="273">
        <v>0</v>
      </c>
      <c r="P554" s="273">
        <f t="shared" si="68"/>
        <v>3141.1800000000003</v>
      </c>
      <c r="Q554" s="272">
        <f t="shared" si="69"/>
        <v>60084</v>
      </c>
      <c r="R554" s="272">
        <f t="shared" si="70"/>
        <v>32434.927199999998</v>
      </c>
      <c r="S554" s="272">
        <f t="shared" si="71"/>
        <v>2125.44</v>
      </c>
    </row>
    <row r="555" spans="1:21" s="270" customFormat="1" x14ac:dyDescent="0.25">
      <c r="A555" s="335">
        <v>501443</v>
      </c>
      <c r="B555" s="271">
        <v>1443</v>
      </c>
      <c r="C555" s="271">
        <v>83713</v>
      </c>
      <c r="D555" s="268" t="s">
        <v>894</v>
      </c>
      <c r="E555" s="268" t="s">
        <v>1278</v>
      </c>
      <c r="F555" s="268" t="s">
        <v>3203</v>
      </c>
      <c r="G555" s="268">
        <v>15</v>
      </c>
      <c r="H555" s="268" t="s">
        <v>3204</v>
      </c>
      <c r="I555" s="268" t="s">
        <v>3201</v>
      </c>
      <c r="J555" s="272">
        <v>179496</v>
      </c>
      <c r="K555" s="272">
        <f t="shared" si="66"/>
        <v>14958</v>
      </c>
      <c r="L555" s="272">
        <f t="shared" si="67"/>
        <v>12141.24</v>
      </c>
      <c r="M555" s="269">
        <v>0</v>
      </c>
      <c r="N555" s="272">
        <f t="shared" si="72"/>
        <v>129.60000000000002</v>
      </c>
      <c r="O555" s="273">
        <v>0</v>
      </c>
      <c r="P555" s="273">
        <f t="shared" si="68"/>
        <v>3141.1800000000003</v>
      </c>
      <c r="Q555" s="272">
        <f t="shared" si="69"/>
        <v>60084</v>
      </c>
      <c r="R555" s="272">
        <f t="shared" si="70"/>
        <v>32434.927199999998</v>
      </c>
      <c r="S555" s="272">
        <f t="shared" si="71"/>
        <v>2125.44</v>
      </c>
    </row>
    <row r="556" spans="1:21" s="270" customFormat="1" x14ac:dyDescent="0.25">
      <c r="A556" s="335">
        <v>501444</v>
      </c>
      <c r="B556" s="271">
        <v>1444</v>
      </c>
      <c r="C556" s="271">
        <v>85591</v>
      </c>
      <c r="D556" s="268" t="s">
        <v>894</v>
      </c>
      <c r="E556" s="268" t="s">
        <v>1278</v>
      </c>
      <c r="F556" s="268" t="s">
        <v>2768</v>
      </c>
      <c r="G556" s="268">
        <v>15</v>
      </c>
      <c r="H556" s="268" t="s">
        <v>3205</v>
      </c>
      <c r="I556" s="268" t="s">
        <v>3201</v>
      </c>
      <c r="J556" s="272">
        <v>179496</v>
      </c>
      <c r="K556" s="272">
        <f t="shared" si="66"/>
        <v>14958</v>
      </c>
      <c r="L556" s="272">
        <f t="shared" si="67"/>
        <v>12141.24</v>
      </c>
      <c r="M556" s="269">
        <v>0</v>
      </c>
      <c r="N556" s="272">
        <f t="shared" si="72"/>
        <v>129.60000000000002</v>
      </c>
      <c r="O556" s="273">
        <v>0</v>
      </c>
      <c r="P556" s="273">
        <f t="shared" si="68"/>
        <v>3141.1800000000003</v>
      </c>
      <c r="Q556" s="272">
        <f t="shared" si="69"/>
        <v>60084</v>
      </c>
      <c r="R556" s="272">
        <f t="shared" si="70"/>
        <v>32434.927199999998</v>
      </c>
      <c r="S556" s="272">
        <f t="shared" si="71"/>
        <v>2125.44</v>
      </c>
    </row>
    <row r="557" spans="1:21" s="270" customFormat="1" x14ac:dyDescent="0.25">
      <c r="A557" s="335">
        <v>501406</v>
      </c>
      <c r="B557" s="271">
        <v>1406</v>
      </c>
      <c r="C557" s="271">
        <v>85821</v>
      </c>
      <c r="D557" s="268" t="s">
        <v>894</v>
      </c>
      <c r="E557" s="268" t="s">
        <v>1278</v>
      </c>
      <c r="F557" s="268" t="s">
        <v>3206</v>
      </c>
      <c r="G557" s="268">
        <v>15</v>
      </c>
      <c r="H557" s="268" t="s">
        <v>3207</v>
      </c>
      <c r="I557" s="268" t="s">
        <v>3201</v>
      </c>
      <c r="J557" s="272">
        <v>179496</v>
      </c>
      <c r="K557" s="272">
        <f t="shared" si="66"/>
        <v>14958</v>
      </c>
      <c r="L557" s="272">
        <f t="shared" si="67"/>
        <v>12141.24</v>
      </c>
      <c r="M557" s="269">
        <v>0</v>
      </c>
      <c r="N557" s="272">
        <f t="shared" si="72"/>
        <v>129.60000000000002</v>
      </c>
      <c r="O557" s="273">
        <v>0</v>
      </c>
      <c r="P557" s="273">
        <f t="shared" si="68"/>
        <v>3141.1800000000003</v>
      </c>
      <c r="Q557" s="272">
        <f t="shared" si="69"/>
        <v>60084</v>
      </c>
      <c r="R557" s="272">
        <f t="shared" si="70"/>
        <v>32434.927199999998</v>
      </c>
      <c r="S557" s="272">
        <f t="shared" si="71"/>
        <v>2125.44</v>
      </c>
    </row>
    <row r="558" spans="1:21" s="270" customFormat="1" x14ac:dyDescent="0.25">
      <c r="A558" s="335">
        <v>501443</v>
      </c>
      <c r="B558" s="271">
        <v>1443</v>
      </c>
      <c r="C558" s="271">
        <v>200031</v>
      </c>
      <c r="D558" s="268" t="s">
        <v>894</v>
      </c>
      <c r="E558" s="268" t="s">
        <v>1290</v>
      </c>
      <c r="F558" s="268" t="s">
        <v>1304</v>
      </c>
      <c r="G558" s="268">
        <v>15</v>
      </c>
      <c r="H558" s="268" t="s">
        <v>3208</v>
      </c>
      <c r="I558" s="268" t="s">
        <v>3133</v>
      </c>
      <c r="J558" s="272">
        <v>179496</v>
      </c>
      <c r="K558" s="272">
        <f t="shared" si="66"/>
        <v>14958</v>
      </c>
      <c r="L558" s="272">
        <f t="shared" si="67"/>
        <v>12141.24</v>
      </c>
      <c r="M558" s="269">
        <v>0</v>
      </c>
      <c r="N558" s="272">
        <f t="shared" si="72"/>
        <v>129.60000000000002</v>
      </c>
      <c r="O558" s="273">
        <v>0</v>
      </c>
      <c r="P558" s="273">
        <f t="shared" si="68"/>
        <v>3141.1800000000003</v>
      </c>
      <c r="Q558" s="272">
        <f t="shared" si="69"/>
        <v>60084</v>
      </c>
      <c r="R558" s="272">
        <f t="shared" si="70"/>
        <v>32434.927199999998</v>
      </c>
      <c r="S558" s="272">
        <f t="shared" si="71"/>
        <v>2125.44</v>
      </c>
    </row>
    <row r="559" spans="1:21" s="270" customFormat="1" x14ac:dyDescent="0.25">
      <c r="A559" s="335">
        <v>501443</v>
      </c>
      <c r="B559" s="271">
        <v>1443</v>
      </c>
      <c r="C559" s="271">
        <v>54784</v>
      </c>
      <c r="D559" s="268" t="s">
        <v>894</v>
      </c>
      <c r="E559" s="268" t="s">
        <v>1290</v>
      </c>
      <c r="F559" s="268" t="s">
        <v>2508</v>
      </c>
      <c r="G559" s="268">
        <v>15</v>
      </c>
      <c r="H559" s="268" t="s">
        <v>3209</v>
      </c>
      <c r="I559" s="268" t="s">
        <v>3201</v>
      </c>
      <c r="J559" s="272">
        <v>179496</v>
      </c>
      <c r="K559" s="272">
        <f t="shared" si="66"/>
        <v>14958</v>
      </c>
      <c r="L559" s="272">
        <f t="shared" si="67"/>
        <v>12141.24</v>
      </c>
      <c r="M559" s="269">
        <v>0</v>
      </c>
      <c r="N559" s="272">
        <f t="shared" si="72"/>
        <v>129.60000000000002</v>
      </c>
      <c r="O559" s="273">
        <v>0</v>
      </c>
      <c r="P559" s="273">
        <f t="shared" si="68"/>
        <v>3141.1800000000003</v>
      </c>
      <c r="Q559" s="272">
        <f t="shared" si="69"/>
        <v>60084</v>
      </c>
      <c r="R559" s="272">
        <f t="shared" si="70"/>
        <v>32434.927199999998</v>
      </c>
      <c r="S559" s="272">
        <f t="shared" si="71"/>
        <v>2125.44</v>
      </c>
    </row>
    <row r="560" spans="1:21" s="270" customFormat="1" x14ac:dyDescent="0.25">
      <c r="A560" s="335">
        <v>501443</v>
      </c>
      <c r="B560" s="271">
        <v>1443</v>
      </c>
      <c r="C560" s="271">
        <v>41276</v>
      </c>
      <c r="D560" s="268" t="s">
        <v>894</v>
      </c>
      <c r="E560" s="268" t="s">
        <v>1290</v>
      </c>
      <c r="F560" s="268" t="s">
        <v>3210</v>
      </c>
      <c r="G560" s="268">
        <v>16</v>
      </c>
      <c r="H560" s="268" t="s">
        <v>3211</v>
      </c>
      <c r="I560" s="268" t="s">
        <v>3201</v>
      </c>
      <c r="J560" s="272">
        <v>179112</v>
      </c>
      <c r="K560" s="272">
        <f t="shared" si="66"/>
        <v>14926</v>
      </c>
      <c r="L560" s="272">
        <f t="shared" si="67"/>
        <v>12141.24</v>
      </c>
      <c r="M560" s="269">
        <v>0</v>
      </c>
      <c r="N560" s="272">
        <f t="shared" si="72"/>
        <v>129.60000000000002</v>
      </c>
      <c r="O560" s="273">
        <v>0</v>
      </c>
      <c r="P560" s="273">
        <f t="shared" si="68"/>
        <v>3134.4600000000005</v>
      </c>
      <c r="Q560" s="272">
        <f t="shared" si="69"/>
        <v>60084</v>
      </c>
      <c r="R560" s="272">
        <f t="shared" si="70"/>
        <v>32365.538400000001</v>
      </c>
      <c r="S560" s="272">
        <f t="shared" si="71"/>
        <v>2125.44</v>
      </c>
    </row>
    <row r="561" spans="1:21" s="270" customFormat="1" x14ac:dyDescent="0.25">
      <c r="A561" s="335">
        <v>501443</v>
      </c>
      <c r="B561" s="271">
        <v>1443</v>
      </c>
      <c r="C561" s="271">
        <v>44370</v>
      </c>
      <c r="D561" s="268" t="s">
        <v>894</v>
      </c>
      <c r="E561" s="268" t="s">
        <v>1290</v>
      </c>
      <c r="F561" s="268" t="s">
        <v>2950</v>
      </c>
      <c r="G561" s="268">
        <v>16</v>
      </c>
      <c r="H561" s="268" t="s">
        <v>3212</v>
      </c>
      <c r="I561" s="268" t="s">
        <v>3201</v>
      </c>
      <c r="J561" s="272">
        <v>179112</v>
      </c>
      <c r="K561" s="272">
        <f t="shared" si="66"/>
        <v>14926</v>
      </c>
      <c r="L561" s="272">
        <f t="shared" si="67"/>
        <v>12141.24</v>
      </c>
      <c r="M561" s="269">
        <v>0</v>
      </c>
      <c r="N561" s="272">
        <f t="shared" si="72"/>
        <v>129.60000000000002</v>
      </c>
      <c r="O561" s="273">
        <v>0</v>
      </c>
      <c r="P561" s="273">
        <f t="shared" si="68"/>
        <v>3134.4600000000005</v>
      </c>
      <c r="Q561" s="272">
        <f t="shared" si="69"/>
        <v>60084</v>
      </c>
      <c r="R561" s="272">
        <f t="shared" si="70"/>
        <v>32365.538400000001</v>
      </c>
      <c r="S561" s="272">
        <f t="shared" si="71"/>
        <v>2125.44</v>
      </c>
    </row>
    <row r="562" spans="1:21" s="270" customFormat="1" x14ac:dyDescent="0.25">
      <c r="A562" s="335">
        <v>501443</v>
      </c>
      <c r="B562" s="271">
        <v>1443</v>
      </c>
      <c r="C562" s="271">
        <v>47623</v>
      </c>
      <c r="D562" s="268" t="s">
        <v>894</v>
      </c>
      <c r="E562" s="268" t="s">
        <v>1290</v>
      </c>
      <c r="F562" s="268" t="s">
        <v>2558</v>
      </c>
      <c r="G562" s="268">
        <v>16</v>
      </c>
      <c r="H562" s="268" t="s">
        <v>3213</v>
      </c>
      <c r="I562" s="268" t="s">
        <v>3201</v>
      </c>
      <c r="J562" s="272">
        <v>179112</v>
      </c>
      <c r="K562" s="272">
        <f t="shared" si="66"/>
        <v>14926</v>
      </c>
      <c r="L562" s="272">
        <f t="shared" si="67"/>
        <v>12141.24</v>
      </c>
      <c r="M562" s="269">
        <v>0</v>
      </c>
      <c r="N562" s="272">
        <f t="shared" si="72"/>
        <v>129.60000000000002</v>
      </c>
      <c r="O562" s="273">
        <v>0</v>
      </c>
      <c r="P562" s="273">
        <f t="shared" si="68"/>
        <v>3134.4600000000005</v>
      </c>
      <c r="Q562" s="272">
        <f t="shared" si="69"/>
        <v>60084</v>
      </c>
      <c r="R562" s="272">
        <f t="shared" si="70"/>
        <v>32365.538400000001</v>
      </c>
      <c r="S562" s="272">
        <f t="shared" si="71"/>
        <v>2125.44</v>
      </c>
    </row>
    <row r="563" spans="1:21" s="270" customFormat="1" x14ac:dyDescent="0.25">
      <c r="A563" s="335">
        <v>501443</v>
      </c>
      <c r="B563" s="271">
        <v>1443</v>
      </c>
      <c r="C563" s="271">
        <v>58450</v>
      </c>
      <c r="D563" s="268" t="s">
        <v>894</v>
      </c>
      <c r="E563" s="268" t="s">
        <v>1290</v>
      </c>
      <c r="F563" s="268" t="s">
        <v>2768</v>
      </c>
      <c r="G563" s="268">
        <v>16</v>
      </c>
      <c r="H563" s="268" t="s">
        <v>3214</v>
      </c>
      <c r="I563" s="268" t="s">
        <v>3201</v>
      </c>
      <c r="J563" s="272">
        <v>179112</v>
      </c>
      <c r="K563" s="272">
        <f t="shared" si="66"/>
        <v>14926</v>
      </c>
      <c r="L563" s="272">
        <f t="shared" si="67"/>
        <v>12141.24</v>
      </c>
      <c r="M563" s="269">
        <v>0</v>
      </c>
      <c r="N563" s="272">
        <f t="shared" si="72"/>
        <v>129.60000000000002</v>
      </c>
      <c r="O563" s="273">
        <v>0</v>
      </c>
      <c r="P563" s="273">
        <f t="shared" si="68"/>
        <v>3134.4600000000005</v>
      </c>
      <c r="Q563" s="272">
        <f t="shared" si="69"/>
        <v>60084</v>
      </c>
      <c r="R563" s="272">
        <f t="shared" si="70"/>
        <v>32365.538400000001</v>
      </c>
      <c r="S563" s="272">
        <f t="shared" si="71"/>
        <v>2125.44</v>
      </c>
    </row>
    <row r="564" spans="1:21" s="270" customFormat="1" x14ac:dyDescent="0.25">
      <c r="A564" s="335">
        <v>501443</v>
      </c>
      <c r="B564" s="271">
        <v>1443</v>
      </c>
      <c r="C564" s="271">
        <v>83674</v>
      </c>
      <c r="D564" s="268" t="s">
        <v>894</v>
      </c>
      <c r="E564" s="268" t="s">
        <v>1290</v>
      </c>
      <c r="F564" s="268" t="s">
        <v>3215</v>
      </c>
      <c r="G564" s="268">
        <v>16</v>
      </c>
      <c r="H564" s="268" t="s">
        <v>2638</v>
      </c>
      <c r="I564" s="268" t="s">
        <v>3201</v>
      </c>
      <c r="J564" s="272">
        <v>179112</v>
      </c>
      <c r="K564" s="272">
        <f t="shared" si="66"/>
        <v>14926</v>
      </c>
      <c r="L564" s="272">
        <f t="shared" si="67"/>
        <v>12141.24</v>
      </c>
      <c r="M564" s="269">
        <v>0</v>
      </c>
      <c r="N564" s="272">
        <f t="shared" si="72"/>
        <v>129.60000000000002</v>
      </c>
      <c r="O564" s="273">
        <v>0</v>
      </c>
      <c r="P564" s="273">
        <f t="shared" si="68"/>
        <v>3134.4600000000005</v>
      </c>
      <c r="Q564" s="272">
        <f t="shared" si="69"/>
        <v>60084</v>
      </c>
      <c r="R564" s="272">
        <f t="shared" si="70"/>
        <v>32365.538400000001</v>
      </c>
      <c r="S564" s="272">
        <f t="shared" si="71"/>
        <v>2125.44</v>
      </c>
    </row>
    <row r="565" spans="1:21" s="270" customFormat="1" x14ac:dyDescent="0.25">
      <c r="A565" s="335">
        <v>501443</v>
      </c>
      <c r="B565" s="271">
        <v>1443</v>
      </c>
      <c r="C565" s="271">
        <v>83687</v>
      </c>
      <c r="D565" s="268" t="s">
        <v>894</v>
      </c>
      <c r="E565" s="268" t="s">
        <v>1290</v>
      </c>
      <c r="F565" s="268" t="s">
        <v>2565</v>
      </c>
      <c r="G565" s="268">
        <v>16</v>
      </c>
      <c r="H565" s="268" t="s">
        <v>3216</v>
      </c>
      <c r="I565" s="268" t="s">
        <v>3201</v>
      </c>
      <c r="J565" s="272">
        <v>179112</v>
      </c>
      <c r="K565" s="272">
        <f t="shared" si="66"/>
        <v>14926</v>
      </c>
      <c r="L565" s="272">
        <f t="shared" si="67"/>
        <v>12141.24</v>
      </c>
      <c r="M565" s="269">
        <v>0</v>
      </c>
      <c r="N565" s="272">
        <f t="shared" si="72"/>
        <v>129.60000000000002</v>
      </c>
      <c r="O565" s="273">
        <v>0</v>
      </c>
      <c r="P565" s="273">
        <f t="shared" si="68"/>
        <v>3134.4600000000005</v>
      </c>
      <c r="Q565" s="272">
        <f t="shared" si="69"/>
        <v>60084</v>
      </c>
      <c r="R565" s="272">
        <f t="shared" si="70"/>
        <v>32365.538400000001</v>
      </c>
      <c r="S565" s="272">
        <f t="shared" si="71"/>
        <v>2125.44</v>
      </c>
    </row>
    <row r="566" spans="1:21" s="270" customFormat="1" x14ac:dyDescent="0.25">
      <c r="A566" s="335">
        <v>501101</v>
      </c>
      <c r="B566" s="271">
        <v>1101</v>
      </c>
      <c r="C566" s="271">
        <v>200015</v>
      </c>
      <c r="D566" s="268" t="s">
        <v>894</v>
      </c>
      <c r="E566" s="268" t="s">
        <v>1278</v>
      </c>
      <c r="F566" s="268" t="s">
        <v>2653</v>
      </c>
      <c r="G566" s="268">
        <v>16</v>
      </c>
      <c r="H566" s="268" t="s">
        <v>2609</v>
      </c>
      <c r="I566" s="268" t="s">
        <v>3201</v>
      </c>
      <c r="J566" s="272">
        <v>179112</v>
      </c>
      <c r="K566" s="272">
        <f t="shared" si="66"/>
        <v>14926</v>
      </c>
      <c r="L566" s="272">
        <f t="shared" si="67"/>
        <v>12141.24</v>
      </c>
      <c r="M566" s="269">
        <v>0</v>
      </c>
      <c r="N566" s="272">
        <f t="shared" si="72"/>
        <v>129.60000000000002</v>
      </c>
      <c r="O566" s="273">
        <v>0</v>
      </c>
      <c r="P566" s="273">
        <f t="shared" si="68"/>
        <v>3134.4600000000005</v>
      </c>
      <c r="Q566" s="272">
        <f t="shared" si="69"/>
        <v>60084</v>
      </c>
      <c r="R566" s="272">
        <f t="shared" si="70"/>
        <v>32365.538400000001</v>
      </c>
      <c r="S566" s="272">
        <f t="shared" si="71"/>
        <v>2125.44</v>
      </c>
    </row>
    <row r="567" spans="1:21" s="270" customFormat="1" x14ac:dyDescent="0.25">
      <c r="A567" s="335">
        <v>501443</v>
      </c>
      <c r="B567" s="271">
        <v>1443</v>
      </c>
      <c r="C567" s="271">
        <v>200022</v>
      </c>
      <c r="D567" s="268" t="s">
        <v>894</v>
      </c>
      <c r="E567" s="268" t="s">
        <v>1290</v>
      </c>
      <c r="F567" s="268" t="s">
        <v>894</v>
      </c>
      <c r="G567" s="268">
        <v>16</v>
      </c>
      <c r="H567" s="268" t="s">
        <v>3217</v>
      </c>
      <c r="I567" s="268" t="s">
        <v>3201</v>
      </c>
      <c r="J567" s="272">
        <v>179112</v>
      </c>
      <c r="K567" s="272">
        <f t="shared" si="66"/>
        <v>14926</v>
      </c>
      <c r="L567" s="272">
        <f t="shared" si="67"/>
        <v>12141.24</v>
      </c>
      <c r="M567" s="269">
        <v>0</v>
      </c>
      <c r="N567" s="272">
        <f t="shared" si="72"/>
        <v>129.60000000000002</v>
      </c>
      <c r="O567" s="273">
        <v>0</v>
      </c>
      <c r="P567" s="273">
        <f t="shared" si="68"/>
        <v>3134.4600000000005</v>
      </c>
      <c r="Q567" s="272">
        <f t="shared" si="69"/>
        <v>60084</v>
      </c>
      <c r="R567" s="272">
        <f t="shared" si="70"/>
        <v>32365.538400000001</v>
      </c>
      <c r="S567" s="272">
        <f t="shared" si="71"/>
        <v>2125.44</v>
      </c>
      <c r="T567" s="277"/>
      <c r="U567" s="277"/>
    </row>
    <row r="568" spans="1:21" s="270" customFormat="1" x14ac:dyDescent="0.25">
      <c r="A568" s="335">
        <v>501443</v>
      </c>
      <c r="B568" s="271">
        <v>1443</v>
      </c>
      <c r="C568" s="271">
        <v>200054</v>
      </c>
      <c r="D568" s="268" t="s">
        <v>894</v>
      </c>
      <c r="E568" s="268" t="s">
        <v>1290</v>
      </c>
      <c r="F568" s="268" t="s">
        <v>3218</v>
      </c>
      <c r="G568" s="268">
        <v>16</v>
      </c>
      <c r="H568" s="268" t="s">
        <v>3219</v>
      </c>
      <c r="I568" s="268" t="s">
        <v>3201</v>
      </c>
      <c r="J568" s="272">
        <v>179112</v>
      </c>
      <c r="K568" s="272">
        <f t="shared" si="66"/>
        <v>14926</v>
      </c>
      <c r="L568" s="272">
        <f t="shared" si="67"/>
        <v>12141.24</v>
      </c>
      <c r="M568" s="269">
        <v>0</v>
      </c>
      <c r="N568" s="272">
        <f t="shared" si="72"/>
        <v>129.60000000000002</v>
      </c>
      <c r="O568" s="273">
        <v>0</v>
      </c>
      <c r="P568" s="273">
        <f t="shared" si="68"/>
        <v>3134.4600000000005</v>
      </c>
      <c r="Q568" s="272">
        <f t="shared" si="69"/>
        <v>60084</v>
      </c>
      <c r="R568" s="272">
        <f t="shared" si="70"/>
        <v>32365.538400000001</v>
      </c>
      <c r="S568" s="272">
        <f t="shared" si="71"/>
        <v>2125.44</v>
      </c>
    </row>
    <row r="569" spans="1:21" s="270" customFormat="1" x14ac:dyDescent="0.25">
      <c r="A569" s="335">
        <v>501406</v>
      </c>
      <c r="B569" s="271">
        <v>1406</v>
      </c>
      <c r="C569" s="271">
        <v>200055</v>
      </c>
      <c r="D569" s="268" t="s">
        <v>894</v>
      </c>
      <c r="E569" s="268" t="s">
        <v>1278</v>
      </c>
      <c r="F569" s="268" t="s">
        <v>2243</v>
      </c>
      <c r="G569" s="268">
        <v>16</v>
      </c>
      <c r="H569" s="268" t="s">
        <v>3220</v>
      </c>
      <c r="I569" s="268" t="s">
        <v>3201</v>
      </c>
      <c r="J569" s="272">
        <v>179112</v>
      </c>
      <c r="K569" s="272">
        <f t="shared" si="66"/>
        <v>14926</v>
      </c>
      <c r="L569" s="272">
        <f t="shared" si="67"/>
        <v>12141.24</v>
      </c>
      <c r="M569" s="269">
        <v>0</v>
      </c>
      <c r="N569" s="272">
        <f t="shared" si="72"/>
        <v>129.60000000000002</v>
      </c>
      <c r="O569" s="273">
        <v>0</v>
      </c>
      <c r="P569" s="273">
        <f t="shared" si="68"/>
        <v>3134.4600000000005</v>
      </c>
      <c r="Q569" s="272">
        <f t="shared" si="69"/>
        <v>60084</v>
      </c>
      <c r="R569" s="272">
        <f t="shared" si="70"/>
        <v>32365.538400000001</v>
      </c>
      <c r="S569" s="272">
        <f t="shared" si="71"/>
        <v>2125.44</v>
      </c>
    </row>
    <row r="570" spans="1:21" s="270" customFormat="1" x14ac:dyDescent="0.25">
      <c r="A570" s="335">
        <v>501101</v>
      </c>
      <c r="B570" s="271">
        <v>1101</v>
      </c>
      <c r="C570" s="271">
        <v>200107</v>
      </c>
      <c r="D570" s="268" t="s">
        <v>894</v>
      </c>
      <c r="E570" s="268" t="s">
        <v>1278</v>
      </c>
      <c r="F570" s="268" t="s">
        <v>2193</v>
      </c>
      <c r="G570" s="268">
        <v>16</v>
      </c>
      <c r="H570" s="268" t="s">
        <v>3221</v>
      </c>
      <c r="I570" s="268" t="s">
        <v>3201</v>
      </c>
      <c r="J570" s="272">
        <v>179112</v>
      </c>
      <c r="K570" s="272">
        <f t="shared" si="66"/>
        <v>14926</v>
      </c>
      <c r="L570" s="272">
        <f t="shared" si="67"/>
        <v>12141.24</v>
      </c>
      <c r="M570" s="269">
        <v>0</v>
      </c>
      <c r="N570" s="272">
        <f t="shared" si="72"/>
        <v>129.60000000000002</v>
      </c>
      <c r="O570" s="273">
        <v>0</v>
      </c>
      <c r="P570" s="273">
        <f t="shared" si="68"/>
        <v>3134.4600000000005</v>
      </c>
      <c r="Q570" s="272">
        <f t="shared" si="69"/>
        <v>60084</v>
      </c>
      <c r="R570" s="272">
        <f t="shared" si="70"/>
        <v>32365.538400000001</v>
      </c>
      <c r="S570" s="272">
        <f t="shared" si="71"/>
        <v>2125.44</v>
      </c>
    </row>
    <row r="571" spans="1:21" s="270" customFormat="1" x14ac:dyDescent="0.25">
      <c r="A571" s="335">
        <v>501445</v>
      </c>
      <c r="B571" s="271">
        <v>1445</v>
      </c>
      <c r="C571" s="271">
        <v>200108</v>
      </c>
      <c r="D571" s="268" t="s">
        <v>894</v>
      </c>
      <c r="E571" s="268" t="s">
        <v>1278</v>
      </c>
      <c r="F571" s="268" t="s">
        <v>3222</v>
      </c>
      <c r="G571" s="268">
        <v>16</v>
      </c>
      <c r="H571" s="268" t="s">
        <v>2664</v>
      </c>
      <c r="I571" s="268" t="s">
        <v>3201</v>
      </c>
      <c r="J571" s="272">
        <v>179112</v>
      </c>
      <c r="K571" s="272">
        <f t="shared" si="66"/>
        <v>14926</v>
      </c>
      <c r="L571" s="272">
        <f t="shared" si="67"/>
        <v>12141.24</v>
      </c>
      <c r="M571" s="269">
        <v>0</v>
      </c>
      <c r="N571" s="272">
        <f t="shared" si="72"/>
        <v>129.60000000000002</v>
      </c>
      <c r="O571" s="273">
        <v>0</v>
      </c>
      <c r="P571" s="273">
        <f t="shared" si="68"/>
        <v>3134.4600000000005</v>
      </c>
      <c r="Q571" s="272">
        <f t="shared" si="69"/>
        <v>60084</v>
      </c>
      <c r="R571" s="272">
        <f t="shared" si="70"/>
        <v>32365.538400000001</v>
      </c>
      <c r="S571" s="272">
        <f t="shared" si="71"/>
        <v>2125.44</v>
      </c>
    </row>
    <row r="572" spans="1:21" s="270" customFormat="1" x14ac:dyDescent="0.25">
      <c r="A572" s="335">
        <v>501101</v>
      </c>
      <c r="B572" s="271">
        <v>1101</v>
      </c>
      <c r="C572" s="271">
        <v>200109</v>
      </c>
      <c r="D572" s="268" t="s">
        <v>894</v>
      </c>
      <c r="E572" s="268" t="s">
        <v>1278</v>
      </c>
      <c r="F572" s="268" t="s">
        <v>3223</v>
      </c>
      <c r="G572" s="268">
        <v>16</v>
      </c>
      <c r="H572" s="268" t="s">
        <v>3066</v>
      </c>
      <c r="I572" s="268" t="s">
        <v>3201</v>
      </c>
      <c r="J572" s="272">
        <v>179112</v>
      </c>
      <c r="K572" s="272">
        <f t="shared" si="66"/>
        <v>14926</v>
      </c>
      <c r="L572" s="272">
        <f t="shared" si="67"/>
        <v>12141.24</v>
      </c>
      <c r="M572" s="269">
        <v>0</v>
      </c>
      <c r="N572" s="272">
        <f t="shared" si="72"/>
        <v>129.60000000000002</v>
      </c>
      <c r="O572" s="273">
        <v>0</v>
      </c>
      <c r="P572" s="273">
        <f t="shared" si="68"/>
        <v>3134.4600000000005</v>
      </c>
      <c r="Q572" s="272">
        <f t="shared" si="69"/>
        <v>60084</v>
      </c>
      <c r="R572" s="272">
        <f t="shared" si="70"/>
        <v>32365.538400000001</v>
      </c>
      <c r="S572" s="272">
        <f t="shared" si="71"/>
        <v>2125.44</v>
      </c>
    </row>
    <row r="573" spans="1:21" s="270" customFormat="1" x14ac:dyDescent="0.25">
      <c r="A573" s="335">
        <v>501406</v>
      </c>
      <c r="B573" s="271">
        <v>1406</v>
      </c>
      <c r="C573" s="271">
        <v>200110</v>
      </c>
      <c r="D573" s="268" t="s">
        <v>894</v>
      </c>
      <c r="E573" s="268" t="s">
        <v>1278</v>
      </c>
      <c r="F573" s="268" t="s">
        <v>2592</v>
      </c>
      <c r="G573" s="268">
        <v>16</v>
      </c>
      <c r="H573" s="268" t="s">
        <v>3224</v>
      </c>
      <c r="I573" s="268" t="s">
        <v>3201</v>
      </c>
      <c r="J573" s="272">
        <v>179112</v>
      </c>
      <c r="K573" s="272">
        <f t="shared" si="66"/>
        <v>14926</v>
      </c>
      <c r="L573" s="272">
        <f t="shared" si="67"/>
        <v>12141.24</v>
      </c>
      <c r="M573" s="269">
        <v>0</v>
      </c>
      <c r="N573" s="272">
        <f t="shared" si="72"/>
        <v>129.60000000000002</v>
      </c>
      <c r="O573" s="273">
        <v>0</v>
      </c>
      <c r="P573" s="273">
        <f t="shared" si="68"/>
        <v>3134.4600000000005</v>
      </c>
      <c r="Q573" s="272">
        <f t="shared" si="69"/>
        <v>60084</v>
      </c>
      <c r="R573" s="272">
        <f t="shared" si="70"/>
        <v>32365.538400000001</v>
      </c>
      <c r="S573" s="272">
        <f t="shared" si="71"/>
        <v>2125.44</v>
      </c>
    </row>
    <row r="574" spans="1:21" s="270" customFormat="1" x14ac:dyDescent="0.25">
      <c r="A574" s="335">
        <v>501506</v>
      </c>
      <c r="B574" s="271">
        <v>1506</v>
      </c>
      <c r="C574" s="271">
        <v>200111</v>
      </c>
      <c r="D574" s="268" t="s">
        <v>894</v>
      </c>
      <c r="E574" s="268" t="s">
        <v>1278</v>
      </c>
      <c r="F574" s="268" t="s">
        <v>3225</v>
      </c>
      <c r="G574" s="268">
        <v>16</v>
      </c>
      <c r="H574" s="268" t="s">
        <v>3226</v>
      </c>
      <c r="I574" s="268" t="s">
        <v>3201</v>
      </c>
      <c r="J574" s="272">
        <v>179112</v>
      </c>
      <c r="K574" s="272">
        <f t="shared" si="66"/>
        <v>14926</v>
      </c>
      <c r="L574" s="272">
        <f t="shared" si="67"/>
        <v>12141.24</v>
      </c>
      <c r="M574" s="269">
        <v>0</v>
      </c>
      <c r="N574" s="272">
        <f t="shared" si="72"/>
        <v>129.60000000000002</v>
      </c>
      <c r="O574" s="273">
        <v>0</v>
      </c>
      <c r="P574" s="273">
        <f t="shared" si="68"/>
        <v>3134.4600000000005</v>
      </c>
      <c r="Q574" s="272">
        <f t="shared" si="69"/>
        <v>60084</v>
      </c>
      <c r="R574" s="272">
        <f t="shared" si="70"/>
        <v>32365.538400000001</v>
      </c>
      <c r="S574" s="272">
        <f t="shared" si="71"/>
        <v>2125.44</v>
      </c>
    </row>
    <row r="575" spans="1:21" s="270" customFormat="1" x14ac:dyDescent="0.25">
      <c r="A575" s="335">
        <v>501506</v>
      </c>
      <c r="B575" s="271">
        <v>1506</v>
      </c>
      <c r="C575" s="271">
        <v>200112</v>
      </c>
      <c r="D575" s="268" t="s">
        <v>894</v>
      </c>
      <c r="E575" s="268" t="s">
        <v>1278</v>
      </c>
      <c r="F575" s="268" t="s">
        <v>2450</v>
      </c>
      <c r="G575" s="268">
        <v>16</v>
      </c>
      <c r="H575" s="268" t="s">
        <v>3182</v>
      </c>
      <c r="I575" s="268" t="s">
        <v>3201</v>
      </c>
      <c r="J575" s="272">
        <v>179112</v>
      </c>
      <c r="K575" s="272">
        <f t="shared" si="66"/>
        <v>14926</v>
      </c>
      <c r="L575" s="272">
        <f t="shared" si="67"/>
        <v>12141.24</v>
      </c>
      <c r="M575" s="269">
        <v>0</v>
      </c>
      <c r="N575" s="272">
        <f t="shared" si="72"/>
        <v>129.60000000000002</v>
      </c>
      <c r="O575" s="273">
        <v>0</v>
      </c>
      <c r="P575" s="273">
        <f t="shared" si="68"/>
        <v>3134.4600000000005</v>
      </c>
      <c r="Q575" s="272">
        <f t="shared" si="69"/>
        <v>60084</v>
      </c>
      <c r="R575" s="272">
        <f t="shared" si="70"/>
        <v>32365.538400000001</v>
      </c>
      <c r="S575" s="272">
        <f t="shared" si="71"/>
        <v>2125.44</v>
      </c>
    </row>
    <row r="576" spans="1:21" s="270" customFormat="1" x14ac:dyDescent="0.25">
      <c r="A576" s="335">
        <v>501101</v>
      </c>
      <c r="B576" s="271">
        <v>1101</v>
      </c>
      <c r="C576" s="271">
        <v>200113</v>
      </c>
      <c r="D576" s="268" t="s">
        <v>894</v>
      </c>
      <c r="E576" s="268" t="s">
        <v>1278</v>
      </c>
      <c r="F576" s="268" t="s">
        <v>2261</v>
      </c>
      <c r="G576" s="268">
        <v>16</v>
      </c>
      <c r="H576" s="268" t="s">
        <v>3227</v>
      </c>
      <c r="I576" s="268" t="s">
        <v>3201</v>
      </c>
      <c r="J576" s="272">
        <v>179112</v>
      </c>
      <c r="K576" s="272">
        <f t="shared" ref="K576:K639" si="73">J576/12</f>
        <v>14926</v>
      </c>
      <c r="L576" s="272">
        <f t="shared" ref="L576:L639" si="74">1011.77*12</f>
        <v>12141.24</v>
      </c>
      <c r="M576" s="269">
        <v>0</v>
      </c>
      <c r="N576" s="272">
        <f t="shared" si="72"/>
        <v>129.60000000000002</v>
      </c>
      <c r="O576" s="273">
        <v>0</v>
      </c>
      <c r="P576" s="273">
        <f t="shared" ref="P576:P639" si="75">J576*1.75%</f>
        <v>3134.4600000000005</v>
      </c>
      <c r="Q576" s="272">
        <f t="shared" ref="Q576:Q639" si="76">5007*12</f>
        <v>60084</v>
      </c>
      <c r="R576" s="272">
        <f t="shared" ref="R576:R639" si="77">18.07%*J576</f>
        <v>32365.538400000001</v>
      </c>
      <c r="S576" s="272">
        <f t="shared" si="71"/>
        <v>2125.44</v>
      </c>
    </row>
    <row r="577" spans="1:21" s="270" customFormat="1" x14ac:dyDescent="0.25">
      <c r="A577" s="335">
        <v>501101</v>
      </c>
      <c r="B577" s="271">
        <v>1101</v>
      </c>
      <c r="C577" s="271">
        <v>200115</v>
      </c>
      <c r="D577" s="268" t="s">
        <v>894</v>
      </c>
      <c r="E577" s="268" t="s">
        <v>1278</v>
      </c>
      <c r="F577" s="268" t="s">
        <v>3228</v>
      </c>
      <c r="G577" s="268">
        <v>16</v>
      </c>
      <c r="H577" s="268" t="s">
        <v>3229</v>
      </c>
      <c r="I577" s="268" t="s">
        <v>3201</v>
      </c>
      <c r="J577" s="272">
        <v>179112</v>
      </c>
      <c r="K577" s="272">
        <f t="shared" si="73"/>
        <v>14926</v>
      </c>
      <c r="L577" s="272">
        <f t="shared" si="74"/>
        <v>12141.24</v>
      </c>
      <c r="M577" s="269">
        <v>0</v>
      </c>
      <c r="N577" s="272">
        <f t="shared" si="72"/>
        <v>129.60000000000002</v>
      </c>
      <c r="O577" s="273">
        <v>0</v>
      </c>
      <c r="P577" s="273">
        <f t="shared" si="75"/>
        <v>3134.4600000000005</v>
      </c>
      <c r="Q577" s="272">
        <f t="shared" si="76"/>
        <v>60084</v>
      </c>
      <c r="R577" s="272">
        <f t="shared" si="77"/>
        <v>32365.538400000001</v>
      </c>
      <c r="S577" s="272">
        <f t="shared" ref="S577:S640" si="78">177.12*12</f>
        <v>2125.44</v>
      </c>
    </row>
    <row r="578" spans="1:21" s="270" customFormat="1" x14ac:dyDescent="0.25">
      <c r="A578" s="335">
        <v>501101</v>
      </c>
      <c r="B578" s="271">
        <v>1101</v>
      </c>
      <c r="C578" s="271">
        <v>200117</v>
      </c>
      <c r="D578" s="268" t="s">
        <v>894</v>
      </c>
      <c r="E578" s="268" t="s">
        <v>1278</v>
      </c>
      <c r="F578" s="268" t="s">
        <v>2506</v>
      </c>
      <c r="G578" s="268">
        <v>16</v>
      </c>
      <c r="H578" s="268" t="s">
        <v>3230</v>
      </c>
      <c r="I578" s="268" t="s">
        <v>3201</v>
      </c>
      <c r="J578" s="272">
        <v>179112</v>
      </c>
      <c r="K578" s="272">
        <f t="shared" si="73"/>
        <v>14926</v>
      </c>
      <c r="L578" s="272">
        <f t="shared" si="74"/>
        <v>12141.24</v>
      </c>
      <c r="M578" s="269">
        <v>0</v>
      </c>
      <c r="N578" s="272">
        <f t="shared" si="72"/>
        <v>129.60000000000002</v>
      </c>
      <c r="O578" s="273">
        <v>0</v>
      </c>
      <c r="P578" s="273">
        <f t="shared" si="75"/>
        <v>3134.4600000000005</v>
      </c>
      <c r="Q578" s="272">
        <f t="shared" si="76"/>
        <v>60084</v>
      </c>
      <c r="R578" s="272">
        <f t="shared" si="77"/>
        <v>32365.538400000001</v>
      </c>
      <c r="S578" s="272">
        <f t="shared" si="78"/>
        <v>2125.44</v>
      </c>
    </row>
    <row r="579" spans="1:21" s="270" customFormat="1" x14ac:dyDescent="0.25">
      <c r="A579" s="335">
        <v>501101</v>
      </c>
      <c r="B579" s="271">
        <v>1101</v>
      </c>
      <c r="C579" s="271">
        <v>200118</v>
      </c>
      <c r="D579" s="268" t="s">
        <v>894</v>
      </c>
      <c r="E579" s="268" t="s">
        <v>1278</v>
      </c>
      <c r="F579" s="268" t="s">
        <v>2266</v>
      </c>
      <c r="G579" s="268">
        <v>16</v>
      </c>
      <c r="H579" s="268" t="s">
        <v>3231</v>
      </c>
      <c r="I579" s="268" t="s">
        <v>3201</v>
      </c>
      <c r="J579" s="272">
        <v>179112</v>
      </c>
      <c r="K579" s="272">
        <f t="shared" si="73"/>
        <v>14926</v>
      </c>
      <c r="L579" s="272">
        <f t="shared" si="74"/>
        <v>12141.24</v>
      </c>
      <c r="M579" s="269">
        <v>0</v>
      </c>
      <c r="N579" s="272">
        <f t="shared" si="72"/>
        <v>129.60000000000002</v>
      </c>
      <c r="O579" s="273">
        <v>0</v>
      </c>
      <c r="P579" s="273">
        <f t="shared" si="75"/>
        <v>3134.4600000000005</v>
      </c>
      <c r="Q579" s="272">
        <f t="shared" si="76"/>
        <v>60084</v>
      </c>
      <c r="R579" s="272">
        <f t="shared" si="77"/>
        <v>32365.538400000001</v>
      </c>
      <c r="S579" s="272">
        <f t="shared" si="78"/>
        <v>2125.44</v>
      </c>
    </row>
    <row r="580" spans="1:21" s="270" customFormat="1" x14ac:dyDescent="0.25">
      <c r="A580" s="335">
        <v>501101</v>
      </c>
      <c r="B580" s="271">
        <v>1101</v>
      </c>
      <c r="C580" s="271">
        <v>200120</v>
      </c>
      <c r="D580" s="268" t="s">
        <v>894</v>
      </c>
      <c r="E580" s="268" t="s">
        <v>1278</v>
      </c>
      <c r="F580" s="268" t="s">
        <v>2266</v>
      </c>
      <c r="G580" s="268">
        <v>16</v>
      </c>
      <c r="H580" s="268" t="s">
        <v>3232</v>
      </c>
      <c r="I580" s="268" t="s">
        <v>3201</v>
      </c>
      <c r="J580" s="272">
        <v>179112</v>
      </c>
      <c r="K580" s="272">
        <f t="shared" si="73"/>
        <v>14926</v>
      </c>
      <c r="L580" s="272">
        <f t="shared" si="74"/>
        <v>12141.24</v>
      </c>
      <c r="M580" s="269">
        <v>0</v>
      </c>
      <c r="N580" s="272">
        <f t="shared" si="72"/>
        <v>129.60000000000002</v>
      </c>
      <c r="O580" s="273">
        <v>0</v>
      </c>
      <c r="P580" s="273">
        <f t="shared" si="75"/>
        <v>3134.4600000000005</v>
      </c>
      <c r="Q580" s="272">
        <f t="shared" si="76"/>
        <v>60084</v>
      </c>
      <c r="R580" s="272">
        <f t="shared" si="77"/>
        <v>32365.538400000001</v>
      </c>
      <c r="S580" s="272">
        <f t="shared" si="78"/>
        <v>2125.44</v>
      </c>
    </row>
    <row r="581" spans="1:21" s="270" customFormat="1" x14ac:dyDescent="0.25">
      <c r="A581" s="335">
        <v>501506</v>
      </c>
      <c r="B581" s="271">
        <v>1506</v>
      </c>
      <c r="C581" s="271">
        <v>200121</v>
      </c>
      <c r="D581" s="268" t="s">
        <v>894</v>
      </c>
      <c r="E581" s="268" t="s">
        <v>1278</v>
      </c>
      <c r="F581" s="268" t="s">
        <v>2336</v>
      </c>
      <c r="G581" s="268">
        <v>16</v>
      </c>
      <c r="H581" s="268" t="s">
        <v>3233</v>
      </c>
      <c r="I581" s="268" t="s">
        <v>3201</v>
      </c>
      <c r="J581" s="272">
        <v>179112</v>
      </c>
      <c r="K581" s="272">
        <f t="shared" si="73"/>
        <v>14926</v>
      </c>
      <c r="L581" s="272">
        <f t="shared" si="74"/>
        <v>12141.24</v>
      </c>
      <c r="M581" s="269">
        <v>0</v>
      </c>
      <c r="N581" s="272">
        <f t="shared" ref="N581:N644" si="79">10.8*12</f>
        <v>129.60000000000002</v>
      </c>
      <c r="O581" s="273">
        <v>0</v>
      </c>
      <c r="P581" s="273">
        <f t="shared" si="75"/>
        <v>3134.4600000000005</v>
      </c>
      <c r="Q581" s="272">
        <f t="shared" si="76"/>
        <v>60084</v>
      </c>
      <c r="R581" s="272">
        <f t="shared" si="77"/>
        <v>32365.538400000001</v>
      </c>
      <c r="S581" s="272">
        <f t="shared" si="78"/>
        <v>2125.44</v>
      </c>
    </row>
    <row r="582" spans="1:21" s="270" customFormat="1" x14ac:dyDescent="0.25">
      <c r="A582" s="335">
        <v>501101</v>
      </c>
      <c r="B582" s="271">
        <v>1101</v>
      </c>
      <c r="C582" s="271">
        <v>200122</v>
      </c>
      <c r="D582" s="268" t="s">
        <v>894</v>
      </c>
      <c r="E582" s="268" t="s">
        <v>1278</v>
      </c>
      <c r="F582" s="268" t="s">
        <v>3234</v>
      </c>
      <c r="G582" s="268">
        <v>16</v>
      </c>
      <c r="H582" s="268" t="s">
        <v>3235</v>
      </c>
      <c r="I582" s="268" t="s">
        <v>3201</v>
      </c>
      <c r="J582" s="272">
        <v>179112</v>
      </c>
      <c r="K582" s="272">
        <f t="shared" si="73"/>
        <v>14926</v>
      </c>
      <c r="L582" s="272">
        <f t="shared" si="74"/>
        <v>12141.24</v>
      </c>
      <c r="M582" s="269">
        <v>0</v>
      </c>
      <c r="N582" s="272">
        <f t="shared" si="79"/>
        <v>129.60000000000002</v>
      </c>
      <c r="O582" s="273">
        <v>0</v>
      </c>
      <c r="P582" s="273">
        <f t="shared" si="75"/>
        <v>3134.4600000000005</v>
      </c>
      <c r="Q582" s="272">
        <f t="shared" si="76"/>
        <v>60084</v>
      </c>
      <c r="R582" s="272">
        <f t="shared" si="77"/>
        <v>32365.538400000001</v>
      </c>
      <c r="S582" s="272">
        <f t="shared" si="78"/>
        <v>2125.44</v>
      </c>
    </row>
    <row r="583" spans="1:21" s="270" customFormat="1" x14ac:dyDescent="0.25">
      <c r="A583" s="335">
        <v>501445</v>
      </c>
      <c r="B583" s="271">
        <v>1445</v>
      </c>
      <c r="C583" s="271">
        <v>200125</v>
      </c>
      <c r="D583" s="268" t="s">
        <v>894</v>
      </c>
      <c r="E583" s="268" t="s">
        <v>1278</v>
      </c>
      <c r="F583" s="268" t="s">
        <v>3236</v>
      </c>
      <c r="G583" s="268">
        <v>16</v>
      </c>
      <c r="H583" s="268" t="s">
        <v>2495</v>
      </c>
      <c r="I583" s="268" t="s">
        <v>3201</v>
      </c>
      <c r="J583" s="272">
        <v>179112</v>
      </c>
      <c r="K583" s="272">
        <f t="shared" si="73"/>
        <v>14926</v>
      </c>
      <c r="L583" s="272">
        <f t="shared" si="74"/>
        <v>12141.24</v>
      </c>
      <c r="M583" s="269">
        <v>0</v>
      </c>
      <c r="N583" s="272">
        <f t="shared" si="79"/>
        <v>129.60000000000002</v>
      </c>
      <c r="O583" s="273">
        <v>0</v>
      </c>
      <c r="P583" s="273">
        <f t="shared" si="75"/>
        <v>3134.4600000000005</v>
      </c>
      <c r="Q583" s="272">
        <f t="shared" si="76"/>
        <v>60084</v>
      </c>
      <c r="R583" s="272">
        <f t="shared" si="77"/>
        <v>32365.538400000001</v>
      </c>
      <c r="S583" s="272">
        <f t="shared" si="78"/>
        <v>2125.44</v>
      </c>
    </row>
    <row r="584" spans="1:21" s="270" customFormat="1" x14ac:dyDescent="0.25">
      <c r="A584" s="335">
        <v>501445</v>
      </c>
      <c r="B584" s="271">
        <v>1445</v>
      </c>
      <c r="C584" s="271">
        <v>200126</v>
      </c>
      <c r="D584" s="268" t="s">
        <v>894</v>
      </c>
      <c r="E584" s="268" t="s">
        <v>1278</v>
      </c>
      <c r="F584" s="268" t="s">
        <v>2588</v>
      </c>
      <c r="G584" s="268">
        <v>16</v>
      </c>
      <c r="H584" s="268" t="s">
        <v>3237</v>
      </c>
      <c r="I584" s="268" t="s">
        <v>3201</v>
      </c>
      <c r="J584" s="272">
        <v>179112</v>
      </c>
      <c r="K584" s="272">
        <f t="shared" si="73"/>
        <v>14926</v>
      </c>
      <c r="L584" s="272">
        <f t="shared" si="74"/>
        <v>12141.24</v>
      </c>
      <c r="M584" s="269">
        <v>0</v>
      </c>
      <c r="N584" s="272">
        <f t="shared" si="79"/>
        <v>129.60000000000002</v>
      </c>
      <c r="O584" s="273">
        <v>0</v>
      </c>
      <c r="P584" s="273">
        <f t="shared" si="75"/>
        <v>3134.4600000000005</v>
      </c>
      <c r="Q584" s="272">
        <f t="shared" si="76"/>
        <v>60084</v>
      </c>
      <c r="R584" s="272">
        <f t="shared" si="77"/>
        <v>32365.538400000001</v>
      </c>
      <c r="S584" s="272">
        <f t="shared" si="78"/>
        <v>2125.44</v>
      </c>
    </row>
    <row r="585" spans="1:21" s="270" customFormat="1" x14ac:dyDescent="0.25">
      <c r="A585" s="335">
        <v>501406</v>
      </c>
      <c r="B585" s="271">
        <v>1406</v>
      </c>
      <c r="C585" s="271">
        <v>200132</v>
      </c>
      <c r="D585" s="268" t="s">
        <v>894</v>
      </c>
      <c r="E585" s="268" t="s">
        <v>1290</v>
      </c>
      <c r="F585" s="268" t="s">
        <v>3238</v>
      </c>
      <c r="G585" s="268">
        <v>16</v>
      </c>
      <c r="H585" s="268" t="s">
        <v>3239</v>
      </c>
      <c r="I585" s="268" t="s">
        <v>3201</v>
      </c>
      <c r="J585" s="272">
        <v>179112</v>
      </c>
      <c r="K585" s="272">
        <f t="shared" si="73"/>
        <v>14926</v>
      </c>
      <c r="L585" s="272">
        <f t="shared" si="74"/>
        <v>12141.24</v>
      </c>
      <c r="M585" s="269">
        <v>0</v>
      </c>
      <c r="N585" s="272">
        <f t="shared" si="79"/>
        <v>129.60000000000002</v>
      </c>
      <c r="O585" s="273">
        <v>0</v>
      </c>
      <c r="P585" s="273">
        <f t="shared" si="75"/>
        <v>3134.4600000000005</v>
      </c>
      <c r="Q585" s="272">
        <f t="shared" si="76"/>
        <v>60084</v>
      </c>
      <c r="R585" s="272">
        <f t="shared" si="77"/>
        <v>32365.538400000001</v>
      </c>
      <c r="S585" s="272">
        <f t="shared" si="78"/>
        <v>2125.44</v>
      </c>
    </row>
    <row r="586" spans="1:21" s="270" customFormat="1" x14ac:dyDescent="0.25">
      <c r="A586" s="335">
        <v>501506</v>
      </c>
      <c r="B586" s="271">
        <v>1506</v>
      </c>
      <c r="C586" s="271">
        <v>200133</v>
      </c>
      <c r="D586" s="268" t="s">
        <v>894</v>
      </c>
      <c r="E586" s="268" t="s">
        <v>1290</v>
      </c>
      <c r="F586" s="268" t="s">
        <v>2660</v>
      </c>
      <c r="G586" s="268">
        <v>16</v>
      </c>
      <c r="H586" s="268" t="s">
        <v>3240</v>
      </c>
      <c r="I586" s="268" t="s">
        <v>3201</v>
      </c>
      <c r="J586" s="272">
        <v>179112</v>
      </c>
      <c r="K586" s="272">
        <f t="shared" si="73"/>
        <v>14926</v>
      </c>
      <c r="L586" s="272">
        <f t="shared" si="74"/>
        <v>12141.24</v>
      </c>
      <c r="M586" s="269">
        <v>0</v>
      </c>
      <c r="N586" s="272">
        <f t="shared" si="79"/>
        <v>129.60000000000002</v>
      </c>
      <c r="O586" s="273">
        <v>0</v>
      </c>
      <c r="P586" s="273">
        <f t="shared" si="75"/>
        <v>3134.4600000000005</v>
      </c>
      <c r="Q586" s="272">
        <f t="shared" si="76"/>
        <v>60084</v>
      </c>
      <c r="R586" s="272">
        <f t="shared" si="77"/>
        <v>32365.538400000001</v>
      </c>
      <c r="S586" s="272">
        <f t="shared" si="78"/>
        <v>2125.44</v>
      </c>
    </row>
    <row r="587" spans="1:21" x14ac:dyDescent="0.25">
      <c r="A587" s="335">
        <v>501444</v>
      </c>
      <c r="B587" s="271">
        <v>1444</v>
      </c>
      <c r="C587" s="271">
        <v>200135</v>
      </c>
      <c r="D587" s="268" t="s">
        <v>894</v>
      </c>
      <c r="E587" s="268" t="s">
        <v>1290</v>
      </c>
      <c r="F587" s="268" t="s">
        <v>2588</v>
      </c>
      <c r="G587" s="268">
        <v>16</v>
      </c>
      <c r="H587" s="268" t="s">
        <v>3241</v>
      </c>
      <c r="I587" s="268" t="s">
        <v>3201</v>
      </c>
      <c r="J587" s="272">
        <v>179112</v>
      </c>
      <c r="K587" s="272">
        <f t="shared" si="73"/>
        <v>14926</v>
      </c>
      <c r="L587" s="272">
        <f t="shared" si="74"/>
        <v>12141.24</v>
      </c>
      <c r="M587" s="269">
        <v>0</v>
      </c>
      <c r="N587" s="272">
        <f t="shared" si="79"/>
        <v>129.60000000000002</v>
      </c>
      <c r="O587" s="273">
        <v>0</v>
      </c>
      <c r="P587" s="273">
        <f t="shared" si="75"/>
        <v>3134.4600000000005</v>
      </c>
      <c r="Q587" s="272">
        <f t="shared" si="76"/>
        <v>60084</v>
      </c>
      <c r="R587" s="272">
        <f t="shared" si="77"/>
        <v>32365.538400000001</v>
      </c>
      <c r="S587" s="272">
        <f t="shared" si="78"/>
        <v>2125.44</v>
      </c>
      <c r="T587" s="270"/>
      <c r="U587" s="270"/>
    </row>
    <row r="588" spans="1:21" s="270" customFormat="1" x14ac:dyDescent="0.25">
      <c r="A588" s="335">
        <v>501444</v>
      </c>
      <c r="B588" s="271">
        <v>1444</v>
      </c>
      <c r="C588" s="271">
        <v>200137</v>
      </c>
      <c r="D588" s="268" t="s">
        <v>894</v>
      </c>
      <c r="E588" s="268" t="s">
        <v>1290</v>
      </c>
      <c r="F588" s="268" t="s">
        <v>2243</v>
      </c>
      <c r="G588" s="268">
        <v>16</v>
      </c>
      <c r="H588" s="268" t="s">
        <v>3242</v>
      </c>
      <c r="I588" s="268" t="s">
        <v>3201</v>
      </c>
      <c r="J588" s="272">
        <v>179112</v>
      </c>
      <c r="K588" s="272">
        <f t="shared" si="73"/>
        <v>14926</v>
      </c>
      <c r="L588" s="272">
        <f t="shared" si="74"/>
        <v>12141.24</v>
      </c>
      <c r="M588" s="269">
        <v>0</v>
      </c>
      <c r="N588" s="272">
        <f t="shared" si="79"/>
        <v>129.60000000000002</v>
      </c>
      <c r="O588" s="273">
        <v>0</v>
      </c>
      <c r="P588" s="273">
        <f t="shared" si="75"/>
        <v>3134.4600000000005</v>
      </c>
      <c r="Q588" s="272">
        <f t="shared" si="76"/>
        <v>60084</v>
      </c>
      <c r="R588" s="272">
        <f t="shared" si="77"/>
        <v>32365.538400000001</v>
      </c>
      <c r="S588" s="272">
        <f t="shared" si="78"/>
        <v>2125.44</v>
      </c>
    </row>
    <row r="589" spans="1:21" s="270" customFormat="1" x14ac:dyDescent="0.25">
      <c r="A589" s="335">
        <v>501443</v>
      </c>
      <c r="B589" s="271">
        <v>1443</v>
      </c>
      <c r="C589" s="271">
        <v>200141</v>
      </c>
      <c r="D589" s="268" t="s">
        <v>894</v>
      </c>
      <c r="E589" s="268" t="s">
        <v>1290</v>
      </c>
      <c r="F589" s="268" t="s">
        <v>3085</v>
      </c>
      <c r="G589" s="268">
        <v>16</v>
      </c>
      <c r="H589" s="268" t="s">
        <v>3243</v>
      </c>
      <c r="I589" s="268" t="s">
        <v>3201</v>
      </c>
      <c r="J589" s="272">
        <v>179112</v>
      </c>
      <c r="K589" s="272">
        <f t="shared" si="73"/>
        <v>14926</v>
      </c>
      <c r="L589" s="272">
        <f t="shared" si="74"/>
        <v>12141.24</v>
      </c>
      <c r="M589" s="269">
        <v>0</v>
      </c>
      <c r="N589" s="272">
        <f t="shared" si="79"/>
        <v>129.60000000000002</v>
      </c>
      <c r="O589" s="273">
        <v>0</v>
      </c>
      <c r="P589" s="273">
        <f t="shared" si="75"/>
        <v>3134.4600000000005</v>
      </c>
      <c r="Q589" s="272">
        <f t="shared" si="76"/>
        <v>60084</v>
      </c>
      <c r="R589" s="272">
        <f t="shared" si="77"/>
        <v>32365.538400000001</v>
      </c>
      <c r="S589" s="272">
        <f t="shared" si="78"/>
        <v>2125.44</v>
      </c>
    </row>
    <row r="590" spans="1:21" s="270" customFormat="1" x14ac:dyDescent="0.25">
      <c r="A590" s="335">
        <v>501452</v>
      </c>
      <c r="B590" s="271">
        <v>1452</v>
      </c>
      <c r="C590" s="271">
        <v>200145</v>
      </c>
      <c r="D590" s="268" t="s">
        <v>894</v>
      </c>
      <c r="E590" s="268" t="s">
        <v>1290</v>
      </c>
      <c r="F590" s="268" t="s">
        <v>3244</v>
      </c>
      <c r="G590" s="268">
        <v>16</v>
      </c>
      <c r="H590" s="268" t="s">
        <v>3211</v>
      </c>
      <c r="I590" s="268" t="s">
        <v>3201</v>
      </c>
      <c r="J590" s="272">
        <v>179112</v>
      </c>
      <c r="K590" s="272">
        <f t="shared" si="73"/>
        <v>14926</v>
      </c>
      <c r="L590" s="272">
        <f t="shared" si="74"/>
        <v>12141.24</v>
      </c>
      <c r="M590" s="269">
        <v>0</v>
      </c>
      <c r="N590" s="272">
        <f t="shared" si="79"/>
        <v>129.60000000000002</v>
      </c>
      <c r="O590" s="273">
        <v>0</v>
      </c>
      <c r="P590" s="273">
        <f t="shared" si="75"/>
        <v>3134.4600000000005</v>
      </c>
      <c r="Q590" s="272">
        <f t="shared" si="76"/>
        <v>60084</v>
      </c>
      <c r="R590" s="272">
        <f t="shared" si="77"/>
        <v>32365.538400000001</v>
      </c>
      <c r="S590" s="272">
        <f t="shared" si="78"/>
        <v>2125.44</v>
      </c>
    </row>
    <row r="591" spans="1:21" s="270" customFormat="1" x14ac:dyDescent="0.25">
      <c r="A591" s="335">
        <v>501406</v>
      </c>
      <c r="B591" s="271">
        <v>1406</v>
      </c>
      <c r="C591" s="271">
        <v>200158</v>
      </c>
      <c r="D591" s="268" t="s">
        <v>894</v>
      </c>
      <c r="E591" s="268" t="s">
        <v>1278</v>
      </c>
      <c r="F591" s="268" t="s">
        <v>3245</v>
      </c>
      <c r="G591" s="268">
        <v>16</v>
      </c>
      <c r="H591" s="268" t="s">
        <v>3246</v>
      </c>
      <c r="I591" s="268" t="s">
        <v>3201</v>
      </c>
      <c r="J591" s="272">
        <v>179112</v>
      </c>
      <c r="K591" s="272">
        <f t="shared" si="73"/>
        <v>14926</v>
      </c>
      <c r="L591" s="272">
        <f t="shared" si="74"/>
        <v>12141.24</v>
      </c>
      <c r="M591" s="269">
        <v>0</v>
      </c>
      <c r="N591" s="272">
        <f t="shared" si="79"/>
        <v>129.60000000000002</v>
      </c>
      <c r="O591" s="273">
        <v>0</v>
      </c>
      <c r="P591" s="273">
        <f t="shared" si="75"/>
        <v>3134.4600000000005</v>
      </c>
      <c r="Q591" s="272">
        <f t="shared" si="76"/>
        <v>60084</v>
      </c>
      <c r="R591" s="272">
        <f t="shared" si="77"/>
        <v>32365.538400000001</v>
      </c>
      <c r="S591" s="272">
        <f t="shared" si="78"/>
        <v>2125.44</v>
      </c>
      <c r="T591" s="277"/>
      <c r="U591" s="277"/>
    </row>
    <row r="592" spans="1:21" s="270" customFormat="1" x14ac:dyDescent="0.25">
      <c r="A592" s="335">
        <v>501506</v>
      </c>
      <c r="B592" s="271">
        <v>1506</v>
      </c>
      <c r="C592" s="271">
        <v>200161</v>
      </c>
      <c r="D592" s="268" t="s">
        <v>894</v>
      </c>
      <c r="E592" s="268" t="s">
        <v>1278</v>
      </c>
      <c r="F592" s="268" t="s">
        <v>2461</v>
      </c>
      <c r="G592" s="268">
        <v>16</v>
      </c>
      <c r="H592" s="268" t="s">
        <v>3247</v>
      </c>
      <c r="I592" s="268" t="s">
        <v>3201</v>
      </c>
      <c r="J592" s="272">
        <v>179112</v>
      </c>
      <c r="K592" s="272">
        <f t="shared" si="73"/>
        <v>14926</v>
      </c>
      <c r="L592" s="272">
        <f t="shared" si="74"/>
        <v>12141.24</v>
      </c>
      <c r="M592" s="269">
        <v>0</v>
      </c>
      <c r="N592" s="272">
        <f t="shared" si="79"/>
        <v>129.60000000000002</v>
      </c>
      <c r="O592" s="273">
        <v>0</v>
      </c>
      <c r="P592" s="273">
        <f t="shared" si="75"/>
        <v>3134.4600000000005</v>
      </c>
      <c r="Q592" s="272">
        <f t="shared" si="76"/>
        <v>60084</v>
      </c>
      <c r="R592" s="272">
        <f t="shared" si="77"/>
        <v>32365.538400000001</v>
      </c>
      <c r="S592" s="272">
        <f t="shared" si="78"/>
        <v>2125.44</v>
      </c>
    </row>
    <row r="593" spans="1:21" s="270" customFormat="1" x14ac:dyDescent="0.25">
      <c r="A593" s="335">
        <v>501506</v>
      </c>
      <c r="B593" s="271">
        <v>1506</v>
      </c>
      <c r="C593" s="271">
        <v>200163</v>
      </c>
      <c r="D593" s="268" t="s">
        <v>894</v>
      </c>
      <c r="E593" s="268" t="s">
        <v>1290</v>
      </c>
      <c r="F593" s="268" t="s">
        <v>2333</v>
      </c>
      <c r="G593" s="268">
        <v>16</v>
      </c>
      <c r="H593" s="268" t="s">
        <v>3248</v>
      </c>
      <c r="I593" s="268" t="s">
        <v>3201</v>
      </c>
      <c r="J593" s="272">
        <v>179112</v>
      </c>
      <c r="K593" s="272">
        <f t="shared" si="73"/>
        <v>14926</v>
      </c>
      <c r="L593" s="272">
        <f t="shared" si="74"/>
        <v>12141.24</v>
      </c>
      <c r="M593" s="269">
        <v>0</v>
      </c>
      <c r="N593" s="272">
        <f t="shared" si="79"/>
        <v>129.60000000000002</v>
      </c>
      <c r="O593" s="273">
        <v>0</v>
      </c>
      <c r="P593" s="273">
        <f t="shared" si="75"/>
        <v>3134.4600000000005</v>
      </c>
      <c r="Q593" s="272">
        <f t="shared" si="76"/>
        <v>60084</v>
      </c>
      <c r="R593" s="272">
        <f t="shared" si="77"/>
        <v>32365.538400000001</v>
      </c>
      <c r="S593" s="272">
        <f t="shared" si="78"/>
        <v>2125.44</v>
      </c>
    </row>
    <row r="594" spans="1:21" s="270" customFormat="1" x14ac:dyDescent="0.25">
      <c r="A594" s="335">
        <v>501406</v>
      </c>
      <c r="B594" s="271">
        <v>1406</v>
      </c>
      <c r="C594" s="271">
        <v>200165</v>
      </c>
      <c r="D594" s="268" t="s">
        <v>894</v>
      </c>
      <c r="E594" s="268" t="s">
        <v>1290</v>
      </c>
      <c r="F594" s="268" t="s">
        <v>3249</v>
      </c>
      <c r="G594" s="268">
        <v>16</v>
      </c>
      <c r="H594" s="268" t="s">
        <v>3250</v>
      </c>
      <c r="I594" s="268" t="s">
        <v>3201</v>
      </c>
      <c r="J594" s="272">
        <v>179112</v>
      </c>
      <c r="K594" s="272">
        <f t="shared" si="73"/>
        <v>14926</v>
      </c>
      <c r="L594" s="272">
        <f t="shared" si="74"/>
        <v>12141.24</v>
      </c>
      <c r="M594" s="269">
        <v>0</v>
      </c>
      <c r="N594" s="272">
        <f t="shared" si="79"/>
        <v>129.60000000000002</v>
      </c>
      <c r="O594" s="273">
        <v>0</v>
      </c>
      <c r="P594" s="273">
        <f t="shared" si="75"/>
        <v>3134.4600000000005</v>
      </c>
      <c r="Q594" s="272">
        <f t="shared" si="76"/>
        <v>60084</v>
      </c>
      <c r="R594" s="272">
        <f t="shared" si="77"/>
        <v>32365.538400000001</v>
      </c>
      <c r="S594" s="272">
        <f t="shared" si="78"/>
        <v>2125.44</v>
      </c>
    </row>
    <row r="595" spans="1:21" s="270" customFormat="1" x14ac:dyDescent="0.25">
      <c r="A595" s="335">
        <v>501506</v>
      </c>
      <c r="B595" s="271">
        <v>1506</v>
      </c>
      <c r="C595" s="271">
        <v>200166</v>
      </c>
      <c r="D595" s="268" t="s">
        <v>894</v>
      </c>
      <c r="E595" s="268" t="s">
        <v>1278</v>
      </c>
      <c r="F595" s="268" t="s">
        <v>2422</v>
      </c>
      <c r="G595" s="268">
        <v>16</v>
      </c>
      <c r="H595" s="268" t="s">
        <v>2881</v>
      </c>
      <c r="I595" s="268" t="s">
        <v>3201</v>
      </c>
      <c r="J595" s="272">
        <v>179112</v>
      </c>
      <c r="K595" s="272">
        <f t="shared" si="73"/>
        <v>14926</v>
      </c>
      <c r="L595" s="272">
        <f t="shared" si="74"/>
        <v>12141.24</v>
      </c>
      <c r="M595" s="269">
        <v>0</v>
      </c>
      <c r="N595" s="272">
        <f t="shared" si="79"/>
        <v>129.60000000000002</v>
      </c>
      <c r="O595" s="273">
        <v>0</v>
      </c>
      <c r="P595" s="273">
        <f t="shared" si="75"/>
        <v>3134.4600000000005</v>
      </c>
      <c r="Q595" s="272">
        <f t="shared" si="76"/>
        <v>60084</v>
      </c>
      <c r="R595" s="272">
        <f t="shared" si="77"/>
        <v>32365.538400000001</v>
      </c>
      <c r="S595" s="272">
        <f t="shared" si="78"/>
        <v>2125.44</v>
      </c>
    </row>
    <row r="596" spans="1:21" s="270" customFormat="1" x14ac:dyDescent="0.25">
      <c r="A596" s="335">
        <v>501443</v>
      </c>
      <c r="B596" s="271">
        <v>1443</v>
      </c>
      <c r="C596" s="271">
        <v>200167</v>
      </c>
      <c r="D596" s="268" t="s">
        <v>894</v>
      </c>
      <c r="E596" s="268" t="s">
        <v>1290</v>
      </c>
      <c r="F596" s="268" t="s">
        <v>2984</v>
      </c>
      <c r="G596" s="268">
        <v>16</v>
      </c>
      <c r="H596" s="268" t="s">
        <v>3251</v>
      </c>
      <c r="I596" s="268" t="s">
        <v>3201</v>
      </c>
      <c r="J596" s="272">
        <v>179112</v>
      </c>
      <c r="K596" s="272">
        <f t="shared" si="73"/>
        <v>14926</v>
      </c>
      <c r="L596" s="272">
        <f t="shared" si="74"/>
        <v>12141.24</v>
      </c>
      <c r="M596" s="269">
        <v>0</v>
      </c>
      <c r="N596" s="272">
        <f t="shared" si="79"/>
        <v>129.60000000000002</v>
      </c>
      <c r="O596" s="273">
        <v>0</v>
      </c>
      <c r="P596" s="273">
        <f t="shared" si="75"/>
        <v>3134.4600000000005</v>
      </c>
      <c r="Q596" s="272">
        <f t="shared" si="76"/>
        <v>60084</v>
      </c>
      <c r="R596" s="272">
        <f t="shared" si="77"/>
        <v>32365.538400000001</v>
      </c>
      <c r="S596" s="272">
        <f t="shared" si="78"/>
        <v>2125.44</v>
      </c>
    </row>
    <row r="597" spans="1:21" s="270" customFormat="1" x14ac:dyDescent="0.25">
      <c r="A597" s="335">
        <v>501506</v>
      </c>
      <c r="B597" s="271">
        <v>1506</v>
      </c>
      <c r="C597" s="271">
        <v>200168</v>
      </c>
      <c r="D597" s="268" t="s">
        <v>894</v>
      </c>
      <c r="E597" s="268" t="s">
        <v>1278</v>
      </c>
      <c r="F597" s="268" t="s">
        <v>3067</v>
      </c>
      <c r="G597" s="268">
        <v>16</v>
      </c>
      <c r="H597" s="268" t="s">
        <v>3252</v>
      </c>
      <c r="I597" s="268" t="s">
        <v>3201</v>
      </c>
      <c r="J597" s="272">
        <v>179112</v>
      </c>
      <c r="K597" s="272">
        <f t="shared" si="73"/>
        <v>14926</v>
      </c>
      <c r="L597" s="272">
        <f t="shared" si="74"/>
        <v>12141.24</v>
      </c>
      <c r="M597" s="269">
        <v>0</v>
      </c>
      <c r="N597" s="272">
        <f t="shared" si="79"/>
        <v>129.60000000000002</v>
      </c>
      <c r="O597" s="273">
        <v>0</v>
      </c>
      <c r="P597" s="273">
        <f t="shared" si="75"/>
        <v>3134.4600000000005</v>
      </c>
      <c r="Q597" s="272">
        <f t="shared" si="76"/>
        <v>60084</v>
      </c>
      <c r="R597" s="272">
        <f t="shared" si="77"/>
        <v>32365.538400000001</v>
      </c>
      <c r="S597" s="272">
        <f t="shared" si="78"/>
        <v>2125.44</v>
      </c>
    </row>
    <row r="598" spans="1:21" s="270" customFormat="1" x14ac:dyDescent="0.25">
      <c r="A598" s="335">
        <v>501406</v>
      </c>
      <c r="B598" s="271">
        <v>1406</v>
      </c>
      <c r="C598" s="271">
        <v>200171</v>
      </c>
      <c r="D598" s="268" t="s">
        <v>894</v>
      </c>
      <c r="E598" s="268" t="s">
        <v>1278</v>
      </c>
      <c r="F598" s="268" t="s">
        <v>2751</v>
      </c>
      <c r="G598" s="268">
        <v>16</v>
      </c>
      <c r="H598" s="268" t="s">
        <v>3253</v>
      </c>
      <c r="I598" s="268" t="s">
        <v>3201</v>
      </c>
      <c r="J598" s="272">
        <v>179112</v>
      </c>
      <c r="K598" s="272">
        <f t="shared" si="73"/>
        <v>14926</v>
      </c>
      <c r="L598" s="272">
        <f t="shared" si="74"/>
        <v>12141.24</v>
      </c>
      <c r="M598" s="269">
        <v>0</v>
      </c>
      <c r="N598" s="272">
        <f t="shared" si="79"/>
        <v>129.60000000000002</v>
      </c>
      <c r="O598" s="273">
        <v>0</v>
      </c>
      <c r="P598" s="273">
        <f t="shared" si="75"/>
        <v>3134.4600000000005</v>
      </c>
      <c r="Q598" s="272">
        <f t="shared" si="76"/>
        <v>60084</v>
      </c>
      <c r="R598" s="272">
        <f t="shared" si="77"/>
        <v>32365.538400000001</v>
      </c>
      <c r="S598" s="272">
        <f t="shared" si="78"/>
        <v>2125.44</v>
      </c>
    </row>
    <row r="599" spans="1:21" s="270" customFormat="1" x14ac:dyDescent="0.25">
      <c r="A599" s="335">
        <v>501506</v>
      </c>
      <c r="B599" s="271">
        <v>1506</v>
      </c>
      <c r="C599" s="271">
        <v>200172</v>
      </c>
      <c r="D599" s="268" t="s">
        <v>894</v>
      </c>
      <c r="E599" s="268" t="s">
        <v>1278</v>
      </c>
      <c r="F599" s="268" t="s">
        <v>2701</v>
      </c>
      <c r="G599" s="268">
        <v>16</v>
      </c>
      <c r="H599" s="268" t="s">
        <v>3254</v>
      </c>
      <c r="I599" s="268" t="s">
        <v>3201</v>
      </c>
      <c r="J599" s="272">
        <v>179112</v>
      </c>
      <c r="K599" s="272">
        <f t="shared" si="73"/>
        <v>14926</v>
      </c>
      <c r="L599" s="272">
        <f t="shared" si="74"/>
        <v>12141.24</v>
      </c>
      <c r="M599" s="269">
        <v>0</v>
      </c>
      <c r="N599" s="272">
        <f t="shared" si="79"/>
        <v>129.60000000000002</v>
      </c>
      <c r="O599" s="273">
        <v>0</v>
      </c>
      <c r="P599" s="273">
        <f t="shared" si="75"/>
        <v>3134.4600000000005</v>
      </c>
      <c r="Q599" s="272">
        <f t="shared" si="76"/>
        <v>60084</v>
      </c>
      <c r="R599" s="272">
        <f t="shared" si="77"/>
        <v>32365.538400000001</v>
      </c>
      <c r="S599" s="272">
        <f t="shared" si="78"/>
        <v>2125.44</v>
      </c>
    </row>
    <row r="600" spans="1:21" s="270" customFormat="1" x14ac:dyDescent="0.25">
      <c r="A600" s="335">
        <v>501101</v>
      </c>
      <c r="B600" s="271">
        <v>1101</v>
      </c>
      <c r="C600" s="271">
        <v>200175</v>
      </c>
      <c r="D600" s="268" t="s">
        <v>894</v>
      </c>
      <c r="E600" s="268" t="s">
        <v>1290</v>
      </c>
      <c r="F600" s="268" t="s">
        <v>3025</v>
      </c>
      <c r="G600" s="268">
        <v>16</v>
      </c>
      <c r="H600" s="268" t="s">
        <v>3255</v>
      </c>
      <c r="I600" s="268" t="s">
        <v>3201</v>
      </c>
      <c r="J600" s="272">
        <v>179112</v>
      </c>
      <c r="K600" s="272">
        <f t="shared" si="73"/>
        <v>14926</v>
      </c>
      <c r="L600" s="272">
        <f t="shared" si="74"/>
        <v>12141.24</v>
      </c>
      <c r="M600" s="269">
        <v>0</v>
      </c>
      <c r="N600" s="272">
        <f t="shared" si="79"/>
        <v>129.60000000000002</v>
      </c>
      <c r="O600" s="273">
        <v>0</v>
      </c>
      <c r="P600" s="273">
        <f t="shared" si="75"/>
        <v>3134.4600000000005</v>
      </c>
      <c r="Q600" s="272">
        <f t="shared" si="76"/>
        <v>60084</v>
      </c>
      <c r="R600" s="272">
        <f t="shared" si="77"/>
        <v>32365.538400000001</v>
      </c>
      <c r="S600" s="272">
        <f t="shared" si="78"/>
        <v>2125.44</v>
      </c>
    </row>
    <row r="601" spans="1:21" s="270" customFormat="1" x14ac:dyDescent="0.25">
      <c r="A601" s="335">
        <v>501443</v>
      </c>
      <c r="B601" s="271">
        <v>1443</v>
      </c>
      <c r="C601" s="271">
        <v>200261</v>
      </c>
      <c r="D601" s="268" t="s">
        <v>894</v>
      </c>
      <c r="E601" s="268" t="s">
        <v>1290</v>
      </c>
      <c r="F601" s="268" t="s">
        <v>3256</v>
      </c>
      <c r="G601" s="268">
        <v>16</v>
      </c>
      <c r="H601" s="268" t="s">
        <v>3257</v>
      </c>
      <c r="I601" s="268" t="s">
        <v>3201</v>
      </c>
      <c r="J601" s="272">
        <v>179112</v>
      </c>
      <c r="K601" s="272">
        <f t="shared" si="73"/>
        <v>14926</v>
      </c>
      <c r="L601" s="272">
        <f t="shared" si="74"/>
        <v>12141.24</v>
      </c>
      <c r="M601" s="269">
        <v>0</v>
      </c>
      <c r="N601" s="272">
        <f t="shared" si="79"/>
        <v>129.60000000000002</v>
      </c>
      <c r="O601" s="273">
        <v>0</v>
      </c>
      <c r="P601" s="273">
        <f t="shared" si="75"/>
        <v>3134.4600000000005</v>
      </c>
      <c r="Q601" s="272">
        <f t="shared" si="76"/>
        <v>60084</v>
      </c>
      <c r="R601" s="272">
        <f t="shared" si="77"/>
        <v>32365.538400000001</v>
      </c>
      <c r="S601" s="272">
        <f t="shared" si="78"/>
        <v>2125.44</v>
      </c>
    </row>
    <row r="602" spans="1:21" s="270" customFormat="1" x14ac:dyDescent="0.25">
      <c r="A602" s="335">
        <v>501444</v>
      </c>
      <c r="B602" s="271">
        <v>1444</v>
      </c>
      <c r="C602" s="271">
        <v>200265</v>
      </c>
      <c r="D602" s="268" t="s">
        <v>894</v>
      </c>
      <c r="E602" s="268" t="s">
        <v>1290</v>
      </c>
      <c r="F602" s="268" t="s">
        <v>3258</v>
      </c>
      <c r="G602" s="268">
        <v>16</v>
      </c>
      <c r="H602" s="268" t="s">
        <v>3259</v>
      </c>
      <c r="I602" s="268" t="s">
        <v>3201</v>
      </c>
      <c r="J602" s="272">
        <v>179112</v>
      </c>
      <c r="K602" s="272">
        <f t="shared" si="73"/>
        <v>14926</v>
      </c>
      <c r="L602" s="272">
        <f t="shared" si="74"/>
        <v>12141.24</v>
      </c>
      <c r="M602" s="269">
        <v>0</v>
      </c>
      <c r="N602" s="272">
        <f t="shared" si="79"/>
        <v>129.60000000000002</v>
      </c>
      <c r="O602" s="273">
        <v>0</v>
      </c>
      <c r="P602" s="273">
        <f t="shared" si="75"/>
        <v>3134.4600000000005</v>
      </c>
      <c r="Q602" s="272">
        <f t="shared" si="76"/>
        <v>60084</v>
      </c>
      <c r="R602" s="272">
        <f t="shared" si="77"/>
        <v>32365.538400000001</v>
      </c>
      <c r="S602" s="272">
        <f t="shared" si="78"/>
        <v>2125.44</v>
      </c>
    </row>
    <row r="603" spans="1:21" s="270" customFormat="1" x14ac:dyDescent="0.25">
      <c r="A603" s="335">
        <v>501444</v>
      </c>
      <c r="B603" s="271">
        <v>1444</v>
      </c>
      <c r="C603" s="271">
        <v>200268</v>
      </c>
      <c r="D603" s="268" t="s">
        <v>894</v>
      </c>
      <c r="E603" s="268" t="s">
        <v>1290</v>
      </c>
      <c r="F603" s="268" t="s">
        <v>3260</v>
      </c>
      <c r="G603" s="268">
        <v>16</v>
      </c>
      <c r="H603" s="268" t="s">
        <v>3261</v>
      </c>
      <c r="I603" s="268" t="s">
        <v>3201</v>
      </c>
      <c r="J603" s="272">
        <v>179112</v>
      </c>
      <c r="K603" s="272">
        <f t="shared" si="73"/>
        <v>14926</v>
      </c>
      <c r="L603" s="272">
        <f t="shared" si="74"/>
        <v>12141.24</v>
      </c>
      <c r="M603" s="269">
        <v>0</v>
      </c>
      <c r="N603" s="272">
        <f t="shared" si="79"/>
        <v>129.60000000000002</v>
      </c>
      <c r="O603" s="273">
        <v>0</v>
      </c>
      <c r="P603" s="273">
        <f t="shared" si="75"/>
        <v>3134.4600000000005</v>
      </c>
      <c r="Q603" s="272">
        <f t="shared" si="76"/>
        <v>60084</v>
      </c>
      <c r="R603" s="272">
        <f t="shared" si="77"/>
        <v>32365.538400000001</v>
      </c>
      <c r="S603" s="272">
        <f t="shared" si="78"/>
        <v>2125.44</v>
      </c>
    </row>
    <row r="604" spans="1:21" s="270" customFormat="1" x14ac:dyDescent="0.25">
      <c r="A604" s="335">
        <v>501445</v>
      </c>
      <c r="B604" s="271">
        <v>1445</v>
      </c>
      <c r="C604" s="271">
        <v>200269</v>
      </c>
      <c r="D604" s="268" t="s">
        <v>894</v>
      </c>
      <c r="E604" s="268" t="s">
        <v>1290</v>
      </c>
      <c r="F604" s="268" t="s">
        <v>2768</v>
      </c>
      <c r="G604" s="268">
        <v>16</v>
      </c>
      <c r="H604" s="268" t="s">
        <v>3262</v>
      </c>
      <c r="I604" s="268" t="s">
        <v>3201</v>
      </c>
      <c r="J604" s="272">
        <v>179112</v>
      </c>
      <c r="K604" s="272">
        <f t="shared" si="73"/>
        <v>14926</v>
      </c>
      <c r="L604" s="272">
        <f t="shared" si="74"/>
        <v>12141.24</v>
      </c>
      <c r="M604" s="269">
        <v>0</v>
      </c>
      <c r="N604" s="272">
        <f t="shared" si="79"/>
        <v>129.60000000000002</v>
      </c>
      <c r="O604" s="273">
        <v>0</v>
      </c>
      <c r="P604" s="273">
        <f t="shared" si="75"/>
        <v>3134.4600000000005</v>
      </c>
      <c r="Q604" s="272">
        <f t="shared" si="76"/>
        <v>60084</v>
      </c>
      <c r="R604" s="272">
        <f t="shared" si="77"/>
        <v>32365.538400000001</v>
      </c>
      <c r="S604" s="272">
        <f t="shared" si="78"/>
        <v>2125.44</v>
      </c>
    </row>
    <row r="605" spans="1:21" s="270" customFormat="1" x14ac:dyDescent="0.25">
      <c r="A605" s="335">
        <v>501443</v>
      </c>
      <c r="B605" s="271">
        <v>1443</v>
      </c>
      <c r="C605" s="271">
        <v>200270</v>
      </c>
      <c r="D605" s="268" t="s">
        <v>894</v>
      </c>
      <c r="E605" s="268" t="s">
        <v>1278</v>
      </c>
      <c r="F605" s="268" t="s">
        <v>2764</v>
      </c>
      <c r="G605" s="268">
        <v>16</v>
      </c>
      <c r="H605" s="268" t="s">
        <v>3263</v>
      </c>
      <c r="I605" s="268" t="s">
        <v>3201</v>
      </c>
      <c r="J605" s="272">
        <v>179112</v>
      </c>
      <c r="K605" s="272">
        <f t="shared" si="73"/>
        <v>14926</v>
      </c>
      <c r="L605" s="272">
        <f t="shared" si="74"/>
        <v>12141.24</v>
      </c>
      <c r="M605" s="269">
        <v>0</v>
      </c>
      <c r="N605" s="272">
        <f t="shared" si="79"/>
        <v>129.60000000000002</v>
      </c>
      <c r="O605" s="273">
        <v>0</v>
      </c>
      <c r="P605" s="273">
        <f t="shared" si="75"/>
        <v>3134.4600000000005</v>
      </c>
      <c r="Q605" s="272">
        <f t="shared" si="76"/>
        <v>60084</v>
      </c>
      <c r="R605" s="272">
        <f t="shared" si="77"/>
        <v>32365.538400000001</v>
      </c>
      <c r="S605" s="272">
        <f t="shared" si="78"/>
        <v>2125.44</v>
      </c>
      <c r="T605" s="277"/>
      <c r="U605" s="277"/>
    </row>
    <row r="606" spans="1:21" s="270" customFormat="1" x14ac:dyDescent="0.25">
      <c r="A606" s="335">
        <v>501444</v>
      </c>
      <c r="B606" s="271">
        <v>1444</v>
      </c>
      <c r="C606" s="271">
        <v>200271</v>
      </c>
      <c r="D606" s="268" t="s">
        <v>894</v>
      </c>
      <c r="E606" s="268" t="s">
        <v>1290</v>
      </c>
      <c r="F606" s="268" t="s">
        <v>3264</v>
      </c>
      <c r="G606" s="268">
        <v>16</v>
      </c>
      <c r="H606" s="268" t="s">
        <v>3265</v>
      </c>
      <c r="I606" s="268" t="s">
        <v>3201</v>
      </c>
      <c r="J606" s="272">
        <v>179112</v>
      </c>
      <c r="K606" s="272">
        <f t="shared" si="73"/>
        <v>14926</v>
      </c>
      <c r="L606" s="272">
        <f t="shared" si="74"/>
        <v>12141.24</v>
      </c>
      <c r="M606" s="269">
        <v>0</v>
      </c>
      <c r="N606" s="272">
        <f t="shared" si="79"/>
        <v>129.60000000000002</v>
      </c>
      <c r="O606" s="273">
        <v>0</v>
      </c>
      <c r="P606" s="273">
        <f t="shared" si="75"/>
        <v>3134.4600000000005</v>
      </c>
      <c r="Q606" s="272">
        <f t="shared" si="76"/>
        <v>60084</v>
      </c>
      <c r="R606" s="272">
        <f t="shared" si="77"/>
        <v>32365.538400000001</v>
      </c>
      <c r="S606" s="272">
        <f t="shared" si="78"/>
        <v>2125.44</v>
      </c>
    </row>
    <row r="607" spans="1:21" x14ac:dyDescent="0.25">
      <c r="A607" s="335">
        <v>501506</v>
      </c>
      <c r="B607" s="271">
        <v>1506</v>
      </c>
      <c r="C607" s="271">
        <v>200272</v>
      </c>
      <c r="D607" s="268" t="s">
        <v>894</v>
      </c>
      <c r="E607" s="268" t="s">
        <v>1290</v>
      </c>
      <c r="F607" s="268" t="s">
        <v>1304</v>
      </c>
      <c r="G607" s="268">
        <v>16</v>
      </c>
      <c r="H607" s="268" t="s">
        <v>3205</v>
      </c>
      <c r="I607" s="268" t="s">
        <v>3201</v>
      </c>
      <c r="J607" s="272">
        <v>179112</v>
      </c>
      <c r="K607" s="272">
        <f t="shared" si="73"/>
        <v>14926</v>
      </c>
      <c r="L607" s="272">
        <f t="shared" si="74"/>
        <v>12141.24</v>
      </c>
      <c r="M607" s="269">
        <v>0</v>
      </c>
      <c r="N607" s="272">
        <f t="shared" si="79"/>
        <v>129.60000000000002</v>
      </c>
      <c r="O607" s="273">
        <v>0</v>
      </c>
      <c r="P607" s="273">
        <f t="shared" si="75"/>
        <v>3134.4600000000005</v>
      </c>
      <c r="Q607" s="272">
        <f t="shared" si="76"/>
        <v>60084</v>
      </c>
      <c r="R607" s="272">
        <f t="shared" si="77"/>
        <v>32365.538400000001</v>
      </c>
      <c r="S607" s="272">
        <f t="shared" si="78"/>
        <v>2125.44</v>
      </c>
      <c r="T607" s="270"/>
      <c r="U607" s="270"/>
    </row>
    <row r="608" spans="1:21" s="270" customFormat="1" x14ac:dyDescent="0.25">
      <c r="A608" s="335">
        <v>501444</v>
      </c>
      <c r="B608" s="271">
        <v>1444</v>
      </c>
      <c r="C608" s="271">
        <v>200274</v>
      </c>
      <c r="D608" s="268" t="s">
        <v>894</v>
      </c>
      <c r="E608" s="268" t="s">
        <v>1290</v>
      </c>
      <c r="F608" s="268" t="s">
        <v>2490</v>
      </c>
      <c r="G608" s="268">
        <v>16</v>
      </c>
      <c r="H608" s="268" t="s">
        <v>3266</v>
      </c>
      <c r="I608" s="268" t="s">
        <v>3201</v>
      </c>
      <c r="J608" s="272">
        <v>179112</v>
      </c>
      <c r="K608" s="272">
        <f t="shared" si="73"/>
        <v>14926</v>
      </c>
      <c r="L608" s="272">
        <f t="shared" si="74"/>
        <v>12141.24</v>
      </c>
      <c r="M608" s="269">
        <v>0</v>
      </c>
      <c r="N608" s="272">
        <f t="shared" si="79"/>
        <v>129.60000000000002</v>
      </c>
      <c r="O608" s="273">
        <v>0</v>
      </c>
      <c r="P608" s="273">
        <f t="shared" si="75"/>
        <v>3134.4600000000005</v>
      </c>
      <c r="Q608" s="272">
        <f t="shared" si="76"/>
        <v>60084</v>
      </c>
      <c r="R608" s="272">
        <f t="shared" si="77"/>
        <v>32365.538400000001</v>
      </c>
      <c r="S608" s="272">
        <f t="shared" si="78"/>
        <v>2125.44</v>
      </c>
    </row>
    <row r="609" spans="1:21" s="270" customFormat="1" x14ac:dyDescent="0.25">
      <c r="A609" s="335">
        <v>501443</v>
      </c>
      <c r="B609" s="271">
        <v>1443</v>
      </c>
      <c r="C609" s="271">
        <v>200275</v>
      </c>
      <c r="D609" s="268" t="s">
        <v>894</v>
      </c>
      <c r="E609" s="268" t="s">
        <v>1290</v>
      </c>
      <c r="F609" s="268" t="s">
        <v>2306</v>
      </c>
      <c r="G609" s="268">
        <v>16</v>
      </c>
      <c r="H609" s="268" t="s">
        <v>3267</v>
      </c>
      <c r="I609" s="268" t="s">
        <v>3201</v>
      </c>
      <c r="J609" s="272">
        <v>179112</v>
      </c>
      <c r="K609" s="272">
        <f t="shared" si="73"/>
        <v>14926</v>
      </c>
      <c r="L609" s="272">
        <f t="shared" si="74"/>
        <v>12141.24</v>
      </c>
      <c r="M609" s="269">
        <v>0</v>
      </c>
      <c r="N609" s="272">
        <f t="shared" si="79"/>
        <v>129.60000000000002</v>
      </c>
      <c r="O609" s="273">
        <v>0</v>
      </c>
      <c r="P609" s="273">
        <f t="shared" si="75"/>
        <v>3134.4600000000005</v>
      </c>
      <c r="Q609" s="272">
        <f t="shared" si="76"/>
        <v>60084</v>
      </c>
      <c r="R609" s="272">
        <f t="shared" si="77"/>
        <v>32365.538400000001</v>
      </c>
      <c r="S609" s="272">
        <f t="shared" si="78"/>
        <v>2125.44</v>
      </c>
    </row>
    <row r="610" spans="1:21" s="270" customFormat="1" x14ac:dyDescent="0.25">
      <c r="A610" s="335">
        <v>501506</v>
      </c>
      <c r="B610" s="271">
        <v>1506</v>
      </c>
      <c r="C610" s="271">
        <v>200276</v>
      </c>
      <c r="D610" s="268" t="s">
        <v>894</v>
      </c>
      <c r="E610" s="268" t="s">
        <v>1278</v>
      </c>
      <c r="F610" s="268" t="s">
        <v>3268</v>
      </c>
      <c r="G610" s="268">
        <v>16</v>
      </c>
      <c r="H610" s="268" t="s">
        <v>3269</v>
      </c>
      <c r="I610" s="268" t="s">
        <v>3201</v>
      </c>
      <c r="J610" s="272">
        <v>179112</v>
      </c>
      <c r="K610" s="272">
        <f t="shared" si="73"/>
        <v>14926</v>
      </c>
      <c r="L610" s="272">
        <f t="shared" si="74"/>
        <v>12141.24</v>
      </c>
      <c r="M610" s="269">
        <v>0</v>
      </c>
      <c r="N610" s="272">
        <f t="shared" si="79"/>
        <v>129.60000000000002</v>
      </c>
      <c r="O610" s="273">
        <v>0</v>
      </c>
      <c r="P610" s="273">
        <f t="shared" si="75"/>
        <v>3134.4600000000005</v>
      </c>
      <c r="Q610" s="272">
        <f t="shared" si="76"/>
        <v>60084</v>
      </c>
      <c r="R610" s="272">
        <f t="shared" si="77"/>
        <v>32365.538400000001</v>
      </c>
      <c r="S610" s="272">
        <f t="shared" si="78"/>
        <v>2125.44</v>
      </c>
    </row>
    <row r="611" spans="1:21" s="270" customFormat="1" x14ac:dyDescent="0.25">
      <c r="A611" s="335">
        <v>501445</v>
      </c>
      <c r="B611" s="271">
        <v>1445</v>
      </c>
      <c r="C611" s="271">
        <v>200278</v>
      </c>
      <c r="D611" s="268" t="s">
        <v>894</v>
      </c>
      <c r="E611" s="268" t="s">
        <v>1278</v>
      </c>
      <c r="F611" s="268" t="s">
        <v>3097</v>
      </c>
      <c r="G611" s="268">
        <v>16</v>
      </c>
      <c r="H611" s="268" t="s">
        <v>3270</v>
      </c>
      <c r="I611" s="268" t="s">
        <v>3201</v>
      </c>
      <c r="J611" s="272">
        <v>179112</v>
      </c>
      <c r="K611" s="272">
        <f t="shared" si="73"/>
        <v>14926</v>
      </c>
      <c r="L611" s="272">
        <f t="shared" si="74"/>
        <v>12141.24</v>
      </c>
      <c r="M611" s="269">
        <v>0</v>
      </c>
      <c r="N611" s="272">
        <f t="shared" si="79"/>
        <v>129.60000000000002</v>
      </c>
      <c r="O611" s="273">
        <v>0</v>
      </c>
      <c r="P611" s="273">
        <f t="shared" si="75"/>
        <v>3134.4600000000005</v>
      </c>
      <c r="Q611" s="272">
        <f t="shared" si="76"/>
        <v>60084</v>
      </c>
      <c r="R611" s="272">
        <f t="shared" si="77"/>
        <v>32365.538400000001</v>
      </c>
      <c r="S611" s="272">
        <f t="shared" si="78"/>
        <v>2125.44</v>
      </c>
    </row>
    <row r="612" spans="1:21" s="270" customFormat="1" x14ac:dyDescent="0.25">
      <c r="A612" s="335">
        <v>501443</v>
      </c>
      <c r="B612" s="271">
        <v>1443</v>
      </c>
      <c r="C612" s="271">
        <v>200279</v>
      </c>
      <c r="D612" s="268" t="s">
        <v>894</v>
      </c>
      <c r="E612" s="268" t="s">
        <v>1290</v>
      </c>
      <c r="F612" s="268" t="s">
        <v>2508</v>
      </c>
      <c r="G612" s="268">
        <v>16</v>
      </c>
      <c r="H612" s="268" t="s">
        <v>3271</v>
      </c>
      <c r="I612" s="268" t="s">
        <v>3201</v>
      </c>
      <c r="J612" s="272">
        <v>179112</v>
      </c>
      <c r="K612" s="272">
        <f t="shared" si="73"/>
        <v>14926</v>
      </c>
      <c r="L612" s="272">
        <f t="shared" si="74"/>
        <v>12141.24</v>
      </c>
      <c r="M612" s="269">
        <v>0</v>
      </c>
      <c r="N612" s="272">
        <f t="shared" si="79"/>
        <v>129.60000000000002</v>
      </c>
      <c r="O612" s="273">
        <v>0</v>
      </c>
      <c r="P612" s="273">
        <f t="shared" si="75"/>
        <v>3134.4600000000005</v>
      </c>
      <c r="Q612" s="272">
        <f t="shared" si="76"/>
        <v>60084</v>
      </c>
      <c r="R612" s="272">
        <f t="shared" si="77"/>
        <v>32365.538400000001</v>
      </c>
      <c r="S612" s="272">
        <f t="shared" si="78"/>
        <v>2125.44</v>
      </c>
    </row>
    <row r="613" spans="1:21" s="270" customFormat="1" x14ac:dyDescent="0.25">
      <c r="A613" s="335">
        <v>501444</v>
      </c>
      <c r="B613" s="271">
        <v>1444</v>
      </c>
      <c r="C613" s="271">
        <v>200280</v>
      </c>
      <c r="D613" s="268" t="s">
        <v>894</v>
      </c>
      <c r="E613" s="268" t="s">
        <v>1278</v>
      </c>
      <c r="F613" s="268" t="s">
        <v>3272</v>
      </c>
      <c r="G613" s="268">
        <v>16</v>
      </c>
      <c r="H613" s="268" t="s">
        <v>3273</v>
      </c>
      <c r="I613" s="268" t="s">
        <v>3201</v>
      </c>
      <c r="J613" s="272">
        <v>179112</v>
      </c>
      <c r="K613" s="272">
        <f t="shared" si="73"/>
        <v>14926</v>
      </c>
      <c r="L613" s="272">
        <f t="shared" si="74"/>
        <v>12141.24</v>
      </c>
      <c r="M613" s="269">
        <v>0</v>
      </c>
      <c r="N613" s="272">
        <f t="shared" si="79"/>
        <v>129.60000000000002</v>
      </c>
      <c r="O613" s="273">
        <v>0</v>
      </c>
      <c r="P613" s="273">
        <f t="shared" si="75"/>
        <v>3134.4600000000005</v>
      </c>
      <c r="Q613" s="272">
        <f t="shared" si="76"/>
        <v>60084</v>
      </c>
      <c r="R613" s="272">
        <f t="shared" si="77"/>
        <v>32365.538400000001</v>
      </c>
      <c r="S613" s="272">
        <f t="shared" si="78"/>
        <v>2125.44</v>
      </c>
    </row>
    <row r="614" spans="1:21" s="270" customFormat="1" x14ac:dyDescent="0.25">
      <c r="A614" s="335">
        <v>501443</v>
      </c>
      <c r="B614" s="271">
        <v>1443</v>
      </c>
      <c r="C614" s="271">
        <v>200281</v>
      </c>
      <c r="D614" s="268" t="s">
        <v>894</v>
      </c>
      <c r="E614" s="268" t="s">
        <v>1290</v>
      </c>
      <c r="F614" s="268" t="s">
        <v>3059</v>
      </c>
      <c r="G614" s="268">
        <v>16</v>
      </c>
      <c r="H614" s="268" t="s">
        <v>3274</v>
      </c>
      <c r="I614" s="268" t="s">
        <v>3201</v>
      </c>
      <c r="J614" s="272">
        <v>179112</v>
      </c>
      <c r="K614" s="272">
        <f t="shared" si="73"/>
        <v>14926</v>
      </c>
      <c r="L614" s="272">
        <f t="shared" si="74"/>
        <v>12141.24</v>
      </c>
      <c r="M614" s="269">
        <v>0</v>
      </c>
      <c r="N614" s="272">
        <f t="shared" si="79"/>
        <v>129.60000000000002</v>
      </c>
      <c r="O614" s="273">
        <v>0</v>
      </c>
      <c r="P614" s="273">
        <f t="shared" si="75"/>
        <v>3134.4600000000005</v>
      </c>
      <c r="Q614" s="272">
        <f t="shared" si="76"/>
        <v>60084</v>
      </c>
      <c r="R614" s="272">
        <f t="shared" si="77"/>
        <v>32365.538400000001</v>
      </c>
      <c r="S614" s="272">
        <f t="shared" si="78"/>
        <v>2125.44</v>
      </c>
    </row>
    <row r="615" spans="1:21" s="270" customFormat="1" x14ac:dyDescent="0.25">
      <c r="A615" s="335">
        <v>501444</v>
      </c>
      <c r="B615" s="271">
        <v>1444</v>
      </c>
      <c r="C615" s="271">
        <v>200283</v>
      </c>
      <c r="D615" s="268" t="s">
        <v>894</v>
      </c>
      <c r="E615" s="268" t="s">
        <v>1278</v>
      </c>
      <c r="F615" s="268" t="s">
        <v>2971</v>
      </c>
      <c r="G615" s="268">
        <v>16</v>
      </c>
      <c r="H615" s="268" t="s">
        <v>3275</v>
      </c>
      <c r="I615" s="268" t="s">
        <v>3201</v>
      </c>
      <c r="J615" s="272">
        <v>179112</v>
      </c>
      <c r="K615" s="272">
        <f t="shared" si="73"/>
        <v>14926</v>
      </c>
      <c r="L615" s="272">
        <f t="shared" si="74"/>
        <v>12141.24</v>
      </c>
      <c r="M615" s="269">
        <v>0</v>
      </c>
      <c r="N615" s="272">
        <f t="shared" si="79"/>
        <v>129.60000000000002</v>
      </c>
      <c r="O615" s="273">
        <v>0</v>
      </c>
      <c r="P615" s="273">
        <f t="shared" si="75"/>
        <v>3134.4600000000005</v>
      </c>
      <c r="Q615" s="272">
        <f t="shared" si="76"/>
        <v>60084</v>
      </c>
      <c r="R615" s="272">
        <f t="shared" si="77"/>
        <v>32365.538400000001</v>
      </c>
      <c r="S615" s="272">
        <f t="shared" si="78"/>
        <v>2125.44</v>
      </c>
    </row>
    <row r="616" spans="1:21" s="270" customFormat="1" x14ac:dyDescent="0.25">
      <c r="A616" s="335">
        <v>501445</v>
      </c>
      <c r="B616" s="271">
        <v>1445</v>
      </c>
      <c r="C616" s="271">
        <v>200284</v>
      </c>
      <c r="D616" s="268" t="s">
        <v>894</v>
      </c>
      <c r="E616" s="268" t="s">
        <v>1278</v>
      </c>
      <c r="F616" s="268" t="s">
        <v>2362</v>
      </c>
      <c r="G616" s="268">
        <v>16</v>
      </c>
      <c r="H616" s="268" t="s">
        <v>3276</v>
      </c>
      <c r="I616" s="268" t="s">
        <v>3201</v>
      </c>
      <c r="J616" s="272">
        <v>179112</v>
      </c>
      <c r="K616" s="272">
        <f t="shared" si="73"/>
        <v>14926</v>
      </c>
      <c r="L616" s="272">
        <f t="shared" si="74"/>
        <v>12141.24</v>
      </c>
      <c r="M616" s="269">
        <v>0</v>
      </c>
      <c r="N616" s="272">
        <f t="shared" si="79"/>
        <v>129.60000000000002</v>
      </c>
      <c r="O616" s="273">
        <v>0</v>
      </c>
      <c r="P616" s="273">
        <f t="shared" si="75"/>
        <v>3134.4600000000005</v>
      </c>
      <c r="Q616" s="272">
        <f t="shared" si="76"/>
        <v>60084</v>
      </c>
      <c r="R616" s="272">
        <f t="shared" si="77"/>
        <v>32365.538400000001</v>
      </c>
      <c r="S616" s="272">
        <f t="shared" si="78"/>
        <v>2125.44</v>
      </c>
    </row>
    <row r="617" spans="1:21" x14ac:dyDescent="0.25">
      <c r="A617" s="335">
        <v>501443</v>
      </c>
      <c r="B617" s="271">
        <v>1443</v>
      </c>
      <c r="C617" s="271">
        <v>200285</v>
      </c>
      <c r="D617" s="268" t="s">
        <v>894</v>
      </c>
      <c r="E617" s="268" t="s">
        <v>1290</v>
      </c>
      <c r="F617" s="268" t="s">
        <v>3277</v>
      </c>
      <c r="G617" s="268">
        <v>16</v>
      </c>
      <c r="H617" s="268" t="s">
        <v>3265</v>
      </c>
      <c r="I617" s="268" t="s">
        <v>3201</v>
      </c>
      <c r="J617" s="272">
        <v>179112</v>
      </c>
      <c r="K617" s="272">
        <f t="shared" si="73"/>
        <v>14926</v>
      </c>
      <c r="L617" s="272">
        <f t="shared" si="74"/>
        <v>12141.24</v>
      </c>
      <c r="M617" s="269">
        <v>0</v>
      </c>
      <c r="N617" s="272">
        <f t="shared" si="79"/>
        <v>129.60000000000002</v>
      </c>
      <c r="O617" s="273">
        <v>0</v>
      </c>
      <c r="P617" s="273">
        <f t="shared" si="75"/>
        <v>3134.4600000000005</v>
      </c>
      <c r="Q617" s="272">
        <f t="shared" si="76"/>
        <v>60084</v>
      </c>
      <c r="R617" s="272">
        <f t="shared" si="77"/>
        <v>32365.538400000001</v>
      </c>
      <c r="S617" s="272">
        <f t="shared" si="78"/>
        <v>2125.44</v>
      </c>
      <c r="T617" s="270"/>
      <c r="U617" s="270"/>
    </row>
    <row r="618" spans="1:21" s="270" customFormat="1" x14ac:dyDescent="0.25">
      <c r="A618" s="335">
        <v>501406</v>
      </c>
      <c r="B618" s="271">
        <v>1406</v>
      </c>
      <c r="C618" s="271">
        <v>200286</v>
      </c>
      <c r="D618" s="268" t="s">
        <v>894</v>
      </c>
      <c r="E618" s="268" t="s">
        <v>1290</v>
      </c>
      <c r="F618" s="268" t="s">
        <v>3278</v>
      </c>
      <c r="G618" s="268">
        <v>16</v>
      </c>
      <c r="H618" s="268" t="s">
        <v>2438</v>
      </c>
      <c r="I618" s="268" t="s">
        <v>3201</v>
      </c>
      <c r="J618" s="272">
        <v>179112</v>
      </c>
      <c r="K618" s="272">
        <f t="shared" si="73"/>
        <v>14926</v>
      </c>
      <c r="L618" s="272">
        <f t="shared" si="74"/>
        <v>12141.24</v>
      </c>
      <c r="M618" s="269">
        <v>0</v>
      </c>
      <c r="N618" s="272">
        <f t="shared" si="79"/>
        <v>129.60000000000002</v>
      </c>
      <c r="O618" s="273">
        <v>0</v>
      </c>
      <c r="P618" s="273">
        <f t="shared" si="75"/>
        <v>3134.4600000000005</v>
      </c>
      <c r="Q618" s="272">
        <f t="shared" si="76"/>
        <v>60084</v>
      </c>
      <c r="R618" s="272">
        <f t="shared" si="77"/>
        <v>32365.538400000001</v>
      </c>
      <c r="S618" s="272">
        <f t="shared" si="78"/>
        <v>2125.44</v>
      </c>
    </row>
    <row r="619" spans="1:21" s="270" customFormat="1" x14ac:dyDescent="0.25">
      <c r="A619" s="335">
        <v>501443</v>
      </c>
      <c r="B619" s="271">
        <v>1443</v>
      </c>
      <c r="C619" s="271">
        <v>200287</v>
      </c>
      <c r="D619" s="268" t="s">
        <v>894</v>
      </c>
      <c r="E619" s="268" t="s">
        <v>1290</v>
      </c>
      <c r="F619" s="268" t="s">
        <v>2549</v>
      </c>
      <c r="G619" s="268">
        <v>16</v>
      </c>
      <c r="H619" s="268" t="s">
        <v>2196</v>
      </c>
      <c r="I619" s="268" t="s">
        <v>3201</v>
      </c>
      <c r="J619" s="272">
        <v>179112</v>
      </c>
      <c r="K619" s="272">
        <f t="shared" si="73"/>
        <v>14926</v>
      </c>
      <c r="L619" s="272">
        <f t="shared" si="74"/>
        <v>12141.24</v>
      </c>
      <c r="M619" s="269">
        <v>0</v>
      </c>
      <c r="N619" s="272">
        <f t="shared" si="79"/>
        <v>129.60000000000002</v>
      </c>
      <c r="O619" s="273">
        <v>0</v>
      </c>
      <c r="P619" s="273">
        <f t="shared" si="75"/>
        <v>3134.4600000000005</v>
      </c>
      <c r="Q619" s="272">
        <f t="shared" si="76"/>
        <v>60084</v>
      </c>
      <c r="R619" s="272">
        <f t="shared" si="77"/>
        <v>32365.538400000001</v>
      </c>
      <c r="S619" s="272">
        <f t="shared" si="78"/>
        <v>2125.44</v>
      </c>
    </row>
    <row r="620" spans="1:21" s="270" customFormat="1" x14ac:dyDescent="0.25">
      <c r="A620" s="335">
        <v>501445</v>
      </c>
      <c r="B620" s="271">
        <v>1445</v>
      </c>
      <c r="C620" s="271">
        <v>200289</v>
      </c>
      <c r="D620" s="268" t="s">
        <v>894</v>
      </c>
      <c r="E620" s="268" t="s">
        <v>1290</v>
      </c>
      <c r="F620" s="268" t="s">
        <v>1306</v>
      </c>
      <c r="G620" s="268">
        <v>16</v>
      </c>
      <c r="H620" s="268" t="s">
        <v>3279</v>
      </c>
      <c r="I620" s="268" t="s">
        <v>3201</v>
      </c>
      <c r="J620" s="272">
        <v>179112</v>
      </c>
      <c r="K620" s="272">
        <f t="shared" si="73"/>
        <v>14926</v>
      </c>
      <c r="L620" s="272">
        <f t="shared" si="74"/>
        <v>12141.24</v>
      </c>
      <c r="M620" s="269">
        <v>0</v>
      </c>
      <c r="N620" s="272">
        <f t="shared" si="79"/>
        <v>129.60000000000002</v>
      </c>
      <c r="O620" s="273">
        <v>0</v>
      </c>
      <c r="P620" s="273">
        <f t="shared" si="75"/>
        <v>3134.4600000000005</v>
      </c>
      <c r="Q620" s="272">
        <f t="shared" si="76"/>
        <v>60084</v>
      </c>
      <c r="R620" s="272">
        <f t="shared" si="77"/>
        <v>32365.538400000001</v>
      </c>
      <c r="S620" s="272">
        <f t="shared" si="78"/>
        <v>2125.44</v>
      </c>
    </row>
    <row r="621" spans="1:21" s="270" customFormat="1" x14ac:dyDescent="0.25">
      <c r="A621" s="335">
        <v>501445</v>
      </c>
      <c r="B621" s="271">
        <v>1445</v>
      </c>
      <c r="C621" s="271">
        <v>200291</v>
      </c>
      <c r="D621" s="268" t="s">
        <v>894</v>
      </c>
      <c r="E621" s="268" t="s">
        <v>1290</v>
      </c>
      <c r="F621" s="268" t="s">
        <v>2362</v>
      </c>
      <c r="G621" s="268">
        <v>16</v>
      </c>
      <c r="H621" s="268" t="s">
        <v>3280</v>
      </c>
      <c r="I621" s="268" t="s">
        <v>3201</v>
      </c>
      <c r="J621" s="272">
        <v>179112</v>
      </c>
      <c r="K621" s="272">
        <f t="shared" si="73"/>
        <v>14926</v>
      </c>
      <c r="L621" s="272">
        <f t="shared" si="74"/>
        <v>12141.24</v>
      </c>
      <c r="M621" s="269">
        <v>0</v>
      </c>
      <c r="N621" s="272">
        <f t="shared" si="79"/>
        <v>129.60000000000002</v>
      </c>
      <c r="O621" s="273">
        <v>0</v>
      </c>
      <c r="P621" s="273">
        <f t="shared" si="75"/>
        <v>3134.4600000000005</v>
      </c>
      <c r="Q621" s="272">
        <f t="shared" si="76"/>
        <v>60084</v>
      </c>
      <c r="R621" s="272">
        <f t="shared" si="77"/>
        <v>32365.538400000001</v>
      </c>
      <c r="S621" s="272">
        <f t="shared" si="78"/>
        <v>2125.44</v>
      </c>
    </row>
    <row r="622" spans="1:21" s="270" customFormat="1" x14ac:dyDescent="0.25">
      <c r="A622" s="335">
        <v>501444</v>
      </c>
      <c r="B622" s="271">
        <v>1444</v>
      </c>
      <c r="C622" s="271">
        <v>200292</v>
      </c>
      <c r="D622" s="268" t="s">
        <v>894</v>
      </c>
      <c r="E622" s="268" t="s">
        <v>1278</v>
      </c>
      <c r="F622" s="268" t="s">
        <v>2211</v>
      </c>
      <c r="G622" s="268">
        <v>16</v>
      </c>
      <c r="H622" s="268" t="s">
        <v>2659</v>
      </c>
      <c r="I622" s="268" t="s">
        <v>3201</v>
      </c>
      <c r="J622" s="272">
        <v>179112</v>
      </c>
      <c r="K622" s="272">
        <f t="shared" si="73"/>
        <v>14926</v>
      </c>
      <c r="L622" s="272">
        <f t="shared" si="74"/>
        <v>12141.24</v>
      </c>
      <c r="M622" s="269">
        <v>0</v>
      </c>
      <c r="N622" s="272">
        <f t="shared" si="79"/>
        <v>129.60000000000002</v>
      </c>
      <c r="O622" s="273">
        <v>0</v>
      </c>
      <c r="P622" s="273">
        <f t="shared" si="75"/>
        <v>3134.4600000000005</v>
      </c>
      <c r="Q622" s="272">
        <f t="shared" si="76"/>
        <v>60084</v>
      </c>
      <c r="R622" s="272">
        <f t="shared" si="77"/>
        <v>32365.538400000001</v>
      </c>
      <c r="S622" s="272">
        <f t="shared" si="78"/>
        <v>2125.44</v>
      </c>
    </row>
    <row r="623" spans="1:21" s="270" customFormat="1" x14ac:dyDescent="0.25">
      <c r="A623" s="335">
        <v>501443</v>
      </c>
      <c r="B623" s="271">
        <v>1443</v>
      </c>
      <c r="C623" s="271">
        <v>200293</v>
      </c>
      <c r="D623" s="268" t="s">
        <v>894</v>
      </c>
      <c r="E623" s="268" t="s">
        <v>1290</v>
      </c>
      <c r="F623" s="268" t="s">
        <v>3281</v>
      </c>
      <c r="G623" s="268">
        <v>16</v>
      </c>
      <c r="H623" s="268" t="s">
        <v>3282</v>
      </c>
      <c r="I623" s="268" t="s">
        <v>3201</v>
      </c>
      <c r="J623" s="272">
        <v>179112</v>
      </c>
      <c r="K623" s="272">
        <f t="shared" si="73"/>
        <v>14926</v>
      </c>
      <c r="L623" s="272">
        <f t="shared" si="74"/>
        <v>12141.24</v>
      </c>
      <c r="M623" s="269">
        <v>0</v>
      </c>
      <c r="N623" s="272">
        <f t="shared" si="79"/>
        <v>129.60000000000002</v>
      </c>
      <c r="O623" s="269">
        <v>0</v>
      </c>
      <c r="P623" s="273">
        <f t="shared" si="75"/>
        <v>3134.4600000000005</v>
      </c>
      <c r="Q623" s="272">
        <f t="shared" si="76"/>
        <v>60084</v>
      </c>
      <c r="R623" s="272">
        <f t="shared" si="77"/>
        <v>32365.538400000001</v>
      </c>
      <c r="S623" s="272">
        <f t="shared" si="78"/>
        <v>2125.44</v>
      </c>
    </row>
    <row r="624" spans="1:21" s="270" customFormat="1" x14ac:dyDescent="0.25">
      <c r="A624" s="335">
        <v>501443</v>
      </c>
      <c r="B624" s="271">
        <v>1443</v>
      </c>
      <c r="C624" s="271">
        <v>200296</v>
      </c>
      <c r="D624" s="268" t="s">
        <v>894</v>
      </c>
      <c r="E624" s="268" t="s">
        <v>1278</v>
      </c>
      <c r="F624" s="268" t="s">
        <v>3006</v>
      </c>
      <c r="G624" s="268">
        <v>16</v>
      </c>
      <c r="H624" s="268" t="s">
        <v>3283</v>
      </c>
      <c r="I624" s="268" t="s">
        <v>3201</v>
      </c>
      <c r="J624" s="272">
        <v>179112</v>
      </c>
      <c r="K624" s="272">
        <f t="shared" si="73"/>
        <v>14926</v>
      </c>
      <c r="L624" s="272">
        <f t="shared" si="74"/>
        <v>12141.24</v>
      </c>
      <c r="M624" s="269">
        <v>0</v>
      </c>
      <c r="N624" s="272">
        <f t="shared" si="79"/>
        <v>129.60000000000002</v>
      </c>
      <c r="O624" s="269">
        <v>0</v>
      </c>
      <c r="P624" s="273">
        <f t="shared" si="75"/>
        <v>3134.4600000000005</v>
      </c>
      <c r="Q624" s="272">
        <f t="shared" si="76"/>
        <v>60084</v>
      </c>
      <c r="R624" s="272">
        <f t="shared" si="77"/>
        <v>32365.538400000001</v>
      </c>
      <c r="S624" s="272">
        <f t="shared" si="78"/>
        <v>2125.44</v>
      </c>
    </row>
    <row r="625" spans="1:21" s="270" customFormat="1" x14ac:dyDescent="0.25">
      <c r="A625" s="335">
        <v>501443</v>
      </c>
      <c r="B625" s="271">
        <v>1443</v>
      </c>
      <c r="C625" s="271">
        <v>200297</v>
      </c>
      <c r="D625" s="268" t="s">
        <v>894</v>
      </c>
      <c r="E625" s="268" t="s">
        <v>1278</v>
      </c>
      <c r="F625" s="268" t="s">
        <v>3284</v>
      </c>
      <c r="G625" s="268">
        <v>16</v>
      </c>
      <c r="H625" s="268" t="s">
        <v>3285</v>
      </c>
      <c r="I625" s="268" t="s">
        <v>3201</v>
      </c>
      <c r="J625" s="272">
        <v>179112</v>
      </c>
      <c r="K625" s="272">
        <f t="shared" si="73"/>
        <v>14926</v>
      </c>
      <c r="L625" s="272">
        <f t="shared" si="74"/>
        <v>12141.24</v>
      </c>
      <c r="M625" s="269">
        <v>0</v>
      </c>
      <c r="N625" s="272">
        <f t="shared" si="79"/>
        <v>129.60000000000002</v>
      </c>
      <c r="O625" s="269">
        <v>0</v>
      </c>
      <c r="P625" s="273">
        <f t="shared" si="75"/>
        <v>3134.4600000000005</v>
      </c>
      <c r="Q625" s="272">
        <f t="shared" si="76"/>
        <v>60084</v>
      </c>
      <c r="R625" s="272">
        <f t="shared" si="77"/>
        <v>32365.538400000001</v>
      </c>
      <c r="S625" s="272">
        <f t="shared" si="78"/>
        <v>2125.44</v>
      </c>
      <c r="T625" s="280"/>
      <c r="U625" s="280"/>
    </row>
    <row r="626" spans="1:21" s="280" customFormat="1" x14ac:dyDescent="0.25">
      <c r="A626" s="335">
        <v>501443</v>
      </c>
      <c r="B626" s="271">
        <v>1443</v>
      </c>
      <c r="C626" s="271">
        <v>200303</v>
      </c>
      <c r="D626" s="268" t="s">
        <v>894</v>
      </c>
      <c r="E626" s="268" t="s">
        <v>1278</v>
      </c>
      <c r="F626" s="268" t="s">
        <v>2971</v>
      </c>
      <c r="G626" s="268">
        <v>16</v>
      </c>
      <c r="H626" s="268" t="s">
        <v>3286</v>
      </c>
      <c r="I626" s="268" t="s">
        <v>3201</v>
      </c>
      <c r="J626" s="272">
        <v>179112</v>
      </c>
      <c r="K626" s="279">
        <f t="shared" si="73"/>
        <v>14926</v>
      </c>
      <c r="L626" s="272">
        <f t="shared" si="74"/>
        <v>12141.24</v>
      </c>
      <c r="M626" s="269">
        <v>0</v>
      </c>
      <c r="N626" s="272">
        <f t="shared" si="79"/>
        <v>129.60000000000002</v>
      </c>
      <c r="O626" s="269">
        <v>0</v>
      </c>
      <c r="P626" s="273">
        <f t="shared" si="75"/>
        <v>3134.4600000000005</v>
      </c>
      <c r="Q626" s="272">
        <f t="shared" si="76"/>
        <v>60084</v>
      </c>
      <c r="R626" s="272">
        <f t="shared" si="77"/>
        <v>32365.538400000001</v>
      </c>
      <c r="S626" s="272">
        <f t="shared" si="78"/>
        <v>2125.44</v>
      </c>
      <c r="T626" s="270"/>
      <c r="U626" s="270"/>
    </row>
    <row r="627" spans="1:21" s="280" customFormat="1" x14ac:dyDescent="0.25">
      <c r="A627" s="335">
        <v>501443</v>
      </c>
      <c r="B627" s="271">
        <v>1443</v>
      </c>
      <c r="C627" s="271">
        <v>200306</v>
      </c>
      <c r="D627" s="268" t="s">
        <v>894</v>
      </c>
      <c r="E627" s="268" t="s">
        <v>1278</v>
      </c>
      <c r="F627" s="268" t="s">
        <v>2549</v>
      </c>
      <c r="G627" s="268">
        <v>16</v>
      </c>
      <c r="H627" s="268" t="s">
        <v>3112</v>
      </c>
      <c r="I627" s="268" t="s">
        <v>3201</v>
      </c>
      <c r="J627" s="272">
        <v>179112</v>
      </c>
      <c r="K627" s="272">
        <f t="shared" si="73"/>
        <v>14926</v>
      </c>
      <c r="L627" s="272">
        <f t="shared" si="74"/>
        <v>12141.24</v>
      </c>
      <c r="M627" s="269">
        <v>0</v>
      </c>
      <c r="N627" s="272">
        <f t="shared" si="79"/>
        <v>129.60000000000002</v>
      </c>
      <c r="O627" s="269">
        <v>0</v>
      </c>
      <c r="P627" s="273">
        <f t="shared" si="75"/>
        <v>3134.4600000000005</v>
      </c>
      <c r="Q627" s="272">
        <f t="shared" si="76"/>
        <v>60084</v>
      </c>
      <c r="R627" s="272">
        <f t="shared" si="77"/>
        <v>32365.538400000001</v>
      </c>
      <c r="S627" s="272">
        <f t="shared" si="78"/>
        <v>2125.44</v>
      </c>
      <c r="T627" s="270"/>
      <c r="U627" s="270"/>
    </row>
    <row r="628" spans="1:21" s="270" customFormat="1" x14ac:dyDescent="0.25">
      <c r="A628" s="335">
        <v>501443</v>
      </c>
      <c r="B628" s="271">
        <v>1443</v>
      </c>
      <c r="C628" s="271">
        <v>200309</v>
      </c>
      <c r="D628" s="268" t="s">
        <v>894</v>
      </c>
      <c r="E628" s="268" t="s">
        <v>1278</v>
      </c>
      <c r="F628" s="268" t="s">
        <v>2549</v>
      </c>
      <c r="G628" s="268">
        <v>16</v>
      </c>
      <c r="H628" s="268" t="s">
        <v>3287</v>
      </c>
      <c r="I628" s="268" t="s">
        <v>3201</v>
      </c>
      <c r="J628" s="272">
        <v>179112</v>
      </c>
      <c r="K628" s="272">
        <f t="shared" si="73"/>
        <v>14926</v>
      </c>
      <c r="L628" s="272">
        <f t="shared" si="74"/>
        <v>12141.24</v>
      </c>
      <c r="M628" s="269">
        <v>0</v>
      </c>
      <c r="N628" s="272">
        <f t="shared" si="79"/>
        <v>129.60000000000002</v>
      </c>
      <c r="O628" s="269">
        <v>0</v>
      </c>
      <c r="P628" s="273">
        <f t="shared" si="75"/>
        <v>3134.4600000000005</v>
      </c>
      <c r="Q628" s="272">
        <f t="shared" si="76"/>
        <v>60084</v>
      </c>
      <c r="R628" s="272">
        <f t="shared" si="77"/>
        <v>32365.538400000001</v>
      </c>
      <c r="S628" s="272">
        <f t="shared" si="78"/>
        <v>2125.44</v>
      </c>
    </row>
    <row r="629" spans="1:21" s="280" customFormat="1" x14ac:dyDescent="0.25">
      <c r="A629" s="335">
        <v>501444</v>
      </c>
      <c r="B629" s="271">
        <v>1444</v>
      </c>
      <c r="C629" s="271">
        <v>200312</v>
      </c>
      <c r="D629" s="268" t="s">
        <v>894</v>
      </c>
      <c r="E629" s="268" t="s">
        <v>1278</v>
      </c>
      <c r="F629" s="268" t="s">
        <v>2360</v>
      </c>
      <c r="G629" s="268">
        <v>16</v>
      </c>
      <c r="H629" s="268" t="s">
        <v>3288</v>
      </c>
      <c r="I629" s="268" t="s">
        <v>3201</v>
      </c>
      <c r="J629" s="272">
        <v>179112</v>
      </c>
      <c r="K629" s="272">
        <f t="shared" si="73"/>
        <v>14926</v>
      </c>
      <c r="L629" s="272">
        <f t="shared" si="74"/>
        <v>12141.24</v>
      </c>
      <c r="M629" s="269">
        <v>0</v>
      </c>
      <c r="N629" s="272">
        <f t="shared" si="79"/>
        <v>129.60000000000002</v>
      </c>
      <c r="O629" s="269">
        <v>0</v>
      </c>
      <c r="P629" s="273">
        <f t="shared" si="75"/>
        <v>3134.4600000000005</v>
      </c>
      <c r="Q629" s="272">
        <f t="shared" si="76"/>
        <v>60084</v>
      </c>
      <c r="R629" s="272">
        <f t="shared" si="77"/>
        <v>32365.538400000001</v>
      </c>
      <c r="S629" s="272">
        <f t="shared" si="78"/>
        <v>2125.44</v>
      </c>
    </row>
    <row r="630" spans="1:21" s="270" customFormat="1" x14ac:dyDescent="0.25">
      <c r="A630" s="335">
        <v>501443</v>
      </c>
      <c r="B630" s="271">
        <v>1443</v>
      </c>
      <c r="C630" s="271">
        <v>200315</v>
      </c>
      <c r="D630" s="268" t="s">
        <v>894</v>
      </c>
      <c r="E630" s="268" t="s">
        <v>1290</v>
      </c>
      <c r="F630" s="268" t="s">
        <v>3289</v>
      </c>
      <c r="G630" s="268">
        <v>16</v>
      </c>
      <c r="H630" s="268" t="s">
        <v>3290</v>
      </c>
      <c r="I630" s="268" t="s">
        <v>3201</v>
      </c>
      <c r="J630" s="272">
        <v>179112</v>
      </c>
      <c r="K630" s="272">
        <f t="shared" si="73"/>
        <v>14926</v>
      </c>
      <c r="L630" s="272">
        <f t="shared" si="74"/>
        <v>12141.24</v>
      </c>
      <c r="M630" s="269">
        <v>0</v>
      </c>
      <c r="N630" s="272">
        <f t="shared" si="79"/>
        <v>129.60000000000002</v>
      </c>
      <c r="O630" s="269">
        <v>0</v>
      </c>
      <c r="P630" s="273">
        <f t="shared" si="75"/>
        <v>3134.4600000000005</v>
      </c>
      <c r="Q630" s="272">
        <f t="shared" si="76"/>
        <v>60084</v>
      </c>
      <c r="R630" s="272">
        <f t="shared" si="77"/>
        <v>32365.538400000001</v>
      </c>
      <c r="S630" s="272">
        <f t="shared" si="78"/>
        <v>2125.44</v>
      </c>
    </row>
    <row r="631" spans="1:21" s="270" customFormat="1" x14ac:dyDescent="0.25">
      <c r="A631" s="335">
        <v>501445</v>
      </c>
      <c r="B631" s="271">
        <v>1445</v>
      </c>
      <c r="C631" s="271">
        <v>200318</v>
      </c>
      <c r="D631" s="268" t="s">
        <v>894</v>
      </c>
      <c r="E631" s="268" t="s">
        <v>1278</v>
      </c>
      <c r="F631" s="268" t="s">
        <v>2251</v>
      </c>
      <c r="G631" s="268">
        <v>16</v>
      </c>
      <c r="H631" s="268" t="s">
        <v>3291</v>
      </c>
      <c r="I631" s="268" t="s">
        <v>3201</v>
      </c>
      <c r="J631" s="272">
        <v>179112</v>
      </c>
      <c r="K631" s="272">
        <f t="shared" si="73"/>
        <v>14926</v>
      </c>
      <c r="L631" s="272">
        <f t="shared" si="74"/>
        <v>12141.24</v>
      </c>
      <c r="M631" s="269">
        <v>0</v>
      </c>
      <c r="N631" s="272">
        <f t="shared" si="79"/>
        <v>129.60000000000002</v>
      </c>
      <c r="O631" s="269">
        <v>0</v>
      </c>
      <c r="P631" s="273">
        <f t="shared" si="75"/>
        <v>3134.4600000000005</v>
      </c>
      <c r="Q631" s="272">
        <f t="shared" si="76"/>
        <v>60084</v>
      </c>
      <c r="R631" s="272">
        <f t="shared" si="77"/>
        <v>32365.538400000001</v>
      </c>
      <c r="S631" s="272">
        <f t="shared" si="78"/>
        <v>2125.44</v>
      </c>
    </row>
    <row r="632" spans="1:21" s="270" customFormat="1" x14ac:dyDescent="0.25">
      <c r="A632" s="335">
        <v>501443</v>
      </c>
      <c r="B632" s="271">
        <v>1443</v>
      </c>
      <c r="C632" s="271">
        <v>200342</v>
      </c>
      <c r="D632" s="268" t="s">
        <v>894</v>
      </c>
      <c r="E632" s="268" t="s">
        <v>1278</v>
      </c>
      <c r="F632" s="268" t="s">
        <v>3292</v>
      </c>
      <c r="G632" s="268">
        <v>16</v>
      </c>
      <c r="H632" s="268" t="s">
        <v>3293</v>
      </c>
      <c r="I632" s="268" t="s">
        <v>3201</v>
      </c>
      <c r="J632" s="272">
        <v>179112</v>
      </c>
      <c r="K632" s="272">
        <f t="shared" si="73"/>
        <v>14926</v>
      </c>
      <c r="L632" s="272">
        <f t="shared" si="74"/>
        <v>12141.24</v>
      </c>
      <c r="M632" s="269">
        <v>0</v>
      </c>
      <c r="N632" s="272">
        <f t="shared" si="79"/>
        <v>129.60000000000002</v>
      </c>
      <c r="O632" s="269">
        <v>0</v>
      </c>
      <c r="P632" s="273">
        <f t="shared" si="75"/>
        <v>3134.4600000000005</v>
      </c>
      <c r="Q632" s="272">
        <f t="shared" si="76"/>
        <v>60084</v>
      </c>
      <c r="R632" s="272">
        <f t="shared" si="77"/>
        <v>32365.538400000001</v>
      </c>
      <c r="S632" s="272">
        <f t="shared" si="78"/>
        <v>2125.44</v>
      </c>
      <c r="T632" s="280"/>
      <c r="U632" s="280"/>
    </row>
    <row r="633" spans="1:21" s="270" customFormat="1" x14ac:dyDescent="0.25">
      <c r="A633" s="335">
        <v>501444</v>
      </c>
      <c r="B633" s="271">
        <v>1444</v>
      </c>
      <c r="C633" s="271">
        <v>200345</v>
      </c>
      <c r="D633" s="268" t="s">
        <v>894</v>
      </c>
      <c r="E633" s="268" t="s">
        <v>1278</v>
      </c>
      <c r="F633" s="268" t="s">
        <v>2203</v>
      </c>
      <c r="G633" s="268">
        <v>16</v>
      </c>
      <c r="H633" s="268" t="s">
        <v>3294</v>
      </c>
      <c r="I633" s="268" t="s">
        <v>3201</v>
      </c>
      <c r="J633" s="272">
        <v>179112</v>
      </c>
      <c r="K633" s="272">
        <f t="shared" si="73"/>
        <v>14926</v>
      </c>
      <c r="L633" s="272">
        <f t="shared" si="74"/>
        <v>12141.24</v>
      </c>
      <c r="M633" s="269">
        <v>0</v>
      </c>
      <c r="N633" s="272">
        <f t="shared" si="79"/>
        <v>129.60000000000002</v>
      </c>
      <c r="O633" s="269">
        <v>0</v>
      </c>
      <c r="P633" s="273">
        <f t="shared" si="75"/>
        <v>3134.4600000000005</v>
      </c>
      <c r="Q633" s="272">
        <f t="shared" si="76"/>
        <v>60084</v>
      </c>
      <c r="R633" s="272">
        <f t="shared" si="77"/>
        <v>32365.538400000001</v>
      </c>
      <c r="S633" s="272">
        <f t="shared" si="78"/>
        <v>2125.44</v>
      </c>
      <c r="T633" s="280"/>
      <c r="U633" s="280"/>
    </row>
    <row r="634" spans="1:21" s="270" customFormat="1" x14ac:dyDescent="0.25">
      <c r="A634" s="335">
        <v>501445</v>
      </c>
      <c r="B634" s="271">
        <v>1445</v>
      </c>
      <c r="C634" s="271">
        <v>200347</v>
      </c>
      <c r="D634" s="268" t="s">
        <v>894</v>
      </c>
      <c r="E634" s="268" t="s">
        <v>1290</v>
      </c>
      <c r="F634" s="268" t="s">
        <v>2547</v>
      </c>
      <c r="G634" s="268">
        <v>16</v>
      </c>
      <c r="H634" s="268" t="s">
        <v>3295</v>
      </c>
      <c r="I634" s="268" t="s">
        <v>3201</v>
      </c>
      <c r="J634" s="272">
        <v>179112</v>
      </c>
      <c r="K634" s="272">
        <f t="shared" si="73"/>
        <v>14926</v>
      </c>
      <c r="L634" s="272">
        <f t="shared" si="74"/>
        <v>12141.24</v>
      </c>
      <c r="M634" s="269">
        <v>0</v>
      </c>
      <c r="N634" s="272">
        <f t="shared" si="79"/>
        <v>129.60000000000002</v>
      </c>
      <c r="O634" s="269">
        <v>0</v>
      </c>
      <c r="P634" s="273">
        <f t="shared" si="75"/>
        <v>3134.4600000000005</v>
      </c>
      <c r="Q634" s="272">
        <f t="shared" si="76"/>
        <v>60084</v>
      </c>
      <c r="R634" s="272">
        <f t="shared" si="77"/>
        <v>32365.538400000001</v>
      </c>
      <c r="S634" s="272">
        <f t="shared" si="78"/>
        <v>2125.44</v>
      </c>
    </row>
    <row r="635" spans="1:21" s="270" customFormat="1" x14ac:dyDescent="0.25">
      <c r="A635" s="335">
        <v>501445</v>
      </c>
      <c r="B635" s="271">
        <v>1445</v>
      </c>
      <c r="C635" s="271">
        <v>200418</v>
      </c>
      <c r="D635" s="268" t="s">
        <v>894</v>
      </c>
      <c r="E635" s="268" t="s">
        <v>1290</v>
      </c>
      <c r="F635" s="268" t="s">
        <v>2725</v>
      </c>
      <c r="G635" s="268">
        <v>16</v>
      </c>
      <c r="H635" s="268" t="s">
        <v>3296</v>
      </c>
      <c r="I635" s="268" t="s">
        <v>3201</v>
      </c>
      <c r="J635" s="272">
        <v>179112</v>
      </c>
      <c r="K635" s="272">
        <f t="shared" si="73"/>
        <v>14926</v>
      </c>
      <c r="L635" s="272">
        <f t="shared" si="74"/>
        <v>12141.24</v>
      </c>
      <c r="M635" s="269">
        <v>0</v>
      </c>
      <c r="N635" s="272">
        <f t="shared" si="79"/>
        <v>129.60000000000002</v>
      </c>
      <c r="O635" s="269">
        <v>0</v>
      </c>
      <c r="P635" s="273">
        <f t="shared" si="75"/>
        <v>3134.4600000000005</v>
      </c>
      <c r="Q635" s="272">
        <f t="shared" si="76"/>
        <v>60084</v>
      </c>
      <c r="R635" s="272">
        <f t="shared" si="77"/>
        <v>32365.538400000001</v>
      </c>
      <c r="S635" s="272">
        <f t="shared" si="78"/>
        <v>2125.44</v>
      </c>
      <c r="T635" s="280"/>
      <c r="U635" s="280"/>
    </row>
    <row r="636" spans="1:21" s="270" customFormat="1" x14ac:dyDescent="0.25">
      <c r="A636" s="335">
        <v>501445</v>
      </c>
      <c r="B636" s="271">
        <v>1445</v>
      </c>
      <c r="C636" s="271">
        <v>200423</v>
      </c>
      <c r="D636" s="268" t="s">
        <v>894</v>
      </c>
      <c r="E636" s="268" t="s">
        <v>1290</v>
      </c>
      <c r="F636" s="268" t="s">
        <v>3297</v>
      </c>
      <c r="G636" s="268">
        <v>16</v>
      </c>
      <c r="H636" s="268" t="s">
        <v>3298</v>
      </c>
      <c r="I636" s="268" t="s">
        <v>3201</v>
      </c>
      <c r="J636" s="272">
        <v>179112</v>
      </c>
      <c r="K636" s="272">
        <f t="shared" si="73"/>
        <v>14926</v>
      </c>
      <c r="L636" s="272">
        <f t="shared" si="74"/>
        <v>12141.24</v>
      </c>
      <c r="M636" s="269">
        <v>0</v>
      </c>
      <c r="N636" s="272">
        <f t="shared" si="79"/>
        <v>129.60000000000002</v>
      </c>
      <c r="O636" s="269">
        <v>0</v>
      </c>
      <c r="P636" s="273">
        <f t="shared" si="75"/>
        <v>3134.4600000000005</v>
      </c>
      <c r="Q636" s="272">
        <f t="shared" si="76"/>
        <v>60084</v>
      </c>
      <c r="R636" s="272">
        <f t="shared" si="77"/>
        <v>32365.538400000001</v>
      </c>
      <c r="S636" s="272">
        <f t="shared" si="78"/>
        <v>2125.44</v>
      </c>
      <c r="T636" s="280"/>
      <c r="U636" s="280"/>
    </row>
    <row r="637" spans="1:21" s="270" customFormat="1" x14ac:dyDescent="0.25">
      <c r="A637" s="335">
        <v>501445</v>
      </c>
      <c r="B637" s="271">
        <v>1445</v>
      </c>
      <c r="C637" s="271">
        <v>200424</v>
      </c>
      <c r="D637" s="268" t="s">
        <v>894</v>
      </c>
      <c r="E637" s="268" t="s">
        <v>1290</v>
      </c>
      <c r="F637" s="268" t="s">
        <v>2725</v>
      </c>
      <c r="G637" s="268">
        <v>16</v>
      </c>
      <c r="H637" s="268" t="s">
        <v>3299</v>
      </c>
      <c r="I637" s="268" t="s">
        <v>3201</v>
      </c>
      <c r="J637" s="272">
        <v>179112</v>
      </c>
      <c r="K637" s="272">
        <f t="shared" si="73"/>
        <v>14926</v>
      </c>
      <c r="L637" s="272">
        <f t="shared" si="74"/>
        <v>12141.24</v>
      </c>
      <c r="M637" s="269">
        <v>0</v>
      </c>
      <c r="N637" s="272">
        <f t="shared" si="79"/>
        <v>129.60000000000002</v>
      </c>
      <c r="O637" s="269">
        <v>0</v>
      </c>
      <c r="P637" s="273">
        <f t="shared" si="75"/>
        <v>3134.4600000000005</v>
      </c>
      <c r="Q637" s="272">
        <f t="shared" si="76"/>
        <v>60084</v>
      </c>
      <c r="R637" s="272">
        <f t="shared" si="77"/>
        <v>32365.538400000001</v>
      </c>
      <c r="S637" s="272">
        <f t="shared" si="78"/>
        <v>2125.44</v>
      </c>
      <c r="T637" s="280"/>
      <c r="U637" s="280"/>
    </row>
    <row r="638" spans="1:21" s="270" customFormat="1" x14ac:dyDescent="0.25">
      <c r="A638" s="335">
        <v>501445</v>
      </c>
      <c r="B638" s="271">
        <v>1445</v>
      </c>
      <c r="C638" s="271">
        <v>200427</v>
      </c>
      <c r="D638" s="268" t="s">
        <v>894</v>
      </c>
      <c r="E638" s="268" t="s">
        <v>1290</v>
      </c>
      <c r="F638" s="268" t="s">
        <v>3300</v>
      </c>
      <c r="G638" s="268">
        <v>16</v>
      </c>
      <c r="H638" s="268" t="s">
        <v>3301</v>
      </c>
      <c r="I638" s="268" t="s">
        <v>3201</v>
      </c>
      <c r="J638" s="272">
        <v>179112</v>
      </c>
      <c r="K638" s="272">
        <f t="shared" si="73"/>
        <v>14926</v>
      </c>
      <c r="L638" s="272">
        <f t="shared" si="74"/>
        <v>12141.24</v>
      </c>
      <c r="M638" s="269">
        <v>0</v>
      </c>
      <c r="N638" s="272">
        <f t="shared" si="79"/>
        <v>129.60000000000002</v>
      </c>
      <c r="O638" s="269">
        <v>0</v>
      </c>
      <c r="P638" s="273">
        <f t="shared" si="75"/>
        <v>3134.4600000000005</v>
      </c>
      <c r="Q638" s="272">
        <f t="shared" si="76"/>
        <v>60084</v>
      </c>
      <c r="R638" s="272">
        <f t="shared" si="77"/>
        <v>32365.538400000001</v>
      </c>
      <c r="S638" s="272">
        <f t="shared" si="78"/>
        <v>2125.44</v>
      </c>
    </row>
    <row r="639" spans="1:21" s="270" customFormat="1" x14ac:dyDescent="0.25">
      <c r="A639" s="335">
        <v>501445</v>
      </c>
      <c r="B639" s="271">
        <v>1445</v>
      </c>
      <c r="C639" s="271">
        <v>200429</v>
      </c>
      <c r="D639" s="268" t="s">
        <v>894</v>
      </c>
      <c r="E639" s="268" t="s">
        <v>1278</v>
      </c>
      <c r="F639" s="268" t="s">
        <v>3302</v>
      </c>
      <c r="G639" s="268">
        <v>16</v>
      </c>
      <c r="H639" s="268" t="s">
        <v>3303</v>
      </c>
      <c r="I639" s="268" t="s">
        <v>3201</v>
      </c>
      <c r="J639" s="272">
        <v>179112</v>
      </c>
      <c r="K639" s="272">
        <f t="shared" si="73"/>
        <v>14926</v>
      </c>
      <c r="L639" s="272">
        <f t="shared" si="74"/>
        <v>12141.24</v>
      </c>
      <c r="M639" s="269">
        <v>0</v>
      </c>
      <c r="N639" s="272">
        <f t="shared" si="79"/>
        <v>129.60000000000002</v>
      </c>
      <c r="O639" s="269">
        <v>0</v>
      </c>
      <c r="P639" s="273">
        <f t="shared" si="75"/>
        <v>3134.4600000000005</v>
      </c>
      <c r="Q639" s="272">
        <f t="shared" si="76"/>
        <v>60084</v>
      </c>
      <c r="R639" s="272">
        <f t="shared" si="77"/>
        <v>32365.538400000001</v>
      </c>
      <c r="S639" s="272">
        <f t="shared" si="78"/>
        <v>2125.44</v>
      </c>
    </row>
    <row r="640" spans="1:21" s="270" customFormat="1" x14ac:dyDescent="0.25">
      <c r="A640" s="335">
        <v>501445</v>
      </c>
      <c r="B640" s="271">
        <v>1445</v>
      </c>
      <c r="C640" s="271">
        <v>200433</v>
      </c>
      <c r="D640" s="268" t="s">
        <v>894</v>
      </c>
      <c r="E640" s="268" t="s">
        <v>1290</v>
      </c>
      <c r="F640" s="268" t="s">
        <v>2411</v>
      </c>
      <c r="G640" s="268">
        <v>16</v>
      </c>
      <c r="H640" s="268" t="s">
        <v>3304</v>
      </c>
      <c r="I640" s="268" t="s">
        <v>3201</v>
      </c>
      <c r="J640" s="272">
        <v>179112</v>
      </c>
      <c r="K640" s="272">
        <f t="shared" ref="K640:K694" si="80">J640/12</f>
        <v>14926</v>
      </c>
      <c r="L640" s="272">
        <f t="shared" ref="L640:L694" si="81">1011.77*12</f>
        <v>12141.24</v>
      </c>
      <c r="M640" s="269">
        <v>0</v>
      </c>
      <c r="N640" s="272">
        <f t="shared" si="79"/>
        <v>129.60000000000002</v>
      </c>
      <c r="O640" s="269">
        <v>0</v>
      </c>
      <c r="P640" s="273">
        <f t="shared" ref="P640:P694" si="82">J640*1.75%</f>
        <v>3134.4600000000005</v>
      </c>
      <c r="Q640" s="272">
        <f t="shared" ref="Q640:Q692" si="83">5007*12</f>
        <v>60084</v>
      </c>
      <c r="R640" s="272">
        <f t="shared" ref="R640:R691" si="84">18.07%*J640</f>
        <v>32365.538400000001</v>
      </c>
      <c r="S640" s="272">
        <f t="shared" si="78"/>
        <v>2125.44</v>
      </c>
    </row>
    <row r="641" spans="1:21" s="270" customFormat="1" x14ac:dyDescent="0.25">
      <c r="A641" s="335">
        <v>501445</v>
      </c>
      <c r="B641" s="271">
        <v>1445</v>
      </c>
      <c r="C641" s="271">
        <v>200435</v>
      </c>
      <c r="D641" s="268" t="s">
        <v>894</v>
      </c>
      <c r="E641" s="268" t="s">
        <v>1290</v>
      </c>
      <c r="F641" s="268" t="s">
        <v>2838</v>
      </c>
      <c r="G641" s="268">
        <v>16</v>
      </c>
      <c r="H641" s="268" t="s">
        <v>3305</v>
      </c>
      <c r="I641" s="268" t="s">
        <v>3201</v>
      </c>
      <c r="J641" s="272">
        <v>179112</v>
      </c>
      <c r="K641" s="272">
        <f t="shared" si="80"/>
        <v>14926</v>
      </c>
      <c r="L641" s="272">
        <f t="shared" si="81"/>
        <v>12141.24</v>
      </c>
      <c r="M641" s="269">
        <v>0</v>
      </c>
      <c r="N641" s="272">
        <f t="shared" si="79"/>
        <v>129.60000000000002</v>
      </c>
      <c r="O641" s="269">
        <v>0</v>
      </c>
      <c r="P641" s="273">
        <f t="shared" si="82"/>
        <v>3134.4600000000005</v>
      </c>
      <c r="Q641" s="272">
        <f t="shared" si="83"/>
        <v>60084</v>
      </c>
      <c r="R641" s="272">
        <f t="shared" si="84"/>
        <v>32365.538400000001</v>
      </c>
      <c r="S641" s="272">
        <f t="shared" ref="S641:S694" si="85">177.12*12</f>
        <v>2125.44</v>
      </c>
    </row>
    <row r="642" spans="1:21" s="270" customFormat="1" x14ac:dyDescent="0.25">
      <c r="A642" s="335">
        <v>501445</v>
      </c>
      <c r="B642" s="271">
        <v>1445</v>
      </c>
      <c r="C642" s="271">
        <v>200439</v>
      </c>
      <c r="D642" s="268" t="s">
        <v>894</v>
      </c>
      <c r="E642" s="268" t="s">
        <v>1290</v>
      </c>
      <c r="F642" s="268" t="s">
        <v>3306</v>
      </c>
      <c r="G642" s="268">
        <v>16</v>
      </c>
      <c r="H642" s="268" t="s">
        <v>3307</v>
      </c>
      <c r="I642" s="268" t="s">
        <v>3201</v>
      </c>
      <c r="J642" s="272">
        <v>179112</v>
      </c>
      <c r="K642" s="272">
        <f t="shared" si="80"/>
        <v>14926</v>
      </c>
      <c r="L642" s="272">
        <f t="shared" si="81"/>
        <v>12141.24</v>
      </c>
      <c r="M642" s="269">
        <v>0</v>
      </c>
      <c r="N642" s="272">
        <f t="shared" si="79"/>
        <v>129.60000000000002</v>
      </c>
      <c r="O642" s="269">
        <v>0</v>
      </c>
      <c r="P642" s="273">
        <f t="shared" si="82"/>
        <v>3134.4600000000005</v>
      </c>
      <c r="Q642" s="272">
        <f t="shared" si="83"/>
        <v>60084</v>
      </c>
      <c r="R642" s="272">
        <f t="shared" si="84"/>
        <v>32365.538400000001</v>
      </c>
      <c r="S642" s="272">
        <f t="shared" si="85"/>
        <v>2125.44</v>
      </c>
    </row>
    <row r="643" spans="1:21" s="270" customFormat="1" x14ac:dyDescent="0.25">
      <c r="A643" s="335">
        <v>501444</v>
      </c>
      <c r="B643" s="271">
        <v>1444</v>
      </c>
      <c r="C643" s="271">
        <v>200470</v>
      </c>
      <c r="D643" s="268" t="s">
        <v>894</v>
      </c>
      <c r="E643" s="268" t="s">
        <v>1290</v>
      </c>
      <c r="F643" s="268" t="s">
        <v>2306</v>
      </c>
      <c r="G643" s="268">
        <v>16</v>
      </c>
      <c r="H643" s="268" t="s">
        <v>3308</v>
      </c>
      <c r="I643" s="268" t="s">
        <v>3201</v>
      </c>
      <c r="J643" s="272">
        <v>179112</v>
      </c>
      <c r="K643" s="272">
        <f t="shared" si="80"/>
        <v>14926</v>
      </c>
      <c r="L643" s="272">
        <f t="shared" si="81"/>
        <v>12141.24</v>
      </c>
      <c r="M643" s="269">
        <v>0</v>
      </c>
      <c r="N643" s="272">
        <f t="shared" si="79"/>
        <v>129.60000000000002</v>
      </c>
      <c r="O643" s="269">
        <v>0</v>
      </c>
      <c r="P643" s="273">
        <f t="shared" si="82"/>
        <v>3134.4600000000005</v>
      </c>
      <c r="Q643" s="272">
        <f t="shared" si="83"/>
        <v>60084</v>
      </c>
      <c r="R643" s="272">
        <f t="shared" si="84"/>
        <v>32365.538400000001</v>
      </c>
      <c r="S643" s="272">
        <f t="shared" si="85"/>
        <v>2125.44</v>
      </c>
    </row>
    <row r="644" spans="1:21" s="270" customFormat="1" x14ac:dyDescent="0.25">
      <c r="A644" s="335">
        <v>501506</v>
      </c>
      <c r="B644" s="271">
        <v>1506</v>
      </c>
      <c r="C644" s="271">
        <v>200476</v>
      </c>
      <c r="D644" s="268" t="s">
        <v>894</v>
      </c>
      <c r="E644" s="268" t="s">
        <v>1278</v>
      </c>
      <c r="F644" s="268" t="s">
        <v>2694</v>
      </c>
      <c r="G644" s="268">
        <v>16</v>
      </c>
      <c r="H644" s="268" t="s">
        <v>3293</v>
      </c>
      <c r="I644" s="268" t="s">
        <v>3201</v>
      </c>
      <c r="J644" s="272">
        <v>179112</v>
      </c>
      <c r="K644" s="272">
        <f t="shared" si="80"/>
        <v>14926</v>
      </c>
      <c r="L644" s="272">
        <f t="shared" si="81"/>
        <v>12141.24</v>
      </c>
      <c r="M644" s="269">
        <v>0</v>
      </c>
      <c r="N644" s="272">
        <f t="shared" si="79"/>
        <v>129.60000000000002</v>
      </c>
      <c r="O644" s="269">
        <v>0</v>
      </c>
      <c r="P644" s="273">
        <f t="shared" si="82"/>
        <v>3134.4600000000005</v>
      </c>
      <c r="Q644" s="272">
        <f t="shared" si="83"/>
        <v>60084</v>
      </c>
      <c r="R644" s="272">
        <f t="shared" si="84"/>
        <v>32365.538400000001</v>
      </c>
      <c r="S644" s="272">
        <f t="shared" si="85"/>
        <v>2125.44</v>
      </c>
    </row>
    <row r="645" spans="1:21" s="280" customFormat="1" x14ac:dyDescent="0.25">
      <c r="A645" s="335">
        <v>501506</v>
      </c>
      <c r="B645" s="271">
        <v>1506</v>
      </c>
      <c r="C645" s="271">
        <v>200487</v>
      </c>
      <c r="D645" s="268" t="s">
        <v>894</v>
      </c>
      <c r="E645" s="268" t="s">
        <v>1278</v>
      </c>
      <c r="F645" s="268" t="s">
        <v>3309</v>
      </c>
      <c r="G645" s="268">
        <v>16</v>
      </c>
      <c r="H645" s="268" t="s">
        <v>3310</v>
      </c>
      <c r="I645" s="268" t="s">
        <v>3201</v>
      </c>
      <c r="J645" s="272">
        <v>179112</v>
      </c>
      <c r="K645" s="272">
        <f t="shared" si="80"/>
        <v>14926</v>
      </c>
      <c r="L645" s="272">
        <f t="shared" si="81"/>
        <v>12141.24</v>
      </c>
      <c r="M645" s="269">
        <v>0</v>
      </c>
      <c r="N645" s="272">
        <f t="shared" ref="N645:N694" si="86">10.8*12</f>
        <v>129.60000000000002</v>
      </c>
      <c r="O645" s="269">
        <v>0</v>
      </c>
      <c r="P645" s="273">
        <f t="shared" si="82"/>
        <v>3134.4600000000005</v>
      </c>
      <c r="Q645" s="272">
        <f t="shared" si="83"/>
        <v>60084</v>
      </c>
      <c r="R645" s="272">
        <f t="shared" si="84"/>
        <v>32365.538400000001</v>
      </c>
      <c r="S645" s="272">
        <f t="shared" si="85"/>
        <v>2125.44</v>
      </c>
      <c r="T645" s="270"/>
      <c r="U645" s="270"/>
    </row>
    <row r="646" spans="1:21" s="270" customFormat="1" x14ac:dyDescent="0.25">
      <c r="A646" s="335">
        <v>501506</v>
      </c>
      <c r="B646" s="271">
        <v>1506</v>
      </c>
      <c r="C646" s="271">
        <v>200489</v>
      </c>
      <c r="D646" s="268" t="s">
        <v>894</v>
      </c>
      <c r="E646" s="268" t="s">
        <v>1290</v>
      </c>
      <c r="F646" s="268" t="s">
        <v>2820</v>
      </c>
      <c r="G646" s="268">
        <v>16</v>
      </c>
      <c r="H646" s="268" t="s">
        <v>3311</v>
      </c>
      <c r="I646" s="268" t="s">
        <v>3201</v>
      </c>
      <c r="J646" s="272">
        <v>179112</v>
      </c>
      <c r="K646" s="272">
        <f t="shared" si="80"/>
        <v>14926</v>
      </c>
      <c r="L646" s="272">
        <f t="shared" si="81"/>
        <v>12141.24</v>
      </c>
      <c r="M646" s="269">
        <v>0</v>
      </c>
      <c r="N646" s="272">
        <f t="shared" si="86"/>
        <v>129.60000000000002</v>
      </c>
      <c r="O646" s="269">
        <v>0</v>
      </c>
      <c r="P646" s="273">
        <f t="shared" si="82"/>
        <v>3134.4600000000005</v>
      </c>
      <c r="Q646" s="272">
        <f t="shared" si="83"/>
        <v>60084</v>
      </c>
      <c r="R646" s="272">
        <f t="shared" si="84"/>
        <v>32365.538400000001</v>
      </c>
      <c r="S646" s="272">
        <f t="shared" si="85"/>
        <v>2125.44</v>
      </c>
    </row>
    <row r="647" spans="1:21" s="270" customFormat="1" x14ac:dyDescent="0.25">
      <c r="A647" s="335">
        <v>501444</v>
      </c>
      <c r="B647" s="271">
        <v>1444</v>
      </c>
      <c r="C647" s="271">
        <v>200496</v>
      </c>
      <c r="D647" s="268" t="s">
        <v>894</v>
      </c>
      <c r="E647" s="268" t="s">
        <v>1290</v>
      </c>
      <c r="F647" s="268" t="s">
        <v>3312</v>
      </c>
      <c r="G647" s="268">
        <v>16</v>
      </c>
      <c r="H647" s="268" t="s">
        <v>3313</v>
      </c>
      <c r="I647" s="268" t="s">
        <v>3201</v>
      </c>
      <c r="J647" s="272">
        <v>179112</v>
      </c>
      <c r="K647" s="272">
        <f t="shared" si="80"/>
        <v>14926</v>
      </c>
      <c r="L647" s="272">
        <f t="shared" si="81"/>
        <v>12141.24</v>
      </c>
      <c r="M647" s="269">
        <v>0</v>
      </c>
      <c r="N647" s="272">
        <f t="shared" si="86"/>
        <v>129.60000000000002</v>
      </c>
      <c r="O647" s="269">
        <v>0</v>
      </c>
      <c r="P647" s="273">
        <f t="shared" si="82"/>
        <v>3134.4600000000005</v>
      </c>
      <c r="Q647" s="272">
        <f t="shared" si="83"/>
        <v>60084</v>
      </c>
      <c r="R647" s="272">
        <f t="shared" si="84"/>
        <v>32365.538400000001</v>
      </c>
      <c r="S647" s="272">
        <f t="shared" si="85"/>
        <v>2125.44</v>
      </c>
    </row>
    <row r="648" spans="1:21" s="270" customFormat="1" x14ac:dyDescent="0.25">
      <c r="A648" s="335">
        <v>501444</v>
      </c>
      <c r="B648" s="271">
        <v>1444</v>
      </c>
      <c r="C648" s="271">
        <v>200503</v>
      </c>
      <c r="D648" s="268" t="s">
        <v>894</v>
      </c>
      <c r="E648" s="268" t="s">
        <v>1290</v>
      </c>
      <c r="F648" s="268" t="s">
        <v>3314</v>
      </c>
      <c r="G648" s="268">
        <v>16</v>
      </c>
      <c r="H648" s="268" t="s">
        <v>2676</v>
      </c>
      <c r="I648" s="268" t="s">
        <v>3201</v>
      </c>
      <c r="J648" s="272">
        <v>179112</v>
      </c>
      <c r="K648" s="272">
        <f t="shared" si="80"/>
        <v>14926</v>
      </c>
      <c r="L648" s="272">
        <f t="shared" si="81"/>
        <v>12141.24</v>
      </c>
      <c r="M648" s="269">
        <v>0</v>
      </c>
      <c r="N648" s="272">
        <f t="shared" si="86"/>
        <v>129.60000000000002</v>
      </c>
      <c r="O648" s="269">
        <v>0</v>
      </c>
      <c r="P648" s="273">
        <f t="shared" si="82"/>
        <v>3134.4600000000005</v>
      </c>
      <c r="Q648" s="272">
        <f t="shared" si="83"/>
        <v>60084</v>
      </c>
      <c r="R648" s="272">
        <f t="shared" si="84"/>
        <v>32365.538400000001</v>
      </c>
      <c r="S648" s="272">
        <f t="shared" si="85"/>
        <v>2125.44</v>
      </c>
    </row>
    <row r="649" spans="1:21" s="280" customFormat="1" x14ac:dyDescent="0.25">
      <c r="A649" s="335">
        <v>501457</v>
      </c>
      <c r="B649" s="271">
        <v>1457</v>
      </c>
      <c r="C649" s="271">
        <v>200514</v>
      </c>
      <c r="D649" s="268" t="s">
        <v>894</v>
      </c>
      <c r="E649" s="268" t="s">
        <v>1290</v>
      </c>
      <c r="F649" s="268" t="s">
        <v>3312</v>
      </c>
      <c r="G649" s="268">
        <v>16</v>
      </c>
      <c r="H649" s="268" t="s">
        <v>3315</v>
      </c>
      <c r="I649" s="268" t="s">
        <v>3201</v>
      </c>
      <c r="J649" s="272">
        <v>179112</v>
      </c>
      <c r="K649" s="272">
        <f t="shared" si="80"/>
        <v>14926</v>
      </c>
      <c r="L649" s="272">
        <f t="shared" si="81"/>
        <v>12141.24</v>
      </c>
      <c r="M649" s="269">
        <v>0</v>
      </c>
      <c r="N649" s="272">
        <f t="shared" si="86"/>
        <v>129.60000000000002</v>
      </c>
      <c r="O649" s="269">
        <v>0</v>
      </c>
      <c r="P649" s="273">
        <f t="shared" si="82"/>
        <v>3134.4600000000005</v>
      </c>
      <c r="Q649" s="272">
        <f t="shared" si="83"/>
        <v>60084</v>
      </c>
      <c r="R649" s="272">
        <f t="shared" si="84"/>
        <v>32365.538400000001</v>
      </c>
      <c r="S649" s="272">
        <f t="shared" si="85"/>
        <v>2125.44</v>
      </c>
      <c r="T649" s="270"/>
      <c r="U649" s="270"/>
    </row>
    <row r="650" spans="1:21" s="270" customFormat="1" x14ac:dyDescent="0.25">
      <c r="A650" s="335">
        <v>501443</v>
      </c>
      <c r="B650" s="271">
        <v>1443</v>
      </c>
      <c r="C650" s="271">
        <v>200515</v>
      </c>
      <c r="D650" s="268" t="s">
        <v>894</v>
      </c>
      <c r="E650" s="268" t="s">
        <v>1290</v>
      </c>
      <c r="F650" s="268" t="s">
        <v>3316</v>
      </c>
      <c r="G650" s="268">
        <v>16</v>
      </c>
      <c r="H650" s="268" t="s">
        <v>2262</v>
      </c>
      <c r="I650" s="268" t="s">
        <v>3201</v>
      </c>
      <c r="J650" s="272">
        <v>179112</v>
      </c>
      <c r="K650" s="272">
        <f t="shared" si="80"/>
        <v>14926</v>
      </c>
      <c r="L650" s="272">
        <f t="shared" si="81"/>
        <v>12141.24</v>
      </c>
      <c r="M650" s="269">
        <v>0</v>
      </c>
      <c r="N650" s="272">
        <f t="shared" si="86"/>
        <v>129.60000000000002</v>
      </c>
      <c r="O650" s="269">
        <v>0</v>
      </c>
      <c r="P650" s="273">
        <f t="shared" si="82"/>
        <v>3134.4600000000005</v>
      </c>
      <c r="Q650" s="272">
        <f t="shared" si="83"/>
        <v>60084</v>
      </c>
      <c r="R650" s="272">
        <f t="shared" si="84"/>
        <v>32365.538400000001</v>
      </c>
      <c r="S650" s="272">
        <f t="shared" si="85"/>
        <v>2125.44</v>
      </c>
    </row>
    <row r="651" spans="1:21" s="270" customFormat="1" x14ac:dyDescent="0.25">
      <c r="A651" s="335">
        <v>501506</v>
      </c>
      <c r="B651" s="271">
        <v>1506</v>
      </c>
      <c r="C651" s="271">
        <v>200518</v>
      </c>
      <c r="D651" s="268" t="s">
        <v>894</v>
      </c>
      <c r="E651" s="268" t="s">
        <v>1278</v>
      </c>
      <c r="F651" s="268" t="s">
        <v>3268</v>
      </c>
      <c r="G651" s="268">
        <v>16</v>
      </c>
      <c r="H651" s="268" t="s">
        <v>3317</v>
      </c>
      <c r="I651" s="268" t="s">
        <v>3201</v>
      </c>
      <c r="J651" s="272">
        <v>179112</v>
      </c>
      <c r="K651" s="272">
        <f t="shared" si="80"/>
        <v>14926</v>
      </c>
      <c r="L651" s="272">
        <f t="shared" si="81"/>
        <v>12141.24</v>
      </c>
      <c r="M651" s="269">
        <v>0</v>
      </c>
      <c r="N651" s="272">
        <f t="shared" si="86"/>
        <v>129.60000000000002</v>
      </c>
      <c r="O651" s="269">
        <v>0</v>
      </c>
      <c r="P651" s="273">
        <f t="shared" si="82"/>
        <v>3134.4600000000005</v>
      </c>
      <c r="Q651" s="272">
        <f t="shared" si="83"/>
        <v>60084</v>
      </c>
      <c r="R651" s="272">
        <f t="shared" si="84"/>
        <v>32365.538400000001</v>
      </c>
      <c r="S651" s="272">
        <f t="shared" si="85"/>
        <v>2125.44</v>
      </c>
    </row>
    <row r="652" spans="1:21" s="270" customFormat="1" x14ac:dyDescent="0.25">
      <c r="A652" s="335">
        <v>501457</v>
      </c>
      <c r="B652" s="271">
        <v>1457</v>
      </c>
      <c r="C652" s="271">
        <v>200527</v>
      </c>
      <c r="D652" s="268" t="s">
        <v>894</v>
      </c>
      <c r="E652" s="268" t="s">
        <v>1290</v>
      </c>
      <c r="F652" s="268" t="s">
        <v>3268</v>
      </c>
      <c r="G652" s="268">
        <v>16</v>
      </c>
      <c r="H652" s="268" t="s">
        <v>3318</v>
      </c>
      <c r="I652" s="268" t="s">
        <v>3319</v>
      </c>
      <c r="J652" s="272">
        <v>179112</v>
      </c>
      <c r="K652" s="272">
        <f t="shared" si="80"/>
        <v>14926</v>
      </c>
      <c r="L652" s="272">
        <f t="shared" si="81"/>
        <v>12141.24</v>
      </c>
      <c r="M652" s="269">
        <v>0</v>
      </c>
      <c r="N652" s="272">
        <f t="shared" si="86"/>
        <v>129.60000000000002</v>
      </c>
      <c r="O652" s="269">
        <v>0</v>
      </c>
      <c r="P652" s="273">
        <f t="shared" si="82"/>
        <v>3134.4600000000005</v>
      </c>
      <c r="Q652" s="272">
        <f t="shared" si="83"/>
        <v>60084</v>
      </c>
      <c r="R652" s="272">
        <f t="shared" si="84"/>
        <v>32365.538400000001</v>
      </c>
      <c r="S652" s="272">
        <f t="shared" si="85"/>
        <v>2125.44</v>
      </c>
    </row>
    <row r="653" spans="1:21" s="270" customFormat="1" x14ac:dyDescent="0.25">
      <c r="A653" s="335">
        <v>501506</v>
      </c>
      <c r="B653" s="271">
        <v>1506</v>
      </c>
      <c r="C653" s="271">
        <v>200530</v>
      </c>
      <c r="D653" s="268" t="s">
        <v>894</v>
      </c>
      <c r="E653" s="268" t="s">
        <v>1290</v>
      </c>
      <c r="F653" s="268" t="s">
        <v>2490</v>
      </c>
      <c r="G653" s="268">
        <v>16</v>
      </c>
      <c r="H653" s="268" t="s">
        <v>3320</v>
      </c>
      <c r="I653" s="268" t="s">
        <v>3201</v>
      </c>
      <c r="J653" s="272">
        <v>179112</v>
      </c>
      <c r="K653" s="272">
        <f t="shared" si="80"/>
        <v>14926</v>
      </c>
      <c r="L653" s="272">
        <f t="shared" si="81"/>
        <v>12141.24</v>
      </c>
      <c r="M653" s="269">
        <v>0</v>
      </c>
      <c r="N653" s="272">
        <f t="shared" si="86"/>
        <v>129.60000000000002</v>
      </c>
      <c r="O653" s="269">
        <v>0</v>
      </c>
      <c r="P653" s="273">
        <f t="shared" si="82"/>
        <v>3134.4600000000005</v>
      </c>
      <c r="Q653" s="272">
        <f t="shared" si="83"/>
        <v>60084</v>
      </c>
      <c r="R653" s="272">
        <f t="shared" si="84"/>
        <v>32365.538400000001</v>
      </c>
      <c r="S653" s="272">
        <f t="shared" si="85"/>
        <v>2125.44</v>
      </c>
    </row>
    <row r="654" spans="1:21" s="270" customFormat="1" x14ac:dyDescent="0.25">
      <c r="A654" s="335">
        <v>501506</v>
      </c>
      <c r="B654" s="271">
        <v>1506</v>
      </c>
      <c r="C654" s="271">
        <v>200532</v>
      </c>
      <c r="D654" s="268" t="s">
        <v>894</v>
      </c>
      <c r="E654" s="268" t="s">
        <v>1278</v>
      </c>
      <c r="F654" s="268" t="s">
        <v>2547</v>
      </c>
      <c r="G654" s="268">
        <v>16</v>
      </c>
      <c r="H654" s="268" t="s">
        <v>3321</v>
      </c>
      <c r="I654" s="268" t="s">
        <v>3201</v>
      </c>
      <c r="J654" s="272">
        <v>179112</v>
      </c>
      <c r="K654" s="272">
        <f t="shared" si="80"/>
        <v>14926</v>
      </c>
      <c r="L654" s="272">
        <f t="shared" si="81"/>
        <v>12141.24</v>
      </c>
      <c r="M654" s="269">
        <v>0</v>
      </c>
      <c r="N654" s="272">
        <f t="shared" si="86"/>
        <v>129.60000000000002</v>
      </c>
      <c r="O654" s="269">
        <v>0</v>
      </c>
      <c r="P654" s="273">
        <f t="shared" si="82"/>
        <v>3134.4600000000005</v>
      </c>
      <c r="Q654" s="272">
        <f t="shared" si="83"/>
        <v>60084</v>
      </c>
      <c r="R654" s="272">
        <f t="shared" si="84"/>
        <v>32365.538400000001</v>
      </c>
      <c r="S654" s="272">
        <f t="shared" si="85"/>
        <v>2125.44</v>
      </c>
      <c r="T654" s="280"/>
      <c r="U654" s="280"/>
    </row>
    <row r="655" spans="1:21" s="270" customFormat="1" x14ac:dyDescent="0.25">
      <c r="A655" s="335">
        <v>501444</v>
      </c>
      <c r="B655" s="271">
        <v>1444</v>
      </c>
      <c r="C655" s="271">
        <v>200538</v>
      </c>
      <c r="D655" s="268" t="s">
        <v>894</v>
      </c>
      <c r="E655" s="268" t="s">
        <v>1278</v>
      </c>
      <c r="F655" s="268" t="s">
        <v>3322</v>
      </c>
      <c r="G655" s="268">
        <v>16</v>
      </c>
      <c r="H655" s="268" t="s">
        <v>3323</v>
      </c>
      <c r="I655" s="268" t="s">
        <v>3201</v>
      </c>
      <c r="J655" s="272">
        <v>179112</v>
      </c>
      <c r="K655" s="272">
        <f t="shared" si="80"/>
        <v>14926</v>
      </c>
      <c r="L655" s="272">
        <f t="shared" si="81"/>
        <v>12141.24</v>
      </c>
      <c r="M655" s="269">
        <v>0</v>
      </c>
      <c r="N655" s="272">
        <f t="shared" si="86"/>
        <v>129.60000000000002</v>
      </c>
      <c r="O655" s="269">
        <v>0</v>
      </c>
      <c r="P655" s="273">
        <f t="shared" si="82"/>
        <v>3134.4600000000005</v>
      </c>
      <c r="Q655" s="272">
        <f t="shared" si="83"/>
        <v>60084</v>
      </c>
      <c r="R655" s="272">
        <f t="shared" si="84"/>
        <v>32365.538400000001</v>
      </c>
      <c r="S655" s="272">
        <f t="shared" si="85"/>
        <v>2125.44</v>
      </c>
    </row>
    <row r="656" spans="1:21" s="270" customFormat="1" x14ac:dyDescent="0.25">
      <c r="A656" s="335">
        <v>501444</v>
      </c>
      <c r="B656" s="271">
        <v>1444</v>
      </c>
      <c r="C656" s="271">
        <v>200539</v>
      </c>
      <c r="D656" s="268" t="s">
        <v>894</v>
      </c>
      <c r="E656" s="268" t="s">
        <v>1278</v>
      </c>
      <c r="F656" s="268" t="s">
        <v>2364</v>
      </c>
      <c r="G656" s="268">
        <v>16</v>
      </c>
      <c r="H656" s="268" t="s">
        <v>3324</v>
      </c>
      <c r="I656" s="268" t="s">
        <v>3201</v>
      </c>
      <c r="J656" s="272">
        <v>179112</v>
      </c>
      <c r="K656" s="272">
        <f t="shared" si="80"/>
        <v>14926</v>
      </c>
      <c r="L656" s="272">
        <f t="shared" si="81"/>
        <v>12141.24</v>
      </c>
      <c r="M656" s="269">
        <v>0</v>
      </c>
      <c r="N656" s="272">
        <f t="shared" si="86"/>
        <v>129.60000000000002</v>
      </c>
      <c r="O656" s="269">
        <v>0</v>
      </c>
      <c r="P656" s="273">
        <f t="shared" si="82"/>
        <v>3134.4600000000005</v>
      </c>
      <c r="Q656" s="272">
        <f t="shared" si="83"/>
        <v>60084</v>
      </c>
      <c r="R656" s="272">
        <f t="shared" si="84"/>
        <v>32365.538400000001</v>
      </c>
      <c r="S656" s="272">
        <f t="shared" si="85"/>
        <v>2125.44</v>
      </c>
    </row>
    <row r="657" spans="1:21" s="270" customFormat="1" x14ac:dyDescent="0.25">
      <c r="A657" s="335">
        <v>501444</v>
      </c>
      <c r="B657" s="271">
        <v>1444</v>
      </c>
      <c r="C657" s="271">
        <v>200541</v>
      </c>
      <c r="D657" s="268" t="s">
        <v>894</v>
      </c>
      <c r="E657" s="268" t="s">
        <v>1278</v>
      </c>
      <c r="F657" s="268" t="s">
        <v>2827</v>
      </c>
      <c r="G657" s="268">
        <v>16</v>
      </c>
      <c r="H657" s="268" t="s">
        <v>3325</v>
      </c>
      <c r="I657" s="268" t="s">
        <v>3201</v>
      </c>
      <c r="J657" s="272">
        <v>179112</v>
      </c>
      <c r="K657" s="272">
        <f t="shared" si="80"/>
        <v>14926</v>
      </c>
      <c r="L657" s="272">
        <f t="shared" si="81"/>
        <v>12141.24</v>
      </c>
      <c r="M657" s="269">
        <v>0</v>
      </c>
      <c r="N657" s="272">
        <f t="shared" si="86"/>
        <v>129.60000000000002</v>
      </c>
      <c r="O657" s="269">
        <v>0</v>
      </c>
      <c r="P657" s="273">
        <f t="shared" si="82"/>
        <v>3134.4600000000005</v>
      </c>
      <c r="Q657" s="272">
        <f t="shared" si="83"/>
        <v>60084</v>
      </c>
      <c r="R657" s="272">
        <f t="shared" si="84"/>
        <v>32365.538400000001</v>
      </c>
      <c r="S657" s="272">
        <f t="shared" si="85"/>
        <v>2125.44</v>
      </c>
      <c r="T657" s="280"/>
      <c r="U657" s="280"/>
    </row>
    <row r="658" spans="1:21" s="270" customFormat="1" x14ac:dyDescent="0.25">
      <c r="A658" s="335">
        <v>501444</v>
      </c>
      <c r="B658" s="271">
        <v>1444</v>
      </c>
      <c r="C658" s="271">
        <v>200544</v>
      </c>
      <c r="D658" s="268" t="s">
        <v>894</v>
      </c>
      <c r="E658" s="268" t="s">
        <v>1290</v>
      </c>
      <c r="F658" s="268" t="s">
        <v>2517</v>
      </c>
      <c r="G658" s="268">
        <v>16</v>
      </c>
      <c r="H658" s="268" t="s">
        <v>3326</v>
      </c>
      <c r="I658" s="268" t="s">
        <v>3201</v>
      </c>
      <c r="J658" s="272">
        <v>179112</v>
      </c>
      <c r="K658" s="272">
        <f t="shared" si="80"/>
        <v>14926</v>
      </c>
      <c r="L658" s="272">
        <f t="shared" si="81"/>
        <v>12141.24</v>
      </c>
      <c r="M658" s="269">
        <v>0</v>
      </c>
      <c r="N658" s="272">
        <f t="shared" si="86"/>
        <v>129.60000000000002</v>
      </c>
      <c r="O658" s="269">
        <v>0</v>
      </c>
      <c r="P658" s="273">
        <f t="shared" si="82"/>
        <v>3134.4600000000005</v>
      </c>
      <c r="Q658" s="272">
        <f t="shared" si="83"/>
        <v>60084</v>
      </c>
      <c r="R658" s="272">
        <f t="shared" si="84"/>
        <v>32365.538400000001</v>
      </c>
      <c r="S658" s="272">
        <f t="shared" si="85"/>
        <v>2125.44</v>
      </c>
    </row>
    <row r="659" spans="1:21" s="270" customFormat="1" x14ac:dyDescent="0.25">
      <c r="A659" s="335">
        <v>501444</v>
      </c>
      <c r="B659" s="271">
        <v>1444</v>
      </c>
      <c r="C659" s="271">
        <v>200547</v>
      </c>
      <c r="D659" s="268" t="s">
        <v>894</v>
      </c>
      <c r="E659" s="268" t="s">
        <v>1278</v>
      </c>
      <c r="F659" s="268" t="s">
        <v>2822</v>
      </c>
      <c r="G659" s="268">
        <v>16</v>
      </c>
      <c r="H659" s="268" t="s">
        <v>3327</v>
      </c>
      <c r="I659" s="268" t="s">
        <v>3201</v>
      </c>
      <c r="J659" s="272">
        <v>179112</v>
      </c>
      <c r="K659" s="272">
        <f t="shared" si="80"/>
        <v>14926</v>
      </c>
      <c r="L659" s="272">
        <f t="shared" si="81"/>
        <v>12141.24</v>
      </c>
      <c r="M659" s="269">
        <v>0</v>
      </c>
      <c r="N659" s="272">
        <f t="shared" si="86"/>
        <v>129.60000000000002</v>
      </c>
      <c r="O659" s="269">
        <v>0</v>
      </c>
      <c r="P659" s="273">
        <f t="shared" si="82"/>
        <v>3134.4600000000005</v>
      </c>
      <c r="Q659" s="272">
        <f t="shared" si="83"/>
        <v>60084</v>
      </c>
      <c r="R659" s="272">
        <f t="shared" si="84"/>
        <v>32365.538400000001</v>
      </c>
      <c r="S659" s="272">
        <f t="shared" si="85"/>
        <v>2125.44</v>
      </c>
    </row>
    <row r="660" spans="1:21" s="280" customFormat="1" x14ac:dyDescent="0.25">
      <c r="A660" s="335">
        <v>501506</v>
      </c>
      <c r="B660" s="271">
        <v>1506</v>
      </c>
      <c r="C660" s="271">
        <v>200548</v>
      </c>
      <c r="D660" s="268" t="s">
        <v>894</v>
      </c>
      <c r="E660" s="268" t="s">
        <v>1278</v>
      </c>
      <c r="F660" s="268" t="s">
        <v>3322</v>
      </c>
      <c r="G660" s="268">
        <v>16</v>
      </c>
      <c r="H660" s="268" t="s">
        <v>3328</v>
      </c>
      <c r="I660" s="268" t="s">
        <v>3201</v>
      </c>
      <c r="J660" s="272">
        <v>179112</v>
      </c>
      <c r="K660" s="272">
        <f t="shared" si="80"/>
        <v>14926</v>
      </c>
      <c r="L660" s="272">
        <f t="shared" si="81"/>
        <v>12141.24</v>
      </c>
      <c r="M660" s="269">
        <v>0</v>
      </c>
      <c r="N660" s="272">
        <f t="shared" si="86"/>
        <v>129.60000000000002</v>
      </c>
      <c r="O660" s="269">
        <v>0</v>
      </c>
      <c r="P660" s="273">
        <f t="shared" si="82"/>
        <v>3134.4600000000005</v>
      </c>
      <c r="Q660" s="272">
        <f t="shared" si="83"/>
        <v>60084</v>
      </c>
      <c r="R660" s="272">
        <f t="shared" si="84"/>
        <v>32365.538400000001</v>
      </c>
      <c r="S660" s="272">
        <f t="shared" si="85"/>
        <v>2125.44</v>
      </c>
      <c r="T660" s="270"/>
      <c r="U660" s="270"/>
    </row>
    <row r="661" spans="1:21" s="270" customFormat="1" x14ac:dyDescent="0.25">
      <c r="A661" s="335">
        <v>501406</v>
      </c>
      <c r="B661" s="271">
        <v>1406</v>
      </c>
      <c r="C661" s="271">
        <v>200549</v>
      </c>
      <c r="D661" s="268" t="s">
        <v>894</v>
      </c>
      <c r="E661" s="268" t="s">
        <v>1278</v>
      </c>
      <c r="F661" s="268" t="s">
        <v>3329</v>
      </c>
      <c r="G661" s="268">
        <v>16</v>
      </c>
      <c r="H661" s="268" t="s">
        <v>3330</v>
      </c>
      <c r="I661" s="268" t="s">
        <v>3331</v>
      </c>
      <c r="J661" s="272">
        <v>179112</v>
      </c>
      <c r="K661" s="272">
        <f t="shared" si="80"/>
        <v>14926</v>
      </c>
      <c r="L661" s="272">
        <f t="shared" si="81"/>
        <v>12141.24</v>
      </c>
      <c r="M661" s="269">
        <v>0</v>
      </c>
      <c r="N661" s="272">
        <f t="shared" si="86"/>
        <v>129.60000000000002</v>
      </c>
      <c r="O661" s="269">
        <v>0</v>
      </c>
      <c r="P661" s="273">
        <f t="shared" si="82"/>
        <v>3134.4600000000005</v>
      </c>
      <c r="Q661" s="272">
        <f t="shared" si="83"/>
        <v>60084</v>
      </c>
      <c r="R661" s="272">
        <f t="shared" si="84"/>
        <v>32365.538400000001</v>
      </c>
      <c r="S661" s="272">
        <f t="shared" si="85"/>
        <v>2125.44</v>
      </c>
    </row>
    <row r="662" spans="1:21" s="270" customFormat="1" x14ac:dyDescent="0.25">
      <c r="A662" s="335">
        <v>501444</v>
      </c>
      <c r="B662" s="271">
        <v>1444</v>
      </c>
      <c r="C662" s="271">
        <v>200550</v>
      </c>
      <c r="D662" s="268" t="s">
        <v>894</v>
      </c>
      <c r="E662" s="268" t="s">
        <v>1290</v>
      </c>
      <c r="F662" s="268" t="s">
        <v>2273</v>
      </c>
      <c r="G662" s="268">
        <v>16</v>
      </c>
      <c r="H662" s="268" t="s">
        <v>3332</v>
      </c>
      <c r="I662" s="268" t="s">
        <v>3201</v>
      </c>
      <c r="J662" s="272">
        <v>179112</v>
      </c>
      <c r="K662" s="272">
        <f t="shared" si="80"/>
        <v>14926</v>
      </c>
      <c r="L662" s="272">
        <f t="shared" si="81"/>
        <v>12141.24</v>
      </c>
      <c r="M662" s="269">
        <v>0</v>
      </c>
      <c r="N662" s="272">
        <f t="shared" si="86"/>
        <v>129.60000000000002</v>
      </c>
      <c r="O662" s="269">
        <v>0</v>
      </c>
      <c r="P662" s="273">
        <f t="shared" si="82"/>
        <v>3134.4600000000005</v>
      </c>
      <c r="Q662" s="272">
        <f t="shared" si="83"/>
        <v>60084</v>
      </c>
      <c r="R662" s="272">
        <f t="shared" si="84"/>
        <v>32365.538400000001</v>
      </c>
      <c r="S662" s="272">
        <f t="shared" si="85"/>
        <v>2125.44</v>
      </c>
    </row>
    <row r="663" spans="1:21" s="270" customFormat="1" x14ac:dyDescent="0.25">
      <c r="A663" s="335">
        <v>501443</v>
      </c>
      <c r="B663" s="271">
        <v>1443</v>
      </c>
      <c r="C663" s="271">
        <v>200554</v>
      </c>
      <c r="D663" s="268" t="s">
        <v>894</v>
      </c>
      <c r="E663" s="268" t="s">
        <v>1290</v>
      </c>
      <c r="F663" s="268" t="s">
        <v>2753</v>
      </c>
      <c r="G663" s="268">
        <v>16</v>
      </c>
      <c r="H663" s="268" t="s">
        <v>3333</v>
      </c>
      <c r="I663" s="268" t="s">
        <v>3201</v>
      </c>
      <c r="J663" s="272">
        <v>179112</v>
      </c>
      <c r="K663" s="272">
        <f t="shared" si="80"/>
        <v>14926</v>
      </c>
      <c r="L663" s="272">
        <f t="shared" si="81"/>
        <v>12141.24</v>
      </c>
      <c r="M663" s="269">
        <v>0</v>
      </c>
      <c r="N663" s="272">
        <f t="shared" si="86"/>
        <v>129.60000000000002</v>
      </c>
      <c r="O663" s="269">
        <v>0</v>
      </c>
      <c r="P663" s="273">
        <f t="shared" si="82"/>
        <v>3134.4600000000005</v>
      </c>
      <c r="Q663" s="272">
        <f t="shared" si="83"/>
        <v>60084</v>
      </c>
      <c r="R663" s="272">
        <f t="shared" si="84"/>
        <v>32365.538400000001</v>
      </c>
      <c r="S663" s="272">
        <f t="shared" si="85"/>
        <v>2125.44</v>
      </c>
    </row>
    <row r="664" spans="1:21" s="270" customFormat="1" x14ac:dyDescent="0.25">
      <c r="A664" s="335">
        <v>501506</v>
      </c>
      <c r="B664" s="271">
        <v>1506</v>
      </c>
      <c r="C664" s="271">
        <v>200555</v>
      </c>
      <c r="D664" s="268" t="s">
        <v>894</v>
      </c>
      <c r="E664" s="268" t="s">
        <v>1278</v>
      </c>
      <c r="F664" s="268" t="s">
        <v>1278</v>
      </c>
      <c r="G664" s="268">
        <v>16</v>
      </c>
      <c r="H664" s="268" t="s">
        <v>3334</v>
      </c>
      <c r="I664" s="268" t="s">
        <v>3201</v>
      </c>
      <c r="J664" s="272">
        <v>179112</v>
      </c>
      <c r="K664" s="272">
        <f t="shared" si="80"/>
        <v>14926</v>
      </c>
      <c r="L664" s="272">
        <f t="shared" si="81"/>
        <v>12141.24</v>
      </c>
      <c r="M664" s="269">
        <v>0</v>
      </c>
      <c r="N664" s="272">
        <f t="shared" si="86"/>
        <v>129.60000000000002</v>
      </c>
      <c r="O664" s="269">
        <v>0</v>
      </c>
      <c r="P664" s="273">
        <f t="shared" si="82"/>
        <v>3134.4600000000005</v>
      </c>
      <c r="Q664" s="272">
        <f t="shared" si="83"/>
        <v>60084</v>
      </c>
      <c r="R664" s="272">
        <f t="shared" si="84"/>
        <v>32365.538400000001</v>
      </c>
      <c r="S664" s="272">
        <f t="shared" si="85"/>
        <v>2125.44</v>
      </c>
      <c r="T664" s="280"/>
      <c r="U664" s="280"/>
    </row>
    <row r="665" spans="1:21" s="270" customFormat="1" x14ac:dyDescent="0.25">
      <c r="A665" s="335">
        <v>501406</v>
      </c>
      <c r="B665" s="271">
        <v>1406</v>
      </c>
      <c r="C665" s="271">
        <v>200556</v>
      </c>
      <c r="D665" s="268" t="s">
        <v>894</v>
      </c>
      <c r="E665" s="268" t="s">
        <v>1290</v>
      </c>
      <c r="F665" s="268" t="s">
        <v>2237</v>
      </c>
      <c r="G665" s="268">
        <v>16</v>
      </c>
      <c r="H665" s="268" t="s">
        <v>3335</v>
      </c>
      <c r="I665" s="268" t="s">
        <v>3201</v>
      </c>
      <c r="J665" s="272">
        <v>179112</v>
      </c>
      <c r="K665" s="272">
        <f t="shared" si="80"/>
        <v>14926</v>
      </c>
      <c r="L665" s="272">
        <f t="shared" si="81"/>
        <v>12141.24</v>
      </c>
      <c r="M665" s="269">
        <v>0</v>
      </c>
      <c r="N665" s="272">
        <f t="shared" si="86"/>
        <v>129.60000000000002</v>
      </c>
      <c r="O665" s="269">
        <v>0</v>
      </c>
      <c r="P665" s="273">
        <f t="shared" si="82"/>
        <v>3134.4600000000005</v>
      </c>
      <c r="Q665" s="272">
        <f t="shared" si="83"/>
        <v>60084</v>
      </c>
      <c r="R665" s="272">
        <f t="shared" si="84"/>
        <v>32365.538400000001</v>
      </c>
      <c r="S665" s="272">
        <f t="shared" si="85"/>
        <v>2125.44</v>
      </c>
    </row>
    <row r="666" spans="1:21" s="270" customFormat="1" x14ac:dyDescent="0.25">
      <c r="A666" s="335">
        <v>501443</v>
      </c>
      <c r="B666" s="271">
        <v>1443</v>
      </c>
      <c r="C666" s="271">
        <v>200557</v>
      </c>
      <c r="D666" s="268" t="s">
        <v>894</v>
      </c>
      <c r="E666" s="268" t="s">
        <v>1290</v>
      </c>
      <c r="F666" s="268" t="s">
        <v>3336</v>
      </c>
      <c r="G666" s="268">
        <v>16</v>
      </c>
      <c r="H666" s="268" t="s">
        <v>2389</v>
      </c>
      <c r="I666" s="268" t="s">
        <v>3201</v>
      </c>
      <c r="J666" s="272">
        <v>179112</v>
      </c>
      <c r="K666" s="272">
        <f t="shared" si="80"/>
        <v>14926</v>
      </c>
      <c r="L666" s="272">
        <f t="shared" si="81"/>
        <v>12141.24</v>
      </c>
      <c r="M666" s="269">
        <v>0</v>
      </c>
      <c r="N666" s="272">
        <f t="shared" si="86"/>
        <v>129.60000000000002</v>
      </c>
      <c r="O666" s="269">
        <v>0</v>
      </c>
      <c r="P666" s="273">
        <f t="shared" si="82"/>
        <v>3134.4600000000005</v>
      </c>
      <c r="Q666" s="272">
        <f t="shared" si="83"/>
        <v>60084</v>
      </c>
      <c r="R666" s="272">
        <f t="shared" si="84"/>
        <v>32365.538400000001</v>
      </c>
      <c r="S666" s="272">
        <f t="shared" si="85"/>
        <v>2125.44</v>
      </c>
    </row>
    <row r="667" spans="1:21" s="280" customFormat="1" x14ac:dyDescent="0.25">
      <c r="A667" s="335">
        <v>501506</v>
      </c>
      <c r="B667" s="271">
        <v>1506</v>
      </c>
      <c r="C667" s="271">
        <v>200559</v>
      </c>
      <c r="D667" s="268" t="s">
        <v>894</v>
      </c>
      <c r="E667" s="268" t="s">
        <v>1278</v>
      </c>
      <c r="F667" s="268" t="s">
        <v>2886</v>
      </c>
      <c r="G667" s="268">
        <v>16</v>
      </c>
      <c r="H667" s="268" t="s">
        <v>3259</v>
      </c>
      <c r="I667" s="268" t="s">
        <v>3201</v>
      </c>
      <c r="J667" s="272">
        <v>179112</v>
      </c>
      <c r="K667" s="272">
        <f t="shared" si="80"/>
        <v>14926</v>
      </c>
      <c r="L667" s="272">
        <f t="shared" si="81"/>
        <v>12141.24</v>
      </c>
      <c r="M667" s="269">
        <v>0</v>
      </c>
      <c r="N667" s="272">
        <f t="shared" si="86"/>
        <v>129.60000000000002</v>
      </c>
      <c r="O667" s="269">
        <v>0</v>
      </c>
      <c r="P667" s="273">
        <f t="shared" si="82"/>
        <v>3134.4600000000005</v>
      </c>
      <c r="Q667" s="272">
        <f t="shared" si="83"/>
        <v>60084</v>
      </c>
      <c r="R667" s="272">
        <f t="shared" si="84"/>
        <v>32365.538400000001</v>
      </c>
      <c r="S667" s="272">
        <f t="shared" si="85"/>
        <v>2125.44</v>
      </c>
      <c r="T667" s="270"/>
      <c r="U667" s="270"/>
    </row>
    <row r="668" spans="1:21" s="270" customFormat="1" x14ac:dyDescent="0.25">
      <c r="A668" s="335">
        <v>501457</v>
      </c>
      <c r="B668" s="271">
        <v>1457</v>
      </c>
      <c r="C668" s="271">
        <v>200560</v>
      </c>
      <c r="D668" s="268" t="s">
        <v>894</v>
      </c>
      <c r="E668" s="268" t="s">
        <v>1290</v>
      </c>
      <c r="F668" s="268" t="s">
        <v>2508</v>
      </c>
      <c r="G668" s="268">
        <v>16</v>
      </c>
      <c r="H668" s="268" t="s">
        <v>3337</v>
      </c>
      <c r="I668" s="268" t="s">
        <v>3201</v>
      </c>
      <c r="J668" s="272">
        <v>179112</v>
      </c>
      <c r="K668" s="272">
        <f t="shared" si="80"/>
        <v>14926</v>
      </c>
      <c r="L668" s="272">
        <f t="shared" si="81"/>
        <v>12141.24</v>
      </c>
      <c r="M668" s="269">
        <v>0</v>
      </c>
      <c r="N668" s="272">
        <f t="shared" si="86"/>
        <v>129.60000000000002</v>
      </c>
      <c r="O668" s="269">
        <v>0</v>
      </c>
      <c r="P668" s="273">
        <f t="shared" si="82"/>
        <v>3134.4600000000005</v>
      </c>
      <c r="Q668" s="272">
        <f t="shared" si="83"/>
        <v>60084</v>
      </c>
      <c r="R668" s="272">
        <f t="shared" si="84"/>
        <v>32365.538400000001</v>
      </c>
      <c r="S668" s="272">
        <f t="shared" si="85"/>
        <v>2125.44</v>
      </c>
    </row>
    <row r="669" spans="1:21" s="270" customFormat="1" x14ac:dyDescent="0.25">
      <c r="A669" s="335">
        <v>501443</v>
      </c>
      <c r="B669" s="271">
        <v>1443</v>
      </c>
      <c r="C669" s="271">
        <v>200561</v>
      </c>
      <c r="D669" s="268" t="s">
        <v>894</v>
      </c>
      <c r="E669" s="268" t="s">
        <v>1290</v>
      </c>
      <c r="F669" s="268" t="s">
        <v>2845</v>
      </c>
      <c r="G669" s="268">
        <v>16</v>
      </c>
      <c r="H669" s="268" t="s">
        <v>3338</v>
      </c>
      <c r="I669" s="268" t="s">
        <v>3201</v>
      </c>
      <c r="J669" s="272">
        <v>179112</v>
      </c>
      <c r="K669" s="272">
        <f t="shared" si="80"/>
        <v>14926</v>
      </c>
      <c r="L669" s="272">
        <f t="shared" si="81"/>
        <v>12141.24</v>
      </c>
      <c r="M669" s="269">
        <v>0</v>
      </c>
      <c r="N669" s="272">
        <f t="shared" si="86"/>
        <v>129.60000000000002</v>
      </c>
      <c r="O669" s="269">
        <v>0</v>
      </c>
      <c r="P669" s="273">
        <f t="shared" si="82"/>
        <v>3134.4600000000005</v>
      </c>
      <c r="Q669" s="272">
        <f t="shared" si="83"/>
        <v>60084</v>
      </c>
      <c r="R669" s="272">
        <f t="shared" si="84"/>
        <v>32365.538400000001</v>
      </c>
      <c r="S669" s="272">
        <f t="shared" si="85"/>
        <v>2125.44</v>
      </c>
    </row>
    <row r="670" spans="1:21" s="270" customFormat="1" x14ac:dyDescent="0.25">
      <c r="A670" s="335">
        <v>501406</v>
      </c>
      <c r="B670" s="271">
        <v>1406</v>
      </c>
      <c r="C670" s="271">
        <v>200562</v>
      </c>
      <c r="D670" s="268" t="s">
        <v>894</v>
      </c>
      <c r="E670" s="268" t="s">
        <v>1290</v>
      </c>
      <c r="F670" s="268" t="s">
        <v>2408</v>
      </c>
      <c r="G670" s="268">
        <v>16</v>
      </c>
      <c r="H670" s="268" t="s">
        <v>3339</v>
      </c>
      <c r="I670" s="268" t="s">
        <v>3201</v>
      </c>
      <c r="J670" s="272">
        <v>179112</v>
      </c>
      <c r="K670" s="272">
        <f t="shared" si="80"/>
        <v>14926</v>
      </c>
      <c r="L670" s="272">
        <f t="shared" si="81"/>
        <v>12141.24</v>
      </c>
      <c r="M670" s="269">
        <v>0</v>
      </c>
      <c r="N670" s="272">
        <f t="shared" si="86"/>
        <v>129.60000000000002</v>
      </c>
      <c r="O670" s="269">
        <v>0</v>
      </c>
      <c r="P670" s="273">
        <f t="shared" si="82"/>
        <v>3134.4600000000005</v>
      </c>
      <c r="Q670" s="272">
        <f t="shared" si="83"/>
        <v>60084</v>
      </c>
      <c r="R670" s="272">
        <f t="shared" si="84"/>
        <v>32365.538400000001</v>
      </c>
      <c r="S670" s="272">
        <f t="shared" si="85"/>
        <v>2125.44</v>
      </c>
    </row>
    <row r="671" spans="1:21" s="270" customFormat="1" x14ac:dyDescent="0.25">
      <c r="A671" s="335">
        <v>501506</v>
      </c>
      <c r="B671" s="271">
        <v>1506</v>
      </c>
      <c r="C671" s="271">
        <v>200563</v>
      </c>
      <c r="D671" s="268" t="s">
        <v>894</v>
      </c>
      <c r="E671" s="268" t="s">
        <v>1278</v>
      </c>
      <c r="F671" s="268" t="s">
        <v>1290</v>
      </c>
      <c r="G671" s="268">
        <v>16</v>
      </c>
      <c r="H671" s="268" t="s">
        <v>3340</v>
      </c>
      <c r="I671" s="268" t="s">
        <v>3201</v>
      </c>
      <c r="J671" s="272">
        <v>179112</v>
      </c>
      <c r="K671" s="272">
        <f t="shared" si="80"/>
        <v>14926</v>
      </c>
      <c r="L671" s="272">
        <f t="shared" si="81"/>
        <v>12141.24</v>
      </c>
      <c r="M671" s="269">
        <v>0</v>
      </c>
      <c r="N671" s="272">
        <f t="shared" si="86"/>
        <v>129.60000000000002</v>
      </c>
      <c r="O671" s="269">
        <v>0</v>
      </c>
      <c r="P671" s="273">
        <f t="shared" si="82"/>
        <v>3134.4600000000005</v>
      </c>
      <c r="Q671" s="272">
        <f t="shared" si="83"/>
        <v>60084</v>
      </c>
      <c r="R671" s="272">
        <f t="shared" si="84"/>
        <v>32365.538400000001</v>
      </c>
      <c r="S671" s="272">
        <f t="shared" si="85"/>
        <v>2125.44</v>
      </c>
    </row>
    <row r="672" spans="1:21" s="270" customFormat="1" x14ac:dyDescent="0.25">
      <c r="A672" s="335">
        <v>501506</v>
      </c>
      <c r="B672" s="271">
        <v>1506</v>
      </c>
      <c r="C672" s="271">
        <v>200565</v>
      </c>
      <c r="D672" s="268" t="s">
        <v>894</v>
      </c>
      <c r="E672" s="268" t="s">
        <v>1278</v>
      </c>
      <c r="F672" s="268" t="s">
        <v>2812</v>
      </c>
      <c r="G672" s="268">
        <v>16</v>
      </c>
      <c r="H672" s="268" t="s">
        <v>3341</v>
      </c>
      <c r="I672" s="268" t="s">
        <v>3201</v>
      </c>
      <c r="J672" s="272">
        <v>179112</v>
      </c>
      <c r="K672" s="272">
        <f t="shared" si="80"/>
        <v>14926</v>
      </c>
      <c r="L672" s="272">
        <f t="shared" si="81"/>
        <v>12141.24</v>
      </c>
      <c r="M672" s="269">
        <v>0</v>
      </c>
      <c r="N672" s="272">
        <f t="shared" si="86"/>
        <v>129.60000000000002</v>
      </c>
      <c r="O672" s="269">
        <v>0</v>
      </c>
      <c r="P672" s="273">
        <f t="shared" si="82"/>
        <v>3134.4600000000005</v>
      </c>
      <c r="Q672" s="272">
        <f t="shared" si="83"/>
        <v>60084</v>
      </c>
      <c r="R672" s="272">
        <f t="shared" si="84"/>
        <v>32365.538400000001</v>
      </c>
      <c r="S672" s="272">
        <f t="shared" si="85"/>
        <v>2125.44</v>
      </c>
    </row>
    <row r="673" spans="1:21" s="270" customFormat="1" x14ac:dyDescent="0.25">
      <c r="A673" s="335">
        <v>501406</v>
      </c>
      <c r="B673" s="271">
        <v>1406</v>
      </c>
      <c r="C673" s="271">
        <v>200566</v>
      </c>
      <c r="D673" s="268" t="s">
        <v>894</v>
      </c>
      <c r="E673" s="268" t="s">
        <v>1278</v>
      </c>
      <c r="F673" s="268" t="s">
        <v>3199</v>
      </c>
      <c r="G673" s="268">
        <v>16</v>
      </c>
      <c r="H673" s="268" t="s">
        <v>3342</v>
      </c>
      <c r="I673" s="268" t="s">
        <v>3201</v>
      </c>
      <c r="J673" s="272">
        <v>179112</v>
      </c>
      <c r="K673" s="272">
        <f t="shared" si="80"/>
        <v>14926</v>
      </c>
      <c r="L673" s="272">
        <f t="shared" si="81"/>
        <v>12141.24</v>
      </c>
      <c r="M673" s="269">
        <v>0</v>
      </c>
      <c r="N673" s="272">
        <f t="shared" si="86"/>
        <v>129.60000000000002</v>
      </c>
      <c r="O673" s="269">
        <v>0</v>
      </c>
      <c r="P673" s="273">
        <f t="shared" si="82"/>
        <v>3134.4600000000005</v>
      </c>
      <c r="Q673" s="272">
        <f t="shared" si="83"/>
        <v>60084</v>
      </c>
      <c r="R673" s="272">
        <f t="shared" si="84"/>
        <v>32365.538400000001</v>
      </c>
      <c r="S673" s="272">
        <f t="shared" si="85"/>
        <v>2125.44</v>
      </c>
    </row>
    <row r="674" spans="1:21" s="270" customFormat="1" x14ac:dyDescent="0.25">
      <c r="A674" s="335">
        <v>501443</v>
      </c>
      <c r="B674" s="271">
        <v>1443</v>
      </c>
      <c r="C674" s="271">
        <v>200567</v>
      </c>
      <c r="D674" s="268" t="s">
        <v>894</v>
      </c>
      <c r="E674" s="268" t="s">
        <v>1290</v>
      </c>
      <c r="F674" s="268" t="s">
        <v>894</v>
      </c>
      <c r="G674" s="268">
        <v>16</v>
      </c>
      <c r="H674" s="268" t="s">
        <v>3343</v>
      </c>
      <c r="I674" s="268" t="s">
        <v>3201</v>
      </c>
      <c r="J674" s="272">
        <v>179112</v>
      </c>
      <c r="K674" s="272">
        <f t="shared" si="80"/>
        <v>14926</v>
      </c>
      <c r="L674" s="272">
        <f t="shared" si="81"/>
        <v>12141.24</v>
      </c>
      <c r="M674" s="269">
        <v>0</v>
      </c>
      <c r="N674" s="272">
        <f t="shared" si="86"/>
        <v>129.60000000000002</v>
      </c>
      <c r="O674" s="269">
        <v>0</v>
      </c>
      <c r="P674" s="273">
        <f t="shared" si="82"/>
        <v>3134.4600000000005</v>
      </c>
      <c r="Q674" s="272">
        <f t="shared" si="83"/>
        <v>60084</v>
      </c>
      <c r="R674" s="272">
        <f t="shared" si="84"/>
        <v>32365.538400000001</v>
      </c>
      <c r="S674" s="272">
        <f t="shared" si="85"/>
        <v>2125.44</v>
      </c>
      <c r="T674" s="280"/>
      <c r="U674" s="280"/>
    </row>
    <row r="675" spans="1:21" s="270" customFormat="1" x14ac:dyDescent="0.25">
      <c r="A675" s="335">
        <v>501506</v>
      </c>
      <c r="B675" s="271">
        <v>1506</v>
      </c>
      <c r="C675" s="271">
        <v>200568</v>
      </c>
      <c r="D675" s="268" t="s">
        <v>894</v>
      </c>
      <c r="E675" s="268" t="s">
        <v>1278</v>
      </c>
      <c r="F675" s="268" t="s">
        <v>3206</v>
      </c>
      <c r="G675" s="268">
        <v>16</v>
      </c>
      <c r="H675" s="268" t="s">
        <v>3344</v>
      </c>
      <c r="I675" s="268" t="s">
        <v>3201</v>
      </c>
      <c r="J675" s="272">
        <v>179112</v>
      </c>
      <c r="K675" s="272">
        <f t="shared" si="80"/>
        <v>14926</v>
      </c>
      <c r="L675" s="272">
        <f t="shared" si="81"/>
        <v>12141.24</v>
      </c>
      <c r="M675" s="269">
        <v>0</v>
      </c>
      <c r="N675" s="272">
        <f t="shared" si="86"/>
        <v>129.60000000000002</v>
      </c>
      <c r="O675" s="269">
        <v>0</v>
      </c>
      <c r="P675" s="273">
        <f t="shared" si="82"/>
        <v>3134.4600000000005</v>
      </c>
      <c r="Q675" s="272">
        <f t="shared" si="83"/>
        <v>60084</v>
      </c>
      <c r="R675" s="272">
        <f t="shared" si="84"/>
        <v>32365.538400000001</v>
      </c>
      <c r="S675" s="272">
        <f t="shared" si="85"/>
        <v>2125.44</v>
      </c>
    </row>
    <row r="676" spans="1:21" s="270" customFormat="1" x14ac:dyDescent="0.25">
      <c r="A676" s="335">
        <v>501444</v>
      </c>
      <c r="B676" s="271">
        <v>1444</v>
      </c>
      <c r="C676" s="271">
        <v>200569</v>
      </c>
      <c r="D676" s="268" t="s">
        <v>894</v>
      </c>
      <c r="E676" s="268" t="s">
        <v>1278</v>
      </c>
      <c r="F676" s="268" t="s">
        <v>2895</v>
      </c>
      <c r="G676" s="268">
        <v>16</v>
      </c>
      <c r="H676" s="268" t="s">
        <v>3345</v>
      </c>
      <c r="I676" s="268" t="s">
        <v>3201</v>
      </c>
      <c r="J676" s="272">
        <v>179112</v>
      </c>
      <c r="K676" s="272">
        <f t="shared" si="80"/>
        <v>14926</v>
      </c>
      <c r="L676" s="272">
        <f t="shared" si="81"/>
        <v>12141.24</v>
      </c>
      <c r="M676" s="269">
        <v>0</v>
      </c>
      <c r="N676" s="272">
        <f t="shared" si="86"/>
        <v>129.60000000000002</v>
      </c>
      <c r="O676" s="269">
        <v>0</v>
      </c>
      <c r="P676" s="273">
        <f t="shared" si="82"/>
        <v>3134.4600000000005</v>
      </c>
      <c r="Q676" s="272">
        <f t="shared" si="83"/>
        <v>60084</v>
      </c>
      <c r="R676" s="272">
        <f t="shared" si="84"/>
        <v>32365.538400000001</v>
      </c>
      <c r="S676" s="272">
        <f t="shared" si="85"/>
        <v>2125.44</v>
      </c>
      <c r="T676" s="280"/>
      <c r="U676" s="280"/>
    </row>
    <row r="677" spans="1:21" s="270" customFormat="1" x14ac:dyDescent="0.25">
      <c r="A677" s="335">
        <v>501443</v>
      </c>
      <c r="B677" s="271">
        <v>1443</v>
      </c>
      <c r="C677" s="271">
        <v>200571</v>
      </c>
      <c r="D677" s="268" t="s">
        <v>894</v>
      </c>
      <c r="E677" s="268" t="s">
        <v>1290</v>
      </c>
      <c r="F677" s="268" t="s">
        <v>2627</v>
      </c>
      <c r="G677" s="268">
        <v>16</v>
      </c>
      <c r="H677" s="268" t="s">
        <v>3346</v>
      </c>
      <c r="I677" s="268" t="s">
        <v>3201</v>
      </c>
      <c r="J677" s="272">
        <v>179112</v>
      </c>
      <c r="K677" s="272">
        <f t="shared" si="80"/>
        <v>14926</v>
      </c>
      <c r="L677" s="272">
        <f t="shared" si="81"/>
        <v>12141.24</v>
      </c>
      <c r="M677" s="269">
        <v>0</v>
      </c>
      <c r="N677" s="272">
        <f t="shared" si="86"/>
        <v>129.60000000000002</v>
      </c>
      <c r="O677" s="269">
        <v>0</v>
      </c>
      <c r="P677" s="273">
        <f t="shared" si="82"/>
        <v>3134.4600000000005</v>
      </c>
      <c r="Q677" s="272">
        <f t="shared" si="83"/>
        <v>60084</v>
      </c>
      <c r="R677" s="272">
        <f t="shared" si="84"/>
        <v>32365.538400000001</v>
      </c>
      <c r="S677" s="272">
        <f t="shared" si="85"/>
        <v>2125.44</v>
      </c>
      <c r="T677" s="280"/>
      <c r="U677" s="280"/>
    </row>
    <row r="678" spans="1:21" s="270" customFormat="1" x14ac:dyDescent="0.25">
      <c r="A678" s="335">
        <v>501444</v>
      </c>
      <c r="B678" s="271">
        <v>1444</v>
      </c>
      <c r="C678" s="271">
        <v>200572</v>
      </c>
      <c r="D678" s="268" t="s">
        <v>894</v>
      </c>
      <c r="E678" s="268" t="s">
        <v>1278</v>
      </c>
      <c r="F678" s="268" t="s">
        <v>3134</v>
      </c>
      <c r="G678" s="268">
        <v>16</v>
      </c>
      <c r="H678" s="268" t="s">
        <v>3347</v>
      </c>
      <c r="I678" s="268" t="s">
        <v>3201</v>
      </c>
      <c r="J678" s="272">
        <v>179112</v>
      </c>
      <c r="K678" s="272">
        <f t="shared" si="80"/>
        <v>14926</v>
      </c>
      <c r="L678" s="272">
        <f t="shared" si="81"/>
        <v>12141.24</v>
      </c>
      <c r="M678" s="269">
        <v>0</v>
      </c>
      <c r="N678" s="272">
        <f t="shared" si="86"/>
        <v>129.60000000000002</v>
      </c>
      <c r="O678" s="269">
        <v>0</v>
      </c>
      <c r="P678" s="273">
        <f t="shared" si="82"/>
        <v>3134.4600000000005</v>
      </c>
      <c r="Q678" s="272">
        <f t="shared" si="83"/>
        <v>60084</v>
      </c>
      <c r="R678" s="272">
        <f t="shared" si="84"/>
        <v>32365.538400000001</v>
      </c>
      <c r="S678" s="272">
        <f t="shared" si="85"/>
        <v>2125.44</v>
      </c>
      <c r="T678" s="280"/>
      <c r="U678" s="280"/>
    </row>
    <row r="679" spans="1:21" s="270" customFormat="1" x14ac:dyDescent="0.25">
      <c r="A679" s="335">
        <v>501506</v>
      </c>
      <c r="B679" s="271">
        <v>1506</v>
      </c>
      <c r="C679" s="271">
        <v>200573</v>
      </c>
      <c r="D679" s="268" t="s">
        <v>894</v>
      </c>
      <c r="E679" s="268" t="s">
        <v>1278</v>
      </c>
      <c r="F679" s="268" t="s">
        <v>3348</v>
      </c>
      <c r="G679" s="268">
        <v>16</v>
      </c>
      <c r="H679" s="268" t="s">
        <v>3349</v>
      </c>
      <c r="I679" s="268" t="s">
        <v>3201</v>
      </c>
      <c r="J679" s="272">
        <v>179112</v>
      </c>
      <c r="K679" s="272">
        <f t="shared" si="80"/>
        <v>14926</v>
      </c>
      <c r="L679" s="272">
        <f t="shared" si="81"/>
        <v>12141.24</v>
      </c>
      <c r="M679" s="269">
        <v>0</v>
      </c>
      <c r="N679" s="272">
        <f t="shared" si="86"/>
        <v>129.60000000000002</v>
      </c>
      <c r="O679" s="269">
        <v>0</v>
      </c>
      <c r="P679" s="273">
        <f t="shared" si="82"/>
        <v>3134.4600000000005</v>
      </c>
      <c r="Q679" s="272">
        <f t="shared" si="83"/>
        <v>60084</v>
      </c>
      <c r="R679" s="272">
        <f t="shared" si="84"/>
        <v>32365.538400000001</v>
      </c>
      <c r="S679" s="272">
        <f t="shared" si="85"/>
        <v>2125.44</v>
      </c>
      <c r="T679" s="280"/>
      <c r="U679" s="280"/>
    </row>
    <row r="680" spans="1:21" s="270" customFormat="1" x14ac:dyDescent="0.25">
      <c r="A680" s="335">
        <v>501444</v>
      </c>
      <c r="B680" s="271">
        <v>1444</v>
      </c>
      <c r="C680" s="271">
        <v>200575</v>
      </c>
      <c r="D680" s="268" t="s">
        <v>894</v>
      </c>
      <c r="E680" s="268" t="s">
        <v>1278</v>
      </c>
      <c r="F680" s="268" t="s">
        <v>3350</v>
      </c>
      <c r="G680" s="268">
        <v>16</v>
      </c>
      <c r="H680" s="268" t="s">
        <v>3351</v>
      </c>
      <c r="I680" s="268" t="s">
        <v>3201</v>
      </c>
      <c r="J680" s="272">
        <v>179112</v>
      </c>
      <c r="K680" s="272">
        <f t="shared" si="80"/>
        <v>14926</v>
      </c>
      <c r="L680" s="272">
        <f t="shared" si="81"/>
        <v>12141.24</v>
      </c>
      <c r="M680" s="269">
        <v>0</v>
      </c>
      <c r="N680" s="272">
        <f t="shared" si="86"/>
        <v>129.60000000000002</v>
      </c>
      <c r="O680" s="269">
        <v>0</v>
      </c>
      <c r="P680" s="273">
        <f t="shared" si="82"/>
        <v>3134.4600000000005</v>
      </c>
      <c r="Q680" s="272">
        <f t="shared" si="83"/>
        <v>60084</v>
      </c>
      <c r="R680" s="272">
        <f t="shared" si="84"/>
        <v>32365.538400000001</v>
      </c>
      <c r="S680" s="272">
        <f t="shared" si="85"/>
        <v>2125.44</v>
      </c>
      <c r="T680" s="280"/>
      <c r="U680" s="280"/>
    </row>
    <row r="681" spans="1:21" s="270" customFormat="1" x14ac:dyDescent="0.25">
      <c r="A681" s="335">
        <v>501444</v>
      </c>
      <c r="B681" s="271">
        <v>1444</v>
      </c>
      <c r="C681" s="271">
        <v>200577</v>
      </c>
      <c r="D681" s="268" t="s">
        <v>894</v>
      </c>
      <c r="E681" s="268" t="s">
        <v>1278</v>
      </c>
      <c r="F681" s="268" t="s">
        <v>3352</v>
      </c>
      <c r="G681" s="268">
        <v>16</v>
      </c>
      <c r="H681" s="268" t="s">
        <v>3353</v>
      </c>
      <c r="I681" s="268" t="s">
        <v>3201</v>
      </c>
      <c r="J681" s="272">
        <v>179112</v>
      </c>
      <c r="K681" s="272">
        <f t="shared" si="80"/>
        <v>14926</v>
      </c>
      <c r="L681" s="272">
        <f t="shared" si="81"/>
        <v>12141.24</v>
      </c>
      <c r="M681" s="269">
        <v>0</v>
      </c>
      <c r="N681" s="272">
        <f t="shared" si="86"/>
        <v>129.60000000000002</v>
      </c>
      <c r="O681" s="269">
        <v>0</v>
      </c>
      <c r="P681" s="273">
        <f t="shared" si="82"/>
        <v>3134.4600000000005</v>
      </c>
      <c r="Q681" s="272">
        <f t="shared" si="83"/>
        <v>60084</v>
      </c>
      <c r="R681" s="272">
        <f t="shared" si="84"/>
        <v>32365.538400000001</v>
      </c>
      <c r="S681" s="272">
        <f t="shared" si="85"/>
        <v>2125.44</v>
      </c>
      <c r="T681" s="280"/>
      <c r="U681" s="280"/>
    </row>
    <row r="682" spans="1:21" s="270" customFormat="1" x14ac:dyDescent="0.25">
      <c r="A682" s="335">
        <v>501406</v>
      </c>
      <c r="B682" s="271">
        <v>1406</v>
      </c>
      <c r="C682" s="271">
        <v>200578</v>
      </c>
      <c r="D682" s="268" t="s">
        <v>894</v>
      </c>
      <c r="E682" s="268" t="s">
        <v>1290</v>
      </c>
      <c r="F682" s="268" t="s">
        <v>1306</v>
      </c>
      <c r="G682" s="268">
        <v>16</v>
      </c>
      <c r="H682" s="268" t="s">
        <v>3354</v>
      </c>
      <c r="I682" s="268" t="s">
        <v>3201</v>
      </c>
      <c r="J682" s="272">
        <v>179112</v>
      </c>
      <c r="K682" s="272">
        <f t="shared" si="80"/>
        <v>14926</v>
      </c>
      <c r="L682" s="272">
        <f t="shared" si="81"/>
        <v>12141.24</v>
      </c>
      <c r="M682" s="269">
        <v>0</v>
      </c>
      <c r="N682" s="272">
        <f t="shared" si="86"/>
        <v>129.60000000000002</v>
      </c>
      <c r="O682" s="269">
        <v>0</v>
      </c>
      <c r="P682" s="273">
        <f t="shared" si="82"/>
        <v>3134.4600000000005</v>
      </c>
      <c r="Q682" s="272">
        <f t="shared" si="83"/>
        <v>60084</v>
      </c>
      <c r="R682" s="272">
        <f t="shared" si="84"/>
        <v>32365.538400000001</v>
      </c>
      <c r="S682" s="272">
        <f t="shared" si="85"/>
        <v>2125.44</v>
      </c>
      <c r="T682" s="280"/>
      <c r="U682" s="280"/>
    </row>
    <row r="683" spans="1:21" s="270" customFormat="1" x14ac:dyDescent="0.25">
      <c r="A683" s="335">
        <v>501444</v>
      </c>
      <c r="B683" s="271">
        <v>1444</v>
      </c>
      <c r="C683" s="271">
        <v>200579</v>
      </c>
      <c r="D683" s="268" t="s">
        <v>894</v>
      </c>
      <c r="E683" s="268" t="s">
        <v>1278</v>
      </c>
      <c r="F683" s="268" t="s">
        <v>2547</v>
      </c>
      <c r="G683" s="268">
        <v>16</v>
      </c>
      <c r="H683" s="268" t="s">
        <v>3355</v>
      </c>
      <c r="I683" s="268" t="s">
        <v>3201</v>
      </c>
      <c r="J683" s="272">
        <v>179112</v>
      </c>
      <c r="K683" s="272">
        <f t="shared" si="80"/>
        <v>14926</v>
      </c>
      <c r="L683" s="272">
        <f t="shared" si="81"/>
        <v>12141.24</v>
      </c>
      <c r="M683" s="269">
        <v>0</v>
      </c>
      <c r="N683" s="272">
        <f t="shared" si="86"/>
        <v>129.60000000000002</v>
      </c>
      <c r="O683" s="269">
        <v>0</v>
      </c>
      <c r="P683" s="273">
        <f t="shared" si="82"/>
        <v>3134.4600000000005</v>
      </c>
      <c r="Q683" s="272">
        <f t="shared" si="83"/>
        <v>60084</v>
      </c>
      <c r="R683" s="272">
        <f t="shared" si="84"/>
        <v>32365.538400000001</v>
      </c>
      <c r="S683" s="272">
        <f t="shared" si="85"/>
        <v>2125.44</v>
      </c>
      <c r="T683" s="280"/>
      <c r="U683" s="280"/>
    </row>
    <row r="684" spans="1:21" s="270" customFormat="1" x14ac:dyDescent="0.25">
      <c r="A684" s="335">
        <v>501406</v>
      </c>
      <c r="B684" s="271">
        <v>1406</v>
      </c>
      <c r="C684" s="271">
        <v>200580</v>
      </c>
      <c r="D684" s="268" t="s">
        <v>894</v>
      </c>
      <c r="E684" s="268" t="s">
        <v>1278</v>
      </c>
      <c r="F684" s="268" t="s">
        <v>2649</v>
      </c>
      <c r="G684" s="268">
        <v>16</v>
      </c>
      <c r="H684" s="268" t="s">
        <v>2451</v>
      </c>
      <c r="I684" s="268" t="s">
        <v>3201</v>
      </c>
      <c r="J684" s="272">
        <v>179112</v>
      </c>
      <c r="K684" s="272">
        <f t="shared" si="80"/>
        <v>14926</v>
      </c>
      <c r="L684" s="272">
        <f t="shared" si="81"/>
        <v>12141.24</v>
      </c>
      <c r="M684" s="269">
        <v>0</v>
      </c>
      <c r="N684" s="272">
        <f t="shared" si="86"/>
        <v>129.60000000000002</v>
      </c>
      <c r="O684" s="269">
        <v>0</v>
      </c>
      <c r="P684" s="273">
        <f t="shared" si="82"/>
        <v>3134.4600000000005</v>
      </c>
      <c r="Q684" s="272">
        <f t="shared" si="83"/>
        <v>60084</v>
      </c>
      <c r="R684" s="272">
        <f t="shared" si="84"/>
        <v>32365.538400000001</v>
      </c>
      <c r="S684" s="272">
        <f t="shared" si="85"/>
        <v>2125.44</v>
      </c>
      <c r="T684" s="280"/>
      <c r="U684" s="280"/>
    </row>
    <row r="685" spans="1:21" s="270" customFormat="1" x14ac:dyDescent="0.25">
      <c r="A685" s="335">
        <v>501457</v>
      </c>
      <c r="B685" s="271">
        <v>1457</v>
      </c>
      <c r="C685" s="271">
        <v>200581</v>
      </c>
      <c r="D685" s="268" t="s">
        <v>894</v>
      </c>
      <c r="E685" s="268" t="s">
        <v>1290</v>
      </c>
      <c r="F685" s="268" t="s">
        <v>3356</v>
      </c>
      <c r="G685" s="268">
        <v>16</v>
      </c>
      <c r="H685" s="268" t="s">
        <v>3357</v>
      </c>
      <c r="I685" s="268" t="s">
        <v>3201</v>
      </c>
      <c r="J685" s="272">
        <v>179112</v>
      </c>
      <c r="K685" s="272">
        <f t="shared" si="80"/>
        <v>14926</v>
      </c>
      <c r="L685" s="272">
        <f t="shared" si="81"/>
        <v>12141.24</v>
      </c>
      <c r="M685" s="269">
        <v>0</v>
      </c>
      <c r="N685" s="272">
        <f t="shared" si="86"/>
        <v>129.60000000000002</v>
      </c>
      <c r="O685" s="269">
        <v>0</v>
      </c>
      <c r="P685" s="273">
        <f t="shared" si="82"/>
        <v>3134.4600000000005</v>
      </c>
      <c r="Q685" s="272">
        <f t="shared" si="83"/>
        <v>60084</v>
      </c>
      <c r="R685" s="272">
        <f t="shared" si="84"/>
        <v>32365.538400000001</v>
      </c>
      <c r="S685" s="272">
        <f t="shared" si="85"/>
        <v>2125.44</v>
      </c>
      <c r="T685" s="280"/>
      <c r="U685" s="280"/>
    </row>
    <row r="686" spans="1:21" s="270" customFormat="1" x14ac:dyDescent="0.25">
      <c r="A686" s="335">
        <v>501457</v>
      </c>
      <c r="B686" s="271">
        <v>1457</v>
      </c>
      <c r="C686" s="271">
        <v>200583</v>
      </c>
      <c r="D686" s="268" t="s">
        <v>894</v>
      </c>
      <c r="E686" s="268" t="s">
        <v>1290</v>
      </c>
      <c r="F686" s="268" t="s">
        <v>2508</v>
      </c>
      <c r="G686" s="268">
        <v>16</v>
      </c>
      <c r="H686" s="268" t="s">
        <v>3358</v>
      </c>
      <c r="I686" s="268" t="s">
        <v>3359</v>
      </c>
      <c r="J686" s="272">
        <v>179112</v>
      </c>
      <c r="K686" s="272">
        <f t="shared" si="80"/>
        <v>14926</v>
      </c>
      <c r="L686" s="272">
        <f t="shared" si="81"/>
        <v>12141.24</v>
      </c>
      <c r="M686" s="269">
        <v>0</v>
      </c>
      <c r="N686" s="272">
        <f t="shared" si="86"/>
        <v>129.60000000000002</v>
      </c>
      <c r="O686" s="269">
        <v>0</v>
      </c>
      <c r="P686" s="273">
        <f t="shared" si="82"/>
        <v>3134.4600000000005</v>
      </c>
      <c r="Q686" s="272">
        <f t="shared" si="83"/>
        <v>60084</v>
      </c>
      <c r="R686" s="272">
        <f t="shared" si="84"/>
        <v>32365.538400000001</v>
      </c>
      <c r="S686" s="272">
        <f t="shared" si="85"/>
        <v>2125.44</v>
      </c>
      <c r="T686" s="280"/>
      <c r="U686" s="280"/>
    </row>
    <row r="687" spans="1:21" s="270" customFormat="1" x14ac:dyDescent="0.25">
      <c r="A687" s="335">
        <v>501444</v>
      </c>
      <c r="B687" s="271">
        <v>1444</v>
      </c>
      <c r="C687" s="271">
        <v>200584</v>
      </c>
      <c r="D687" s="268" t="s">
        <v>894</v>
      </c>
      <c r="E687" s="268" t="s">
        <v>1290</v>
      </c>
      <c r="F687" s="268" t="s">
        <v>2971</v>
      </c>
      <c r="G687" s="268">
        <v>16</v>
      </c>
      <c r="H687" s="268" t="s">
        <v>3360</v>
      </c>
      <c r="I687" s="268" t="s">
        <v>3201</v>
      </c>
      <c r="J687" s="272">
        <v>179112</v>
      </c>
      <c r="K687" s="272">
        <f t="shared" si="80"/>
        <v>14926</v>
      </c>
      <c r="L687" s="272">
        <f t="shared" si="81"/>
        <v>12141.24</v>
      </c>
      <c r="M687" s="269">
        <v>0</v>
      </c>
      <c r="N687" s="272">
        <f t="shared" si="86"/>
        <v>129.60000000000002</v>
      </c>
      <c r="O687" s="269">
        <v>0</v>
      </c>
      <c r="P687" s="273">
        <f t="shared" si="82"/>
        <v>3134.4600000000005</v>
      </c>
      <c r="Q687" s="272">
        <f t="shared" si="83"/>
        <v>60084</v>
      </c>
      <c r="R687" s="272">
        <f t="shared" si="84"/>
        <v>32365.538400000001</v>
      </c>
      <c r="S687" s="272">
        <f t="shared" si="85"/>
        <v>2125.44</v>
      </c>
      <c r="T687" s="280"/>
      <c r="U687" s="280"/>
    </row>
    <row r="688" spans="1:21" s="270" customFormat="1" x14ac:dyDescent="0.25">
      <c r="A688" s="335">
        <v>501506</v>
      </c>
      <c r="B688" s="271">
        <v>1506</v>
      </c>
      <c r="C688" s="271">
        <v>200585</v>
      </c>
      <c r="D688" s="268" t="s">
        <v>894</v>
      </c>
      <c r="E688" s="268" t="s">
        <v>1278</v>
      </c>
      <c r="F688" s="268" t="s">
        <v>3361</v>
      </c>
      <c r="G688" s="268">
        <v>16</v>
      </c>
      <c r="H688" s="268" t="s">
        <v>3362</v>
      </c>
      <c r="I688" s="268" t="s">
        <v>3201</v>
      </c>
      <c r="J688" s="272">
        <v>179112</v>
      </c>
      <c r="K688" s="272">
        <f t="shared" si="80"/>
        <v>14926</v>
      </c>
      <c r="L688" s="272">
        <f t="shared" si="81"/>
        <v>12141.24</v>
      </c>
      <c r="M688" s="269">
        <v>0</v>
      </c>
      <c r="N688" s="272">
        <f t="shared" si="86"/>
        <v>129.60000000000002</v>
      </c>
      <c r="O688" s="269">
        <v>0</v>
      </c>
      <c r="P688" s="273">
        <f t="shared" si="82"/>
        <v>3134.4600000000005</v>
      </c>
      <c r="Q688" s="272">
        <f t="shared" si="83"/>
        <v>60084</v>
      </c>
      <c r="R688" s="272">
        <f t="shared" si="84"/>
        <v>32365.538400000001</v>
      </c>
      <c r="S688" s="272">
        <f t="shared" si="85"/>
        <v>2125.44</v>
      </c>
      <c r="T688" s="280"/>
      <c r="U688" s="280"/>
    </row>
    <row r="689" spans="1:21" s="270" customFormat="1" x14ac:dyDescent="0.25">
      <c r="A689" s="335">
        <v>501506</v>
      </c>
      <c r="B689" s="271">
        <v>1506</v>
      </c>
      <c r="C689" s="271">
        <v>200586</v>
      </c>
      <c r="D689" s="268" t="s">
        <v>894</v>
      </c>
      <c r="E689" s="268" t="s">
        <v>1278</v>
      </c>
      <c r="F689" s="268" t="s">
        <v>3363</v>
      </c>
      <c r="G689" s="268">
        <v>16</v>
      </c>
      <c r="H689" s="268" t="s">
        <v>3364</v>
      </c>
      <c r="I689" s="268" t="s">
        <v>3201</v>
      </c>
      <c r="J689" s="272">
        <v>179112</v>
      </c>
      <c r="K689" s="272">
        <f t="shared" si="80"/>
        <v>14926</v>
      </c>
      <c r="L689" s="272">
        <f t="shared" si="81"/>
        <v>12141.24</v>
      </c>
      <c r="M689" s="269">
        <v>0</v>
      </c>
      <c r="N689" s="272">
        <f t="shared" si="86"/>
        <v>129.60000000000002</v>
      </c>
      <c r="O689" s="269">
        <v>0</v>
      </c>
      <c r="P689" s="273">
        <f t="shared" si="82"/>
        <v>3134.4600000000005</v>
      </c>
      <c r="Q689" s="272">
        <f t="shared" si="83"/>
        <v>60084</v>
      </c>
      <c r="R689" s="272">
        <f t="shared" si="84"/>
        <v>32365.538400000001</v>
      </c>
      <c r="S689" s="272">
        <f t="shared" si="85"/>
        <v>2125.44</v>
      </c>
      <c r="T689" s="280"/>
      <c r="U689" s="280"/>
    </row>
    <row r="690" spans="1:21" s="270" customFormat="1" x14ac:dyDescent="0.25">
      <c r="A690" s="335">
        <v>501444</v>
      </c>
      <c r="B690" s="271">
        <v>1444</v>
      </c>
      <c r="C690" s="271">
        <v>200587</v>
      </c>
      <c r="D690" s="268" t="s">
        <v>894</v>
      </c>
      <c r="E690" s="268" t="s">
        <v>1290</v>
      </c>
      <c r="F690" s="268" t="s">
        <v>3365</v>
      </c>
      <c r="G690" s="268">
        <v>16</v>
      </c>
      <c r="H690" s="268" t="s">
        <v>3366</v>
      </c>
      <c r="I690" s="268" t="s">
        <v>3201</v>
      </c>
      <c r="J690" s="272">
        <v>179112</v>
      </c>
      <c r="K690" s="272">
        <f t="shared" si="80"/>
        <v>14926</v>
      </c>
      <c r="L690" s="272">
        <f t="shared" si="81"/>
        <v>12141.24</v>
      </c>
      <c r="M690" s="269">
        <v>0</v>
      </c>
      <c r="N690" s="272">
        <f t="shared" si="86"/>
        <v>129.60000000000002</v>
      </c>
      <c r="O690" s="269">
        <v>0</v>
      </c>
      <c r="P690" s="273">
        <f t="shared" si="82"/>
        <v>3134.4600000000005</v>
      </c>
      <c r="Q690" s="272">
        <f t="shared" si="83"/>
        <v>60084</v>
      </c>
      <c r="R690" s="272">
        <f t="shared" si="84"/>
        <v>32365.538400000001</v>
      </c>
      <c r="S690" s="272">
        <f t="shared" si="85"/>
        <v>2125.44</v>
      </c>
      <c r="T690" s="280"/>
      <c r="U690" s="280"/>
    </row>
    <row r="691" spans="1:21" s="270" customFormat="1" x14ac:dyDescent="0.25">
      <c r="A691" s="335">
        <v>501506</v>
      </c>
      <c r="B691" s="271">
        <v>1506</v>
      </c>
      <c r="C691" s="271">
        <v>200589</v>
      </c>
      <c r="D691" s="268" t="s">
        <v>894</v>
      </c>
      <c r="E691" s="268" t="s">
        <v>1278</v>
      </c>
      <c r="F691" s="268" t="s">
        <v>3272</v>
      </c>
      <c r="G691" s="268">
        <v>16</v>
      </c>
      <c r="H691" s="268" t="s">
        <v>3367</v>
      </c>
      <c r="I691" s="268" t="s">
        <v>3201</v>
      </c>
      <c r="J691" s="272">
        <v>179112</v>
      </c>
      <c r="K691" s="272">
        <f t="shared" si="80"/>
        <v>14926</v>
      </c>
      <c r="L691" s="272">
        <f t="shared" si="81"/>
        <v>12141.24</v>
      </c>
      <c r="M691" s="269">
        <v>0</v>
      </c>
      <c r="N691" s="272">
        <f t="shared" si="86"/>
        <v>129.60000000000002</v>
      </c>
      <c r="O691" s="269">
        <v>0</v>
      </c>
      <c r="P691" s="273">
        <f t="shared" si="82"/>
        <v>3134.4600000000005</v>
      </c>
      <c r="Q691" s="272">
        <f t="shared" si="83"/>
        <v>60084</v>
      </c>
      <c r="R691" s="272">
        <f t="shared" si="84"/>
        <v>32365.538400000001</v>
      </c>
      <c r="S691" s="272">
        <f t="shared" si="85"/>
        <v>2125.44</v>
      </c>
      <c r="T691" s="280"/>
      <c r="U691" s="280"/>
    </row>
    <row r="692" spans="1:21" s="280" customFormat="1" x14ac:dyDescent="0.25">
      <c r="A692" s="335">
        <v>501506</v>
      </c>
      <c r="B692" s="271">
        <v>1506</v>
      </c>
      <c r="C692" s="271">
        <v>200593</v>
      </c>
      <c r="D692" s="268" t="s">
        <v>894</v>
      </c>
      <c r="E692" s="268" t="s">
        <v>1278</v>
      </c>
      <c r="F692" s="268" t="s">
        <v>3368</v>
      </c>
      <c r="G692" s="268">
        <v>16</v>
      </c>
      <c r="H692" s="268" t="s">
        <v>3369</v>
      </c>
      <c r="I692" s="268" t="s">
        <v>3201</v>
      </c>
      <c r="J692" s="272">
        <v>179112</v>
      </c>
      <c r="K692" s="272">
        <f t="shared" si="80"/>
        <v>14926</v>
      </c>
      <c r="L692" s="272">
        <f t="shared" si="81"/>
        <v>12141.24</v>
      </c>
      <c r="M692" s="269">
        <v>0</v>
      </c>
      <c r="N692" s="272">
        <f t="shared" si="86"/>
        <v>129.60000000000002</v>
      </c>
      <c r="O692" s="269">
        <v>0</v>
      </c>
      <c r="P692" s="273">
        <f t="shared" si="82"/>
        <v>3134.4600000000005</v>
      </c>
      <c r="Q692" s="272">
        <f t="shared" si="83"/>
        <v>60084</v>
      </c>
      <c r="R692" s="281"/>
      <c r="S692" s="272">
        <f t="shared" si="85"/>
        <v>2125.44</v>
      </c>
    </row>
    <row r="693" spans="1:21" s="270" customFormat="1" x14ac:dyDescent="0.25">
      <c r="A693" s="307">
        <v>501442</v>
      </c>
      <c r="B693" s="271">
        <v>1442</v>
      </c>
      <c r="C693" s="271">
        <v>200106</v>
      </c>
      <c r="D693" s="268" t="s">
        <v>894</v>
      </c>
      <c r="E693" s="268" t="s">
        <v>1290</v>
      </c>
      <c r="F693" s="268" t="s">
        <v>3370</v>
      </c>
      <c r="G693" s="268">
        <v>8</v>
      </c>
      <c r="H693" s="268" t="s">
        <v>2196</v>
      </c>
      <c r="I693" s="268" t="s">
        <v>2777</v>
      </c>
      <c r="J693" s="272">
        <v>373416</v>
      </c>
      <c r="K693" s="272">
        <f t="shared" si="80"/>
        <v>31118</v>
      </c>
      <c r="L693" s="269">
        <f t="shared" si="81"/>
        <v>12141.24</v>
      </c>
      <c r="M693" s="269">
        <v>0</v>
      </c>
      <c r="N693" s="272">
        <f t="shared" si="86"/>
        <v>129.60000000000002</v>
      </c>
      <c r="O693" s="269">
        <v>0</v>
      </c>
      <c r="P693" s="269">
        <f t="shared" si="82"/>
        <v>6534.7800000000007</v>
      </c>
      <c r="Q693" s="272">
        <f>5007*12</f>
        <v>60084</v>
      </c>
      <c r="R693" s="272">
        <f>J693*18%</f>
        <v>67214.880000000005</v>
      </c>
      <c r="S693" s="272">
        <f t="shared" si="85"/>
        <v>2125.44</v>
      </c>
    </row>
    <row r="694" spans="1:21" s="270" customFormat="1" x14ac:dyDescent="0.25">
      <c r="A694" s="307">
        <v>501105</v>
      </c>
      <c r="B694" s="271">
        <v>1105</v>
      </c>
      <c r="C694" s="271">
        <v>200594</v>
      </c>
      <c r="D694" s="268" t="s">
        <v>894</v>
      </c>
      <c r="E694" s="268" t="s">
        <v>1290</v>
      </c>
      <c r="F694" s="268" t="s">
        <v>3371</v>
      </c>
      <c r="G694" s="268"/>
      <c r="H694" s="268" t="s">
        <v>3372</v>
      </c>
      <c r="I694" s="268" t="s">
        <v>3373</v>
      </c>
      <c r="J694" s="272">
        <v>373410</v>
      </c>
      <c r="K694" s="272">
        <f t="shared" si="80"/>
        <v>31117.5</v>
      </c>
      <c r="L694" s="269">
        <f t="shared" si="81"/>
        <v>12141.24</v>
      </c>
      <c r="M694" s="269">
        <v>0</v>
      </c>
      <c r="N694" s="272">
        <f t="shared" si="86"/>
        <v>129.60000000000002</v>
      </c>
      <c r="O694" s="269">
        <v>0</v>
      </c>
      <c r="P694" s="269">
        <f t="shared" si="82"/>
        <v>6534.6750000000002</v>
      </c>
      <c r="Q694" s="269">
        <f>5007*12</f>
        <v>60084</v>
      </c>
      <c r="R694" s="272">
        <f>J694*18%</f>
        <v>67213.8</v>
      </c>
      <c r="S694" s="272">
        <f t="shared" si="85"/>
        <v>2125.44</v>
      </c>
    </row>
    <row r="695" spans="1:21" s="270" customFormat="1" x14ac:dyDescent="0.25">
      <c r="A695" s="307"/>
      <c r="D695" s="275"/>
      <c r="E695" s="275"/>
      <c r="F695" s="275"/>
      <c r="G695" s="275"/>
      <c r="H695" s="275"/>
      <c r="I695" s="282"/>
      <c r="J695" s="283"/>
      <c r="K695" s="283"/>
      <c r="L695" s="284"/>
      <c r="M695" s="284"/>
      <c r="N695" s="283"/>
      <c r="O695" s="284"/>
      <c r="P695" s="284"/>
      <c r="Q695" s="284"/>
      <c r="R695" s="283"/>
      <c r="S695" s="283"/>
    </row>
    <row r="696" spans="1:21" x14ac:dyDescent="0.25">
      <c r="I696" s="285" t="s">
        <v>3374</v>
      </c>
      <c r="J696" s="286">
        <f>SUM(J2:J694)</f>
        <v>246506304</v>
      </c>
      <c r="K696" s="286">
        <f t="shared" ref="K696:S696" si="87">SUM(K2:K694)</f>
        <v>19189769.25</v>
      </c>
      <c r="L696" s="286">
        <f t="shared" si="87"/>
        <v>8268184.4400001122</v>
      </c>
      <c r="M696" s="286">
        <f>SUM(M2:M694)</f>
        <v>699518.4</v>
      </c>
      <c r="N696" s="286">
        <f t="shared" si="87"/>
        <v>88257.600000000501</v>
      </c>
      <c r="O696" s="286">
        <f t="shared" si="87"/>
        <v>18026148</v>
      </c>
      <c r="P696" s="286">
        <f t="shared" si="87"/>
        <v>4029851.5424999991</v>
      </c>
      <c r="Q696" s="286">
        <f t="shared" si="87"/>
        <v>40917204</v>
      </c>
      <c r="R696" s="286">
        <f t="shared" si="87"/>
        <v>41577631.757100254</v>
      </c>
      <c r="S696" s="286">
        <f t="shared" si="87"/>
        <v>1447424.6399999764</v>
      </c>
    </row>
    <row r="697" spans="1:21" x14ac:dyDescent="0.25">
      <c r="I697" s="285" t="s">
        <v>3375</v>
      </c>
      <c r="J697" s="286">
        <f>J696*4.7%+J696</f>
        <v>258092100.28799999</v>
      </c>
      <c r="K697" s="286">
        <f>K696*4.9%+K696</f>
        <v>20130067.94325</v>
      </c>
      <c r="L697" s="286">
        <f>L696*4.9%+L696</f>
        <v>8673325.4775601178</v>
      </c>
      <c r="M697" s="286">
        <f t="shared" ref="K697:S698" si="88">M696*4.9%+M696</f>
        <v>733794.80160000001</v>
      </c>
      <c r="N697" s="286">
        <f t="shared" si="88"/>
        <v>92582.222400000523</v>
      </c>
      <c r="O697" s="286">
        <f>O696*4.9%+O696</f>
        <v>18909429.252</v>
      </c>
      <c r="P697" s="286">
        <f t="shared" si="88"/>
        <v>4227314.2680824986</v>
      </c>
      <c r="Q697" s="286">
        <f t="shared" si="88"/>
        <v>42922146.995999999</v>
      </c>
      <c r="R697" s="286">
        <f t="shared" si="88"/>
        <v>43614935.71319817</v>
      </c>
      <c r="S697" s="286">
        <f t="shared" si="88"/>
        <v>1518348.4473599752</v>
      </c>
    </row>
    <row r="698" spans="1:21" x14ac:dyDescent="0.25">
      <c r="I698" s="285" t="s">
        <v>3376</v>
      </c>
      <c r="J698" s="286">
        <f>J697*4.9%+J697</f>
        <v>270738613.20211196</v>
      </c>
      <c r="K698" s="286">
        <f t="shared" si="88"/>
        <v>21116441.272469252</v>
      </c>
      <c r="L698" s="286">
        <f t="shared" si="88"/>
        <v>9098318.4259605631</v>
      </c>
      <c r="M698" s="286">
        <f t="shared" si="88"/>
        <v>769750.74687839998</v>
      </c>
      <c r="N698" s="286">
        <f t="shared" si="88"/>
        <v>97118.751297600553</v>
      </c>
      <c r="O698" s="286">
        <f t="shared" si="88"/>
        <v>19835991.285348002</v>
      </c>
      <c r="P698" s="286">
        <f t="shared" si="88"/>
        <v>4434452.6672185408</v>
      </c>
      <c r="Q698" s="286">
        <f t="shared" si="88"/>
        <v>45025332.198803999</v>
      </c>
      <c r="R698" s="286">
        <f>R697*4.9%+R697</f>
        <v>45752067.563144878</v>
      </c>
      <c r="S698" s="286">
        <f t="shared" si="88"/>
        <v>1592747.521280614</v>
      </c>
    </row>
    <row r="699" spans="1:21" x14ac:dyDescent="0.25">
      <c r="I699" s="287" t="s">
        <v>3486</v>
      </c>
      <c r="J699" s="288"/>
      <c r="K699" s="289"/>
      <c r="L699" s="289"/>
      <c r="M699" s="288"/>
      <c r="N699" s="288"/>
      <c r="O699" s="288"/>
      <c r="P699" s="288"/>
      <c r="Q699" s="288"/>
      <c r="R699" s="288"/>
      <c r="S699" s="288"/>
    </row>
    <row r="700" spans="1:21" x14ac:dyDescent="0.25">
      <c r="I700" s="290" t="s">
        <v>3377</v>
      </c>
      <c r="J700" s="291" t="s">
        <v>3378</v>
      </c>
      <c r="K700" s="437" t="s">
        <v>3379</v>
      </c>
      <c r="L700" s="437"/>
      <c r="M700" s="292" t="s">
        <v>3375</v>
      </c>
      <c r="N700" s="292" t="s">
        <v>3375</v>
      </c>
      <c r="O700" s="292" t="s">
        <v>3375</v>
      </c>
    </row>
    <row r="701" spans="1:21" x14ac:dyDescent="0.25">
      <c r="J701" s="294">
        <v>102</v>
      </c>
      <c r="K701" s="294" t="s">
        <v>3380</v>
      </c>
      <c r="L701" s="294"/>
      <c r="M701" s="294">
        <f>J696</f>
        <v>246506304</v>
      </c>
      <c r="N701" s="294">
        <f>J697</f>
        <v>258092100.28799999</v>
      </c>
      <c r="O701" s="294">
        <f>J698</f>
        <v>270738613.20211196</v>
      </c>
    </row>
    <row r="702" spans="1:21" x14ac:dyDescent="0.25">
      <c r="J702" s="294">
        <v>104</v>
      </c>
      <c r="K702" s="294" t="s">
        <v>3381</v>
      </c>
      <c r="L702" s="294"/>
      <c r="M702" s="294">
        <f>SUM(K696:S696)</f>
        <v>134243989.62960035</v>
      </c>
      <c r="N702" s="295">
        <f>SUM(K697:S697)</f>
        <v>140821945.12145078</v>
      </c>
      <c r="O702" s="294">
        <f>SUM(K698:S698)</f>
        <v>147722220.43240187</v>
      </c>
    </row>
    <row r="703" spans="1:21" x14ac:dyDescent="0.25">
      <c r="J703" s="438" t="s">
        <v>3382</v>
      </c>
      <c r="K703" s="439"/>
      <c r="L703" s="440"/>
      <c r="M703" s="294">
        <f>SUM(M701:M702)</f>
        <v>380750293.62960035</v>
      </c>
      <c r="N703" s="295">
        <f>SUM(N701:N702)</f>
        <v>398914045.40945077</v>
      </c>
      <c r="O703" s="294">
        <f>SUM(O701:O702)</f>
        <v>418460833.63451385</v>
      </c>
    </row>
  </sheetData>
  <autoFilter ref="A1:U703" xr:uid="{F73DE729-B3AE-4D74-B518-F256F9CD04B7}"/>
  <mergeCells count="2">
    <mergeCell ref="K700:L700"/>
    <mergeCell ref="J703:L70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A20B-99D6-4B8A-85EC-87344488E6EB}">
  <sheetPr filterMode="1"/>
  <dimension ref="A2:U52"/>
  <sheetViews>
    <sheetView workbookViewId="0">
      <selection activeCell="A28" sqref="A28"/>
    </sheetView>
  </sheetViews>
  <sheetFormatPr defaultColWidth="9.109375" defaultRowHeight="12" x14ac:dyDescent="0.25"/>
  <cols>
    <col min="1" max="4" width="9.109375" style="275"/>
    <col min="5" max="5" width="7" style="275" customWidth="1"/>
    <col min="6" max="6" width="8.5546875" style="275" bestFit="1" customWidth="1"/>
    <col min="7" max="7" width="15.6640625" style="275" customWidth="1"/>
    <col min="8" max="8" width="24.44140625" style="275" customWidth="1"/>
    <col min="9" max="9" width="16.109375" style="275" customWidth="1"/>
    <col min="10" max="10" width="13.109375" style="275" customWidth="1"/>
    <col min="11" max="11" width="13.44140625" style="275" customWidth="1"/>
    <col min="12" max="12" width="12.88671875" style="275" customWidth="1"/>
    <col min="13" max="15" width="12" style="275" bestFit="1" customWidth="1"/>
    <col min="16" max="16" width="10" style="275" bestFit="1" customWidth="1"/>
    <col min="17" max="17" width="10.88671875" style="275" customWidth="1"/>
    <col min="18" max="16384" width="9.109375" style="275"/>
  </cols>
  <sheetData>
    <row r="2" spans="1:19" s="308" customFormat="1" ht="25.5" customHeight="1" x14ac:dyDescent="0.3">
      <c r="A2" s="264" t="s">
        <v>2170</v>
      </c>
      <c r="B2" s="264" t="s">
        <v>2171</v>
      </c>
      <c r="C2" s="264" t="s">
        <v>2172</v>
      </c>
      <c r="D2" s="264" t="s">
        <v>3398</v>
      </c>
      <c r="E2" s="264" t="s">
        <v>2174</v>
      </c>
      <c r="F2" s="264" t="s">
        <v>2173</v>
      </c>
      <c r="G2" s="264" t="s">
        <v>3399</v>
      </c>
      <c r="H2" s="264" t="s">
        <v>2178</v>
      </c>
      <c r="I2" s="264" t="s">
        <v>3400</v>
      </c>
      <c r="J2" s="264" t="s">
        <v>3401</v>
      </c>
      <c r="K2" s="264" t="s">
        <v>2181</v>
      </c>
      <c r="L2" s="264" t="s">
        <v>2182</v>
      </c>
      <c r="M2" s="264" t="s">
        <v>2183</v>
      </c>
      <c r="N2" s="264" t="s">
        <v>2184</v>
      </c>
      <c r="O2" s="264" t="s">
        <v>2185</v>
      </c>
      <c r="P2" s="264" t="s">
        <v>2186</v>
      </c>
      <c r="Q2" s="264" t="s">
        <v>2187</v>
      </c>
      <c r="R2" s="264" t="s">
        <v>2188</v>
      </c>
    </row>
    <row r="3" spans="1:19" hidden="1" x14ac:dyDescent="0.25">
      <c r="A3" s="268">
        <v>501102</v>
      </c>
      <c r="B3" s="268"/>
      <c r="C3" s="268"/>
      <c r="D3" s="268"/>
      <c r="E3" s="268"/>
      <c r="F3" s="268"/>
      <c r="G3" s="298" t="s">
        <v>3402</v>
      </c>
      <c r="H3" s="298" t="s">
        <v>3403</v>
      </c>
      <c r="I3" s="309" t="s">
        <v>3404</v>
      </c>
      <c r="J3" s="298">
        <v>1596747</v>
      </c>
      <c r="K3" s="310">
        <f>J3*4.6%+J3</f>
        <v>1670197.362</v>
      </c>
      <c r="L3" s="298">
        <v>0</v>
      </c>
      <c r="M3" s="310">
        <f t="shared" ref="M3:M25" si="0">10.8*12</f>
        <v>129.60000000000002</v>
      </c>
      <c r="N3" s="298">
        <f>1200*12</f>
        <v>14400</v>
      </c>
      <c r="O3" s="298">
        <v>0</v>
      </c>
      <c r="P3" s="298">
        <v>0</v>
      </c>
      <c r="Q3" s="298">
        <v>0</v>
      </c>
      <c r="R3" s="298">
        <v>0</v>
      </c>
      <c r="S3" s="311"/>
    </row>
    <row r="4" spans="1:19" hidden="1" x14ac:dyDescent="0.25">
      <c r="A4" s="268">
        <v>501406</v>
      </c>
      <c r="B4" s="268">
        <v>1406</v>
      </c>
      <c r="C4" s="268">
        <v>34568</v>
      </c>
      <c r="D4" s="268">
        <v>8</v>
      </c>
      <c r="E4" s="268" t="s">
        <v>894</v>
      </c>
      <c r="F4" s="268" t="s">
        <v>1290</v>
      </c>
      <c r="G4" s="312" t="s">
        <v>3405</v>
      </c>
      <c r="H4" s="268" t="s">
        <v>2712</v>
      </c>
      <c r="I4" s="309" t="s">
        <v>3404</v>
      </c>
      <c r="J4" s="313">
        <v>378144</v>
      </c>
      <c r="K4" s="310">
        <f t="shared" ref="K4:K25" si="1">1011.77*12</f>
        <v>12141.24</v>
      </c>
      <c r="L4" s="298">
        <v>0</v>
      </c>
      <c r="M4" s="310">
        <f t="shared" si="0"/>
        <v>129.60000000000002</v>
      </c>
      <c r="N4" s="310">
        <v>0</v>
      </c>
      <c r="O4" s="298">
        <f>J4*1.75</f>
        <v>661752</v>
      </c>
      <c r="P4" s="314">
        <f t="shared" ref="P4:P29" si="2">5007*12</f>
        <v>60084</v>
      </c>
      <c r="Q4" s="310">
        <f>18.07%*J4</f>
        <v>68330.620800000004</v>
      </c>
      <c r="R4" s="310">
        <f>177.12*12</f>
        <v>2125.44</v>
      </c>
      <c r="S4" s="311"/>
    </row>
    <row r="5" spans="1:19" hidden="1" x14ac:dyDescent="0.25">
      <c r="A5" s="268">
        <v>501105</v>
      </c>
      <c r="B5" s="268">
        <v>1105</v>
      </c>
      <c r="C5" s="268">
        <v>35664</v>
      </c>
      <c r="D5" s="268">
        <v>8</v>
      </c>
      <c r="E5" s="268" t="s">
        <v>894</v>
      </c>
      <c r="F5" s="268" t="s">
        <v>1290</v>
      </c>
      <c r="G5" s="312" t="s">
        <v>3406</v>
      </c>
      <c r="H5" s="268" t="s">
        <v>3373</v>
      </c>
      <c r="I5" s="309" t="s">
        <v>3404</v>
      </c>
      <c r="J5" s="313">
        <v>378144</v>
      </c>
      <c r="K5" s="310">
        <f t="shared" si="1"/>
        <v>12141.24</v>
      </c>
      <c r="L5" s="298">
        <v>0</v>
      </c>
      <c r="M5" s="310">
        <f t="shared" si="0"/>
        <v>129.60000000000002</v>
      </c>
      <c r="N5" s="310">
        <v>0</v>
      </c>
      <c r="O5" s="298">
        <f t="shared" ref="O5:O29" si="3">J5*1.75</f>
        <v>661752</v>
      </c>
      <c r="P5" s="314">
        <f t="shared" si="2"/>
        <v>60084</v>
      </c>
      <c r="Q5" s="310">
        <f t="shared" ref="Q5:Q28" si="4">18.07%*J5</f>
        <v>68330.620800000004</v>
      </c>
      <c r="R5" s="310">
        <f t="shared" ref="R5:R25" si="5">177.12*12</f>
        <v>2125.44</v>
      </c>
      <c r="S5" s="311"/>
    </row>
    <row r="6" spans="1:19" hidden="1" x14ac:dyDescent="0.25">
      <c r="A6" s="268">
        <v>501444</v>
      </c>
      <c r="B6" s="268">
        <v>1444</v>
      </c>
      <c r="C6" s="268">
        <v>40086</v>
      </c>
      <c r="D6" s="268">
        <v>8</v>
      </c>
      <c r="E6" s="268" t="s">
        <v>894</v>
      </c>
      <c r="F6" s="268" t="s">
        <v>1290</v>
      </c>
      <c r="G6" s="312" t="s">
        <v>3407</v>
      </c>
      <c r="H6" s="268" t="s">
        <v>2717</v>
      </c>
      <c r="I6" s="309" t="s">
        <v>3404</v>
      </c>
      <c r="J6" s="315">
        <v>361056</v>
      </c>
      <c r="K6" s="271">
        <f t="shared" si="1"/>
        <v>12141.24</v>
      </c>
      <c r="L6" s="268">
        <v>0</v>
      </c>
      <c r="M6" s="271">
        <f t="shared" si="0"/>
        <v>129.60000000000002</v>
      </c>
      <c r="N6" s="310">
        <v>0</v>
      </c>
      <c r="O6" s="268">
        <f t="shared" si="3"/>
        <v>631848</v>
      </c>
      <c r="P6" s="274">
        <f t="shared" si="2"/>
        <v>60084</v>
      </c>
      <c r="Q6" s="271">
        <f t="shared" si="4"/>
        <v>65242.819199999998</v>
      </c>
      <c r="R6" s="271">
        <f t="shared" si="5"/>
        <v>2125.44</v>
      </c>
    </row>
    <row r="7" spans="1:19" hidden="1" x14ac:dyDescent="0.25">
      <c r="A7" s="268">
        <v>501444</v>
      </c>
      <c r="B7" s="268">
        <v>1444</v>
      </c>
      <c r="C7" s="268">
        <v>42628</v>
      </c>
      <c r="D7" s="268">
        <v>13</v>
      </c>
      <c r="E7" s="268" t="s">
        <v>894</v>
      </c>
      <c r="F7" s="268" t="s">
        <v>1290</v>
      </c>
      <c r="G7" s="312" t="s">
        <v>3408</v>
      </c>
      <c r="H7" s="268" t="s">
        <v>2978</v>
      </c>
      <c r="I7" s="309" t="s">
        <v>3404</v>
      </c>
      <c r="J7" s="315">
        <v>194520</v>
      </c>
      <c r="K7" s="271">
        <f t="shared" si="1"/>
        <v>12141.24</v>
      </c>
      <c r="L7" s="268">
        <v>0</v>
      </c>
      <c r="M7" s="271">
        <f t="shared" si="0"/>
        <v>129.60000000000002</v>
      </c>
      <c r="N7" s="310">
        <v>0</v>
      </c>
      <c r="O7" s="268">
        <f t="shared" si="3"/>
        <v>340410</v>
      </c>
      <c r="P7" s="274">
        <f t="shared" si="2"/>
        <v>60084</v>
      </c>
      <c r="Q7" s="271">
        <f t="shared" si="4"/>
        <v>35149.764000000003</v>
      </c>
      <c r="R7" s="271">
        <f t="shared" si="5"/>
        <v>2125.44</v>
      </c>
    </row>
    <row r="8" spans="1:19" hidden="1" x14ac:dyDescent="0.25">
      <c r="A8" s="268">
        <v>501406</v>
      </c>
      <c r="B8" s="268">
        <v>1406</v>
      </c>
      <c r="C8" s="268">
        <v>42657</v>
      </c>
      <c r="D8" s="268">
        <v>8</v>
      </c>
      <c r="E8" s="268" t="s">
        <v>894</v>
      </c>
      <c r="F8" s="268" t="s">
        <v>1290</v>
      </c>
      <c r="G8" s="312" t="s">
        <v>3409</v>
      </c>
      <c r="H8" s="268" t="s">
        <v>2689</v>
      </c>
      <c r="I8" s="309" t="s">
        <v>3404</v>
      </c>
      <c r="J8" s="315">
        <v>361056</v>
      </c>
      <c r="K8" s="271">
        <f t="shared" si="1"/>
        <v>12141.24</v>
      </c>
      <c r="L8" s="268">
        <f>750*12</f>
        <v>9000</v>
      </c>
      <c r="M8" s="271">
        <f t="shared" si="0"/>
        <v>129.60000000000002</v>
      </c>
      <c r="N8" s="310">
        <v>0</v>
      </c>
      <c r="O8" s="268">
        <f t="shared" si="3"/>
        <v>631848</v>
      </c>
      <c r="P8" s="274">
        <f t="shared" si="2"/>
        <v>60084</v>
      </c>
      <c r="Q8" s="271">
        <f t="shared" si="4"/>
        <v>65242.819199999998</v>
      </c>
      <c r="R8" s="271">
        <f t="shared" si="5"/>
        <v>2125.44</v>
      </c>
    </row>
    <row r="9" spans="1:19" hidden="1" x14ac:dyDescent="0.25">
      <c r="A9" s="268">
        <v>501105</v>
      </c>
      <c r="B9" s="268">
        <v>1105</v>
      </c>
      <c r="C9" s="268">
        <v>54124</v>
      </c>
      <c r="D9" s="268">
        <v>5</v>
      </c>
      <c r="E9" s="268" t="s">
        <v>894</v>
      </c>
      <c r="F9" s="268" t="s">
        <v>1278</v>
      </c>
      <c r="G9" s="312" t="s">
        <v>3410</v>
      </c>
      <c r="H9" s="268" t="s">
        <v>3411</v>
      </c>
      <c r="I9" s="309" t="s">
        <v>3404</v>
      </c>
      <c r="J9" s="315">
        <v>584616</v>
      </c>
      <c r="K9" s="271">
        <f t="shared" si="1"/>
        <v>12141.24</v>
      </c>
      <c r="L9" s="268">
        <f>750*12</f>
        <v>9000</v>
      </c>
      <c r="M9" s="271">
        <f t="shared" si="0"/>
        <v>129.60000000000002</v>
      </c>
      <c r="N9" s="310">
        <v>0</v>
      </c>
      <c r="O9" s="268">
        <f t="shared" si="3"/>
        <v>1023078</v>
      </c>
      <c r="P9" s="274">
        <f t="shared" si="2"/>
        <v>60084</v>
      </c>
      <c r="Q9" s="271">
        <f t="shared" si="4"/>
        <v>105640.1112</v>
      </c>
      <c r="R9" s="271">
        <f t="shared" si="5"/>
        <v>2125.44</v>
      </c>
    </row>
    <row r="10" spans="1:19" hidden="1" x14ac:dyDescent="0.25">
      <c r="A10" s="268">
        <v>501444</v>
      </c>
      <c r="B10" s="268">
        <v>1444</v>
      </c>
      <c r="C10" s="268">
        <v>57406</v>
      </c>
      <c r="D10" s="268">
        <v>15</v>
      </c>
      <c r="E10" s="268" t="s">
        <v>894</v>
      </c>
      <c r="F10" s="268" t="s">
        <v>1290</v>
      </c>
      <c r="G10" s="312" t="s">
        <v>3412</v>
      </c>
      <c r="H10" s="268" t="s">
        <v>3133</v>
      </c>
      <c r="I10" s="309" t="s">
        <v>3404</v>
      </c>
      <c r="J10" s="315">
        <v>172320</v>
      </c>
      <c r="K10" s="271">
        <f t="shared" si="1"/>
        <v>12141.24</v>
      </c>
      <c r="L10" s="268">
        <v>0</v>
      </c>
      <c r="M10" s="271">
        <f t="shared" si="0"/>
        <v>129.60000000000002</v>
      </c>
      <c r="N10" s="310">
        <v>0</v>
      </c>
      <c r="O10" s="268">
        <f t="shared" si="3"/>
        <v>301560</v>
      </c>
      <c r="P10" s="274">
        <f t="shared" si="2"/>
        <v>60084</v>
      </c>
      <c r="Q10" s="271">
        <f t="shared" si="4"/>
        <v>31138.223999999998</v>
      </c>
      <c r="R10" s="271">
        <f t="shared" si="5"/>
        <v>2125.44</v>
      </c>
    </row>
    <row r="11" spans="1:19" hidden="1" x14ac:dyDescent="0.25">
      <c r="A11" s="268">
        <v>501443</v>
      </c>
      <c r="B11" s="268">
        <v>1443</v>
      </c>
      <c r="C11" s="268">
        <v>87890</v>
      </c>
      <c r="D11" s="268">
        <v>8</v>
      </c>
      <c r="E11" s="268" t="s">
        <v>894</v>
      </c>
      <c r="F11" s="268" t="s">
        <v>1290</v>
      </c>
      <c r="G11" s="312" t="s">
        <v>3413</v>
      </c>
      <c r="H11" s="268" t="s">
        <v>2739</v>
      </c>
      <c r="I11" s="309" t="s">
        <v>3404</v>
      </c>
      <c r="J11" s="315">
        <v>343920</v>
      </c>
      <c r="K11" s="271">
        <f t="shared" si="1"/>
        <v>12141.24</v>
      </c>
      <c r="L11" s="268">
        <v>0</v>
      </c>
      <c r="M11" s="271">
        <f t="shared" si="0"/>
        <v>129.60000000000002</v>
      </c>
      <c r="N11" s="310">
        <v>0</v>
      </c>
      <c r="O11" s="268">
        <f t="shared" si="3"/>
        <v>601860</v>
      </c>
      <c r="P11" s="274">
        <f t="shared" si="2"/>
        <v>60084</v>
      </c>
      <c r="Q11" s="271">
        <f t="shared" si="4"/>
        <v>62146.343999999997</v>
      </c>
      <c r="R11" s="271">
        <f t="shared" si="5"/>
        <v>2125.44</v>
      </c>
    </row>
    <row r="12" spans="1:19" hidden="1" x14ac:dyDescent="0.25">
      <c r="A12" s="268">
        <v>501443</v>
      </c>
      <c r="B12" s="268">
        <v>1443</v>
      </c>
      <c r="C12" s="268">
        <v>90515</v>
      </c>
      <c r="D12" s="268">
        <v>6</v>
      </c>
      <c r="E12" s="268" t="s">
        <v>876</v>
      </c>
      <c r="F12" s="268" t="s">
        <v>1290</v>
      </c>
      <c r="G12" s="312" t="s">
        <v>3414</v>
      </c>
      <c r="H12" s="268" t="s">
        <v>2481</v>
      </c>
      <c r="I12" s="309" t="s">
        <v>3404</v>
      </c>
      <c r="J12" s="315">
        <v>519312</v>
      </c>
      <c r="K12" s="271">
        <f t="shared" si="1"/>
        <v>12141.24</v>
      </c>
      <c r="L12" s="268">
        <v>0</v>
      </c>
      <c r="M12" s="271">
        <f t="shared" si="0"/>
        <v>129.60000000000002</v>
      </c>
      <c r="N12" s="310">
        <v>0</v>
      </c>
      <c r="O12" s="268">
        <f t="shared" si="3"/>
        <v>908796</v>
      </c>
      <c r="P12" s="274">
        <f t="shared" si="2"/>
        <v>60084</v>
      </c>
      <c r="Q12" s="271">
        <f t="shared" si="4"/>
        <v>93839.678400000004</v>
      </c>
      <c r="R12" s="271">
        <f t="shared" si="5"/>
        <v>2125.44</v>
      </c>
    </row>
    <row r="13" spans="1:19" hidden="1" x14ac:dyDescent="0.25">
      <c r="A13" s="268">
        <v>501444</v>
      </c>
      <c r="B13" s="268">
        <v>1444</v>
      </c>
      <c r="C13" s="268">
        <v>120883</v>
      </c>
      <c r="D13" s="268">
        <v>15</v>
      </c>
      <c r="E13" s="268" t="s">
        <v>894</v>
      </c>
      <c r="F13" s="268" t="s">
        <v>1290</v>
      </c>
      <c r="G13" s="312" t="s">
        <v>3415</v>
      </c>
      <c r="H13" s="268" t="s">
        <v>3133</v>
      </c>
      <c r="I13" s="309" t="s">
        <v>3404</v>
      </c>
      <c r="J13" s="315">
        <v>172320</v>
      </c>
      <c r="K13" s="271">
        <f t="shared" si="1"/>
        <v>12141.24</v>
      </c>
      <c r="L13" s="268">
        <v>0</v>
      </c>
      <c r="M13" s="271">
        <f t="shared" si="0"/>
        <v>129.60000000000002</v>
      </c>
      <c r="N13" s="310">
        <v>0</v>
      </c>
      <c r="O13" s="268">
        <f t="shared" si="3"/>
        <v>301560</v>
      </c>
      <c r="P13" s="274">
        <f t="shared" si="2"/>
        <v>60084</v>
      </c>
      <c r="Q13" s="271">
        <f t="shared" si="4"/>
        <v>31138.223999999998</v>
      </c>
      <c r="R13" s="271">
        <f t="shared" si="5"/>
        <v>2125.44</v>
      </c>
    </row>
    <row r="14" spans="1:19" hidden="1" x14ac:dyDescent="0.25">
      <c r="A14" s="268">
        <v>501443</v>
      </c>
      <c r="B14" s="268">
        <v>1443</v>
      </c>
      <c r="C14" s="268">
        <v>200025</v>
      </c>
      <c r="D14" s="268">
        <v>6</v>
      </c>
      <c r="E14" s="268" t="s">
        <v>894</v>
      </c>
      <c r="F14" s="268" t="s">
        <v>1290</v>
      </c>
      <c r="G14" s="312" t="s">
        <v>3416</v>
      </c>
      <c r="H14" s="268" t="s">
        <v>2483</v>
      </c>
      <c r="I14" s="309" t="s">
        <v>3404</v>
      </c>
      <c r="J14" s="315">
        <v>464856</v>
      </c>
      <c r="K14" s="271">
        <f t="shared" si="1"/>
        <v>12141.24</v>
      </c>
      <c r="L14" s="268">
        <v>0</v>
      </c>
      <c r="M14" s="271">
        <f t="shared" si="0"/>
        <v>129.60000000000002</v>
      </c>
      <c r="N14" s="310">
        <v>0</v>
      </c>
      <c r="O14" s="268">
        <f t="shared" si="3"/>
        <v>813498</v>
      </c>
      <c r="P14" s="274">
        <f t="shared" si="2"/>
        <v>60084</v>
      </c>
      <c r="Q14" s="271">
        <f t="shared" si="4"/>
        <v>83999.479200000002</v>
      </c>
      <c r="R14" s="271">
        <f t="shared" si="5"/>
        <v>2125.44</v>
      </c>
    </row>
    <row r="15" spans="1:19" hidden="1" x14ac:dyDescent="0.25">
      <c r="A15" s="268">
        <v>501406</v>
      </c>
      <c r="B15" s="268">
        <v>1406</v>
      </c>
      <c r="C15" s="268">
        <v>200056</v>
      </c>
      <c r="D15" s="268">
        <v>1110</v>
      </c>
      <c r="E15" s="268" t="s">
        <v>894</v>
      </c>
      <c r="F15" s="268" t="s">
        <v>1290</v>
      </c>
      <c r="G15" s="312" t="s">
        <v>3417</v>
      </c>
      <c r="H15" s="268" t="s">
        <v>2879</v>
      </c>
      <c r="I15" s="309" t="s">
        <v>3404</v>
      </c>
      <c r="J15" s="315">
        <v>240852</v>
      </c>
      <c r="K15" s="271">
        <f t="shared" si="1"/>
        <v>12141.24</v>
      </c>
      <c r="L15" s="268">
        <v>0</v>
      </c>
      <c r="M15" s="271">
        <f t="shared" si="0"/>
        <v>129.60000000000002</v>
      </c>
      <c r="N15" s="310">
        <v>0</v>
      </c>
      <c r="O15" s="268">
        <f t="shared" si="3"/>
        <v>421491</v>
      </c>
      <c r="P15" s="274">
        <f t="shared" si="2"/>
        <v>60084</v>
      </c>
      <c r="Q15" s="271">
        <f t="shared" si="4"/>
        <v>43521.956400000003</v>
      </c>
      <c r="R15" s="271">
        <f t="shared" si="5"/>
        <v>2125.44</v>
      </c>
    </row>
    <row r="16" spans="1:19" x14ac:dyDescent="0.25">
      <c r="A16" s="268">
        <v>501506</v>
      </c>
      <c r="B16" s="268">
        <v>1506</v>
      </c>
      <c r="C16" s="268">
        <v>200114</v>
      </c>
      <c r="D16" s="268">
        <v>1110</v>
      </c>
      <c r="E16" s="268" t="s">
        <v>894</v>
      </c>
      <c r="F16" s="268" t="s">
        <v>1278</v>
      </c>
      <c r="G16" s="312" t="s">
        <v>3418</v>
      </c>
      <c r="H16" s="268" t="s">
        <v>2929</v>
      </c>
      <c r="I16" s="309" t="s">
        <v>3404</v>
      </c>
      <c r="J16" s="315">
        <v>240852</v>
      </c>
      <c r="K16" s="271">
        <f t="shared" si="1"/>
        <v>12141.24</v>
      </c>
      <c r="L16" s="268">
        <v>0</v>
      </c>
      <c r="M16" s="271">
        <f t="shared" si="0"/>
        <v>129.60000000000002</v>
      </c>
      <c r="N16" s="310">
        <v>0</v>
      </c>
      <c r="O16" s="268">
        <f t="shared" si="3"/>
        <v>421491</v>
      </c>
      <c r="P16" s="274">
        <f t="shared" si="2"/>
        <v>60084</v>
      </c>
      <c r="Q16" s="271">
        <f t="shared" si="4"/>
        <v>43521.956400000003</v>
      </c>
      <c r="R16" s="271">
        <f t="shared" si="5"/>
        <v>2125.44</v>
      </c>
    </row>
    <row r="17" spans="1:21" hidden="1" x14ac:dyDescent="0.25">
      <c r="A17" s="268">
        <v>501443</v>
      </c>
      <c r="B17" s="268">
        <v>1443</v>
      </c>
      <c r="C17" s="268">
        <v>200164</v>
      </c>
      <c r="D17" s="268">
        <v>16</v>
      </c>
      <c r="E17" s="268" t="s">
        <v>894</v>
      </c>
      <c r="F17" s="268" t="s">
        <v>1278</v>
      </c>
      <c r="G17" s="312" t="s">
        <v>3419</v>
      </c>
      <c r="H17" s="268" t="s">
        <v>3201</v>
      </c>
      <c r="I17" s="309" t="s">
        <v>3404</v>
      </c>
      <c r="J17" s="271">
        <v>179112</v>
      </c>
      <c r="K17" s="271">
        <f t="shared" si="1"/>
        <v>12141.24</v>
      </c>
      <c r="L17" s="268">
        <v>0</v>
      </c>
      <c r="M17" s="271">
        <f t="shared" si="0"/>
        <v>129.60000000000002</v>
      </c>
      <c r="N17" s="310">
        <v>0</v>
      </c>
      <c r="O17" s="268">
        <f>J28*1.75</f>
        <v>312123</v>
      </c>
      <c r="P17" s="274">
        <f t="shared" si="2"/>
        <v>60084</v>
      </c>
      <c r="Q17" s="271">
        <f>18.07%*J28</f>
        <v>32228.929199999999</v>
      </c>
      <c r="R17" s="271">
        <f t="shared" si="5"/>
        <v>2125.44</v>
      </c>
    </row>
    <row r="18" spans="1:21" hidden="1" x14ac:dyDescent="0.25">
      <c r="A18" s="268">
        <v>501205</v>
      </c>
      <c r="B18" s="268">
        <v>1205</v>
      </c>
      <c r="C18" s="268">
        <v>200186</v>
      </c>
      <c r="D18" s="268">
        <v>5</v>
      </c>
      <c r="E18" s="268" t="s">
        <v>894</v>
      </c>
      <c r="F18" s="268" t="s">
        <v>1290</v>
      </c>
      <c r="G18" s="312" t="s">
        <v>3420</v>
      </c>
      <c r="H18" s="268" t="s">
        <v>3421</v>
      </c>
      <c r="I18" s="309" t="s">
        <v>3404</v>
      </c>
      <c r="J18" s="315">
        <v>584616</v>
      </c>
      <c r="K18" s="271">
        <f t="shared" si="1"/>
        <v>12141.24</v>
      </c>
      <c r="L18" s="268">
        <v>0</v>
      </c>
      <c r="M18" s="271">
        <f t="shared" si="0"/>
        <v>129.60000000000002</v>
      </c>
      <c r="N18" s="310">
        <v>0</v>
      </c>
      <c r="O18" s="268">
        <f t="shared" si="3"/>
        <v>1023078</v>
      </c>
      <c r="P18" s="274">
        <f t="shared" si="2"/>
        <v>60084</v>
      </c>
      <c r="Q18" s="271">
        <f t="shared" si="4"/>
        <v>105640.1112</v>
      </c>
      <c r="R18" s="271">
        <f t="shared" si="5"/>
        <v>2125.44</v>
      </c>
    </row>
    <row r="19" spans="1:21" x14ac:dyDescent="0.25">
      <c r="A19" s="268">
        <v>501443</v>
      </c>
      <c r="B19" s="268">
        <v>1443</v>
      </c>
      <c r="C19" s="268">
        <v>200215</v>
      </c>
      <c r="D19" s="268"/>
      <c r="E19" s="268" t="s">
        <v>894</v>
      </c>
      <c r="F19" s="268" t="s">
        <v>1278</v>
      </c>
      <c r="G19" s="312" t="s">
        <v>3422</v>
      </c>
      <c r="H19" s="268" t="s">
        <v>3423</v>
      </c>
      <c r="I19" s="309" t="s">
        <v>3404</v>
      </c>
      <c r="J19" s="315">
        <v>296640</v>
      </c>
      <c r="K19" s="271">
        <f t="shared" si="1"/>
        <v>12141.24</v>
      </c>
      <c r="L19" s="268">
        <v>0</v>
      </c>
      <c r="M19" s="271">
        <f t="shared" si="0"/>
        <v>129.60000000000002</v>
      </c>
      <c r="N19" s="310">
        <v>0</v>
      </c>
      <c r="O19" s="268">
        <f t="shared" si="3"/>
        <v>519120</v>
      </c>
      <c r="P19" s="274">
        <f t="shared" si="2"/>
        <v>60084</v>
      </c>
      <c r="Q19" s="271">
        <f t="shared" si="4"/>
        <v>53602.847999999998</v>
      </c>
      <c r="R19" s="271">
        <f t="shared" si="5"/>
        <v>2125.44</v>
      </c>
    </row>
    <row r="20" spans="1:21" x14ac:dyDescent="0.25">
      <c r="A20" s="268">
        <v>501406</v>
      </c>
      <c r="B20" s="268">
        <v>1406</v>
      </c>
      <c r="C20" s="268">
        <v>200228</v>
      </c>
      <c r="D20" s="268"/>
      <c r="E20" s="268" t="s">
        <v>894</v>
      </c>
      <c r="F20" s="268" t="s">
        <v>1278</v>
      </c>
      <c r="G20" s="312" t="s">
        <v>3424</v>
      </c>
      <c r="H20" s="268" t="s">
        <v>2801</v>
      </c>
      <c r="I20" s="309" t="s">
        <v>3404</v>
      </c>
      <c r="J20" s="315">
        <v>296640</v>
      </c>
      <c r="K20" s="271">
        <f t="shared" si="1"/>
        <v>12141.24</v>
      </c>
      <c r="L20" s="268">
        <v>0</v>
      </c>
      <c r="M20" s="271">
        <f t="shared" si="0"/>
        <v>129.60000000000002</v>
      </c>
      <c r="N20" s="310">
        <v>0</v>
      </c>
      <c r="O20" s="268">
        <f t="shared" si="3"/>
        <v>519120</v>
      </c>
      <c r="P20" s="274">
        <f t="shared" si="2"/>
        <v>60084</v>
      </c>
      <c r="Q20" s="271">
        <f t="shared" si="4"/>
        <v>53602.847999999998</v>
      </c>
      <c r="R20" s="271">
        <f t="shared" si="5"/>
        <v>2125.44</v>
      </c>
    </row>
    <row r="21" spans="1:21" x14ac:dyDescent="0.25">
      <c r="A21" s="268">
        <v>501406</v>
      </c>
      <c r="B21" s="268">
        <v>1406</v>
      </c>
      <c r="C21" s="268">
        <v>200233</v>
      </c>
      <c r="D21" s="268"/>
      <c r="E21" s="268" t="s">
        <v>894</v>
      </c>
      <c r="F21" s="268" t="s">
        <v>1290</v>
      </c>
      <c r="G21" s="312" t="s">
        <v>3425</v>
      </c>
      <c r="H21" s="268" t="s">
        <v>2801</v>
      </c>
      <c r="I21" s="309" t="s">
        <v>3404</v>
      </c>
      <c r="J21" s="315">
        <v>296640</v>
      </c>
      <c r="K21" s="271">
        <f t="shared" si="1"/>
        <v>12141.24</v>
      </c>
      <c r="L21" s="268">
        <v>0</v>
      </c>
      <c r="M21" s="271">
        <f t="shared" si="0"/>
        <v>129.60000000000002</v>
      </c>
      <c r="N21" s="310">
        <v>0</v>
      </c>
      <c r="O21" s="268">
        <f t="shared" si="3"/>
        <v>519120</v>
      </c>
      <c r="P21" s="274">
        <f t="shared" si="2"/>
        <v>60084</v>
      </c>
      <c r="Q21" s="271">
        <f t="shared" si="4"/>
        <v>53602.847999999998</v>
      </c>
      <c r="R21" s="271">
        <f t="shared" si="5"/>
        <v>2125.44</v>
      </c>
    </row>
    <row r="22" spans="1:21" x14ac:dyDescent="0.25">
      <c r="A22" s="268">
        <v>501206</v>
      </c>
      <c r="B22" s="268">
        <v>1206</v>
      </c>
      <c r="C22" s="268">
        <v>200244</v>
      </c>
      <c r="D22" s="268">
        <v>6</v>
      </c>
      <c r="E22" s="268" t="s">
        <v>1698</v>
      </c>
      <c r="F22" s="268" t="s">
        <v>1278</v>
      </c>
      <c r="G22" s="312" t="s">
        <v>3426</v>
      </c>
      <c r="H22" s="268" t="s">
        <v>3427</v>
      </c>
      <c r="I22" s="309" t="s">
        <v>3404</v>
      </c>
      <c r="J22" s="315">
        <v>439560</v>
      </c>
      <c r="K22" s="271">
        <f t="shared" si="1"/>
        <v>12141.24</v>
      </c>
      <c r="L22" s="268">
        <v>0</v>
      </c>
      <c r="M22" s="271">
        <f t="shared" si="0"/>
        <v>129.60000000000002</v>
      </c>
      <c r="N22" s="310">
        <v>0</v>
      </c>
      <c r="O22" s="268">
        <f t="shared" si="3"/>
        <v>769230</v>
      </c>
      <c r="P22" s="274">
        <f t="shared" si="2"/>
        <v>60084</v>
      </c>
      <c r="Q22" s="271">
        <f t="shared" si="4"/>
        <v>79428.491999999998</v>
      </c>
      <c r="R22" s="271">
        <f t="shared" si="5"/>
        <v>2125.44</v>
      </c>
    </row>
    <row r="23" spans="1:21" hidden="1" x14ac:dyDescent="0.25">
      <c r="A23" s="268">
        <v>501506</v>
      </c>
      <c r="B23" s="268">
        <v>1506</v>
      </c>
      <c r="C23" s="268">
        <v>200263</v>
      </c>
      <c r="D23" s="268">
        <v>16</v>
      </c>
      <c r="E23" s="268" t="s">
        <v>894</v>
      </c>
      <c r="F23" s="268" t="s">
        <v>1278</v>
      </c>
      <c r="G23" s="312" t="s">
        <v>3428</v>
      </c>
      <c r="H23" s="268" t="s">
        <v>3201</v>
      </c>
      <c r="I23" s="309" t="s">
        <v>3404</v>
      </c>
      <c r="J23" s="315">
        <v>164952</v>
      </c>
      <c r="K23" s="271">
        <f t="shared" si="1"/>
        <v>12141.24</v>
      </c>
      <c r="L23" s="268">
        <v>0</v>
      </c>
      <c r="M23" s="271">
        <f t="shared" si="0"/>
        <v>129.60000000000002</v>
      </c>
      <c r="N23" s="310">
        <v>0</v>
      </c>
      <c r="O23" s="268">
        <f t="shared" si="3"/>
        <v>288666</v>
      </c>
      <c r="P23" s="274">
        <f t="shared" si="2"/>
        <v>60084</v>
      </c>
      <c r="Q23" s="271">
        <f t="shared" si="4"/>
        <v>29806.826399999998</v>
      </c>
      <c r="R23" s="271">
        <f t="shared" si="5"/>
        <v>2125.44</v>
      </c>
    </row>
    <row r="24" spans="1:21" hidden="1" x14ac:dyDescent="0.25">
      <c r="A24" s="268">
        <v>501445</v>
      </c>
      <c r="B24" s="268">
        <v>1445</v>
      </c>
      <c r="C24" s="268">
        <v>200294</v>
      </c>
      <c r="D24" s="268">
        <v>16</v>
      </c>
      <c r="E24" s="268" t="s">
        <v>894</v>
      </c>
      <c r="F24" s="268" t="s">
        <v>1290</v>
      </c>
      <c r="G24" s="312" t="s">
        <v>3429</v>
      </c>
      <c r="H24" s="268" t="s">
        <v>3201</v>
      </c>
      <c r="I24" s="309" t="s">
        <v>3404</v>
      </c>
      <c r="J24" s="315">
        <v>164952</v>
      </c>
      <c r="K24" s="271">
        <f t="shared" si="1"/>
        <v>12141.24</v>
      </c>
      <c r="L24" s="268">
        <v>0</v>
      </c>
      <c r="M24" s="271">
        <f t="shared" si="0"/>
        <v>129.60000000000002</v>
      </c>
      <c r="N24" s="310">
        <v>0</v>
      </c>
      <c r="O24" s="268">
        <f t="shared" si="3"/>
        <v>288666</v>
      </c>
      <c r="P24" s="274">
        <f t="shared" si="2"/>
        <v>60084</v>
      </c>
      <c r="Q24" s="316">
        <f t="shared" si="4"/>
        <v>29806.826399999998</v>
      </c>
      <c r="R24" s="271">
        <f t="shared" si="5"/>
        <v>2125.44</v>
      </c>
    </row>
    <row r="25" spans="1:21" hidden="1" x14ac:dyDescent="0.25">
      <c r="A25" s="268">
        <v>501444</v>
      </c>
      <c r="B25" s="268">
        <v>1444</v>
      </c>
      <c r="C25" s="268">
        <v>200314</v>
      </c>
      <c r="D25" s="268">
        <v>8</v>
      </c>
      <c r="E25" s="268" t="s">
        <v>894</v>
      </c>
      <c r="F25" s="268" t="s">
        <v>1290</v>
      </c>
      <c r="G25" s="312" t="s">
        <v>3430</v>
      </c>
      <c r="H25" s="268" t="s">
        <v>2689</v>
      </c>
      <c r="I25" s="309" t="s">
        <v>3404</v>
      </c>
      <c r="J25" s="315">
        <v>343920</v>
      </c>
      <c r="K25" s="271">
        <f t="shared" si="1"/>
        <v>12141.24</v>
      </c>
      <c r="L25" s="268">
        <v>0</v>
      </c>
      <c r="M25" s="271">
        <f t="shared" si="0"/>
        <v>129.60000000000002</v>
      </c>
      <c r="N25" s="310">
        <v>0</v>
      </c>
      <c r="O25" s="268">
        <f t="shared" si="3"/>
        <v>601860</v>
      </c>
      <c r="P25" s="274">
        <f t="shared" si="2"/>
        <v>60084</v>
      </c>
      <c r="Q25" s="316">
        <f t="shared" si="4"/>
        <v>62146.343999999997</v>
      </c>
      <c r="R25" s="271">
        <f t="shared" si="5"/>
        <v>2125.44</v>
      </c>
    </row>
    <row r="26" spans="1:21" s="270" customFormat="1" hidden="1" x14ac:dyDescent="0.25">
      <c r="A26" s="267">
        <v>501101</v>
      </c>
      <c r="B26" s="267">
        <v>1101</v>
      </c>
      <c r="C26" s="267">
        <v>51680</v>
      </c>
      <c r="D26" s="268">
        <v>5</v>
      </c>
      <c r="E26" s="268" t="s">
        <v>894</v>
      </c>
      <c r="F26" s="268" t="s">
        <v>1290</v>
      </c>
      <c r="G26" s="268" t="s">
        <v>3431</v>
      </c>
      <c r="H26" s="268" t="s">
        <v>2301</v>
      </c>
      <c r="I26" s="309" t="s">
        <v>3404</v>
      </c>
      <c r="J26" s="267">
        <v>634740</v>
      </c>
      <c r="K26" s="271">
        <f>1011.77*12</f>
        <v>12141.24</v>
      </c>
      <c r="L26" s="267">
        <f>350*12</f>
        <v>4200</v>
      </c>
      <c r="M26" s="267">
        <f>10.8*12</f>
        <v>129.60000000000002</v>
      </c>
      <c r="N26" s="267">
        <f>15179*12</f>
        <v>182148</v>
      </c>
      <c r="O26" s="268">
        <f t="shared" si="3"/>
        <v>1110795</v>
      </c>
      <c r="P26" s="274">
        <f t="shared" si="2"/>
        <v>60084</v>
      </c>
      <c r="Q26" s="316">
        <f t="shared" si="4"/>
        <v>114697.518</v>
      </c>
      <c r="R26" s="267">
        <f>177.12*12</f>
        <v>2125.44</v>
      </c>
    </row>
    <row r="27" spans="1:21" s="270" customFormat="1" hidden="1" x14ac:dyDescent="0.25">
      <c r="A27" s="271">
        <v>501206</v>
      </c>
      <c r="B27" s="271">
        <v>1206</v>
      </c>
      <c r="C27" s="271">
        <v>200448</v>
      </c>
      <c r="D27" s="268">
        <v>3</v>
      </c>
      <c r="E27" s="268" t="s">
        <v>894</v>
      </c>
      <c r="F27" s="268" t="s">
        <v>1290</v>
      </c>
      <c r="G27" s="268" t="s">
        <v>3432</v>
      </c>
      <c r="H27" s="268" t="s">
        <v>3433</v>
      </c>
      <c r="I27" s="309" t="s">
        <v>3404</v>
      </c>
      <c r="J27" s="271">
        <v>822240</v>
      </c>
      <c r="K27" s="271">
        <f>1011.77*12</f>
        <v>12141.24</v>
      </c>
      <c r="L27" s="267">
        <f>750*12</f>
        <v>9000</v>
      </c>
      <c r="M27" s="271">
        <f>10.8*12</f>
        <v>129.60000000000002</v>
      </c>
      <c r="N27" s="271">
        <f>19524*12</f>
        <v>234288</v>
      </c>
      <c r="O27" s="268">
        <f t="shared" si="3"/>
        <v>1438920</v>
      </c>
      <c r="P27" s="274">
        <f t="shared" si="2"/>
        <v>60084</v>
      </c>
      <c r="Q27" s="271">
        <f t="shared" si="4"/>
        <v>148578.76800000001</v>
      </c>
      <c r="R27" s="267">
        <f>177.12*12</f>
        <v>2125.44</v>
      </c>
    </row>
    <row r="28" spans="1:21" s="270" customFormat="1" x14ac:dyDescent="0.25">
      <c r="A28" s="268">
        <v>501406</v>
      </c>
      <c r="B28" s="271"/>
      <c r="C28" s="271">
        <v>200062</v>
      </c>
      <c r="D28" s="268"/>
      <c r="E28" s="268" t="s">
        <v>894</v>
      </c>
      <c r="F28" s="268" t="s">
        <v>1290</v>
      </c>
      <c r="G28" s="268" t="s">
        <v>3434</v>
      </c>
      <c r="H28" s="268" t="s">
        <v>3435</v>
      </c>
      <c r="I28" s="317" t="s">
        <v>3404</v>
      </c>
      <c r="J28" s="315">
        <v>178356</v>
      </c>
      <c r="K28" s="271">
        <f>1011.77*12</f>
        <v>12141.24</v>
      </c>
      <c r="L28" s="267">
        <v>0</v>
      </c>
      <c r="M28" s="271">
        <f>10.8*12</f>
        <v>129.60000000000002</v>
      </c>
      <c r="N28" s="271">
        <v>0</v>
      </c>
      <c r="O28" s="268"/>
      <c r="P28" s="274">
        <f t="shared" si="2"/>
        <v>60084</v>
      </c>
      <c r="Q28" s="271">
        <f t="shared" si="4"/>
        <v>32228.929199999999</v>
      </c>
      <c r="R28" s="267">
        <f>177.12*12</f>
        <v>2125.44</v>
      </c>
    </row>
    <row r="29" spans="1:21" s="270" customFormat="1" hidden="1" x14ac:dyDescent="0.25">
      <c r="A29" s="271">
        <v>501445</v>
      </c>
      <c r="B29" s="271">
        <v>1445</v>
      </c>
      <c r="C29" s="271">
        <v>200294</v>
      </c>
      <c r="D29" s="268" t="s">
        <v>894</v>
      </c>
      <c r="E29" s="268" t="s">
        <v>894</v>
      </c>
      <c r="F29" s="268" t="s">
        <v>1290</v>
      </c>
      <c r="G29" s="268" t="s">
        <v>3436</v>
      </c>
      <c r="H29" s="268" t="s">
        <v>3201</v>
      </c>
      <c r="I29" s="309" t="s">
        <v>3404</v>
      </c>
      <c r="J29" s="271">
        <v>179112</v>
      </c>
      <c r="K29" s="271">
        <f>1011.77*12</f>
        <v>12141.24</v>
      </c>
      <c r="L29" s="271">
        <v>0</v>
      </c>
      <c r="M29" s="267">
        <v>130</v>
      </c>
      <c r="N29" s="271">
        <v>0</v>
      </c>
      <c r="O29" s="268">
        <f t="shared" si="3"/>
        <v>313446</v>
      </c>
      <c r="P29" s="274">
        <f t="shared" si="2"/>
        <v>60084</v>
      </c>
      <c r="Q29" s="271">
        <f>18.07%*J29</f>
        <v>32365.538400000001</v>
      </c>
      <c r="R29" s="267">
        <f t="shared" ref="R29" si="6">177.12*12</f>
        <v>2125.44</v>
      </c>
    </row>
    <row r="30" spans="1:21" s="270" customFormat="1" hidden="1" x14ac:dyDescent="0.25">
      <c r="A30" s="271">
        <v>110721</v>
      </c>
      <c r="B30" s="271">
        <v>1107</v>
      </c>
      <c r="C30" s="271">
        <v>200499</v>
      </c>
      <c r="D30" s="268" t="s">
        <v>894</v>
      </c>
      <c r="E30" s="268" t="s">
        <v>1278</v>
      </c>
      <c r="F30" s="268" t="s">
        <v>2674</v>
      </c>
      <c r="G30" s="268" t="s">
        <v>3437</v>
      </c>
      <c r="H30" s="268" t="s">
        <v>3438</v>
      </c>
      <c r="I30" s="309" t="s">
        <v>3404</v>
      </c>
      <c r="J30" s="271">
        <v>94410</v>
      </c>
      <c r="K30" s="271">
        <v>0</v>
      </c>
      <c r="L30" s="267">
        <v>0</v>
      </c>
      <c r="M30" s="267">
        <v>0</v>
      </c>
      <c r="N30" s="271">
        <v>0</v>
      </c>
      <c r="O30" s="267">
        <v>0</v>
      </c>
      <c r="P30" s="267">
        <v>0</v>
      </c>
      <c r="Q30" s="267">
        <v>0</v>
      </c>
      <c r="R30" s="271">
        <v>0</v>
      </c>
    </row>
    <row r="31" spans="1:21" s="270" customFormat="1" hidden="1" x14ac:dyDescent="0.25">
      <c r="A31" s="271">
        <v>110721</v>
      </c>
      <c r="B31" s="271">
        <v>1107</v>
      </c>
      <c r="C31" s="271">
        <v>200505</v>
      </c>
      <c r="D31" s="268" t="s">
        <v>894</v>
      </c>
      <c r="E31" s="268" t="s">
        <v>1278</v>
      </c>
      <c r="F31" s="268" t="s">
        <v>776</v>
      </c>
      <c r="G31" s="268" t="s">
        <v>3439</v>
      </c>
      <c r="H31" s="268" t="s">
        <v>3438</v>
      </c>
      <c r="I31" s="309" t="s">
        <v>3404</v>
      </c>
      <c r="J31" s="271">
        <v>94410</v>
      </c>
      <c r="K31" s="271">
        <v>0</v>
      </c>
      <c r="L31" s="267">
        <v>0</v>
      </c>
      <c r="M31" s="267">
        <v>0</v>
      </c>
      <c r="N31" s="271">
        <v>0</v>
      </c>
      <c r="O31" s="267">
        <v>0</v>
      </c>
      <c r="P31" s="267">
        <v>0</v>
      </c>
      <c r="Q31" s="267">
        <v>0</v>
      </c>
      <c r="R31" s="271">
        <v>0</v>
      </c>
    </row>
    <row r="32" spans="1:21" s="280" customFormat="1" hidden="1" x14ac:dyDescent="0.25">
      <c r="A32" s="271">
        <v>110721</v>
      </c>
      <c r="B32" s="271">
        <v>1107</v>
      </c>
      <c r="C32" s="271">
        <v>200511</v>
      </c>
      <c r="D32" s="268" t="s">
        <v>894</v>
      </c>
      <c r="E32" s="268" t="s">
        <v>1278</v>
      </c>
      <c r="F32" s="268" t="s">
        <v>3440</v>
      </c>
      <c r="G32" s="268" t="s">
        <v>3441</v>
      </c>
      <c r="H32" s="268" t="s">
        <v>3438</v>
      </c>
      <c r="I32" s="309" t="s">
        <v>3404</v>
      </c>
      <c r="J32" s="271">
        <v>94410</v>
      </c>
      <c r="K32" s="271">
        <v>0</v>
      </c>
      <c r="L32" s="267">
        <v>0</v>
      </c>
      <c r="M32" s="267">
        <v>0</v>
      </c>
      <c r="N32" s="271">
        <v>0</v>
      </c>
      <c r="O32" s="267">
        <v>0</v>
      </c>
      <c r="P32" s="267">
        <v>0</v>
      </c>
      <c r="Q32" s="267">
        <v>0</v>
      </c>
      <c r="R32" s="271">
        <v>0</v>
      </c>
      <c r="S32" s="270"/>
      <c r="T32" s="270"/>
      <c r="U32" s="270"/>
    </row>
    <row r="33" spans="1:18" s="270" customFormat="1" hidden="1" x14ac:dyDescent="0.25">
      <c r="A33" s="318">
        <v>110721</v>
      </c>
      <c r="B33" s="271">
        <v>1107</v>
      </c>
      <c r="C33" s="271">
        <v>200529</v>
      </c>
      <c r="D33" s="268" t="s">
        <v>894</v>
      </c>
      <c r="E33" s="268" t="s">
        <v>1290</v>
      </c>
      <c r="F33" s="268" t="s">
        <v>2854</v>
      </c>
      <c r="G33" s="268" t="s">
        <v>3273</v>
      </c>
      <c r="H33" s="268" t="s">
        <v>3438</v>
      </c>
      <c r="I33" s="309" t="s">
        <v>3404</v>
      </c>
      <c r="J33" s="271">
        <v>94410</v>
      </c>
      <c r="K33" s="271">
        <v>0</v>
      </c>
      <c r="L33" s="267">
        <v>0</v>
      </c>
      <c r="M33" s="267">
        <v>0</v>
      </c>
      <c r="N33" s="271">
        <v>0</v>
      </c>
      <c r="O33" s="267">
        <v>0</v>
      </c>
      <c r="P33" s="267">
        <v>0</v>
      </c>
      <c r="Q33" s="267">
        <v>0</v>
      </c>
      <c r="R33" s="271">
        <v>0</v>
      </c>
    </row>
    <row r="34" spans="1:18" s="270" customFormat="1" hidden="1" x14ac:dyDescent="0.25">
      <c r="A34" s="271">
        <v>110721</v>
      </c>
      <c r="B34" s="271">
        <v>1107</v>
      </c>
      <c r="C34" s="271">
        <v>200524</v>
      </c>
      <c r="D34" s="268" t="s">
        <v>894</v>
      </c>
      <c r="E34" s="268" t="s">
        <v>1290</v>
      </c>
      <c r="F34" s="268" t="s">
        <v>2747</v>
      </c>
      <c r="G34" s="268" t="s">
        <v>3442</v>
      </c>
      <c r="H34" s="268" t="s">
        <v>3438</v>
      </c>
      <c r="I34" s="309" t="s">
        <v>3404</v>
      </c>
      <c r="J34" s="271">
        <v>94410</v>
      </c>
      <c r="K34" s="271">
        <v>0</v>
      </c>
      <c r="L34" s="267">
        <v>0</v>
      </c>
      <c r="M34" s="267">
        <v>0</v>
      </c>
      <c r="N34" s="271">
        <v>0</v>
      </c>
      <c r="O34" s="267">
        <v>0</v>
      </c>
      <c r="P34" s="267">
        <v>0</v>
      </c>
      <c r="Q34" s="267">
        <v>0</v>
      </c>
      <c r="R34" s="271">
        <v>0</v>
      </c>
    </row>
    <row r="35" spans="1:18" s="270" customFormat="1" hidden="1" x14ac:dyDescent="0.25">
      <c r="A35" s="271">
        <v>110721</v>
      </c>
      <c r="B35" s="271">
        <v>1107</v>
      </c>
      <c r="C35" s="271">
        <v>200523</v>
      </c>
      <c r="D35" s="268" t="s">
        <v>894</v>
      </c>
      <c r="E35" s="268" t="s">
        <v>1278</v>
      </c>
      <c r="F35" s="268" t="s">
        <v>3443</v>
      </c>
      <c r="G35" s="268" t="s">
        <v>3444</v>
      </c>
      <c r="H35" s="268" t="s">
        <v>3438</v>
      </c>
      <c r="I35" s="309" t="s">
        <v>3404</v>
      </c>
      <c r="J35" s="271">
        <v>94410</v>
      </c>
      <c r="K35" s="271">
        <v>0</v>
      </c>
      <c r="L35" s="267">
        <v>0</v>
      </c>
      <c r="M35" s="267">
        <v>0</v>
      </c>
      <c r="N35" s="271">
        <v>0</v>
      </c>
      <c r="O35" s="267">
        <v>0</v>
      </c>
      <c r="P35" s="267">
        <v>0</v>
      </c>
      <c r="Q35" s="267">
        <v>0</v>
      </c>
      <c r="R35" s="271">
        <v>0</v>
      </c>
    </row>
    <row r="36" spans="1:18" s="270" customFormat="1" hidden="1" x14ac:dyDescent="0.25">
      <c r="A36" s="271">
        <v>501305</v>
      </c>
      <c r="B36" s="271">
        <v>1305</v>
      </c>
      <c r="C36" s="271">
        <v>8510</v>
      </c>
      <c r="D36" s="268" t="s">
        <v>1698</v>
      </c>
      <c r="E36" s="268" t="s">
        <v>1290</v>
      </c>
      <c r="F36" s="268" t="s">
        <v>3445</v>
      </c>
      <c r="G36" s="268" t="s">
        <v>3446</v>
      </c>
      <c r="H36" s="268" t="s">
        <v>3446</v>
      </c>
      <c r="I36" s="309" t="s">
        <v>3404</v>
      </c>
      <c r="J36" s="271">
        <v>822240</v>
      </c>
      <c r="K36" s="271">
        <v>12141</v>
      </c>
      <c r="L36" s="271">
        <v>9000</v>
      </c>
      <c r="M36" s="267">
        <v>130</v>
      </c>
      <c r="N36" s="271">
        <f>19524*12</f>
        <v>234288</v>
      </c>
      <c r="O36" s="271">
        <f>J36*1.75%</f>
        <v>14389.2</v>
      </c>
      <c r="P36" s="319">
        <f>5007*12</f>
        <v>60084</v>
      </c>
      <c r="Q36" s="271">
        <f>18.07%*J36</f>
        <v>148578.76800000001</v>
      </c>
      <c r="R36" s="271">
        <f>177.12*12</f>
        <v>2125.44</v>
      </c>
    </row>
    <row r="37" spans="1:18" s="270" customFormat="1" hidden="1" x14ac:dyDescent="0.25">
      <c r="A37" s="271">
        <v>501442</v>
      </c>
      <c r="B37" s="271">
        <v>1442</v>
      </c>
      <c r="C37" s="271">
        <v>200545</v>
      </c>
      <c r="D37" s="268" t="s">
        <v>894</v>
      </c>
      <c r="E37" s="268" t="s">
        <v>1278</v>
      </c>
      <c r="F37" s="268" t="s">
        <v>3447</v>
      </c>
      <c r="G37" s="268" t="s">
        <v>3315</v>
      </c>
      <c r="H37" s="268" t="s">
        <v>3448</v>
      </c>
      <c r="I37" s="309" t="s">
        <v>3404</v>
      </c>
      <c r="J37" s="271">
        <v>179112</v>
      </c>
      <c r="K37" s="271">
        <v>12141</v>
      </c>
      <c r="L37" s="267">
        <v>0</v>
      </c>
      <c r="M37" s="267">
        <v>130</v>
      </c>
      <c r="N37" s="271">
        <v>0</v>
      </c>
      <c r="O37" s="271">
        <f>J37*1.75%</f>
        <v>3134.4600000000005</v>
      </c>
      <c r="P37" s="320">
        <f>5007*12</f>
        <v>60084</v>
      </c>
      <c r="Q37" s="271">
        <f>18.07%*J37</f>
        <v>32365.538400000001</v>
      </c>
      <c r="R37" s="271">
        <f>177.12*12</f>
        <v>2125.44</v>
      </c>
    </row>
    <row r="38" spans="1:18" s="270" customFormat="1" x14ac:dyDescent="0.25">
      <c r="D38" s="275"/>
      <c r="E38" s="275"/>
      <c r="F38" s="275"/>
      <c r="G38" s="275"/>
      <c r="H38" s="275"/>
      <c r="I38" s="321"/>
      <c r="M38" s="322"/>
      <c r="O38" s="275"/>
      <c r="P38" s="323"/>
      <c r="R38" s="322"/>
    </row>
    <row r="39" spans="1:18" x14ac:dyDescent="0.25">
      <c r="I39" s="324"/>
      <c r="J39" s="324"/>
      <c r="K39" s="325"/>
      <c r="L39" s="325"/>
      <c r="M39" s="324"/>
      <c r="N39" s="325"/>
      <c r="O39" s="325"/>
      <c r="P39" s="324"/>
      <c r="Q39" s="325"/>
      <c r="R39" s="325"/>
    </row>
    <row r="40" spans="1:18" x14ac:dyDescent="0.25">
      <c r="I40" s="326" t="s">
        <v>3449</v>
      </c>
      <c r="J40" s="326">
        <f t="shared" ref="J40:R40" si="7">SUM(J4:J39)</f>
        <v>10561260</v>
      </c>
      <c r="K40" s="326">
        <f t="shared" si="7"/>
        <v>339954.23999999987</v>
      </c>
      <c r="L40" s="326">
        <f t="shared" si="7"/>
        <v>40200</v>
      </c>
      <c r="M40" s="327">
        <f t="shared" si="7"/>
        <v>3629.9999999999986</v>
      </c>
      <c r="N40" s="327">
        <f t="shared" si="7"/>
        <v>650724</v>
      </c>
      <c r="O40" s="326">
        <f t="shared" si="7"/>
        <v>15442611.66</v>
      </c>
      <c r="P40" s="326">
        <f t="shared" si="7"/>
        <v>1682352</v>
      </c>
      <c r="Q40" s="326">
        <f t="shared" si="7"/>
        <v>1805923.7507999996</v>
      </c>
      <c r="R40" s="326">
        <f t="shared" si="7"/>
        <v>59512.320000000022</v>
      </c>
    </row>
    <row r="41" spans="1:18" x14ac:dyDescent="0.25">
      <c r="I41" s="326" t="s">
        <v>3375</v>
      </c>
      <c r="J41" s="326">
        <f>J40*4.9%+J40</f>
        <v>11078761.74</v>
      </c>
      <c r="K41" s="326">
        <f>K40*4.9%+K40</f>
        <v>356611.99775999988</v>
      </c>
      <c r="L41" s="326">
        <f t="shared" ref="K41:R42" si="8">L40*4.9%+L40</f>
        <v>42169.8</v>
      </c>
      <c r="M41" s="326">
        <f t="shared" si="8"/>
        <v>3807.8699999999985</v>
      </c>
      <c r="N41" s="326">
        <f>N40*4.9%+N40</f>
        <v>682609.47600000002</v>
      </c>
      <c r="O41" s="326">
        <f t="shared" si="8"/>
        <v>16199299.631340001</v>
      </c>
      <c r="P41" s="326">
        <f t="shared" si="8"/>
        <v>1764787.2479999999</v>
      </c>
      <c r="Q41" s="326">
        <f t="shared" si="8"/>
        <v>1894414.0145891996</v>
      </c>
      <c r="R41" s="326">
        <f t="shared" si="8"/>
        <v>62428.423680000022</v>
      </c>
    </row>
    <row r="42" spans="1:18" x14ac:dyDescent="0.25">
      <c r="I42" s="326" t="s">
        <v>3376</v>
      </c>
      <c r="J42" s="326">
        <f>J41*4.9%+J41</f>
        <v>11621621.065260001</v>
      </c>
      <c r="K42" s="326">
        <f t="shared" si="8"/>
        <v>374085.98565023986</v>
      </c>
      <c r="L42" s="326">
        <f t="shared" si="8"/>
        <v>44236.120200000005</v>
      </c>
      <c r="M42" s="326">
        <f t="shared" si="8"/>
        <v>3994.4556299999986</v>
      </c>
      <c r="N42" s="326">
        <f t="shared" si="8"/>
        <v>716057.34032399999</v>
      </c>
      <c r="O42" s="326">
        <f t="shared" si="8"/>
        <v>16993065.313275661</v>
      </c>
      <c r="P42" s="326">
        <f t="shared" si="8"/>
        <v>1851261.8231519999</v>
      </c>
      <c r="Q42" s="326">
        <f t="shared" si="8"/>
        <v>1987240.3013040703</v>
      </c>
      <c r="R42" s="326">
        <f>R41*4.9%+R41</f>
        <v>65487.416440320027</v>
      </c>
    </row>
    <row r="43" spans="1:18" x14ac:dyDescent="0.25">
      <c r="H43" s="328"/>
      <c r="I43" s="328" t="s">
        <v>3377</v>
      </c>
      <c r="J43" s="302" t="s">
        <v>3378</v>
      </c>
      <c r="K43" s="436" t="s">
        <v>3379</v>
      </c>
      <c r="L43" s="436"/>
      <c r="M43" s="303" t="s">
        <v>3374</v>
      </c>
      <c r="N43" s="303" t="s">
        <v>3375</v>
      </c>
      <c r="O43" s="303" t="s">
        <v>3376</v>
      </c>
      <c r="P43" s="270"/>
      <c r="Q43" s="280"/>
    </row>
    <row r="44" spans="1:18" x14ac:dyDescent="0.25">
      <c r="J44" s="304">
        <v>102</v>
      </c>
      <c r="K44" s="304" t="s">
        <v>3380</v>
      </c>
      <c r="L44" s="304"/>
      <c r="M44" s="329">
        <f>J40</f>
        <v>10561260</v>
      </c>
      <c r="N44" s="329">
        <f>J41</f>
        <v>11078761.74</v>
      </c>
      <c r="O44" s="329">
        <f>J42</f>
        <v>11621621.065260001</v>
      </c>
      <c r="P44" s="270"/>
      <c r="Q44" s="280"/>
    </row>
    <row r="45" spans="1:18" x14ac:dyDescent="0.25">
      <c r="J45" s="304">
        <v>104</v>
      </c>
      <c r="K45" s="304" t="s">
        <v>3381</v>
      </c>
      <c r="L45" s="304"/>
      <c r="M45" s="329">
        <f>SUM(K40:R40)</f>
        <v>20024907.970799997</v>
      </c>
      <c r="N45" s="330">
        <f>SUM(K41:R41)</f>
        <v>21006128.461369198</v>
      </c>
      <c r="O45" s="331">
        <f>SUM(K42:R42)</f>
        <v>22035428.755976286</v>
      </c>
      <c r="P45" s="270"/>
      <c r="Q45" s="280"/>
    </row>
    <row r="46" spans="1:18" x14ac:dyDescent="0.25">
      <c r="J46" s="429" t="s">
        <v>3382</v>
      </c>
      <c r="K46" s="430"/>
      <c r="L46" s="431"/>
      <c r="M46" s="294">
        <f>SUM(M44:M45)</f>
        <v>30586167.970799997</v>
      </c>
      <c r="N46" s="295">
        <f>SUM(N44:N45)</f>
        <v>32084890.201369196</v>
      </c>
      <c r="O46" s="294">
        <f>SUM(O44:O45)</f>
        <v>33657049.821236283</v>
      </c>
      <c r="P46" s="270"/>
      <c r="Q46" s="280"/>
    </row>
    <row r="47" spans="1:18" x14ac:dyDescent="0.25">
      <c r="I47" s="280"/>
      <c r="J47" s="277"/>
      <c r="K47" s="277"/>
      <c r="L47" s="280"/>
      <c r="M47" s="332"/>
      <c r="N47" s="280"/>
      <c r="O47" s="277"/>
      <c r="P47" s="270"/>
      <c r="Q47" s="280"/>
    </row>
    <row r="52" spans="10:11" x14ac:dyDescent="0.25">
      <c r="J52" s="275">
        <f>SUM(J3:J37)</f>
        <v>12158007</v>
      </c>
      <c r="K52" s="270">
        <f>J52-J40</f>
        <v>1596747</v>
      </c>
    </row>
  </sheetData>
  <autoFilter ref="A2:U52" xr:uid="{2F49A20B-99D6-4B8A-85EC-87344488E6EB}">
    <filterColumn colId="0">
      <filters blank="1"/>
    </filterColumn>
  </autoFilter>
  <mergeCells count="2">
    <mergeCell ref="K43:L43"/>
    <mergeCell ref="J46:L4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12BF5-74B4-4132-A027-9D68486CCB30}">
  <dimension ref="D3:F8"/>
  <sheetViews>
    <sheetView workbookViewId="0">
      <selection activeCell="E9" sqref="E9"/>
    </sheetView>
  </sheetViews>
  <sheetFormatPr defaultRowHeight="14.4" x14ac:dyDescent="0.3"/>
  <cols>
    <col min="4" max="4" width="14.33203125" style="189" bestFit="1" customWidth="1"/>
    <col min="5" max="5" width="18" style="189" bestFit="1" customWidth="1"/>
    <col min="6" max="6" width="14" bestFit="1" customWidth="1"/>
  </cols>
  <sheetData>
    <row r="3" spans="4:6" x14ac:dyDescent="0.3">
      <c r="D3" s="189">
        <v>76631547</v>
      </c>
      <c r="E3" s="189">
        <f>D3-85000000</f>
        <v>-8368453</v>
      </c>
    </row>
    <row r="6" spans="4:6" x14ac:dyDescent="0.3">
      <c r="E6" s="189">
        <v>88910000</v>
      </c>
      <c r="F6" s="182">
        <f>E6-93000000</f>
        <v>-4090000</v>
      </c>
    </row>
    <row r="8" spans="4:6" x14ac:dyDescent="0.3">
      <c r="E8" s="189">
        <f>97278000-102000000</f>
        <v>-4722000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BC268-B068-440C-8345-AE068AC5814F}">
  <sheetPr filterMode="1"/>
  <dimension ref="A1:AW1091"/>
  <sheetViews>
    <sheetView topLeftCell="Q1" zoomScale="85" zoomScaleNormal="85" workbookViewId="0">
      <pane ySplit="1" topLeftCell="A1027" activePane="bottomLeft" state="frozen"/>
      <selection activeCell="N1" sqref="N1"/>
      <selection pane="bottomLeft" activeCell="AN1090" sqref="AN1090"/>
    </sheetView>
  </sheetViews>
  <sheetFormatPr defaultRowHeight="14.4" x14ac:dyDescent="0.3"/>
  <cols>
    <col min="1" max="1" width="44.109375" bestFit="1" customWidth="1"/>
    <col min="2" max="2" width="22.21875" bestFit="1" customWidth="1"/>
    <col min="3" max="3" width="15.44140625" bestFit="1" customWidth="1"/>
    <col min="4" max="4" width="17" style="341" bestFit="1" customWidth="1"/>
    <col min="5" max="6" width="6.6640625" customWidth="1"/>
    <col min="7" max="8" width="3.77734375" customWidth="1"/>
    <col min="9" max="9" width="4" customWidth="1"/>
    <col min="10" max="11" width="3.77734375" customWidth="1"/>
    <col min="12" max="12" width="4.88671875" customWidth="1"/>
    <col min="13" max="14" width="3.77734375" customWidth="1"/>
    <col min="15" max="16" width="15.44140625" customWidth="1"/>
    <col min="17" max="17" width="22.21875" customWidth="1"/>
    <col min="18" max="18" width="44.109375" customWidth="1"/>
    <col min="19" max="19" width="16.6640625" style="189" customWidth="1"/>
    <col min="20" max="21" width="14.6640625" hidden="1" customWidth="1"/>
    <col min="22" max="22" width="15.44140625" hidden="1" customWidth="1"/>
    <col min="23" max="23" width="16.109375" hidden="1" customWidth="1"/>
    <col min="24" max="24" width="14.88671875" style="188" hidden="1" customWidth="1"/>
    <col min="25" max="25" width="13.77734375" hidden="1" customWidth="1"/>
    <col min="26" max="26" width="11.44140625" hidden="1" customWidth="1"/>
    <col min="27" max="27" width="20.109375" style="188" hidden="1" customWidth="1"/>
    <col min="28" max="28" width="15.109375" style="188" hidden="1" customWidth="1"/>
    <col min="29" max="29" width="20.6640625" style="188" hidden="1" customWidth="1"/>
    <col min="30" max="30" width="16.77734375" style="189" hidden="1" customWidth="1"/>
    <col min="31" max="31" width="16.109375" hidden="1" customWidth="1"/>
    <col min="32" max="34" width="9" customWidth="1"/>
    <col min="35" max="35" width="16.6640625" hidden="1" customWidth="1"/>
    <col min="36" max="36" width="14.6640625" hidden="1" customWidth="1"/>
    <col min="37" max="37" width="18.33203125" style="190" customWidth="1"/>
    <col min="38" max="40" width="18.33203125" style="190" bestFit="1" customWidth="1"/>
    <col min="41" max="41" width="29.21875" bestFit="1" customWidth="1"/>
    <col min="42" max="42" width="15" bestFit="1" customWidth="1"/>
    <col min="43" max="43" width="57" bestFit="1" customWidth="1"/>
    <col min="44" max="45" width="17.5546875" hidden="1" customWidth="1"/>
    <col min="46" max="46" width="15" bestFit="1" customWidth="1"/>
    <col min="47" max="47" width="16.33203125" bestFit="1" customWidth="1"/>
    <col min="48" max="48" width="17.6640625" style="233" bestFit="1" customWidth="1"/>
    <col min="49" max="49" width="14.88671875" bestFit="1" customWidth="1"/>
  </cols>
  <sheetData>
    <row r="1" spans="1:49" ht="78" x14ac:dyDescent="0.3">
      <c r="A1" s="150" t="s">
        <v>288</v>
      </c>
      <c r="B1" s="151" t="s">
        <v>286</v>
      </c>
      <c r="C1" s="151" t="s">
        <v>287</v>
      </c>
      <c r="D1" s="339" t="s">
        <v>291</v>
      </c>
      <c r="E1" s="152" t="s">
        <v>290</v>
      </c>
      <c r="F1" s="152" t="s">
        <v>291</v>
      </c>
      <c r="G1" s="152" t="s">
        <v>292</v>
      </c>
      <c r="H1" s="153" t="s">
        <v>293</v>
      </c>
      <c r="I1" s="154" t="s">
        <v>294</v>
      </c>
      <c r="J1" s="152" t="s">
        <v>295</v>
      </c>
      <c r="K1" s="155" t="s">
        <v>296</v>
      </c>
      <c r="L1" s="153" t="s">
        <v>297</v>
      </c>
      <c r="M1" s="153" t="s">
        <v>298</v>
      </c>
      <c r="N1" s="153" t="s">
        <v>299</v>
      </c>
      <c r="O1" s="151" t="s">
        <v>287</v>
      </c>
      <c r="P1" s="151" t="s">
        <v>289</v>
      </c>
      <c r="Q1" s="151" t="s">
        <v>286</v>
      </c>
      <c r="R1" s="150" t="s">
        <v>288</v>
      </c>
      <c r="S1" s="156" t="s">
        <v>2165</v>
      </c>
      <c r="T1" s="157" t="s">
        <v>1974</v>
      </c>
      <c r="U1" s="157" t="s">
        <v>1975</v>
      </c>
      <c r="V1" s="157" t="s">
        <v>1976</v>
      </c>
      <c r="W1" s="157" t="s">
        <v>1977</v>
      </c>
      <c r="X1" s="158" t="s">
        <v>1978</v>
      </c>
      <c r="Y1" s="157" t="s">
        <v>1977</v>
      </c>
      <c r="Z1" s="36" t="s">
        <v>1979</v>
      </c>
      <c r="AA1" s="158" t="s">
        <v>1980</v>
      </c>
      <c r="AB1" s="156" t="s">
        <v>1981</v>
      </c>
      <c r="AC1" s="156" t="s">
        <v>1982</v>
      </c>
      <c r="AD1" s="156" t="s">
        <v>1983</v>
      </c>
      <c r="AE1" s="156" t="s">
        <v>2166</v>
      </c>
      <c r="AF1" s="156" t="s">
        <v>3509</v>
      </c>
      <c r="AG1" s="156" t="s">
        <v>3510</v>
      </c>
      <c r="AH1" s="156" t="s">
        <v>3511</v>
      </c>
      <c r="AI1" s="156" t="s">
        <v>2169</v>
      </c>
      <c r="AJ1" s="156"/>
      <c r="AK1" s="156" t="s">
        <v>2152</v>
      </c>
      <c r="AL1" s="156" t="s">
        <v>2153</v>
      </c>
      <c r="AM1" s="156" t="s">
        <v>2162</v>
      </c>
      <c r="AN1" s="156" t="s">
        <v>1984</v>
      </c>
      <c r="AO1" s="156" t="s">
        <v>300</v>
      </c>
      <c r="AU1" t="s">
        <v>2165</v>
      </c>
      <c r="AV1" s="233" t="s">
        <v>2166</v>
      </c>
    </row>
    <row r="2" spans="1:49" s="172" customFormat="1" x14ac:dyDescent="0.3">
      <c r="A2" s="166" t="s">
        <v>50</v>
      </c>
      <c r="B2" s="167" t="s">
        <v>301</v>
      </c>
      <c r="C2" s="167" t="s">
        <v>302</v>
      </c>
      <c r="D2" s="412">
        <v>501001</v>
      </c>
      <c r="E2" s="168" t="s">
        <v>308</v>
      </c>
      <c r="F2" s="168" t="s">
        <v>303</v>
      </c>
      <c r="G2" s="168" t="s">
        <v>309</v>
      </c>
      <c r="H2" s="168" t="s">
        <v>373</v>
      </c>
      <c r="I2" s="168" t="s">
        <v>374</v>
      </c>
      <c r="J2" s="168" t="s">
        <v>312</v>
      </c>
      <c r="K2" s="168" t="s">
        <v>1849</v>
      </c>
      <c r="L2" s="167" t="s">
        <v>304</v>
      </c>
      <c r="M2" s="167" t="s">
        <v>305</v>
      </c>
      <c r="N2" s="167">
        <v>11</v>
      </c>
      <c r="O2" s="167" t="s">
        <v>302</v>
      </c>
      <c r="P2" s="167" t="s">
        <v>302</v>
      </c>
      <c r="Q2" s="167" t="s">
        <v>301</v>
      </c>
      <c r="R2" s="166" t="s">
        <v>50</v>
      </c>
      <c r="S2" s="169">
        <v>0</v>
      </c>
      <c r="T2" s="160">
        <v>0</v>
      </c>
      <c r="U2" s="160">
        <v>0</v>
      </c>
      <c r="V2" s="160">
        <v>0</v>
      </c>
      <c r="W2" s="160">
        <v>0</v>
      </c>
      <c r="X2" s="161">
        <v>0</v>
      </c>
      <c r="Y2" s="160"/>
      <c r="Z2" s="16">
        <v>0</v>
      </c>
      <c r="AA2" s="162">
        <v>0</v>
      </c>
      <c r="AB2" s="162">
        <v>0</v>
      </c>
      <c r="AC2" s="162">
        <v>0</v>
      </c>
      <c r="AD2" s="160"/>
      <c r="AE2" s="228">
        <v>0</v>
      </c>
      <c r="AF2" s="163">
        <v>1.0529999999999999</v>
      </c>
      <c r="AG2" s="163">
        <v>1.0489999999999999</v>
      </c>
      <c r="AH2" s="163">
        <v>1.0469999999999999</v>
      </c>
      <c r="AI2" s="164">
        <f>SUMIF(MS!A:A,DETAILED!D2,MS!J:L)</f>
        <v>0</v>
      </c>
      <c r="AJ2" s="164"/>
      <c r="AK2" s="229">
        <f>SUMIF(MS!A:A,DETAILED!D2,MS!J:L)</f>
        <v>0</v>
      </c>
      <c r="AL2" s="229">
        <f ca="1">SUMIF('MS &amp; Vacancies combined'!A:J,D2,'MS &amp; Vacancies combined'!J:J)*105.3/100</f>
        <v>0</v>
      </c>
      <c r="AM2" s="229">
        <f ca="1">AL2*AG2</f>
        <v>0</v>
      </c>
      <c r="AN2" s="229">
        <f ca="1">AM2*AH2</f>
        <v>0</v>
      </c>
      <c r="AO2" s="166"/>
      <c r="AR2"/>
      <c r="AS2"/>
      <c r="AU2" s="414">
        <v>0</v>
      </c>
      <c r="AV2" s="415">
        <v>0</v>
      </c>
      <c r="AW2" s="414">
        <f t="shared" ref="AW2:AW65" si="0">AU2-S2</f>
        <v>0</v>
      </c>
    </row>
    <row r="3" spans="1:49" s="172" customFormat="1" x14ac:dyDescent="0.3">
      <c r="A3" s="166" t="s">
        <v>73</v>
      </c>
      <c r="B3" s="167" t="s">
        <v>306</v>
      </c>
      <c r="C3" s="167" t="s">
        <v>307</v>
      </c>
      <c r="D3" s="412" t="s">
        <v>3450</v>
      </c>
      <c r="E3" s="168" t="s">
        <v>308</v>
      </c>
      <c r="F3" s="168" t="s">
        <v>303</v>
      </c>
      <c r="G3" s="168" t="s">
        <v>309</v>
      </c>
      <c r="H3" s="168" t="s">
        <v>310</v>
      </c>
      <c r="I3" s="168" t="s">
        <v>311</v>
      </c>
      <c r="J3" s="168" t="s">
        <v>312</v>
      </c>
      <c r="K3" s="168" t="s">
        <v>1849</v>
      </c>
      <c r="L3" s="167" t="s">
        <v>304</v>
      </c>
      <c r="M3" s="167" t="s">
        <v>305</v>
      </c>
      <c r="N3" s="167">
        <v>11</v>
      </c>
      <c r="O3" s="167" t="s">
        <v>307</v>
      </c>
      <c r="P3" s="167" t="s">
        <v>307</v>
      </c>
      <c r="Q3" s="167" t="s">
        <v>306</v>
      </c>
      <c r="R3" s="166" t="s">
        <v>73</v>
      </c>
      <c r="S3" s="169">
        <v>0</v>
      </c>
      <c r="T3" s="160">
        <v>0</v>
      </c>
      <c r="U3" s="160">
        <v>0</v>
      </c>
      <c r="V3" s="160">
        <v>0</v>
      </c>
      <c r="W3" s="160">
        <v>0</v>
      </c>
      <c r="X3" s="161">
        <v>0</v>
      </c>
      <c r="Y3" s="160"/>
      <c r="Z3" s="16">
        <v>0</v>
      </c>
      <c r="AA3" s="162">
        <v>0</v>
      </c>
      <c r="AB3" s="162">
        <v>0</v>
      </c>
      <c r="AC3" s="162">
        <v>0</v>
      </c>
      <c r="AD3" s="160"/>
      <c r="AE3" s="145">
        <v>0</v>
      </c>
      <c r="AF3" s="163">
        <v>1.0529999999999999</v>
      </c>
      <c r="AG3" s="163">
        <v>1.0489999999999999</v>
      </c>
      <c r="AH3" s="163">
        <v>1.0469999999999999</v>
      </c>
      <c r="AI3" s="164">
        <v>0</v>
      </c>
      <c r="AJ3" s="164"/>
      <c r="AK3" s="229">
        <f>SUMIF(MS!A:A,DETAILED!D3,MS!J:L)</f>
        <v>0</v>
      </c>
      <c r="AL3" s="229">
        <f ca="1">SUMIF('MS &amp; Vacancies combined'!A:S,D3,'MS &amp; Vacancies combined'!S:S)*105.3/100</f>
        <v>0</v>
      </c>
      <c r="AM3" s="229">
        <f ca="1">AL3*AG3</f>
        <v>0</v>
      </c>
      <c r="AN3" s="229">
        <f ca="1">AM3*AH3</f>
        <v>0</v>
      </c>
      <c r="AO3" s="166"/>
      <c r="AR3"/>
      <c r="AS3"/>
      <c r="AU3" s="414">
        <v>0</v>
      </c>
      <c r="AV3" s="415">
        <v>0</v>
      </c>
      <c r="AW3" s="414">
        <f t="shared" si="0"/>
        <v>0</v>
      </c>
    </row>
    <row r="4" spans="1:49" x14ac:dyDescent="0.3">
      <c r="A4" s="16" t="s">
        <v>9</v>
      </c>
      <c r="B4" s="39" t="s">
        <v>313</v>
      </c>
      <c r="C4" s="39" t="s">
        <v>314</v>
      </c>
      <c r="D4" s="340" t="s">
        <v>3450</v>
      </c>
      <c r="E4" s="159" t="s">
        <v>308</v>
      </c>
      <c r="F4" s="159" t="s">
        <v>303</v>
      </c>
      <c r="G4" s="159" t="s">
        <v>309</v>
      </c>
      <c r="H4" s="159" t="s">
        <v>315</v>
      </c>
      <c r="I4" s="159" t="s">
        <v>316</v>
      </c>
      <c r="J4" s="159" t="s">
        <v>312</v>
      </c>
      <c r="K4" s="159" t="s">
        <v>1849</v>
      </c>
      <c r="L4" s="39" t="s">
        <v>304</v>
      </c>
      <c r="M4" s="39" t="s">
        <v>305</v>
      </c>
      <c r="N4" s="39">
        <v>11</v>
      </c>
      <c r="O4" s="39" t="s">
        <v>314</v>
      </c>
      <c r="P4" s="39" t="s">
        <v>314</v>
      </c>
      <c r="Q4" s="39" t="s">
        <v>313</v>
      </c>
      <c r="R4" s="16" t="s">
        <v>9</v>
      </c>
      <c r="S4" s="169">
        <v>0</v>
      </c>
      <c r="T4" s="160">
        <v>0</v>
      </c>
      <c r="U4" s="160">
        <v>0</v>
      </c>
      <c r="V4" s="160">
        <v>0</v>
      </c>
      <c r="W4" s="160">
        <v>0</v>
      </c>
      <c r="X4" s="161">
        <v>0</v>
      </c>
      <c r="Y4" s="160"/>
      <c r="Z4" s="16">
        <v>0</v>
      </c>
      <c r="AA4" s="162">
        <v>0</v>
      </c>
      <c r="AB4" s="162">
        <v>0</v>
      </c>
      <c r="AC4" s="162">
        <v>0</v>
      </c>
      <c r="AD4" s="160"/>
      <c r="AE4" s="145">
        <v>0</v>
      </c>
      <c r="AF4" s="163">
        <v>1.0469999999999999</v>
      </c>
      <c r="AG4" s="164">
        <v>1.046</v>
      </c>
      <c r="AH4" s="164">
        <v>1.046</v>
      </c>
      <c r="AI4" s="164">
        <v>0</v>
      </c>
      <c r="AJ4" s="164"/>
      <c r="AK4" s="165">
        <f>SUMIF(MS!A:A,DETAILED!D4,MS!J:L)</f>
        <v>0</v>
      </c>
      <c r="AL4" s="165">
        <v>0</v>
      </c>
      <c r="AM4" s="165">
        <f t="shared" ref="AM4:AM33" si="1">AL4*AG4</f>
        <v>0</v>
      </c>
      <c r="AN4" s="165">
        <f t="shared" ref="AN4:AN33" si="2">AM4*AH4</f>
        <v>0</v>
      </c>
      <c r="AO4" s="16"/>
      <c r="AU4" s="230">
        <v>0</v>
      </c>
      <c r="AV4" s="233">
        <v>0</v>
      </c>
      <c r="AW4" s="230">
        <f t="shared" si="0"/>
        <v>0</v>
      </c>
    </row>
    <row r="5" spans="1:49" x14ac:dyDescent="0.3">
      <c r="A5" s="16" t="s">
        <v>10</v>
      </c>
      <c r="B5" s="39" t="s">
        <v>317</v>
      </c>
      <c r="C5" s="39" t="s">
        <v>318</v>
      </c>
      <c r="D5" s="340" t="s">
        <v>3450</v>
      </c>
      <c r="E5" s="159" t="s">
        <v>308</v>
      </c>
      <c r="F5" s="159" t="s">
        <v>303</v>
      </c>
      <c r="G5" s="159" t="s">
        <v>309</v>
      </c>
      <c r="H5" s="159" t="s">
        <v>315</v>
      </c>
      <c r="I5" s="159" t="s">
        <v>319</v>
      </c>
      <c r="J5" s="159" t="s">
        <v>312</v>
      </c>
      <c r="K5" s="159" t="s">
        <v>1849</v>
      </c>
      <c r="L5" s="39" t="s">
        <v>304</v>
      </c>
      <c r="M5" s="39" t="s">
        <v>305</v>
      </c>
      <c r="N5" s="39">
        <v>11</v>
      </c>
      <c r="O5" s="39" t="s">
        <v>318</v>
      </c>
      <c r="P5" s="39" t="s">
        <v>318</v>
      </c>
      <c r="Q5" s="39" t="s">
        <v>317</v>
      </c>
      <c r="R5" s="16" t="s">
        <v>10</v>
      </c>
      <c r="S5" s="169">
        <v>0</v>
      </c>
      <c r="T5" s="160">
        <v>0</v>
      </c>
      <c r="U5" s="160">
        <v>0</v>
      </c>
      <c r="V5" s="160">
        <v>0</v>
      </c>
      <c r="W5" s="160">
        <v>0</v>
      </c>
      <c r="X5" s="161">
        <v>0</v>
      </c>
      <c r="Y5" s="160"/>
      <c r="Z5" s="16">
        <v>0</v>
      </c>
      <c r="AA5" s="162">
        <v>0</v>
      </c>
      <c r="AB5" s="162">
        <v>0</v>
      </c>
      <c r="AC5" s="162">
        <v>0</v>
      </c>
      <c r="AD5" s="160"/>
      <c r="AE5" s="145">
        <v>0</v>
      </c>
      <c r="AF5" s="163">
        <v>1.0469999999999999</v>
      </c>
      <c r="AG5" s="164">
        <v>1.046</v>
      </c>
      <c r="AH5" s="164">
        <v>1.046</v>
      </c>
      <c r="AI5" s="164">
        <v>0</v>
      </c>
      <c r="AJ5" s="164"/>
      <c r="AK5" s="165">
        <f>SUMIF(MS!A:A,DETAILED!D5,MS!J:L)</f>
        <v>0</v>
      </c>
      <c r="AL5" s="165">
        <v>0</v>
      </c>
      <c r="AM5" s="165">
        <f t="shared" si="1"/>
        <v>0</v>
      </c>
      <c r="AN5" s="165">
        <f t="shared" si="2"/>
        <v>0</v>
      </c>
      <c r="AO5" s="16"/>
      <c r="AU5" s="230">
        <v>0</v>
      </c>
      <c r="AV5" s="233">
        <v>0</v>
      </c>
      <c r="AW5" s="230">
        <f t="shared" si="0"/>
        <v>0</v>
      </c>
    </row>
    <row r="6" spans="1:49" x14ac:dyDescent="0.3">
      <c r="A6" s="16" t="s">
        <v>11</v>
      </c>
      <c r="B6" s="39" t="s">
        <v>320</v>
      </c>
      <c r="C6" s="39" t="s">
        <v>321</v>
      </c>
      <c r="D6" s="340" t="s">
        <v>3450</v>
      </c>
      <c r="E6" s="159" t="s">
        <v>308</v>
      </c>
      <c r="F6" s="159" t="s">
        <v>303</v>
      </c>
      <c r="G6" s="159" t="s">
        <v>309</v>
      </c>
      <c r="H6" s="159" t="s">
        <v>315</v>
      </c>
      <c r="I6" s="159" t="s">
        <v>322</v>
      </c>
      <c r="J6" s="159" t="s">
        <v>312</v>
      </c>
      <c r="K6" s="159" t="s">
        <v>1849</v>
      </c>
      <c r="L6" s="39" t="s">
        <v>304</v>
      </c>
      <c r="M6" s="39" t="s">
        <v>305</v>
      </c>
      <c r="N6" s="39">
        <v>11</v>
      </c>
      <c r="O6" s="39" t="s">
        <v>321</v>
      </c>
      <c r="P6" s="39" t="s">
        <v>321</v>
      </c>
      <c r="Q6" s="39" t="s">
        <v>320</v>
      </c>
      <c r="R6" s="16" t="s">
        <v>11</v>
      </c>
      <c r="S6" s="169">
        <v>785495</v>
      </c>
      <c r="T6" s="160">
        <v>0</v>
      </c>
      <c r="U6" s="160">
        <v>0</v>
      </c>
      <c r="V6" s="160">
        <v>15714</v>
      </c>
      <c r="W6" s="160">
        <v>769781</v>
      </c>
      <c r="X6" s="161">
        <v>15714</v>
      </c>
      <c r="Y6" s="160"/>
      <c r="Z6" s="16">
        <v>2</v>
      </c>
      <c r="AA6" s="162">
        <v>15714</v>
      </c>
      <c r="AB6" s="162">
        <v>3928.5</v>
      </c>
      <c r="AC6" s="162">
        <v>47142</v>
      </c>
      <c r="AD6" s="160"/>
      <c r="AE6" s="145">
        <v>785495</v>
      </c>
      <c r="AF6" s="163">
        <v>1.0529999999999999</v>
      </c>
      <c r="AG6" s="163">
        <v>1.0489999999999999</v>
      </c>
      <c r="AH6" s="163">
        <v>1.0469999999999999</v>
      </c>
      <c r="AI6" s="164">
        <v>785495</v>
      </c>
      <c r="AJ6" s="164">
        <f>AE6-AI6</f>
        <v>0</v>
      </c>
      <c r="AK6" s="165">
        <f>SUMIF(MS!A:A,DETAILED!D6,MS!J:L)</f>
        <v>0</v>
      </c>
      <c r="AL6" s="165">
        <f>S6*AF6</f>
        <v>827126.23499999999</v>
      </c>
      <c r="AM6" s="165">
        <f>AL6*AG6</f>
        <v>867655.42051499989</v>
      </c>
      <c r="AN6" s="165">
        <f t="shared" si="2"/>
        <v>908435.22527920478</v>
      </c>
      <c r="AO6" s="16"/>
      <c r="AP6" s="231">
        <f>AK6-AL6</f>
        <v>-827126.23499999999</v>
      </c>
      <c r="AR6" s="231"/>
      <c r="AU6" s="230">
        <v>0</v>
      </c>
      <c r="AV6" s="233">
        <v>785495</v>
      </c>
      <c r="AW6" s="230">
        <f t="shared" si="0"/>
        <v>-785495</v>
      </c>
    </row>
    <row r="7" spans="1:49" s="146" customFormat="1" hidden="1" x14ac:dyDescent="0.3">
      <c r="A7" s="84" t="s">
        <v>324</v>
      </c>
      <c r="B7" s="147" t="s">
        <v>323</v>
      </c>
      <c r="C7" s="147" t="s">
        <v>76</v>
      </c>
      <c r="D7" s="340" t="s">
        <v>3450</v>
      </c>
      <c r="E7" s="183" t="s">
        <v>308</v>
      </c>
      <c r="F7" s="183" t="s">
        <v>303</v>
      </c>
      <c r="G7" s="183" t="s">
        <v>309</v>
      </c>
      <c r="H7" s="183" t="s">
        <v>325</v>
      </c>
      <c r="I7" s="183" t="s">
        <v>326</v>
      </c>
      <c r="J7" s="183" t="s">
        <v>327</v>
      </c>
      <c r="K7" s="183" t="s">
        <v>1849</v>
      </c>
      <c r="L7" s="147" t="s">
        <v>304</v>
      </c>
      <c r="M7" s="147" t="s">
        <v>305</v>
      </c>
      <c r="N7" s="147">
        <v>11</v>
      </c>
      <c r="O7" s="147" t="s">
        <v>76</v>
      </c>
      <c r="P7" s="147" t="s">
        <v>76</v>
      </c>
      <c r="Q7" s="147" t="s">
        <v>323</v>
      </c>
      <c r="R7" s="84" t="s">
        <v>324</v>
      </c>
      <c r="S7" s="148">
        <v>10000</v>
      </c>
      <c r="T7" s="148">
        <v>0</v>
      </c>
      <c r="U7" s="148">
        <v>0</v>
      </c>
      <c r="V7" s="148">
        <v>0</v>
      </c>
      <c r="W7" s="148">
        <v>10000</v>
      </c>
      <c r="X7" s="184">
        <v>0</v>
      </c>
      <c r="Y7" s="148"/>
      <c r="Z7" s="84">
        <v>0</v>
      </c>
      <c r="AA7" s="185">
        <v>0</v>
      </c>
      <c r="AB7" s="185">
        <v>0</v>
      </c>
      <c r="AC7" s="185">
        <v>0</v>
      </c>
      <c r="AD7" s="148"/>
      <c r="AE7" s="149">
        <v>10000</v>
      </c>
      <c r="AF7" s="163">
        <v>1.0469999999999999</v>
      </c>
      <c r="AG7" s="164">
        <v>1.046</v>
      </c>
      <c r="AH7" s="164">
        <v>1.046</v>
      </c>
      <c r="AI7" s="164">
        <v>10000</v>
      </c>
      <c r="AJ7" s="164">
        <f t="shared" ref="AJ7:AJ70" si="3">AE7-AI7</f>
        <v>0</v>
      </c>
      <c r="AK7" s="203">
        <v>30000</v>
      </c>
      <c r="AL7" s="203">
        <f>AK7</f>
        <v>30000</v>
      </c>
      <c r="AM7" s="165">
        <f t="shared" si="1"/>
        <v>31380</v>
      </c>
      <c r="AN7" s="165">
        <f t="shared" si="2"/>
        <v>32823.480000000003</v>
      </c>
      <c r="AO7" s="84"/>
      <c r="AP7" s="231">
        <f t="shared" ref="AP7:AP70" si="4">AK7-AL7</f>
        <v>0</v>
      </c>
      <c r="AQ7"/>
      <c r="AR7" s="231"/>
      <c r="AS7" s="231"/>
      <c r="AT7"/>
      <c r="AU7" s="230">
        <v>10000</v>
      </c>
      <c r="AV7" s="233">
        <v>10000</v>
      </c>
      <c r="AW7" s="230">
        <f t="shared" si="0"/>
        <v>0</v>
      </c>
    </row>
    <row r="8" spans="1:49" hidden="1" x14ac:dyDescent="0.3">
      <c r="A8" s="16" t="s">
        <v>329</v>
      </c>
      <c r="B8" s="39" t="s">
        <v>328</v>
      </c>
      <c r="C8" s="39" t="s">
        <v>78</v>
      </c>
      <c r="D8" s="340" t="s">
        <v>3450</v>
      </c>
      <c r="E8" s="159" t="s">
        <v>308</v>
      </c>
      <c r="F8" s="159" t="s">
        <v>303</v>
      </c>
      <c r="G8" s="159" t="s">
        <v>309</v>
      </c>
      <c r="H8" s="159" t="s">
        <v>330</v>
      </c>
      <c r="I8" s="159" t="s">
        <v>331</v>
      </c>
      <c r="J8" s="159" t="s">
        <v>312</v>
      </c>
      <c r="K8" s="159" t="s">
        <v>1849</v>
      </c>
      <c r="L8" s="39" t="s">
        <v>304</v>
      </c>
      <c r="M8" s="39" t="s">
        <v>305</v>
      </c>
      <c r="N8" s="39">
        <v>11</v>
      </c>
      <c r="O8" s="39" t="s">
        <v>78</v>
      </c>
      <c r="P8" s="39" t="s">
        <v>78</v>
      </c>
      <c r="Q8" s="39" t="s">
        <v>328</v>
      </c>
      <c r="R8" s="16" t="s">
        <v>329</v>
      </c>
      <c r="S8" s="160">
        <v>300000</v>
      </c>
      <c r="T8" s="160">
        <v>0</v>
      </c>
      <c r="U8" s="160">
        <v>0</v>
      </c>
      <c r="V8" s="160">
        <v>0</v>
      </c>
      <c r="W8" s="160">
        <v>300000</v>
      </c>
      <c r="X8" s="161">
        <v>0</v>
      </c>
      <c r="Y8" s="160"/>
      <c r="Z8" s="16">
        <v>0</v>
      </c>
      <c r="AA8" s="162">
        <v>0</v>
      </c>
      <c r="AB8" s="162">
        <v>0</v>
      </c>
      <c r="AC8" s="162">
        <v>0</v>
      </c>
      <c r="AD8" s="160"/>
      <c r="AE8" s="145">
        <v>300000</v>
      </c>
      <c r="AF8" s="163">
        <v>1.0469999999999999</v>
      </c>
      <c r="AG8" s="164">
        <v>1.046</v>
      </c>
      <c r="AH8" s="164">
        <v>1.046</v>
      </c>
      <c r="AI8" s="164">
        <v>300000</v>
      </c>
      <c r="AJ8" s="164">
        <f t="shared" si="3"/>
        <v>0</v>
      </c>
      <c r="AK8" s="165">
        <v>300000</v>
      </c>
      <c r="AL8" s="165">
        <v>314100</v>
      </c>
      <c r="AM8" s="165">
        <f t="shared" si="1"/>
        <v>328548.60000000003</v>
      </c>
      <c r="AN8" s="165">
        <f t="shared" si="2"/>
        <v>343661.83560000005</v>
      </c>
      <c r="AO8" s="16"/>
      <c r="AP8" s="231">
        <f t="shared" si="4"/>
        <v>-14100</v>
      </c>
      <c r="AR8" s="231"/>
      <c r="AS8" s="231"/>
      <c r="AU8" s="230">
        <v>300000</v>
      </c>
      <c r="AV8" s="233">
        <v>300000</v>
      </c>
      <c r="AW8" s="230">
        <f t="shared" si="0"/>
        <v>0</v>
      </c>
    </row>
    <row r="9" spans="1:49" hidden="1" x14ac:dyDescent="0.3">
      <c r="A9" s="16" t="s">
        <v>333</v>
      </c>
      <c r="B9" s="39" t="s">
        <v>332</v>
      </c>
      <c r="C9" s="39" t="s">
        <v>82</v>
      </c>
      <c r="D9" s="340" t="s">
        <v>3450</v>
      </c>
      <c r="E9" s="159" t="s">
        <v>308</v>
      </c>
      <c r="F9" s="159" t="s">
        <v>303</v>
      </c>
      <c r="G9" s="159" t="s">
        <v>309</v>
      </c>
      <c r="H9" s="159" t="s">
        <v>334</v>
      </c>
      <c r="I9" s="159" t="s">
        <v>335</v>
      </c>
      <c r="J9" s="159" t="s">
        <v>312</v>
      </c>
      <c r="K9" s="159" t="s">
        <v>1849</v>
      </c>
      <c r="L9" s="39" t="s">
        <v>304</v>
      </c>
      <c r="M9" s="39" t="s">
        <v>305</v>
      </c>
      <c r="N9" s="39">
        <v>11</v>
      </c>
      <c r="O9" s="39" t="s">
        <v>82</v>
      </c>
      <c r="P9" s="39" t="s">
        <v>82</v>
      </c>
      <c r="Q9" s="39" t="s">
        <v>332</v>
      </c>
      <c r="R9" s="16" t="s">
        <v>333</v>
      </c>
      <c r="S9" s="160">
        <v>70000</v>
      </c>
      <c r="T9" s="160">
        <v>0</v>
      </c>
      <c r="U9" s="160">
        <v>0</v>
      </c>
      <c r="V9" s="160">
        <v>0</v>
      </c>
      <c r="W9" s="160">
        <v>70000</v>
      </c>
      <c r="X9" s="161">
        <v>0</v>
      </c>
      <c r="Y9" s="160"/>
      <c r="Z9" s="16">
        <v>0</v>
      </c>
      <c r="AA9" s="162">
        <v>0</v>
      </c>
      <c r="AB9" s="162">
        <v>0</v>
      </c>
      <c r="AC9" s="162">
        <v>0</v>
      </c>
      <c r="AD9" s="160"/>
      <c r="AE9" s="145">
        <v>70000</v>
      </c>
      <c r="AF9" s="163">
        <v>1.0469999999999999</v>
      </c>
      <c r="AG9" s="164">
        <v>1.046</v>
      </c>
      <c r="AH9" s="164">
        <v>1.046</v>
      </c>
      <c r="AI9" s="164">
        <v>70000</v>
      </c>
      <c r="AJ9" s="164">
        <f t="shared" si="3"/>
        <v>0</v>
      </c>
      <c r="AK9" s="165">
        <v>70000</v>
      </c>
      <c r="AL9" s="165">
        <f>AK9</f>
        <v>70000</v>
      </c>
      <c r="AM9" s="165">
        <f t="shared" si="1"/>
        <v>73220</v>
      </c>
      <c r="AN9" s="165">
        <f t="shared" si="2"/>
        <v>76588.12000000001</v>
      </c>
      <c r="AO9" s="16"/>
      <c r="AP9" s="231">
        <f t="shared" si="4"/>
        <v>0</v>
      </c>
      <c r="AR9" s="231"/>
      <c r="AS9" s="231"/>
      <c r="AU9" s="230">
        <v>70000</v>
      </c>
      <c r="AV9" s="233">
        <v>70000</v>
      </c>
      <c r="AW9" s="230">
        <f t="shared" si="0"/>
        <v>0</v>
      </c>
    </row>
    <row r="10" spans="1:49" s="181" customFormat="1" hidden="1" x14ac:dyDescent="0.3">
      <c r="A10" s="173" t="s">
        <v>337</v>
      </c>
      <c r="B10" s="174" t="s">
        <v>336</v>
      </c>
      <c r="C10" s="174" t="s">
        <v>82</v>
      </c>
      <c r="D10" s="340" t="s">
        <v>3450</v>
      </c>
      <c r="E10" s="175" t="s">
        <v>308</v>
      </c>
      <c r="F10" s="175" t="s">
        <v>303</v>
      </c>
      <c r="G10" s="175" t="s">
        <v>309</v>
      </c>
      <c r="H10" s="175" t="s">
        <v>334</v>
      </c>
      <c r="I10" s="175" t="s">
        <v>339</v>
      </c>
      <c r="J10" s="175" t="s">
        <v>312</v>
      </c>
      <c r="K10" s="175" t="s">
        <v>1849</v>
      </c>
      <c r="L10" s="174" t="s">
        <v>304</v>
      </c>
      <c r="M10" s="174" t="s">
        <v>305</v>
      </c>
      <c r="N10" s="174">
        <v>11</v>
      </c>
      <c r="O10" s="174" t="s">
        <v>82</v>
      </c>
      <c r="P10" s="174" t="s">
        <v>338</v>
      </c>
      <c r="Q10" s="174" t="s">
        <v>336</v>
      </c>
      <c r="R10" s="173" t="s">
        <v>337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7">
        <v>0</v>
      </c>
      <c r="Y10" s="176"/>
      <c r="Z10" s="173">
        <v>0</v>
      </c>
      <c r="AA10" s="178">
        <v>0</v>
      </c>
      <c r="AB10" s="178">
        <v>0</v>
      </c>
      <c r="AC10" s="178">
        <v>0</v>
      </c>
      <c r="AD10" s="176"/>
      <c r="AE10" s="204">
        <v>0</v>
      </c>
      <c r="AF10" s="163">
        <v>1.0469999999999999</v>
      </c>
      <c r="AG10" s="164">
        <v>1.046</v>
      </c>
      <c r="AH10" s="164">
        <v>1.046</v>
      </c>
      <c r="AI10" s="164">
        <v>0</v>
      </c>
      <c r="AJ10" s="164">
        <f t="shared" si="3"/>
        <v>0</v>
      </c>
      <c r="AK10" s="205">
        <v>100000</v>
      </c>
      <c r="AL10" s="165">
        <f>AK10</f>
        <v>100000</v>
      </c>
      <c r="AM10" s="165">
        <f t="shared" si="1"/>
        <v>104600</v>
      </c>
      <c r="AN10" s="165">
        <f t="shared" si="2"/>
        <v>109411.6</v>
      </c>
      <c r="AO10" s="173"/>
      <c r="AP10" s="231">
        <f t="shared" si="4"/>
        <v>0</v>
      </c>
      <c r="AQ10"/>
      <c r="AR10" s="231"/>
      <c r="AS10" s="231"/>
      <c r="AT10"/>
      <c r="AU10" s="230">
        <v>0</v>
      </c>
      <c r="AV10" s="233">
        <v>0</v>
      </c>
      <c r="AW10" s="230">
        <f t="shared" si="0"/>
        <v>0</v>
      </c>
    </row>
    <row r="11" spans="1:49" s="181" customFormat="1" hidden="1" x14ac:dyDescent="0.3">
      <c r="A11" s="173" t="s">
        <v>341</v>
      </c>
      <c r="B11" s="174" t="s">
        <v>340</v>
      </c>
      <c r="C11" s="174" t="s">
        <v>82</v>
      </c>
      <c r="D11" s="340" t="s">
        <v>3450</v>
      </c>
      <c r="E11" s="175" t="s">
        <v>308</v>
      </c>
      <c r="F11" s="175" t="s">
        <v>303</v>
      </c>
      <c r="G11" s="175" t="s">
        <v>309</v>
      </c>
      <c r="H11" s="175" t="s">
        <v>334</v>
      </c>
      <c r="I11" s="175" t="s">
        <v>343</v>
      </c>
      <c r="J11" s="175" t="s">
        <v>312</v>
      </c>
      <c r="K11" s="175" t="s">
        <v>1849</v>
      </c>
      <c r="L11" s="174" t="s">
        <v>304</v>
      </c>
      <c r="M11" s="174" t="s">
        <v>305</v>
      </c>
      <c r="N11" s="174">
        <v>11</v>
      </c>
      <c r="O11" s="174" t="s">
        <v>82</v>
      </c>
      <c r="P11" s="174" t="s">
        <v>342</v>
      </c>
      <c r="Q11" s="174" t="s">
        <v>340</v>
      </c>
      <c r="R11" s="173" t="s">
        <v>341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7">
        <v>0</v>
      </c>
      <c r="Y11" s="176"/>
      <c r="Z11" s="173">
        <v>0</v>
      </c>
      <c r="AA11" s="178">
        <v>0</v>
      </c>
      <c r="AB11" s="178">
        <v>0</v>
      </c>
      <c r="AC11" s="178">
        <v>0</v>
      </c>
      <c r="AD11" s="176"/>
      <c r="AE11" s="204">
        <v>0</v>
      </c>
      <c r="AF11" s="163">
        <v>1.0469999999999999</v>
      </c>
      <c r="AG11" s="164">
        <v>1.046</v>
      </c>
      <c r="AH11" s="164">
        <v>1.046</v>
      </c>
      <c r="AI11" s="164">
        <v>0</v>
      </c>
      <c r="AJ11" s="164">
        <f t="shared" si="3"/>
        <v>0</v>
      </c>
      <c r="AK11" s="205">
        <v>0</v>
      </c>
      <c r="AL11" s="205">
        <v>0</v>
      </c>
      <c r="AM11" s="165">
        <f t="shared" si="1"/>
        <v>0</v>
      </c>
      <c r="AN11" s="165">
        <f t="shared" si="2"/>
        <v>0</v>
      </c>
      <c r="AO11" s="173"/>
      <c r="AP11" s="231">
        <f t="shared" si="4"/>
        <v>0</v>
      </c>
      <c r="AQ11"/>
      <c r="AR11" s="231"/>
      <c r="AS11" s="231"/>
      <c r="AT11"/>
      <c r="AU11" s="230">
        <v>0</v>
      </c>
      <c r="AV11" s="233">
        <v>0</v>
      </c>
      <c r="AW11" s="230">
        <f t="shared" si="0"/>
        <v>0</v>
      </c>
    </row>
    <row r="12" spans="1:49" s="181" customFormat="1" hidden="1" x14ac:dyDescent="0.3">
      <c r="A12" s="173" t="s">
        <v>345</v>
      </c>
      <c r="B12" s="174" t="s">
        <v>344</v>
      </c>
      <c r="C12" s="174" t="s">
        <v>82</v>
      </c>
      <c r="D12" s="340" t="s">
        <v>3450</v>
      </c>
      <c r="E12" s="175" t="s">
        <v>308</v>
      </c>
      <c r="F12" s="175" t="s">
        <v>303</v>
      </c>
      <c r="G12" s="175" t="s">
        <v>309</v>
      </c>
      <c r="H12" s="175" t="s">
        <v>334</v>
      </c>
      <c r="I12" s="175" t="s">
        <v>347</v>
      </c>
      <c r="J12" s="175" t="s">
        <v>312</v>
      </c>
      <c r="K12" s="175" t="s">
        <v>1849</v>
      </c>
      <c r="L12" s="174" t="s">
        <v>304</v>
      </c>
      <c r="M12" s="174" t="s">
        <v>305</v>
      </c>
      <c r="N12" s="174">
        <v>11</v>
      </c>
      <c r="O12" s="174" t="s">
        <v>82</v>
      </c>
      <c r="P12" s="174" t="s">
        <v>346</v>
      </c>
      <c r="Q12" s="174" t="s">
        <v>344</v>
      </c>
      <c r="R12" s="173" t="s">
        <v>345</v>
      </c>
      <c r="S12" s="176">
        <v>10231</v>
      </c>
      <c r="T12" s="176">
        <v>0</v>
      </c>
      <c r="U12" s="176">
        <v>0</v>
      </c>
      <c r="V12" s="176">
        <v>0</v>
      </c>
      <c r="W12" s="176">
        <v>10231</v>
      </c>
      <c r="X12" s="177">
        <v>0</v>
      </c>
      <c r="Y12" s="176"/>
      <c r="Z12" s="173">
        <v>0</v>
      </c>
      <c r="AA12" s="178">
        <v>0</v>
      </c>
      <c r="AB12" s="178">
        <v>0</v>
      </c>
      <c r="AC12" s="178">
        <v>0</v>
      </c>
      <c r="AD12" s="176"/>
      <c r="AE12" s="204">
        <v>10231</v>
      </c>
      <c r="AF12" s="163">
        <v>1.0469999999999999</v>
      </c>
      <c r="AG12" s="164">
        <v>1.046</v>
      </c>
      <c r="AH12" s="164">
        <v>1.046</v>
      </c>
      <c r="AI12" s="164">
        <v>10231</v>
      </c>
      <c r="AJ12" s="164">
        <f t="shared" si="3"/>
        <v>0</v>
      </c>
      <c r="AK12" s="205">
        <v>50000</v>
      </c>
      <c r="AL12" s="165">
        <f>AK12</f>
        <v>50000</v>
      </c>
      <c r="AM12" s="165">
        <f t="shared" si="1"/>
        <v>52300</v>
      </c>
      <c r="AN12" s="165">
        <f t="shared" si="2"/>
        <v>54705.8</v>
      </c>
      <c r="AO12" s="173"/>
      <c r="AP12" s="231">
        <f t="shared" si="4"/>
        <v>0</v>
      </c>
      <c r="AQ12"/>
      <c r="AR12" s="231"/>
      <c r="AS12" s="231"/>
      <c r="AT12"/>
      <c r="AU12" s="230">
        <v>10231</v>
      </c>
      <c r="AV12" s="233">
        <v>10231</v>
      </c>
      <c r="AW12" s="230">
        <f t="shared" si="0"/>
        <v>0</v>
      </c>
    </row>
    <row r="13" spans="1:49" s="181" customFormat="1" hidden="1" x14ac:dyDescent="0.3">
      <c r="A13" s="173" t="s">
        <v>349</v>
      </c>
      <c r="B13" s="174" t="s">
        <v>348</v>
      </c>
      <c r="C13" s="174" t="s">
        <v>82</v>
      </c>
      <c r="D13" s="340" t="s">
        <v>3450</v>
      </c>
      <c r="E13" s="175" t="s">
        <v>308</v>
      </c>
      <c r="F13" s="175" t="s">
        <v>303</v>
      </c>
      <c r="G13" s="175" t="s">
        <v>309</v>
      </c>
      <c r="H13" s="175" t="s">
        <v>334</v>
      </c>
      <c r="I13" s="175" t="s">
        <v>351</v>
      </c>
      <c r="J13" s="175" t="s">
        <v>312</v>
      </c>
      <c r="K13" s="175" t="s">
        <v>1849</v>
      </c>
      <c r="L13" s="174" t="s">
        <v>304</v>
      </c>
      <c r="M13" s="174" t="s">
        <v>305</v>
      </c>
      <c r="N13" s="174">
        <v>11</v>
      </c>
      <c r="O13" s="174" t="s">
        <v>82</v>
      </c>
      <c r="P13" s="174" t="s">
        <v>350</v>
      </c>
      <c r="Q13" s="174" t="s">
        <v>348</v>
      </c>
      <c r="R13" s="173" t="s">
        <v>349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7">
        <v>0</v>
      </c>
      <c r="Y13" s="176"/>
      <c r="Z13" s="173">
        <v>0</v>
      </c>
      <c r="AA13" s="178">
        <v>0</v>
      </c>
      <c r="AB13" s="178">
        <v>0</v>
      </c>
      <c r="AC13" s="178">
        <v>0</v>
      </c>
      <c r="AD13" s="176"/>
      <c r="AE13" s="204">
        <v>0</v>
      </c>
      <c r="AF13" s="163">
        <v>1.0469999999999999</v>
      </c>
      <c r="AG13" s="164">
        <v>1.046</v>
      </c>
      <c r="AH13" s="164">
        <v>1.046</v>
      </c>
      <c r="AI13" s="164">
        <v>0</v>
      </c>
      <c r="AJ13" s="164">
        <f t="shared" si="3"/>
        <v>0</v>
      </c>
      <c r="AK13" s="205">
        <v>20000</v>
      </c>
      <c r="AL13" s="165">
        <f>AK13</f>
        <v>20000</v>
      </c>
      <c r="AM13" s="165">
        <f t="shared" si="1"/>
        <v>20920</v>
      </c>
      <c r="AN13" s="165">
        <f t="shared" si="2"/>
        <v>21882.32</v>
      </c>
      <c r="AO13" s="173"/>
      <c r="AP13" s="231">
        <f t="shared" si="4"/>
        <v>0</v>
      </c>
      <c r="AQ13"/>
      <c r="AR13" s="231"/>
      <c r="AS13" s="231"/>
      <c r="AT13"/>
      <c r="AU13" s="230">
        <v>0</v>
      </c>
      <c r="AV13" s="233">
        <v>0</v>
      </c>
      <c r="AW13" s="230">
        <f t="shared" si="0"/>
        <v>0</v>
      </c>
    </row>
    <row r="14" spans="1:49" s="181" customFormat="1" hidden="1" x14ac:dyDescent="0.3">
      <c r="A14" s="173" t="s">
        <v>353</v>
      </c>
      <c r="B14" s="174" t="s">
        <v>352</v>
      </c>
      <c r="C14" s="174" t="s">
        <v>82</v>
      </c>
      <c r="D14" s="340" t="s">
        <v>3450</v>
      </c>
      <c r="E14" s="175" t="s">
        <v>308</v>
      </c>
      <c r="F14" s="175" t="s">
        <v>303</v>
      </c>
      <c r="G14" s="175" t="s">
        <v>309</v>
      </c>
      <c r="H14" s="175" t="s">
        <v>334</v>
      </c>
      <c r="I14" s="175" t="s">
        <v>355</v>
      </c>
      <c r="J14" s="175" t="s">
        <v>312</v>
      </c>
      <c r="K14" s="175" t="s">
        <v>1849</v>
      </c>
      <c r="L14" s="174" t="s">
        <v>304</v>
      </c>
      <c r="M14" s="174" t="s">
        <v>305</v>
      </c>
      <c r="N14" s="174">
        <v>11</v>
      </c>
      <c r="O14" s="174" t="s">
        <v>82</v>
      </c>
      <c r="P14" s="174" t="s">
        <v>354</v>
      </c>
      <c r="Q14" s="174" t="s">
        <v>352</v>
      </c>
      <c r="R14" s="173" t="s">
        <v>353</v>
      </c>
      <c r="S14" s="176">
        <v>25070</v>
      </c>
      <c r="T14" s="176">
        <v>0</v>
      </c>
      <c r="U14" s="176">
        <v>0</v>
      </c>
      <c r="V14" s="176">
        <v>0</v>
      </c>
      <c r="W14" s="176">
        <v>25070</v>
      </c>
      <c r="X14" s="177">
        <v>0</v>
      </c>
      <c r="Y14" s="176"/>
      <c r="Z14" s="173">
        <v>0</v>
      </c>
      <c r="AA14" s="178">
        <v>0</v>
      </c>
      <c r="AB14" s="178">
        <v>0</v>
      </c>
      <c r="AC14" s="178">
        <v>0</v>
      </c>
      <c r="AD14" s="176"/>
      <c r="AE14" s="204">
        <v>25070</v>
      </c>
      <c r="AF14" s="163">
        <v>1.0469999999999999</v>
      </c>
      <c r="AG14" s="164">
        <v>1.046</v>
      </c>
      <c r="AH14" s="164">
        <v>1.046</v>
      </c>
      <c r="AI14" s="164">
        <v>25070</v>
      </c>
      <c r="AJ14" s="164">
        <f t="shared" si="3"/>
        <v>0</v>
      </c>
      <c r="AK14" s="205">
        <v>80000</v>
      </c>
      <c r="AL14" s="165">
        <f>AK14</f>
        <v>80000</v>
      </c>
      <c r="AM14" s="165">
        <f t="shared" si="1"/>
        <v>83680</v>
      </c>
      <c r="AN14" s="165">
        <f t="shared" si="2"/>
        <v>87529.279999999999</v>
      </c>
      <c r="AO14" s="173"/>
      <c r="AP14" s="231">
        <f t="shared" si="4"/>
        <v>0</v>
      </c>
      <c r="AQ14"/>
      <c r="AR14" s="231"/>
      <c r="AS14" s="231"/>
      <c r="AT14"/>
      <c r="AU14" s="230">
        <v>25070</v>
      </c>
      <c r="AV14" s="233">
        <v>25070</v>
      </c>
      <c r="AW14" s="230">
        <f t="shared" si="0"/>
        <v>0</v>
      </c>
    </row>
    <row r="15" spans="1:49" s="181" customFormat="1" hidden="1" x14ac:dyDescent="0.3">
      <c r="A15" s="173" t="s">
        <v>357</v>
      </c>
      <c r="B15" s="174" t="s">
        <v>356</v>
      </c>
      <c r="C15" s="174" t="s">
        <v>82</v>
      </c>
      <c r="D15" s="340" t="s">
        <v>3450</v>
      </c>
      <c r="E15" s="175" t="s">
        <v>308</v>
      </c>
      <c r="F15" s="175" t="s">
        <v>303</v>
      </c>
      <c r="G15" s="175" t="s">
        <v>309</v>
      </c>
      <c r="H15" s="175" t="s">
        <v>334</v>
      </c>
      <c r="I15" s="175" t="s">
        <v>359</v>
      </c>
      <c r="J15" s="175" t="s">
        <v>312</v>
      </c>
      <c r="K15" s="175" t="s">
        <v>1849</v>
      </c>
      <c r="L15" s="174" t="s">
        <v>304</v>
      </c>
      <c r="M15" s="174" t="s">
        <v>305</v>
      </c>
      <c r="N15" s="174">
        <v>11</v>
      </c>
      <c r="O15" s="174" t="s">
        <v>82</v>
      </c>
      <c r="P15" s="174" t="s">
        <v>358</v>
      </c>
      <c r="Q15" s="174" t="s">
        <v>356</v>
      </c>
      <c r="R15" s="173" t="s">
        <v>357</v>
      </c>
      <c r="S15" s="176">
        <v>15254</v>
      </c>
      <c r="T15" s="176">
        <v>0</v>
      </c>
      <c r="U15" s="176">
        <v>0</v>
      </c>
      <c r="V15" s="176">
        <v>0</v>
      </c>
      <c r="W15" s="176">
        <v>15254</v>
      </c>
      <c r="X15" s="177">
        <v>0</v>
      </c>
      <c r="Y15" s="176"/>
      <c r="Z15" s="173">
        <v>0</v>
      </c>
      <c r="AA15" s="178">
        <v>0</v>
      </c>
      <c r="AB15" s="178">
        <v>0</v>
      </c>
      <c r="AC15" s="178">
        <v>0</v>
      </c>
      <c r="AD15" s="176"/>
      <c r="AE15" s="204">
        <v>15254</v>
      </c>
      <c r="AF15" s="163">
        <v>1.0469999999999999</v>
      </c>
      <c r="AG15" s="164">
        <v>1.046</v>
      </c>
      <c r="AH15" s="164">
        <v>1.046</v>
      </c>
      <c r="AI15" s="164">
        <v>15254</v>
      </c>
      <c r="AJ15" s="164">
        <f t="shared" si="3"/>
        <v>0</v>
      </c>
      <c r="AK15" s="205">
        <v>80000</v>
      </c>
      <c r="AL15" s="165">
        <f>AK15</f>
        <v>80000</v>
      </c>
      <c r="AM15" s="165">
        <f t="shared" si="1"/>
        <v>83680</v>
      </c>
      <c r="AN15" s="165">
        <f t="shared" si="2"/>
        <v>87529.279999999999</v>
      </c>
      <c r="AO15" s="173"/>
      <c r="AP15" s="231">
        <f t="shared" si="4"/>
        <v>0</v>
      </c>
      <c r="AQ15"/>
      <c r="AR15" s="231"/>
      <c r="AS15" s="231"/>
      <c r="AT15"/>
      <c r="AU15" s="230">
        <v>15254</v>
      </c>
      <c r="AV15" s="233">
        <v>15254</v>
      </c>
      <c r="AW15" s="230">
        <f t="shared" si="0"/>
        <v>0</v>
      </c>
    </row>
    <row r="16" spans="1:49" s="172" customFormat="1" x14ac:dyDescent="0.3">
      <c r="A16" s="166" t="s">
        <v>46</v>
      </c>
      <c r="B16" s="167" t="s">
        <v>360</v>
      </c>
      <c r="C16" s="167" t="s">
        <v>361</v>
      </c>
      <c r="D16" s="412" t="s">
        <v>3451</v>
      </c>
      <c r="E16" s="168" t="s">
        <v>308</v>
      </c>
      <c r="F16" s="168" t="s">
        <v>362</v>
      </c>
      <c r="G16" s="168" t="s">
        <v>309</v>
      </c>
      <c r="H16" s="168" t="s">
        <v>363</v>
      </c>
      <c r="I16" s="168" t="s">
        <v>364</v>
      </c>
      <c r="J16" s="168" t="s">
        <v>312</v>
      </c>
      <c r="K16" s="168" t="s">
        <v>1849</v>
      </c>
      <c r="L16" s="167" t="s">
        <v>304</v>
      </c>
      <c r="M16" s="167" t="s">
        <v>305</v>
      </c>
      <c r="N16" s="167">
        <v>11</v>
      </c>
      <c r="O16" s="167" t="s">
        <v>361</v>
      </c>
      <c r="P16" s="167" t="s">
        <v>361</v>
      </c>
      <c r="Q16" s="167" t="s">
        <v>360</v>
      </c>
      <c r="R16" s="166" t="s">
        <v>46</v>
      </c>
      <c r="S16" s="169">
        <v>1621914</v>
      </c>
      <c r="T16" s="160">
        <v>123062.25</v>
      </c>
      <c r="U16" s="160">
        <v>0</v>
      </c>
      <c r="V16" s="160">
        <v>492249</v>
      </c>
      <c r="W16" s="160">
        <v>1129665</v>
      </c>
      <c r="X16" s="161">
        <v>0</v>
      </c>
      <c r="Y16" s="160"/>
      <c r="Z16" s="16">
        <v>30.34</v>
      </c>
      <c r="AA16" s="162">
        <v>492249</v>
      </c>
      <c r="AB16" s="162">
        <v>123062.25</v>
      </c>
      <c r="AC16" s="162">
        <v>1476747</v>
      </c>
      <c r="AD16" s="160"/>
      <c r="AE16" s="228">
        <v>1621914</v>
      </c>
      <c r="AF16" s="163">
        <v>1.0529999999999999</v>
      </c>
      <c r="AG16" s="163">
        <v>1.0489999999999999</v>
      </c>
      <c r="AH16" s="163">
        <v>1.0469999999999999</v>
      </c>
      <c r="AI16" s="164">
        <v>1621914</v>
      </c>
      <c r="AJ16" s="164">
        <f t="shared" si="3"/>
        <v>0</v>
      </c>
      <c r="AK16" s="229">
        <f t="shared" ref="AK16:AK31" si="5">AE16</f>
        <v>1621914</v>
      </c>
      <c r="AL16" s="229">
        <f ca="1">SUMIF('SM &amp; Vacancies'!A:K,D16,'SM &amp; Vacancies'!J:J)*105.3/100</f>
        <v>1557389.1059999999</v>
      </c>
      <c r="AM16" s="229">
        <f t="shared" ca="1" si="1"/>
        <v>1633701.1721939999</v>
      </c>
      <c r="AN16" s="229">
        <f t="shared" ca="1" si="2"/>
        <v>1710485.1272871178</v>
      </c>
      <c r="AO16" s="166"/>
      <c r="AP16" s="413">
        <f t="shared" ca="1" si="4"/>
        <v>64524.894000000088</v>
      </c>
      <c r="AR16" s="231"/>
      <c r="AS16" s="231"/>
      <c r="AU16" s="414">
        <v>1621914</v>
      </c>
      <c r="AV16" s="415">
        <v>1621914</v>
      </c>
      <c r="AW16" s="414">
        <f t="shared" si="0"/>
        <v>0</v>
      </c>
    </row>
    <row r="17" spans="1:49" s="172" customFormat="1" x14ac:dyDescent="0.3">
      <c r="A17" s="166" t="s">
        <v>47</v>
      </c>
      <c r="B17" s="167" t="s">
        <v>365</v>
      </c>
      <c r="C17" s="167" t="s">
        <v>366</v>
      </c>
      <c r="D17" s="412" t="s">
        <v>3451</v>
      </c>
      <c r="E17" s="168" t="s">
        <v>308</v>
      </c>
      <c r="F17" s="168" t="s">
        <v>362</v>
      </c>
      <c r="G17" s="168" t="s">
        <v>309</v>
      </c>
      <c r="H17" s="168" t="s">
        <v>363</v>
      </c>
      <c r="I17" s="168" t="s">
        <v>367</v>
      </c>
      <c r="J17" s="168" t="s">
        <v>312</v>
      </c>
      <c r="K17" s="168" t="s">
        <v>1849</v>
      </c>
      <c r="L17" s="167" t="s">
        <v>304</v>
      </c>
      <c r="M17" s="167" t="s">
        <v>305</v>
      </c>
      <c r="N17" s="167">
        <v>11</v>
      </c>
      <c r="O17" s="167" t="s">
        <v>366</v>
      </c>
      <c r="P17" s="167" t="s">
        <v>366</v>
      </c>
      <c r="Q17" s="167" t="s">
        <v>365</v>
      </c>
      <c r="R17" s="166" t="s">
        <v>47</v>
      </c>
      <c r="S17" s="169">
        <v>15091</v>
      </c>
      <c r="T17" s="160">
        <v>1200</v>
      </c>
      <c r="U17" s="160">
        <v>0</v>
      </c>
      <c r="V17" s="160">
        <v>4800</v>
      </c>
      <c r="W17" s="160">
        <v>10291</v>
      </c>
      <c r="X17" s="161">
        <v>0</v>
      </c>
      <c r="Y17" s="160"/>
      <c r="Z17" s="16">
        <v>31.8</v>
      </c>
      <c r="AA17" s="162">
        <v>4800</v>
      </c>
      <c r="AB17" s="162">
        <v>1200</v>
      </c>
      <c r="AC17" s="162">
        <v>14400</v>
      </c>
      <c r="AD17" s="160"/>
      <c r="AE17" s="228">
        <v>15091</v>
      </c>
      <c r="AF17" s="163">
        <v>1.0529999999999999</v>
      </c>
      <c r="AG17" s="163">
        <v>1.0489999999999999</v>
      </c>
      <c r="AH17" s="163">
        <v>1.0469999999999999</v>
      </c>
      <c r="AI17" s="164">
        <v>15091</v>
      </c>
      <c r="AJ17" s="164">
        <f t="shared" si="3"/>
        <v>0</v>
      </c>
      <c r="AK17" s="229">
        <f t="shared" si="5"/>
        <v>15091</v>
      </c>
      <c r="AL17" s="229">
        <f ca="1">SUMIF('SM &amp; Vacancies'!A:N,D17,'SM &amp; Vacancies'!N:N)*105.3/100</f>
        <v>15163.2</v>
      </c>
      <c r="AM17" s="229">
        <f t="shared" ca="1" si="1"/>
        <v>15906.1968</v>
      </c>
      <c r="AN17" s="229">
        <f t="shared" ca="1" si="2"/>
        <v>16653.7880496</v>
      </c>
      <c r="AO17" s="166"/>
      <c r="AP17" s="413">
        <f t="shared" ca="1" si="4"/>
        <v>-72.200000000000728</v>
      </c>
      <c r="AR17" s="231"/>
      <c r="AS17" s="231"/>
      <c r="AU17" s="414">
        <v>15091</v>
      </c>
      <c r="AV17" s="415">
        <v>15091</v>
      </c>
      <c r="AW17" s="414">
        <f t="shared" si="0"/>
        <v>0</v>
      </c>
    </row>
    <row r="18" spans="1:49" x14ac:dyDescent="0.3">
      <c r="A18" s="16" t="s">
        <v>48</v>
      </c>
      <c r="B18" s="39" t="s">
        <v>368</v>
      </c>
      <c r="C18" s="39" t="s">
        <v>369</v>
      </c>
      <c r="D18" s="340" t="s">
        <v>3451</v>
      </c>
      <c r="E18" s="159" t="s">
        <v>308</v>
      </c>
      <c r="F18" s="159" t="s">
        <v>362</v>
      </c>
      <c r="G18" s="159" t="s">
        <v>309</v>
      </c>
      <c r="H18" s="159" t="s">
        <v>370</v>
      </c>
      <c r="I18" s="159" t="s">
        <v>371</v>
      </c>
      <c r="J18" s="159" t="s">
        <v>312</v>
      </c>
      <c r="K18" s="159" t="s">
        <v>1849</v>
      </c>
      <c r="L18" s="39" t="s">
        <v>304</v>
      </c>
      <c r="M18" s="39" t="s">
        <v>305</v>
      </c>
      <c r="N18" s="39">
        <v>11</v>
      </c>
      <c r="O18" s="39" t="s">
        <v>369</v>
      </c>
      <c r="P18" s="39" t="s">
        <v>369</v>
      </c>
      <c r="Q18" s="39" t="s">
        <v>368</v>
      </c>
      <c r="R18" s="16" t="s">
        <v>48</v>
      </c>
      <c r="S18" s="169">
        <v>0</v>
      </c>
      <c r="T18" s="160">
        <v>177.12</v>
      </c>
      <c r="U18" s="160">
        <v>0</v>
      </c>
      <c r="V18" s="160">
        <v>708.48</v>
      </c>
      <c r="W18" s="160">
        <v>-708.48</v>
      </c>
      <c r="X18" s="161">
        <v>0</v>
      </c>
      <c r="Y18" s="160"/>
      <c r="Z18" s="16">
        <v>0</v>
      </c>
      <c r="AA18" s="162">
        <v>708.48</v>
      </c>
      <c r="AB18" s="162">
        <v>177.12</v>
      </c>
      <c r="AC18" s="162">
        <v>2125.44</v>
      </c>
      <c r="AD18" s="160"/>
      <c r="AE18" s="145">
        <v>0</v>
      </c>
      <c r="AF18" s="163">
        <v>1.0469999999999999</v>
      </c>
      <c r="AG18" s="164">
        <v>1.046</v>
      </c>
      <c r="AH18" s="164">
        <v>1.046</v>
      </c>
      <c r="AI18" s="164">
        <v>0</v>
      </c>
      <c r="AJ18" s="164">
        <f t="shared" si="3"/>
        <v>0</v>
      </c>
      <c r="AK18" s="165">
        <f t="shared" si="5"/>
        <v>0</v>
      </c>
      <c r="AL18" s="165">
        <v>0</v>
      </c>
      <c r="AM18" s="165">
        <f t="shared" si="1"/>
        <v>0</v>
      </c>
      <c r="AN18" s="165">
        <f t="shared" si="2"/>
        <v>0</v>
      </c>
      <c r="AO18" s="16"/>
      <c r="AP18" s="231">
        <f t="shared" si="4"/>
        <v>0</v>
      </c>
      <c r="AR18" s="231"/>
      <c r="AS18" s="231"/>
      <c r="AU18" s="230">
        <v>0</v>
      </c>
      <c r="AV18" s="233">
        <v>0</v>
      </c>
      <c r="AW18" s="230">
        <f t="shared" si="0"/>
        <v>0</v>
      </c>
    </row>
    <row r="19" spans="1:49" s="172" customFormat="1" x14ac:dyDescent="0.3">
      <c r="A19" s="166" t="s">
        <v>50</v>
      </c>
      <c r="B19" s="167" t="s">
        <v>372</v>
      </c>
      <c r="C19" s="167" t="s">
        <v>302</v>
      </c>
      <c r="D19" s="412">
        <v>501002</v>
      </c>
      <c r="E19" s="168" t="s">
        <v>308</v>
      </c>
      <c r="F19" s="168" t="s">
        <v>362</v>
      </c>
      <c r="G19" s="168" t="s">
        <v>309</v>
      </c>
      <c r="H19" s="168" t="s">
        <v>373</v>
      </c>
      <c r="I19" s="168" t="s">
        <v>374</v>
      </c>
      <c r="J19" s="168" t="s">
        <v>312</v>
      </c>
      <c r="K19" s="168" t="s">
        <v>1849</v>
      </c>
      <c r="L19" s="167" t="s">
        <v>304</v>
      </c>
      <c r="M19" s="167" t="s">
        <v>305</v>
      </c>
      <c r="N19" s="167">
        <v>11</v>
      </c>
      <c r="O19" s="167" t="s">
        <v>302</v>
      </c>
      <c r="P19" s="167" t="s">
        <v>302</v>
      </c>
      <c r="Q19" s="167" t="s">
        <v>372</v>
      </c>
      <c r="R19" s="166" t="s">
        <v>50</v>
      </c>
      <c r="S19" s="169">
        <v>563292</v>
      </c>
      <c r="T19" s="160">
        <v>50175.49</v>
      </c>
      <c r="U19" s="160">
        <v>0</v>
      </c>
      <c r="V19" s="160">
        <v>200692.16</v>
      </c>
      <c r="W19" s="160">
        <v>362599.84</v>
      </c>
      <c r="X19" s="161">
        <v>0</v>
      </c>
      <c r="Y19" s="160"/>
      <c r="Z19" s="16">
        <v>35.619999999999997</v>
      </c>
      <c r="AA19" s="162">
        <v>200692.16</v>
      </c>
      <c r="AB19" s="162">
        <v>50173.04</v>
      </c>
      <c r="AC19" s="162">
        <v>602076.48</v>
      </c>
      <c r="AD19" s="160"/>
      <c r="AE19" s="228">
        <v>563292</v>
      </c>
      <c r="AF19" s="163">
        <v>1.0529999999999999</v>
      </c>
      <c r="AG19" s="163">
        <v>1.0489999999999999</v>
      </c>
      <c r="AH19" s="163">
        <v>1.0469999999999999</v>
      </c>
      <c r="AI19" s="164">
        <v>563292</v>
      </c>
      <c r="AJ19" s="164">
        <f t="shared" si="3"/>
        <v>0</v>
      </c>
      <c r="AK19" s="229">
        <f t="shared" si="5"/>
        <v>563292</v>
      </c>
      <c r="AL19" s="229">
        <f ca="1">SUMIF('MS &amp; Vacancies combined'!A:J,D19,'MS &amp; Vacancies combined'!J:J)*105.3/100</f>
        <v>547431.60707180342</v>
      </c>
      <c r="AM19" s="229">
        <f t="shared" ca="1" si="1"/>
        <v>574255.75581832172</v>
      </c>
      <c r="AN19" s="229">
        <f t="shared" ca="1" si="2"/>
        <v>601245.77634178277</v>
      </c>
      <c r="AO19" s="166"/>
      <c r="AP19" s="413">
        <f t="shared" ca="1" si="4"/>
        <v>15860.392928196583</v>
      </c>
      <c r="AR19" s="231"/>
      <c r="AS19" s="231"/>
      <c r="AU19" s="414">
        <v>563292</v>
      </c>
      <c r="AV19" s="415">
        <v>563292</v>
      </c>
      <c r="AW19" s="414">
        <f t="shared" si="0"/>
        <v>0</v>
      </c>
    </row>
    <row r="20" spans="1:49" s="172" customFormat="1" x14ac:dyDescent="0.3">
      <c r="A20" s="166" t="s">
        <v>52</v>
      </c>
      <c r="B20" s="167" t="s">
        <v>375</v>
      </c>
      <c r="C20" s="167" t="s">
        <v>376</v>
      </c>
      <c r="D20" s="412" t="s">
        <v>3451</v>
      </c>
      <c r="E20" s="168" t="s">
        <v>308</v>
      </c>
      <c r="F20" s="168" t="s">
        <v>362</v>
      </c>
      <c r="G20" s="168" t="s">
        <v>309</v>
      </c>
      <c r="H20" s="168" t="s">
        <v>373</v>
      </c>
      <c r="I20" s="168" t="s">
        <v>377</v>
      </c>
      <c r="J20" s="168" t="s">
        <v>312</v>
      </c>
      <c r="K20" s="168" t="s">
        <v>1849</v>
      </c>
      <c r="L20" s="167" t="s">
        <v>304</v>
      </c>
      <c r="M20" s="167" t="s">
        <v>305</v>
      </c>
      <c r="N20" s="167">
        <v>11</v>
      </c>
      <c r="O20" s="167" t="s">
        <v>376</v>
      </c>
      <c r="P20" s="167" t="s">
        <v>376</v>
      </c>
      <c r="Q20" s="167" t="s">
        <v>375</v>
      </c>
      <c r="R20" s="166" t="s">
        <v>52</v>
      </c>
      <c r="S20" s="169">
        <v>0</v>
      </c>
      <c r="T20" s="160">
        <v>750</v>
      </c>
      <c r="U20" s="160">
        <v>0</v>
      </c>
      <c r="V20" s="160">
        <v>3000</v>
      </c>
      <c r="W20" s="160">
        <v>-3000</v>
      </c>
      <c r="X20" s="161">
        <v>0</v>
      </c>
      <c r="Y20" s="160"/>
      <c r="Z20" s="16">
        <v>0</v>
      </c>
      <c r="AA20" s="162">
        <v>3000</v>
      </c>
      <c r="AB20" s="162">
        <v>750</v>
      </c>
      <c r="AC20" s="162">
        <v>9000</v>
      </c>
      <c r="AD20" s="160"/>
      <c r="AE20" s="145">
        <v>0</v>
      </c>
      <c r="AF20" s="163">
        <v>1.0529999999999999</v>
      </c>
      <c r="AG20" s="163">
        <v>1.0489999999999999</v>
      </c>
      <c r="AH20" s="163">
        <v>1.0469999999999999</v>
      </c>
      <c r="AI20" s="164">
        <v>0</v>
      </c>
      <c r="AJ20" s="164">
        <f t="shared" si="3"/>
        <v>0</v>
      </c>
      <c r="AK20" s="229">
        <f t="shared" si="5"/>
        <v>0</v>
      </c>
      <c r="AL20" s="229">
        <f ca="1">SUMIF('MS &amp; Vacancies combined'!A:M,D20,'MS &amp; Vacancies combined'!M:M)*105.3/100</f>
        <v>8738.2136232889079</v>
      </c>
      <c r="AM20" s="229">
        <f t="shared" ca="1" si="1"/>
        <v>9166.386090830063</v>
      </c>
      <c r="AN20" s="229">
        <f t="shared" ca="1" si="2"/>
        <v>9597.2062370990752</v>
      </c>
      <c r="AO20" s="166"/>
      <c r="AP20" s="413">
        <f t="shared" ca="1" si="4"/>
        <v>-8738.2136232889079</v>
      </c>
      <c r="AR20" s="231"/>
      <c r="AS20" s="231"/>
      <c r="AU20" s="414">
        <v>0</v>
      </c>
      <c r="AV20" s="415">
        <v>0</v>
      </c>
      <c r="AW20" s="414">
        <f t="shared" si="0"/>
        <v>0</v>
      </c>
    </row>
    <row r="21" spans="1:49" s="172" customFormat="1" x14ac:dyDescent="0.3">
      <c r="A21" s="166" t="s">
        <v>54</v>
      </c>
      <c r="B21" s="167" t="s">
        <v>378</v>
      </c>
      <c r="C21" s="167" t="s">
        <v>379</v>
      </c>
      <c r="D21" s="412" t="s">
        <v>3451</v>
      </c>
      <c r="E21" s="168" t="s">
        <v>308</v>
      </c>
      <c r="F21" s="168" t="s">
        <v>362</v>
      </c>
      <c r="G21" s="168" t="s">
        <v>309</v>
      </c>
      <c r="H21" s="168" t="s">
        <v>373</v>
      </c>
      <c r="I21" s="168" t="s">
        <v>380</v>
      </c>
      <c r="J21" s="168" t="s">
        <v>312</v>
      </c>
      <c r="K21" s="168" t="s">
        <v>1849</v>
      </c>
      <c r="L21" s="167" t="s">
        <v>304</v>
      </c>
      <c r="M21" s="167" t="s">
        <v>305</v>
      </c>
      <c r="N21" s="167">
        <v>11</v>
      </c>
      <c r="O21" s="167" t="s">
        <v>379</v>
      </c>
      <c r="P21" s="167" t="s">
        <v>379</v>
      </c>
      <c r="Q21" s="167" t="s">
        <v>378</v>
      </c>
      <c r="R21" s="166" t="s">
        <v>54</v>
      </c>
      <c r="S21" s="169">
        <v>12130</v>
      </c>
      <c r="T21" s="160">
        <v>0</v>
      </c>
      <c r="U21" s="160">
        <v>0</v>
      </c>
      <c r="V21" s="160">
        <v>0</v>
      </c>
      <c r="W21" s="160">
        <v>12130</v>
      </c>
      <c r="X21" s="161">
        <v>0</v>
      </c>
      <c r="Y21" s="160"/>
      <c r="Z21" s="16">
        <v>0</v>
      </c>
      <c r="AA21" s="162">
        <v>0</v>
      </c>
      <c r="AB21" s="162">
        <v>0</v>
      </c>
      <c r="AC21" s="162">
        <v>0</v>
      </c>
      <c r="AD21" s="160"/>
      <c r="AE21" s="145">
        <v>12130</v>
      </c>
      <c r="AF21" s="163">
        <v>1.0529999999999999</v>
      </c>
      <c r="AG21" s="163">
        <v>1.0489999999999999</v>
      </c>
      <c r="AH21" s="163">
        <v>1.0469999999999999</v>
      </c>
      <c r="AI21" s="164">
        <v>12130</v>
      </c>
      <c r="AJ21" s="164">
        <f t="shared" si="3"/>
        <v>0</v>
      </c>
      <c r="AK21" s="229">
        <f t="shared" si="5"/>
        <v>12130</v>
      </c>
      <c r="AL21" s="229">
        <f ca="1">SUMIF('MS &amp; Vacancies combined'!A:L,D21,'MS &amp; Vacancies combined'!L:L)*105.3/100</f>
        <v>11788.083196846688</v>
      </c>
      <c r="AM21" s="229">
        <f t="shared" ca="1" si="1"/>
        <v>12365.699273492175</v>
      </c>
      <c r="AN21" s="229">
        <f t="shared" ca="1" si="2"/>
        <v>12946.887139346307</v>
      </c>
      <c r="AO21" s="166"/>
      <c r="AP21" s="413">
        <f t="shared" ca="1" si="4"/>
        <v>341.91680315331178</v>
      </c>
      <c r="AR21" s="231"/>
      <c r="AS21" s="231"/>
      <c r="AU21" s="414">
        <v>12130</v>
      </c>
      <c r="AV21" s="415">
        <v>12130</v>
      </c>
      <c r="AW21" s="414">
        <f t="shared" si="0"/>
        <v>0</v>
      </c>
    </row>
    <row r="22" spans="1:49" x14ac:dyDescent="0.3">
      <c r="A22" s="16" t="s">
        <v>55</v>
      </c>
      <c r="B22" s="39" t="s">
        <v>381</v>
      </c>
      <c r="C22" s="39" t="s">
        <v>382</v>
      </c>
      <c r="D22" s="340" t="s">
        <v>3451</v>
      </c>
      <c r="E22" s="159" t="s">
        <v>308</v>
      </c>
      <c r="F22" s="159" t="s">
        <v>362</v>
      </c>
      <c r="G22" s="159" t="s">
        <v>309</v>
      </c>
      <c r="H22" s="159" t="s">
        <v>373</v>
      </c>
      <c r="I22" s="159" t="s">
        <v>383</v>
      </c>
      <c r="J22" s="159" t="s">
        <v>312</v>
      </c>
      <c r="K22" s="159" t="s">
        <v>1849</v>
      </c>
      <c r="L22" s="39" t="s">
        <v>304</v>
      </c>
      <c r="M22" s="39" t="s">
        <v>305</v>
      </c>
      <c r="N22" s="39">
        <v>11</v>
      </c>
      <c r="O22" s="39" t="s">
        <v>382</v>
      </c>
      <c r="P22" s="39" t="s">
        <v>382</v>
      </c>
      <c r="Q22" s="39" t="s">
        <v>381</v>
      </c>
      <c r="R22" s="16" t="s">
        <v>55</v>
      </c>
      <c r="S22" s="169">
        <v>0</v>
      </c>
      <c r="T22" s="160">
        <v>0</v>
      </c>
      <c r="U22" s="160">
        <v>0</v>
      </c>
      <c r="V22" s="160">
        <v>0</v>
      </c>
      <c r="W22" s="160">
        <v>0</v>
      </c>
      <c r="X22" s="161">
        <v>0</v>
      </c>
      <c r="Y22" s="160"/>
      <c r="Z22" s="16">
        <v>0</v>
      </c>
      <c r="AA22" s="162">
        <v>0</v>
      </c>
      <c r="AB22" s="162">
        <v>0</v>
      </c>
      <c r="AC22" s="162">
        <v>0</v>
      </c>
      <c r="AD22" s="160"/>
      <c r="AE22" s="145">
        <v>0</v>
      </c>
      <c r="AF22" s="163">
        <v>1.0469999999999999</v>
      </c>
      <c r="AG22" s="164">
        <v>1.046</v>
      </c>
      <c r="AH22" s="164">
        <v>1.046</v>
      </c>
      <c r="AI22" s="164">
        <v>0</v>
      </c>
      <c r="AJ22" s="164">
        <f t="shared" si="3"/>
        <v>0</v>
      </c>
      <c r="AK22" s="165">
        <f t="shared" si="5"/>
        <v>0</v>
      </c>
      <c r="AL22" s="165">
        <v>0</v>
      </c>
      <c r="AM22" s="165">
        <f t="shared" si="1"/>
        <v>0</v>
      </c>
      <c r="AN22" s="165">
        <f t="shared" si="2"/>
        <v>0</v>
      </c>
      <c r="AO22" s="16"/>
      <c r="AP22" s="231">
        <f t="shared" si="4"/>
        <v>0</v>
      </c>
      <c r="AR22" s="231"/>
      <c r="AS22" s="231"/>
      <c r="AU22" s="230">
        <v>0</v>
      </c>
      <c r="AV22" s="233">
        <v>0</v>
      </c>
      <c r="AW22" s="230">
        <f t="shared" si="0"/>
        <v>0</v>
      </c>
    </row>
    <row r="23" spans="1:49" s="172" customFormat="1" x14ac:dyDescent="0.3">
      <c r="A23" s="166" t="s">
        <v>56</v>
      </c>
      <c r="B23" s="167" t="s">
        <v>384</v>
      </c>
      <c r="C23" s="167" t="s">
        <v>385</v>
      </c>
      <c r="D23" s="412" t="s">
        <v>3451</v>
      </c>
      <c r="E23" s="168" t="s">
        <v>308</v>
      </c>
      <c r="F23" s="168" t="s">
        <v>362</v>
      </c>
      <c r="G23" s="168" t="s">
        <v>309</v>
      </c>
      <c r="H23" s="168" t="s">
        <v>373</v>
      </c>
      <c r="I23" s="168" t="s">
        <v>386</v>
      </c>
      <c r="J23" s="168" t="s">
        <v>387</v>
      </c>
      <c r="K23" s="168" t="s">
        <v>1849</v>
      </c>
      <c r="L23" s="167" t="s">
        <v>304</v>
      </c>
      <c r="M23" s="167" t="s">
        <v>305</v>
      </c>
      <c r="N23" s="167">
        <v>11</v>
      </c>
      <c r="O23" s="167" t="s">
        <v>385</v>
      </c>
      <c r="P23" s="167" t="s">
        <v>385</v>
      </c>
      <c r="Q23" s="167" t="s">
        <v>384</v>
      </c>
      <c r="R23" s="166" t="s">
        <v>56</v>
      </c>
      <c r="S23" s="169">
        <v>0</v>
      </c>
      <c r="T23" s="160">
        <v>0</v>
      </c>
      <c r="U23" s="160">
        <v>0</v>
      </c>
      <c r="V23" s="160">
        <v>0</v>
      </c>
      <c r="W23" s="160">
        <v>0</v>
      </c>
      <c r="X23" s="161">
        <v>0</v>
      </c>
      <c r="Y23" s="160"/>
      <c r="Z23" s="16">
        <v>0</v>
      </c>
      <c r="AA23" s="162">
        <v>0</v>
      </c>
      <c r="AB23" s="162">
        <v>0</v>
      </c>
      <c r="AC23" s="162">
        <v>0</v>
      </c>
      <c r="AD23" s="160"/>
      <c r="AE23" s="145">
        <v>0</v>
      </c>
      <c r="AF23" s="163">
        <v>1.0529999999999999</v>
      </c>
      <c r="AG23" s="163">
        <v>1.0489999999999999</v>
      </c>
      <c r="AH23" s="163">
        <v>1.0469999999999999</v>
      </c>
      <c r="AI23" s="164">
        <v>0</v>
      </c>
      <c r="AJ23" s="164">
        <f t="shared" si="3"/>
        <v>0</v>
      </c>
      <c r="AK23" s="229">
        <f t="shared" si="5"/>
        <v>0</v>
      </c>
      <c r="AL23" s="229">
        <f ca="1">SUMIF('MS &amp; Vacancies combined'!A:O,D23,'MS &amp; Vacancies combined'!O:O)*105.3/100</f>
        <v>0</v>
      </c>
      <c r="AM23" s="229">
        <f ca="1">AL23*AG23</f>
        <v>0</v>
      </c>
      <c r="AN23" s="229">
        <f ca="1">AM23*AH23</f>
        <v>0</v>
      </c>
      <c r="AO23" s="166"/>
      <c r="AP23" s="413">
        <f t="shared" ca="1" si="4"/>
        <v>0</v>
      </c>
      <c r="AR23" s="231"/>
      <c r="AS23" s="231"/>
      <c r="AU23" s="414">
        <v>0</v>
      </c>
      <c r="AV23" s="415">
        <v>0</v>
      </c>
      <c r="AW23" s="414">
        <f t="shared" si="0"/>
        <v>0</v>
      </c>
    </row>
    <row r="24" spans="1:49" x14ac:dyDescent="0.3">
      <c r="A24" s="16" t="s">
        <v>57</v>
      </c>
      <c r="B24" s="39" t="s">
        <v>388</v>
      </c>
      <c r="C24" s="39" t="s">
        <v>389</v>
      </c>
      <c r="D24" s="340" t="s">
        <v>3451</v>
      </c>
      <c r="E24" s="159" t="s">
        <v>308</v>
      </c>
      <c r="F24" s="159" t="s">
        <v>362</v>
      </c>
      <c r="G24" s="159" t="s">
        <v>309</v>
      </c>
      <c r="H24" s="159" t="s">
        <v>373</v>
      </c>
      <c r="I24" s="159" t="s">
        <v>390</v>
      </c>
      <c r="J24" s="159" t="s">
        <v>312</v>
      </c>
      <c r="K24" s="159" t="s">
        <v>1849</v>
      </c>
      <c r="L24" s="39" t="s">
        <v>304</v>
      </c>
      <c r="M24" s="39" t="s">
        <v>305</v>
      </c>
      <c r="N24" s="39">
        <v>11</v>
      </c>
      <c r="O24" s="39" t="s">
        <v>389</v>
      </c>
      <c r="P24" s="39" t="s">
        <v>389</v>
      </c>
      <c r="Q24" s="39" t="s">
        <v>388</v>
      </c>
      <c r="R24" s="16" t="s">
        <v>57</v>
      </c>
      <c r="S24" s="169">
        <v>0</v>
      </c>
      <c r="T24" s="160">
        <v>0</v>
      </c>
      <c r="U24" s="160">
        <v>0</v>
      </c>
      <c r="V24" s="160">
        <v>0</v>
      </c>
      <c r="W24" s="160">
        <v>0</v>
      </c>
      <c r="X24" s="161">
        <v>0</v>
      </c>
      <c r="Y24" s="160"/>
      <c r="Z24" s="16">
        <v>0</v>
      </c>
      <c r="AA24" s="162">
        <v>0</v>
      </c>
      <c r="AB24" s="162">
        <v>0</v>
      </c>
      <c r="AC24" s="162">
        <v>0</v>
      </c>
      <c r="AD24" s="160"/>
      <c r="AE24" s="145">
        <v>0</v>
      </c>
      <c r="AF24" s="421">
        <v>1.0529999999999999</v>
      </c>
      <c r="AG24" s="421">
        <v>1.0489999999999999</v>
      </c>
      <c r="AH24" s="421">
        <v>1.0469999999999999</v>
      </c>
      <c r="AI24" s="164">
        <v>0</v>
      </c>
      <c r="AJ24" s="164">
        <f t="shared" si="3"/>
        <v>0</v>
      </c>
      <c r="AK24" s="165">
        <f t="shared" si="5"/>
        <v>0</v>
      </c>
      <c r="AL24" s="165">
        <f>AK24*80%</f>
        <v>0</v>
      </c>
      <c r="AM24" s="165">
        <f t="shared" si="1"/>
        <v>0</v>
      </c>
      <c r="AN24" s="165">
        <f t="shared" si="2"/>
        <v>0</v>
      </c>
      <c r="AO24" s="16"/>
      <c r="AP24" s="231">
        <f t="shared" si="4"/>
        <v>0</v>
      </c>
      <c r="AR24" s="231"/>
      <c r="AS24" s="231"/>
      <c r="AU24" s="230">
        <v>0</v>
      </c>
      <c r="AV24" s="233">
        <v>0</v>
      </c>
      <c r="AW24" s="230">
        <f t="shared" si="0"/>
        <v>0</v>
      </c>
    </row>
    <row r="25" spans="1:49" x14ac:dyDescent="0.3">
      <c r="A25" s="16" t="s">
        <v>60</v>
      </c>
      <c r="B25" s="39" t="s">
        <v>391</v>
      </c>
      <c r="C25" s="39" t="s">
        <v>392</v>
      </c>
      <c r="D25" s="340" t="s">
        <v>3451</v>
      </c>
      <c r="E25" s="159" t="s">
        <v>308</v>
      </c>
      <c r="F25" s="159" t="s">
        <v>362</v>
      </c>
      <c r="G25" s="159" t="s">
        <v>309</v>
      </c>
      <c r="H25" s="159" t="s">
        <v>373</v>
      </c>
      <c r="I25" s="159" t="s">
        <v>393</v>
      </c>
      <c r="J25" s="159" t="s">
        <v>312</v>
      </c>
      <c r="K25" s="159" t="s">
        <v>1849</v>
      </c>
      <c r="L25" s="39" t="s">
        <v>304</v>
      </c>
      <c r="M25" s="39" t="s">
        <v>305</v>
      </c>
      <c r="N25" s="39">
        <v>11</v>
      </c>
      <c r="O25" s="39" t="s">
        <v>392</v>
      </c>
      <c r="P25" s="39" t="s">
        <v>392</v>
      </c>
      <c r="Q25" s="39" t="s">
        <v>391</v>
      </c>
      <c r="R25" s="16" t="s">
        <v>60</v>
      </c>
      <c r="S25" s="169">
        <v>0</v>
      </c>
      <c r="T25" s="160">
        <v>0</v>
      </c>
      <c r="U25" s="160">
        <v>0</v>
      </c>
      <c r="V25" s="160">
        <v>0</v>
      </c>
      <c r="W25" s="160">
        <v>0</v>
      </c>
      <c r="X25" s="161">
        <v>0</v>
      </c>
      <c r="Y25" s="160"/>
      <c r="Z25" s="16">
        <v>0</v>
      </c>
      <c r="AA25" s="162">
        <v>0</v>
      </c>
      <c r="AB25" s="162">
        <v>0</v>
      </c>
      <c r="AC25" s="162">
        <v>0</v>
      </c>
      <c r="AD25" s="160"/>
      <c r="AE25" s="145">
        <v>0</v>
      </c>
      <c r="AF25" s="421">
        <v>1.0529999999999999</v>
      </c>
      <c r="AG25" s="421">
        <v>1.0489999999999999</v>
      </c>
      <c r="AH25" s="421">
        <v>1.0469999999999999</v>
      </c>
      <c r="AI25" s="164">
        <v>0</v>
      </c>
      <c r="AJ25" s="164">
        <f t="shared" si="3"/>
        <v>0</v>
      </c>
      <c r="AK25" s="165">
        <f t="shared" si="5"/>
        <v>0</v>
      </c>
      <c r="AL25" s="165">
        <f>AK25*AF25</f>
        <v>0</v>
      </c>
      <c r="AM25" s="165">
        <f t="shared" si="1"/>
        <v>0</v>
      </c>
      <c r="AN25" s="165">
        <f t="shared" si="2"/>
        <v>0</v>
      </c>
      <c r="AO25" s="16"/>
      <c r="AP25" s="231">
        <f t="shared" si="4"/>
        <v>0</v>
      </c>
      <c r="AR25" s="231"/>
      <c r="AS25" s="231"/>
      <c r="AU25" s="230">
        <v>0</v>
      </c>
      <c r="AV25" s="233">
        <v>0</v>
      </c>
      <c r="AW25" s="230">
        <f t="shared" si="0"/>
        <v>0</v>
      </c>
    </row>
    <row r="26" spans="1:49" s="172" customFormat="1" x14ac:dyDescent="0.3">
      <c r="A26" s="166" t="s">
        <v>62</v>
      </c>
      <c r="B26" s="167" t="s">
        <v>394</v>
      </c>
      <c r="C26" s="167" t="s">
        <v>395</v>
      </c>
      <c r="D26" s="412" t="s">
        <v>3451</v>
      </c>
      <c r="E26" s="168" t="s">
        <v>308</v>
      </c>
      <c r="F26" s="168" t="s">
        <v>362</v>
      </c>
      <c r="G26" s="168" t="s">
        <v>309</v>
      </c>
      <c r="H26" s="168" t="s">
        <v>373</v>
      </c>
      <c r="I26" s="168" t="s">
        <v>396</v>
      </c>
      <c r="J26" s="168" t="s">
        <v>312</v>
      </c>
      <c r="K26" s="168" t="s">
        <v>1849</v>
      </c>
      <c r="L26" s="167" t="s">
        <v>304</v>
      </c>
      <c r="M26" s="167" t="s">
        <v>305</v>
      </c>
      <c r="N26" s="167">
        <v>11</v>
      </c>
      <c r="O26" s="167" t="s">
        <v>395</v>
      </c>
      <c r="P26" s="167" t="s">
        <v>395</v>
      </c>
      <c r="Q26" s="167" t="s">
        <v>394</v>
      </c>
      <c r="R26" s="166" t="s">
        <v>62</v>
      </c>
      <c r="S26" s="169">
        <v>46941</v>
      </c>
      <c r="T26" s="160">
        <v>0</v>
      </c>
      <c r="U26" s="160">
        <v>0</v>
      </c>
      <c r="V26" s="160">
        <v>0</v>
      </c>
      <c r="W26" s="160">
        <v>46941</v>
      </c>
      <c r="X26" s="161">
        <v>0</v>
      </c>
      <c r="Y26" s="160"/>
      <c r="Z26" s="16">
        <v>0</v>
      </c>
      <c r="AA26" s="162">
        <v>0</v>
      </c>
      <c r="AB26" s="162">
        <v>0</v>
      </c>
      <c r="AC26" s="162">
        <v>0</v>
      </c>
      <c r="AD26" s="160"/>
      <c r="AE26" s="145">
        <v>46941</v>
      </c>
      <c r="AF26" s="163">
        <v>1.0529999999999999</v>
      </c>
      <c r="AG26" s="163">
        <v>1.0489999999999999</v>
      </c>
      <c r="AH26" s="163">
        <v>1.0469999999999999</v>
      </c>
      <c r="AI26" s="164">
        <v>46941</v>
      </c>
      <c r="AJ26" s="164">
        <f t="shared" si="3"/>
        <v>0</v>
      </c>
      <c r="AK26" s="229">
        <f t="shared" si="5"/>
        <v>46941</v>
      </c>
      <c r="AL26" s="229">
        <f ca="1">SUMIF('MS &amp; Vacancies combined'!A:K,D26,'MS &amp; Vacancies combined'!K:K)*105.3/100</f>
        <v>45619.300589316954</v>
      </c>
      <c r="AM26" s="229">
        <f t="shared" ca="1" si="1"/>
        <v>47854.646318193481</v>
      </c>
      <c r="AN26" s="229">
        <f t="shared" ca="1" si="2"/>
        <v>50103.814695148569</v>
      </c>
      <c r="AO26" s="166"/>
      <c r="AP26" s="413">
        <f t="shared" ca="1" si="4"/>
        <v>1321.6994106830462</v>
      </c>
      <c r="AR26" s="231"/>
      <c r="AS26" s="231"/>
      <c r="AU26" s="414">
        <v>46941</v>
      </c>
      <c r="AV26" s="415">
        <v>46941</v>
      </c>
      <c r="AW26" s="414">
        <f t="shared" si="0"/>
        <v>0</v>
      </c>
    </row>
    <row r="27" spans="1:49" s="172" customFormat="1" x14ac:dyDescent="0.3">
      <c r="A27" s="166" t="s">
        <v>69</v>
      </c>
      <c r="B27" s="167" t="s">
        <v>397</v>
      </c>
      <c r="C27" s="167" t="s">
        <v>398</v>
      </c>
      <c r="D27" s="412" t="s">
        <v>3451</v>
      </c>
      <c r="E27" s="168" t="s">
        <v>308</v>
      </c>
      <c r="F27" s="168" t="s">
        <v>362</v>
      </c>
      <c r="G27" s="168" t="s">
        <v>309</v>
      </c>
      <c r="H27" s="168" t="s">
        <v>310</v>
      </c>
      <c r="I27" s="168" t="s">
        <v>374</v>
      </c>
      <c r="J27" s="168" t="s">
        <v>312</v>
      </c>
      <c r="K27" s="168" t="s">
        <v>1849</v>
      </c>
      <c r="L27" s="167" t="s">
        <v>304</v>
      </c>
      <c r="M27" s="167" t="s">
        <v>305</v>
      </c>
      <c r="N27" s="167">
        <v>11</v>
      </c>
      <c r="O27" s="167" t="s">
        <v>398</v>
      </c>
      <c r="P27" s="167" t="s">
        <v>398</v>
      </c>
      <c r="Q27" s="167" t="s">
        <v>397</v>
      </c>
      <c r="R27" s="166" t="s">
        <v>69</v>
      </c>
      <c r="S27" s="169">
        <v>130</v>
      </c>
      <c r="T27" s="160">
        <v>21.6</v>
      </c>
      <c r="U27" s="160">
        <v>0</v>
      </c>
      <c r="V27" s="160">
        <v>86.4</v>
      </c>
      <c r="W27" s="160">
        <v>43.6</v>
      </c>
      <c r="X27" s="161">
        <v>0</v>
      </c>
      <c r="Y27" s="160"/>
      <c r="Z27" s="16">
        <v>66.459999999999994</v>
      </c>
      <c r="AA27" s="162">
        <v>86.4</v>
      </c>
      <c r="AB27" s="162">
        <v>21.6</v>
      </c>
      <c r="AC27" s="162">
        <v>259.20000000000005</v>
      </c>
      <c r="AD27" s="160"/>
      <c r="AE27" s="145">
        <v>130</v>
      </c>
      <c r="AF27" s="163">
        <v>1.0529999999999999</v>
      </c>
      <c r="AG27" s="163">
        <v>1.0489999999999999</v>
      </c>
      <c r="AH27" s="163">
        <v>1.0469999999999999</v>
      </c>
      <c r="AI27" s="164">
        <v>130</v>
      </c>
      <c r="AJ27" s="164">
        <f t="shared" si="3"/>
        <v>0</v>
      </c>
      <c r="AK27" s="229">
        <f t="shared" si="5"/>
        <v>130</v>
      </c>
      <c r="AL27" s="229">
        <f ca="1">SUMIF('MS &amp; Vacancies combined'!A:N,D27,'MS &amp; Vacancies combined'!N:N)*105.3/100</f>
        <v>125.83027617536028</v>
      </c>
      <c r="AM27" s="229">
        <f t="shared" ca="1" si="1"/>
        <v>131.99595970795292</v>
      </c>
      <c r="AN27" s="229">
        <f t="shared" ca="1" si="2"/>
        <v>138.1997698142267</v>
      </c>
      <c r="AO27" s="166"/>
      <c r="AP27" s="413">
        <f t="shared" ca="1" si="4"/>
        <v>4.1697238246397177</v>
      </c>
      <c r="AR27" s="231"/>
      <c r="AS27" s="231"/>
      <c r="AU27" s="414">
        <v>130</v>
      </c>
      <c r="AV27" s="415">
        <v>130</v>
      </c>
      <c r="AW27" s="414">
        <f t="shared" si="0"/>
        <v>0</v>
      </c>
    </row>
    <row r="28" spans="1:49" s="172" customFormat="1" x14ac:dyDescent="0.3">
      <c r="A28" s="166" t="s">
        <v>70</v>
      </c>
      <c r="B28" s="167" t="s">
        <v>399</v>
      </c>
      <c r="C28" s="167" t="s">
        <v>400</v>
      </c>
      <c r="D28" s="412" t="s">
        <v>3451</v>
      </c>
      <c r="E28" s="168" t="s">
        <v>308</v>
      </c>
      <c r="F28" s="168" t="s">
        <v>362</v>
      </c>
      <c r="G28" s="168" t="s">
        <v>309</v>
      </c>
      <c r="H28" s="168" t="s">
        <v>310</v>
      </c>
      <c r="I28" s="168" t="s">
        <v>401</v>
      </c>
      <c r="J28" s="168" t="s">
        <v>312</v>
      </c>
      <c r="K28" s="168" t="s">
        <v>1849</v>
      </c>
      <c r="L28" s="167" t="s">
        <v>304</v>
      </c>
      <c r="M28" s="167" t="s">
        <v>305</v>
      </c>
      <c r="N28" s="167">
        <v>11</v>
      </c>
      <c r="O28" s="167" t="s">
        <v>400</v>
      </c>
      <c r="P28" s="167" t="s">
        <v>400</v>
      </c>
      <c r="Q28" s="167" t="s">
        <v>399</v>
      </c>
      <c r="R28" s="166" t="s">
        <v>70</v>
      </c>
      <c r="S28" s="169">
        <v>9576</v>
      </c>
      <c r="T28" s="160">
        <v>792.4</v>
      </c>
      <c r="U28" s="160">
        <v>0</v>
      </c>
      <c r="V28" s="160">
        <v>3229.32</v>
      </c>
      <c r="W28" s="160">
        <v>6346.68</v>
      </c>
      <c r="X28" s="161">
        <v>0</v>
      </c>
      <c r="Y28" s="160"/>
      <c r="Z28" s="16">
        <v>33.72</v>
      </c>
      <c r="AA28" s="162">
        <v>3229.32</v>
      </c>
      <c r="AB28" s="162">
        <v>807.33</v>
      </c>
      <c r="AC28" s="162">
        <v>9687.9600000000009</v>
      </c>
      <c r="AD28" s="160"/>
      <c r="AE28" s="145">
        <v>9576</v>
      </c>
      <c r="AF28" s="163">
        <v>1.0529999999999999</v>
      </c>
      <c r="AG28" s="163">
        <v>1.0489999999999999</v>
      </c>
      <c r="AH28" s="163">
        <v>1.0469999999999999</v>
      </c>
      <c r="AI28" s="164">
        <v>9576</v>
      </c>
      <c r="AJ28" s="164">
        <f t="shared" si="3"/>
        <v>0</v>
      </c>
      <c r="AK28" s="229">
        <f t="shared" si="5"/>
        <v>9576</v>
      </c>
      <c r="AL28" s="229">
        <f ca="1">SUMIF('MS &amp; Vacancies combined'!A:P,D28,'MS &amp; Vacancies combined'!P:P)*105.3/100</f>
        <v>9580.0531237565629</v>
      </c>
      <c r="AM28" s="229">
        <f t="shared" ca="1" si="1"/>
        <v>10049.475726820634</v>
      </c>
      <c r="AN28" s="229">
        <f t="shared" ca="1" si="2"/>
        <v>10521.801085981204</v>
      </c>
      <c r="AO28" s="166"/>
      <c r="AP28" s="413">
        <f t="shared" ca="1" si="4"/>
        <v>-4.0531237565628544</v>
      </c>
      <c r="AR28" s="231"/>
      <c r="AS28" s="231"/>
      <c r="AU28" s="414">
        <v>9576</v>
      </c>
      <c r="AV28" s="415">
        <v>9576</v>
      </c>
      <c r="AW28" s="414">
        <f t="shared" si="0"/>
        <v>0</v>
      </c>
    </row>
    <row r="29" spans="1:49" s="172" customFormat="1" x14ac:dyDescent="0.3">
      <c r="A29" s="166" t="s">
        <v>71</v>
      </c>
      <c r="B29" s="167" t="s">
        <v>402</v>
      </c>
      <c r="C29" s="167" t="s">
        <v>403</v>
      </c>
      <c r="D29" s="412" t="s">
        <v>3451</v>
      </c>
      <c r="E29" s="168" t="s">
        <v>308</v>
      </c>
      <c r="F29" s="168" t="s">
        <v>362</v>
      </c>
      <c r="G29" s="168" t="s">
        <v>309</v>
      </c>
      <c r="H29" s="168" t="s">
        <v>310</v>
      </c>
      <c r="I29" s="168" t="s">
        <v>404</v>
      </c>
      <c r="J29" s="168" t="s">
        <v>312</v>
      </c>
      <c r="K29" s="168" t="s">
        <v>1849</v>
      </c>
      <c r="L29" s="167" t="s">
        <v>304</v>
      </c>
      <c r="M29" s="167" t="s">
        <v>305</v>
      </c>
      <c r="N29" s="167">
        <v>11</v>
      </c>
      <c r="O29" s="167" t="s">
        <v>403</v>
      </c>
      <c r="P29" s="167" t="s">
        <v>403</v>
      </c>
      <c r="Q29" s="167" t="s">
        <v>402</v>
      </c>
      <c r="R29" s="166" t="s">
        <v>71</v>
      </c>
      <c r="S29" s="169">
        <v>60027</v>
      </c>
      <c r="T29" s="160">
        <v>3120.6</v>
      </c>
      <c r="U29" s="160">
        <v>0</v>
      </c>
      <c r="V29" s="160">
        <v>12482.4</v>
      </c>
      <c r="W29" s="160">
        <v>47544.6</v>
      </c>
      <c r="X29" s="161">
        <v>0</v>
      </c>
      <c r="Y29" s="160"/>
      <c r="Z29" s="16">
        <v>20.79</v>
      </c>
      <c r="AA29" s="162">
        <v>12482.4</v>
      </c>
      <c r="AB29" s="162">
        <v>3120.6</v>
      </c>
      <c r="AC29" s="162">
        <v>37447.199999999997</v>
      </c>
      <c r="AD29" s="160"/>
      <c r="AE29" s="145">
        <v>60027</v>
      </c>
      <c r="AF29" s="163">
        <v>1.0529999999999999</v>
      </c>
      <c r="AG29" s="163">
        <v>1.0489999999999999</v>
      </c>
      <c r="AH29" s="163">
        <v>1.0469999999999999</v>
      </c>
      <c r="AI29" s="164">
        <v>60027</v>
      </c>
      <c r="AJ29" s="164">
        <f t="shared" si="3"/>
        <v>0</v>
      </c>
      <c r="AK29" s="229">
        <f t="shared" si="5"/>
        <v>60027</v>
      </c>
      <c r="AL29" s="229">
        <f ca="1">SUMIF('MS &amp; Vacancies combined'!A:Q,D29,'MS &amp; Vacancies combined'!Q:Q)*105.3/100</f>
        <v>58336.314149076752</v>
      </c>
      <c r="AM29" s="229">
        <f t="shared" ca="1" si="1"/>
        <v>61194.793542381507</v>
      </c>
      <c r="AN29" s="229">
        <f t="shared" ca="1" si="2"/>
        <v>64070.948838873432</v>
      </c>
      <c r="AO29" s="166"/>
      <c r="AP29" s="413">
        <f t="shared" ca="1" si="4"/>
        <v>1690.6858509232479</v>
      </c>
      <c r="AR29" s="231"/>
      <c r="AS29" s="231"/>
      <c r="AU29" s="414">
        <v>60027</v>
      </c>
      <c r="AV29" s="415">
        <v>60027</v>
      </c>
      <c r="AW29" s="414">
        <f t="shared" si="0"/>
        <v>0</v>
      </c>
    </row>
    <row r="30" spans="1:49" s="172" customFormat="1" x14ac:dyDescent="0.3">
      <c r="A30" s="166" t="s">
        <v>72</v>
      </c>
      <c r="B30" s="167" t="s">
        <v>405</v>
      </c>
      <c r="C30" s="167" t="s">
        <v>406</v>
      </c>
      <c r="D30" s="412" t="s">
        <v>3451</v>
      </c>
      <c r="E30" s="168" t="s">
        <v>308</v>
      </c>
      <c r="F30" s="168" t="s">
        <v>362</v>
      </c>
      <c r="G30" s="168" t="s">
        <v>309</v>
      </c>
      <c r="H30" s="168" t="s">
        <v>310</v>
      </c>
      <c r="I30" s="168" t="s">
        <v>407</v>
      </c>
      <c r="J30" s="168" t="s">
        <v>312</v>
      </c>
      <c r="K30" s="168" t="s">
        <v>1849</v>
      </c>
      <c r="L30" s="167" t="s">
        <v>304</v>
      </c>
      <c r="M30" s="167" t="s">
        <v>305</v>
      </c>
      <c r="N30" s="167">
        <v>11</v>
      </c>
      <c r="O30" s="167" t="s">
        <v>406</v>
      </c>
      <c r="P30" s="167" t="s">
        <v>406</v>
      </c>
      <c r="Q30" s="167" t="s">
        <v>405</v>
      </c>
      <c r="R30" s="166" t="s">
        <v>72</v>
      </c>
      <c r="S30" s="169">
        <v>101787</v>
      </c>
      <c r="T30" s="160">
        <v>8490.3700000000008</v>
      </c>
      <c r="U30" s="160">
        <v>0</v>
      </c>
      <c r="V30" s="160">
        <v>33961.480000000003</v>
      </c>
      <c r="W30" s="160">
        <v>67825.52</v>
      </c>
      <c r="X30" s="161">
        <v>0</v>
      </c>
      <c r="Y30" s="160"/>
      <c r="Z30" s="16">
        <v>33.36</v>
      </c>
      <c r="AA30" s="162">
        <v>33961.480000000003</v>
      </c>
      <c r="AB30" s="162">
        <v>8490.3700000000008</v>
      </c>
      <c r="AC30" s="162">
        <v>101884.44</v>
      </c>
      <c r="AD30" s="160"/>
      <c r="AE30" s="145">
        <v>101787</v>
      </c>
      <c r="AF30" s="163">
        <v>1.0529999999999999</v>
      </c>
      <c r="AG30" s="163">
        <v>1.0489999999999999</v>
      </c>
      <c r="AH30" s="163">
        <v>1.0469999999999999</v>
      </c>
      <c r="AI30" s="164">
        <v>101787</v>
      </c>
      <c r="AJ30" s="164">
        <f t="shared" si="3"/>
        <v>0</v>
      </c>
      <c r="AK30" s="229">
        <f t="shared" si="5"/>
        <v>101787</v>
      </c>
      <c r="AL30" s="229">
        <f ca="1">SUMIF('MS &amp; Vacancies combined'!A:R,D30,'MS &amp; Vacancies combined'!R:R)*105.3/100</f>
        <v>98920.891397874875</v>
      </c>
      <c r="AM30" s="229">
        <f t="shared" ca="1" si="1"/>
        <v>103768.01507637074</v>
      </c>
      <c r="AN30" s="229">
        <f t="shared" ca="1" si="2"/>
        <v>108645.11178496016</v>
      </c>
      <c r="AO30" s="166"/>
      <c r="AP30" s="413">
        <f t="shared" ca="1" si="4"/>
        <v>2866.1086021251249</v>
      </c>
      <c r="AR30" s="231"/>
      <c r="AS30" s="231"/>
      <c r="AU30" s="414">
        <v>101787</v>
      </c>
      <c r="AV30" s="415">
        <v>101787</v>
      </c>
      <c r="AW30" s="414">
        <f t="shared" si="0"/>
        <v>0</v>
      </c>
    </row>
    <row r="31" spans="1:49" s="172" customFormat="1" x14ac:dyDescent="0.3">
      <c r="A31" s="166" t="s">
        <v>73</v>
      </c>
      <c r="B31" s="167" t="s">
        <v>408</v>
      </c>
      <c r="C31" s="167" t="s">
        <v>307</v>
      </c>
      <c r="D31" s="412" t="s">
        <v>3451</v>
      </c>
      <c r="E31" s="168" t="s">
        <v>308</v>
      </c>
      <c r="F31" s="168" t="s">
        <v>362</v>
      </c>
      <c r="G31" s="168" t="s">
        <v>309</v>
      </c>
      <c r="H31" s="168" t="s">
        <v>310</v>
      </c>
      <c r="I31" s="168" t="s">
        <v>311</v>
      </c>
      <c r="J31" s="168" t="s">
        <v>312</v>
      </c>
      <c r="K31" s="168" t="s">
        <v>1849</v>
      </c>
      <c r="L31" s="167" t="s">
        <v>304</v>
      </c>
      <c r="M31" s="167" t="s">
        <v>305</v>
      </c>
      <c r="N31" s="167">
        <v>11</v>
      </c>
      <c r="O31" s="167" t="s">
        <v>307</v>
      </c>
      <c r="P31" s="167" t="s">
        <v>307</v>
      </c>
      <c r="Q31" s="167" t="s">
        <v>408</v>
      </c>
      <c r="R31" s="166" t="s">
        <v>73</v>
      </c>
      <c r="S31" s="169">
        <v>2227</v>
      </c>
      <c r="T31" s="160">
        <v>177.12</v>
      </c>
      <c r="U31" s="160">
        <v>0</v>
      </c>
      <c r="V31" s="160">
        <v>708.48</v>
      </c>
      <c r="W31" s="160">
        <v>1518.52</v>
      </c>
      <c r="X31" s="161">
        <v>0</v>
      </c>
      <c r="Y31" s="160"/>
      <c r="Z31" s="16">
        <v>31.81</v>
      </c>
      <c r="AA31" s="162">
        <v>708.48</v>
      </c>
      <c r="AB31" s="162">
        <v>177.12</v>
      </c>
      <c r="AC31" s="162">
        <v>2125.44</v>
      </c>
      <c r="AD31" s="160"/>
      <c r="AE31" s="145">
        <v>2227</v>
      </c>
      <c r="AF31" s="163">
        <v>1.0529999999999999</v>
      </c>
      <c r="AG31" s="163">
        <v>1.0489999999999999</v>
      </c>
      <c r="AH31" s="163">
        <v>1.0469999999999999</v>
      </c>
      <c r="AI31" s="164">
        <v>2227</v>
      </c>
      <c r="AJ31" s="164">
        <f t="shared" si="3"/>
        <v>0</v>
      </c>
      <c r="AK31" s="229">
        <f t="shared" si="5"/>
        <v>2227</v>
      </c>
      <c r="AL31" s="229">
        <f ca="1">SUMIF('MS &amp; Vacancies combined'!A:S,D31,'MS &amp; Vacancies combined'!S:S)*105.3/100</f>
        <v>2063.6165292759088</v>
      </c>
      <c r="AM31" s="229">
        <f t="shared" ca="1" si="1"/>
        <v>2164.7337392104282</v>
      </c>
      <c r="AN31" s="229">
        <f t="shared" ca="1" si="2"/>
        <v>2266.4762249533183</v>
      </c>
      <c r="AO31" s="166"/>
      <c r="AP31" s="413">
        <f t="shared" ca="1" si="4"/>
        <v>163.38347072409124</v>
      </c>
      <c r="AR31" s="231"/>
      <c r="AS31" s="231"/>
      <c r="AU31" s="414">
        <v>2227</v>
      </c>
      <c r="AV31" s="415">
        <v>2227</v>
      </c>
      <c r="AW31" s="414">
        <f t="shared" si="0"/>
        <v>0</v>
      </c>
    </row>
    <row r="32" spans="1:49" hidden="1" x14ac:dyDescent="0.3">
      <c r="A32" s="16" t="s">
        <v>324</v>
      </c>
      <c r="B32" s="39" t="s">
        <v>409</v>
      </c>
      <c r="C32" s="39" t="s">
        <v>76</v>
      </c>
      <c r="D32" s="340" t="s">
        <v>3451</v>
      </c>
      <c r="E32" s="159" t="s">
        <v>308</v>
      </c>
      <c r="F32" s="159" t="s">
        <v>362</v>
      </c>
      <c r="G32" s="159" t="s">
        <v>309</v>
      </c>
      <c r="H32" s="159" t="s">
        <v>325</v>
      </c>
      <c r="I32" s="159" t="s">
        <v>326</v>
      </c>
      <c r="J32" s="159" t="s">
        <v>327</v>
      </c>
      <c r="K32" s="159" t="s">
        <v>1849</v>
      </c>
      <c r="L32" s="39" t="s">
        <v>304</v>
      </c>
      <c r="M32" s="39" t="s">
        <v>305</v>
      </c>
      <c r="N32" s="39">
        <v>11</v>
      </c>
      <c r="O32" s="39" t="s">
        <v>76</v>
      </c>
      <c r="P32" s="39" t="s">
        <v>76</v>
      </c>
      <c r="Q32" s="39" t="s">
        <v>409</v>
      </c>
      <c r="R32" s="16" t="s">
        <v>324</v>
      </c>
      <c r="S32" s="160">
        <v>5145</v>
      </c>
      <c r="T32" s="160">
        <v>2798.6</v>
      </c>
      <c r="U32" s="160">
        <v>0</v>
      </c>
      <c r="V32" s="160">
        <v>2798.6</v>
      </c>
      <c r="W32" s="160">
        <v>2346.4</v>
      </c>
      <c r="X32" s="161">
        <v>2789</v>
      </c>
      <c r="Y32" s="160"/>
      <c r="Z32" s="16">
        <v>54.39</v>
      </c>
      <c r="AA32" s="162">
        <v>2798.6</v>
      </c>
      <c r="AB32" s="162">
        <v>699.65</v>
      </c>
      <c r="AC32" s="162">
        <v>8395.7999999999993</v>
      </c>
      <c r="AD32" s="160"/>
      <c r="AE32" s="145">
        <v>5145</v>
      </c>
      <c r="AF32" s="163">
        <v>1.0469999999999999</v>
      </c>
      <c r="AG32" s="164">
        <v>1.046</v>
      </c>
      <c r="AH32" s="164">
        <v>1.046</v>
      </c>
      <c r="AI32" s="164">
        <v>5145</v>
      </c>
      <c r="AJ32" s="164">
        <f t="shared" si="3"/>
        <v>0</v>
      </c>
      <c r="AK32" s="165">
        <v>10000</v>
      </c>
      <c r="AL32" s="165">
        <f>AK32</f>
        <v>10000</v>
      </c>
      <c r="AM32" s="165">
        <f t="shared" si="1"/>
        <v>10460</v>
      </c>
      <c r="AN32" s="165">
        <f t="shared" si="2"/>
        <v>10941.16</v>
      </c>
      <c r="AO32" s="16"/>
      <c r="AP32" s="231">
        <f t="shared" si="4"/>
        <v>0</v>
      </c>
      <c r="AR32" s="231"/>
      <c r="AS32" s="231"/>
      <c r="AU32" s="230">
        <v>5145</v>
      </c>
      <c r="AV32" s="233">
        <v>5145</v>
      </c>
      <c r="AW32" s="230">
        <f t="shared" si="0"/>
        <v>0</v>
      </c>
    </row>
    <row r="33" spans="1:49" hidden="1" x14ac:dyDescent="0.3">
      <c r="A33" s="16" t="s">
        <v>329</v>
      </c>
      <c r="B33" s="39" t="s">
        <v>410</v>
      </c>
      <c r="C33" s="39" t="s">
        <v>78</v>
      </c>
      <c r="D33" s="340" t="s">
        <v>3451</v>
      </c>
      <c r="E33" s="159" t="s">
        <v>308</v>
      </c>
      <c r="F33" s="159" t="s">
        <v>362</v>
      </c>
      <c r="G33" s="159" t="s">
        <v>309</v>
      </c>
      <c r="H33" s="159" t="s">
        <v>330</v>
      </c>
      <c r="I33" s="159" t="s">
        <v>331</v>
      </c>
      <c r="J33" s="159" t="s">
        <v>312</v>
      </c>
      <c r="K33" s="159" t="s">
        <v>1849</v>
      </c>
      <c r="L33" s="39" t="s">
        <v>304</v>
      </c>
      <c r="M33" s="39" t="s">
        <v>305</v>
      </c>
      <c r="N33" s="39">
        <v>11</v>
      </c>
      <c r="O33" s="39" t="s">
        <v>78</v>
      </c>
      <c r="P33" s="39" t="s">
        <v>78</v>
      </c>
      <c r="Q33" s="39" t="s">
        <v>410</v>
      </c>
      <c r="R33" s="16" t="s">
        <v>329</v>
      </c>
      <c r="S33" s="223">
        <v>10000000</v>
      </c>
      <c r="T33" s="160">
        <v>0</v>
      </c>
      <c r="U33" s="160">
        <v>0</v>
      </c>
      <c r="V33" s="160">
        <v>7203679.5599999996</v>
      </c>
      <c r="W33" s="160">
        <v>2796320.44</v>
      </c>
      <c r="X33" s="161">
        <v>9434093.9900000002</v>
      </c>
      <c r="Y33" s="160"/>
      <c r="Z33" s="16">
        <v>72.03</v>
      </c>
      <c r="AA33" s="162">
        <v>7203679.5599999996</v>
      </c>
      <c r="AB33" s="224">
        <v>1800919.89</v>
      </c>
      <c r="AC33" s="224">
        <v>21611038.68</v>
      </c>
      <c r="AD33" s="223">
        <v>6000000</v>
      </c>
      <c r="AE33" s="145">
        <v>15000000</v>
      </c>
      <c r="AF33" s="220">
        <v>1.0469999999999999</v>
      </c>
      <c r="AG33" s="221">
        <v>1.046</v>
      </c>
      <c r="AH33" s="221">
        <v>1.046</v>
      </c>
      <c r="AI33" s="164">
        <v>16000000</v>
      </c>
      <c r="AJ33" s="164"/>
      <c r="AK33" s="165">
        <v>10000000</v>
      </c>
      <c r="AL33" s="165">
        <f>AK33</f>
        <v>10000000</v>
      </c>
      <c r="AM33" s="165">
        <f t="shared" si="1"/>
        <v>10460000</v>
      </c>
      <c r="AN33" s="165">
        <f t="shared" si="2"/>
        <v>10941160</v>
      </c>
      <c r="AO33" s="16" t="s">
        <v>1985</v>
      </c>
      <c r="AP33" s="231">
        <f t="shared" si="4"/>
        <v>0</v>
      </c>
      <c r="AQ33" s="232">
        <f>AE33*0.047</f>
        <v>705000</v>
      </c>
      <c r="AR33" s="231"/>
      <c r="AS33" s="231"/>
      <c r="AT33" s="231"/>
      <c r="AU33" s="230">
        <v>10000000</v>
      </c>
      <c r="AV33" s="233">
        <v>16000000</v>
      </c>
      <c r="AW33" s="230">
        <f t="shared" si="0"/>
        <v>0</v>
      </c>
    </row>
    <row r="34" spans="1:49" hidden="1" x14ac:dyDescent="0.3">
      <c r="A34" s="16" t="s">
        <v>412</v>
      </c>
      <c r="B34" s="39" t="s">
        <v>411</v>
      </c>
      <c r="C34" s="39" t="s">
        <v>80</v>
      </c>
      <c r="D34" s="340" t="s">
        <v>3451</v>
      </c>
      <c r="E34" s="159" t="s">
        <v>308</v>
      </c>
      <c r="F34" s="159" t="s">
        <v>362</v>
      </c>
      <c r="G34" s="159" t="s">
        <v>309</v>
      </c>
      <c r="H34" s="159" t="s">
        <v>413</v>
      </c>
      <c r="I34" s="159" t="s">
        <v>414</v>
      </c>
      <c r="J34" s="159" t="s">
        <v>312</v>
      </c>
      <c r="K34" s="159" t="s">
        <v>1849</v>
      </c>
      <c r="L34" s="39" t="s">
        <v>415</v>
      </c>
      <c r="M34" s="39" t="s">
        <v>305</v>
      </c>
      <c r="N34" s="39">
        <v>11</v>
      </c>
      <c r="O34" s="39" t="s">
        <v>80</v>
      </c>
      <c r="P34" s="39" t="s">
        <v>80</v>
      </c>
      <c r="Q34" s="39" t="s">
        <v>411</v>
      </c>
      <c r="R34" s="16" t="s">
        <v>412</v>
      </c>
      <c r="S34" s="160">
        <v>0</v>
      </c>
      <c r="T34" s="160">
        <v>0</v>
      </c>
      <c r="U34" s="160">
        <v>0</v>
      </c>
      <c r="V34" s="160">
        <v>0</v>
      </c>
      <c r="W34" s="160">
        <v>0</v>
      </c>
      <c r="X34" s="161">
        <v>0</v>
      </c>
      <c r="Y34" s="160"/>
      <c r="Z34" s="16">
        <v>0</v>
      </c>
      <c r="AA34" s="162">
        <v>0</v>
      </c>
      <c r="AB34" s="162">
        <v>0</v>
      </c>
      <c r="AC34" s="162">
        <v>0</v>
      </c>
      <c r="AD34" s="160"/>
      <c r="AE34" s="145">
        <v>0</v>
      </c>
      <c r="AF34" s="163">
        <v>1.0469999999999999</v>
      </c>
      <c r="AG34" s="164">
        <v>1.046</v>
      </c>
      <c r="AH34" s="164">
        <v>1.046</v>
      </c>
      <c r="AI34" s="164">
        <v>0</v>
      </c>
      <c r="AJ34" s="164">
        <f t="shared" si="3"/>
        <v>0</v>
      </c>
      <c r="AK34" s="165">
        <v>0</v>
      </c>
      <c r="AL34" s="165">
        <v>0</v>
      </c>
      <c r="AM34" s="165">
        <f t="shared" ref="AM34:AM57" si="6">AL34*AG34</f>
        <v>0</v>
      </c>
      <c r="AN34" s="165">
        <f t="shared" ref="AN34:AN57" si="7">AM34*AH34</f>
        <v>0</v>
      </c>
      <c r="AO34" s="16"/>
      <c r="AP34" s="231">
        <f t="shared" si="4"/>
        <v>0</v>
      </c>
      <c r="AR34" s="231"/>
      <c r="AS34" s="231"/>
      <c r="AU34" s="230">
        <v>0</v>
      </c>
      <c r="AV34" s="233">
        <v>0</v>
      </c>
      <c r="AW34" s="230">
        <f t="shared" si="0"/>
        <v>0</v>
      </c>
    </row>
    <row r="35" spans="1:49" hidden="1" x14ac:dyDescent="0.3">
      <c r="A35" s="16" t="s">
        <v>337</v>
      </c>
      <c r="B35" s="39" t="s">
        <v>416</v>
      </c>
      <c r="C35" s="39" t="s">
        <v>82</v>
      </c>
      <c r="D35" s="340" t="s">
        <v>3451</v>
      </c>
      <c r="E35" s="159" t="s">
        <v>308</v>
      </c>
      <c r="F35" s="159" t="s">
        <v>362</v>
      </c>
      <c r="G35" s="159" t="s">
        <v>309</v>
      </c>
      <c r="H35" s="159" t="s">
        <v>334</v>
      </c>
      <c r="I35" s="159" t="s">
        <v>339</v>
      </c>
      <c r="J35" s="159" t="s">
        <v>312</v>
      </c>
      <c r="K35" s="159" t="s">
        <v>1849</v>
      </c>
      <c r="L35" s="39" t="s">
        <v>304</v>
      </c>
      <c r="M35" s="39" t="s">
        <v>305</v>
      </c>
      <c r="N35" s="39">
        <v>11</v>
      </c>
      <c r="O35" s="39" t="s">
        <v>82</v>
      </c>
      <c r="P35" s="39" t="s">
        <v>338</v>
      </c>
      <c r="Q35" s="39" t="s">
        <v>416</v>
      </c>
      <c r="R35" s="16" t="s">
        <v>337</v>
      </c>
      <c r="S35" s="160">
        <v>0</v>
      </c>
      <c r="T35" s="160">
        <v>0</v>
      </c>
      <c r="U35" s="160">
        <v>0</v>
      </c>
      <c r="V35" s="160">
        <v>0</v>
      </c>
      <c r="W35" s="160">
        <v>0</v>
      </c>
      <c r="X35" s="161">
        <v>0</v>
      </c>
      <c r="Y35" s="160"/>
      <c r="Z35" s="16">
        <v>0</v>
      </c>
      <c r="AA35" s="162">
        <v>0</v>
      </c>
      <c r="AB35" s="162">
        <v>0</v>
      </c>
      <c r="AC35" s="162">
        <v>0</v>
      </c>
      <c r="AD35" s="160"/>
      <c r="AE35" s="145">
        <v>0</v>
      </c>
      <c r="AF35" s="163">
        <v>1.0469999999999999</v>
      </c>
      <c r="AG35" s="164">
        <v>1.046</v>
      </c>
      <c r="AH35" s="164">
        <v>1.046</v>
      </c>
      <c r="AI35" s="164">
        <v>0</v>
      </c>
      <c r="AJ35" s="164">
        <f t="shared" si="3"/>
        <v>0</v>
      </c>
      <c r="AK35" s="165">
        <v>60000</v>
      </c>
      <c r="AL35" s="165">
        <f>AK35</f>
        <v>60000</v>
      </c>
      <c r="AM35" s="165">
        <f t="shared" si="6"/>
        <v>62760</v>
      </c>
      <c r="AN35" s="165">
        <f t="shared" si="7"/>
        <v>65646.960000000006</v>
      </c>
      <c r="AO35" s="16"/>
      <c r="AP35" s="231">
        <f t="shared" si="4"/>
        <v>0</v>
      </c>
      <c r="AR35" s="231"/>
      <c r="AS35" s="231"/>
      <c r="AU35" s="230">
        <v>0</v>
      </c>
      <c r="AV35" s="233">
        <v>0</v>
      </c>
      <c r="AW35" s="230">
        <f t="shared" si="0"/>
        <v>0</v>
      </c>
    </row>
    <row r="36" spans="1:49" hidden="1" x14ac:dyDescent="0.3">
      <c r="A36" s="16" t="s">
        <v>341</v>
      </c>
      <c r="B36" s="39" t="s">
        <v>417</v>
      </c>
      <c r="C36" s="39" t="s">
        <v>82</v>
      </c>
      <c r="D36" s="340" t="s">
        <v>3451</v>
      </c>
      <c r="E36" s="159" t="s">
        <v>308</v>
      </c>
      <c r="F36" s="159" t="s">
        <v>362</v>
      </c>
      <c r="G36" s="159" t="s">
        <v>309</v>
      </c>
      <c r="H36" s="159" t="s">
        <v>334</v>
      </c>
      <c r="I36" s="159" t="s">
        <v>343</v>
      </c>
      <c r="J36" s="159" t="s">
        <v>312</v>
      </c>
      <c r="K36" s="159" t="s">
        <v>1849</v>
      </c>
      <c r="L36" s="39" t="s">
        <v>304</v>
      </c>
      <c r="M36" s="39" t="s">
        <v>305</v>
      </c>
      <c r="N36" s="39">
        <v>11</v>
      </c>
      <c r="O36" s="39" t="s">
        <v>82</v>
      </c>
      <c r="P36" s="39" t="s">
        <v>342</v>
      </c>
      <c r="Q36" s="39" t="s">
        <v>417</v>
      </c>
      <c r="R36" s="16" t="s">
        <v>341</v>
      </c>
      <c r="S36" s="160">
        <v>0</v>
      </c>
      <c r="T36" s="160">
        <v>0</v>
      </c>
      <c r="U36" s="160">
        <v>0</v>
      </c>
      <c r="V36" s="160">
        <v>0</v>
      </c>
      <c r="W36" s="160">
        <v>0</v>
      </c>
      <c r="X36" s="161">
        <v>0</v>
      </c>
      <c r="Y36" s="160"/>
      <c r="Z36" s="16">
        <v>0</v>
      </c>
      <c r="AA36" s="162">
        <v>0</v>
      </c>
      <c r="AB36" s="162">
        <v>0</v>
      </c>
      <c r="AC36" s="162">
        <v>0</v>
      </c>
      <c r="AD36" s="160"/>
      <c r="AE36" s="145">
        <v>0</v>
      </c>
      <c r="AF36" s="163">
        <v>1.0469999999999999</v>
      </c>
      <c r="AG36" s="164">
        <v>1.046</v>
      </c>
      <c r="AH36" s="164">
        <v>1.046</v>
      </c>
      <c r="AI36" s="164">
        <v>0</v>
      </c>
      <c r="AJ36" s="164">
        <f t="shared" si="3"/>
        <v>0</v>
      </c>
      <c r="AK36" s="165">
        <v>0</v>
      </c>
      <c r="AL36" s="165">
        <v>0</v>
      </c>
      <c r="AM36" s="165">
        <f t="shared" si="6"/>
        <v>0</v>
      </c>
      <c r="AN36" s="165">
        <f t="shared" si="7"/>
        <v>0</v>
      </c>
      <c r="AO36" s="16"/>
      <c r="AP36" s="231">
        <f t="shared" si="4"/>
        <v>0</v>
      </c>
      <c r="AR36" s="231"/>
      <c r="AS36" s="231"/>
      <c r="AU36" s="230">
        <v>0</v>
      </c>
      <c r="AV36" s="233">
        <v>0</v>
      </c>
      <c r="AW36" s="230">
        <f t="shared" si="0"/>
        <v>0</v>
      </c>
    </row>
    <row r="37" spans="1:49" hidden="1" x14ac:dyDescent="0.3">
      <c r="A37" s="16" t="s">
        <v>345</v>
      </c>
      <c r="B37" s="39" t="s">
        <v>418</v>
      </c>
      <c r="C37" s="39" t="s">
        <v>82</v>
      </c>
      <c r="D37" s="340" t="s">
        <v>3451</v>
      </c>
      <c r="E37" s="159" t="s">
        <v>308</v>
      </c>
      <c r="F37" s="159" t="s">
        <v>362</v>
      </c>
      <c r="G37" s="159" t="s">
        <v>309</v>
      </c>
      <c r="H37" s="159" t="s">
        <v>334</v>
      </c>
      <c r="I37" s="159" t="s">
        <v>347</v>
      </c>
      <c r="J37" s="159" t="s">
        <v>312</v>
      </c>
      <c r="K37" s="159" t="s">
        <v>1849</v>
      </c>
      <c r="L37" s="39" t="s">
        <v>304</v>
      </c>
      <c r="M37" s="39" t="s">
        <v>305</v>
      </c>
      <c r="N37" s="39">
        <v>11</v>
      </c>
      <c r="O37" s="39" t="s">
        <v>82</v>
      </c>
      <c r="P37" s="39" t="s">
        <v>346</v>
      </c>
      <c r="Q37" s="39" t="s">
        <v>418</v>
      </c>
      <c r="R37" s="16" t="s">
        <v>345</v>
      </c>
      <c r="S37" s="160">
        <v>0</v>
      </c>
      <c r="T37" s="160">
        <v>0</v>
      </c>
      <c r="U37" s="160">
        <v>0</v>
      </c>
      <c r="V37" s="160">
        <v>0</v>
      </c>
      <c r="W37" s="160">
        <v>0</v>
      </c>
      <c r="X37" s="161">
        <v>0</v>
      </c>
      <c r="Y37" s="160"/>
      <c r="Z37" s="16">
        <v>0</v>
      </c>
      <c r="AA37" s="162">
        <v>0</v>
      </c>
      <c r="AB37" s="162">
        <v>0</v>
      </c>
      <c r="AC37" s="162">
        <v>0</v>
      </c>
      <c r="AD37" s="160"/>
      <c r="AE37" s="145">
        <v>0</v>
      </c>
      <c r="AF37" s="163">
        <v>1.0469999999999999</v>
      </c>
      <c r="AG37" s="164">
        <v>1.046</v>
      </c>
      <c r="AH37" s="164">
        <v>1.046</v>
      </c>
      <c r="AI37" s="164">
        <v>0</v>
      </c>
      <c r="AJ37" s="164">
        <f t="shared" si="3"/>
        <v>0</v>
      </c>
      <c r="AK37" s="165">
        <v>25000</v>
      </c>
      <c r="AL37" s="165">
        <f t="shared" ref="AL37:AL44" si="8">AK37</f>
        <v>25000</v>
      </c>
      <c r="AM37" s="165">
        <f t="shared" si="6"/>
        <v>26150</v>
      </c>
      <c r="AN37" s="165">
        <f t="shared" si="7"/>
        <v>27352.9</v>
      </c>
      <c r="AO37" s="16"/>
      <c r="AP37" s="231">
        <f t="shared" si="4"/>
        <v>0</v>
      </c>
      <c r="AR37" s="231"/>
      <c r="AS37" s="231"/>
      <c r="AU37" s="230">
        <v>0</v>
      </c>
      <c r="AV37" s="233">
        <v>0</v>
      </c>
      <c r="AW37" s="230">
        <f t="shared" si="0"/>
        <v>0</v>
      </c>
    </row>
    <row r="38" spans="1:49" hidden="1" x14ac:dyDescent="0.3">
      <c r="A38" s="16" t="s">
        <v>349</v>
      </c>
      <c r="B38" s="39" t="s">
        <v>419</v>
      </c>
      <c r="C38" s="39" t="s">
        <v>82</v>
      </c>
      <c r="D38" s="340" t="s">
        <v>3451</v>
      </c>
      <c r="E38" s="159" t="s">
        <v>308</v>
      </c>
      <c r="F38" s="159" t="s">
        <v>362</v>
      </c>
      <c r="G38" s="159" t="s">
        <v>309</v>
      </c>
      <c r="H38" s="159" t="s">
        <v>334</v>
      </c>
      <c r="I38" s="159" t="s">
        <v>351</v>
      </c>
      <c r="J38" s="159" t="s">
        <v>312</v>
      </c>
      <c r="K38" s="159" t="s">
        <v>1849</v>
      </c>
      <c r="L38" s="39" t="s">
        <v>304</v>
      </c>
      <c r="M38" s="39" t="s">
        <v>305</v>
      </c>
      <c r="N38" s="39">
        <v>11</v>
      </c>
      <c r="O38" s="39" t="s">
        <v>82</v>
      </c>
      <c r="P38" s="39" t="s">
        <v>350</v>
      </c>
      <c r="Q38" s="39" t="s">
        <v>419</v>
      </c>
      <c r="R38" s="16" t="s">
        <v>349</v>
      </c>
      <c r="S38" s="160">
        <v>0</v>
      </c>
      <c r="T38" s="160">
        <v>0</v>
      </c>
      <c r="U38" s="160">
        <v>0</v>
      </c>
      <c r="V38" s="160">
        <v>0</v>
      </c>
      <c r="W38" s="160">
        <v>0</v>
      </c>
      <c r="X38" s="161">
        <v>0</v>
      </c>
      <c r="Y38" s="160"/>
      <c r="Z38" s="16">
        <v>0</v>
      </c>
      <c r="AA38" s="162">
        <v>0</v>
      </c>
      <c r="AB38" s="162">
        <v>0</v>
      </c>
      <c r="AC38" s="162">
        <v>0</v>
      </c>
      <c r="AD38" s="160"/>
      <c r="AE38" s="145">
        <v>0</v>
      </c>
      <c r="AF38" s="163">
        <v>1.0469999999999999</v>
      </c>
      <c r="AG38" s="164">
        <v>1.046</v>
      </c>
      <c r="AH38" s="164">
        <v>1.046</v>
      </c>
      <c r="AI38" s="164">
        <v>0</v>
      </c>
      <c r="AJ38" s="164">
        <f t="shared" si="3"/>
        <v>0</v>
      </c>
      <c r="AK38" s="165">
        <v>15000</v>
      </c>
      <c r="AL38" s="165">
        <f t="shared" si="8"/>
        <v>15000</v>
      </c>
      <c r="AM38" s="165">
        <f t="shared" si="6"/>
        <v>15690</v>
      </c>
      <c r="AN38" s="165">
        <f t="shared" si="7"/>
        <v>16411.740000000002</v>
      </c>
      <c r="AO38" s="16"/>
      <c r="AP38" s="231">
        <f t="shared" si="4"/>
        <v>0</v>
      </c>
      <c r="AR38" s="231"/>
      <c r="AS38" s="231"/>
      <c r="AU38" s="230">
        <v>0</v>
      </c>
      <c r="AV38" s="233">
        <v>0</v>
      </c>
      <c r="AW38" s="230">
        <f t="shared" si="0"/>
        <v>0</v>
      </c>
    </row>
    <row r="39" spans="1:49" hidden="1" x14ac:dyDescent="0.3">
      <c r="A39" s="16" t="s">
        <v>353</v>
      </c>
      <c r="B39" s="39" t="s">
        <v>420</v>
      </c>
      <c r="C39" s="39" t="s">
        <v>82</v>
      </c>
      <c r="D39" s="340" t="s">
        <v>3451</v>
      </c>
      <c r="E39" s="159" t="s">
        <v>308</v>
      </c>
      <c r="F39" s="159" t="s">
        <v>362</v>
      </c>
      <c r="G39" s="159" t="s">
        <v>309</v>
      </c>
      <c r="H39" s="159" t="s">
        <v>334</v>
      </c>
      <c r="I39" s="159" t="s">
        <v>355</v>
      </c>
      <c r="J39" s="159" t="s">
        <v>312</v>
      </c>
      <c r="K39" s="159" t="s">
        <v>1849</v>
      </c>
      <c r="L39" s="39" t="s">
        <v>304</v>
      </c>
      <c r="M39" s="39" t="s">
        <v>305</v>
      </c>
      <c r="N39" s="39">
        <v>11</v>
      </c>
      <c r="O39" s="39" t="s">
        <v>82</v>
      </c>
      <c r="P39" s="39" t="s">
        <v>354</v>
      </c>
      <c r="Q39" s="39" t="s">
        <v>420</v>
      </c>
      <c r="R39" s="16" t="s">
        <v>353</v>
      </c>
      <c r="S39" s="160">
        <v>0</v>
      </c>
      <c r="T39" s="160">
        <v>0</v>
      </c>
      <c r="U39" s="160">
        <v>0</v>
      </c>
      <c r="V39" s="160">
        <v>0</v>
      </c>
      <c r="W39" s="160">
        <v>0</v>
      </c>
      <c r="X39" s="161">
        <v>0</v>
      </c>
      <c r="Y39" s="160"/>
      <c r="Z39" s="16">
        <v>0</v>
      </c>
      <c r="AA39" s="162">
        <v>0</v>
      </c>
      <c r="AB39" s="162">
        <v>0</v>
      </c>
      <c r="AC39" s="162">
        <v>0</v>
      </c>
      <c r="AD39" s="160"/>
      <c r="AE39" s="145">
        <v>0</v>
      </c>
      <c r="AF39" s="163">
        <v>1.0469999999999999</v>
      </c>
      <c r="AG39" s="164">
        <v>1.046</v>
      </c>
      <c r="AH39" s="164">
        <v>1.046</v>
      </c>
      <c r="AI39" s="164">
        <v>0</v>
      </c>
      <c r="AJ39" s="164">
        <f t="shared" si="3"/>
        <v>0</v>
      </c>
      <c r="AK39" s="165">
        <v>25000</v>
      </c>
      <c r="AL39" s="165">
        <f t="shared" si="8"/>
        <v>25000</v>
      </c>
      <c r="AM39" s="165">
        <f t="shared" si="6"/>
        <v>26150</v>
      </c>
      <c r="AN39" s="165">
        <f t="shared" si="7"/>
        <v>27352.9</v>
      </c>
      <c r="AO39" s="16"/>
      <c r="AP39" s="231">
        <f t="shared" si="4"/>
        <v>0</v>
      </c>
      <c r="AR39" s="231"/>
      <c r="AS39" s="231"/>
      <c r="AU39" s="230">
        <v>0</v>
      </c>
      <c r="AV39" s="233">
        <v>0</v>
      </c>
      <c r="AW39" s="230">
        <f t="shared" si="0"/>
        <v>0</v>
      </c>
    </row>
    <row r="40" spans="1:49" hidden="1" x14ac:dyDescent="0.3">
      <c r="A40" s="16" t="s">
        <v>357</v>
      </c>
      <c r="B40" s="39" t="s">
        <v>421</v>
      </c>
      <c r="C40" s="39" t="s">
        <v>82</v>
      </c>
      <c r="D40" s="340" t="s">
        <v>3451</v>
      </c>
      <c r="E40" s="159" t="s">
        <v>308</v>
      </c>
      <c r="F40" s="159" t="s">
        <v>362</v>
      </c>
      <c r="G40" s="159" t="s">
        <v>309</v>
      </c>
      <c r="H40" s="159" t="s">
        <v>334</v>
      </c>
      <c r="I40" s="159" t="s">
        <v>359</v>
      </c>
      <c r="J40" s="159" t="s">
        <v>312</v>
      </c>
      <c r="K40" s="159" t="s">
        <v>1849</v>
      </c>
      <c r="L40" s="39" t="s">
        <v>304</v>
      </c>
      <c r="M40" s="39" t="s">
        <v>305</v>
      </c>
      <c r="N40" s="39">
        <v>11</v>
      </c>
      <c r="O40" s="39" t="s">
        <v>82</v>
      </c>
      <c r="P40" s="39" t="s">
        <v>358</v>
      </c>
      <c r="Q40" s="39" t="s">
        <v>421</v>
      </c>
      <c r="R40" s="16" t="s">
        <v>357</v>
      </c>
      <c r="S40" s="160">
        <v>0</v>
      </c>
      <c r="T40" s="160">
        <v>0</v>
      </c>
      <c r="U40" s="160">
        <v>0</v>
      </c>
      <c r="V40" s="160">
        <v>0</v>
      </c>
      <c r="W40" s="160">
        <v>0</v>
      </c>
      <c r="X40" s="161">
        <v>0</v>
      </c>
      <c r="Y40" s="160"/>
      <c r="Z40" s="16">
        <v>0</v>
      </c>
      <c r="AA40" s="162">
        <v>0</v>
      </c>
      <c r="AB40" s="162">
        <v>0</v>
      </c>
      <c r="AC40" s="162">
        <v>0</v>
      </c>
      <c r="AD40" s="160"/>
      <c r="AE40" s="145">
        <v>0</v>
      </c>
      <c r="AF40" s="163">
        <v>1.0469999999999999</v>
      </c>
      <c r="AG40" s="164">
        <v>1.046</v>
      </c>
      <c r="AH40" s="164">
        <v>1.046</v>
      </c>
      <c r="AI40" s="164">
        <v>0</v>
      </c>
      <c r="AJ40" s="164">
        <f t="shared" si="3"/>
        <v>0</v>
      </c>
      <c r="AK40" s="165">
        <v>25000</v>
      </c>
      <c r="AL40" s="165">
        <f t="shared" si="8"/>
        <v>25000</v>
      </c>
      <c r="AM40" s="165">
        <f t="shared" si="6"/>
        <v>26150</v>
      </c>
      <c r="AN40" s="165">
        <f t="shared" si="7"/>
        <v>27352.9</v>
      </c>
      <c r="AO40" s="16"/>
      <c r="AP40" s="231">
        <f t="shared" si="4"/>
        <v>0</v>
      </c>
      <c r="AR40" s="231"/>
      <c r="AS40" s="231"/>
      <c r="AU40" s="230">
        <v>0</v>
      </c>
      <c r="AV40" s="233">
        <v>0</v>
      </c>
      <c r="AW40" s="230">
        <f t="shared" si="0"/>
        <v>0</v>
      </c>
    </row>
    <row r="41" spans="1:49" hidden="1" x14ac:dyDescent="0.3">
      <c r="A41" s="16" t="s">
        <v>83</v>
      </c>
      <c r="B41" s="39" t="s">
        <v>422</v>
      </c>
      <c r="C41" s="39" t="s">
        <v>423</v>
      </c>
      <c r="D41" s="340" t="s">
        <v>3451</v>
      </c>
      <c r="E41" s="159" t="s">
        <v>308</v>
      </c>
      <c r="F41" s="159" t="s">
        <v>362</v>
      </c>
      <c r="G41" s="159" t="s">
        <v>309</v>
      </c>
      <c r="H41" s="159" t="s">
        <v>424</v>
      </c>
      <c r="I41" s="159" t="s">
        <v>425</v>
      </c>
      <c r="J41" s="159" t="s">
        <v>426</v>
      </c>
      <c r="K41" s="159" t="s">
        <v>1849</v>
      </c>
      <c r="L41" s="39" t="s">
        <v>304</v>
      </c>
      <c r="M41" s="39" t="s">
        <v>305</v>
      </c>
      <c r="N41" s="39">
        <v>11</v>
      </c>
      <c r="O41" s="39" t="s">
        <v>423</v>
      </c>
      <c r="P41" s="39" t="s">
        <v>423</v>
      </c>
      <c r="Q41" s="39" t="s">
        <v>422</v>
      </c>
      <c r="R41" s="16" t="s">
        <v>83</v>
      </c>
      <c r="S41" s="160">
        <v>40000</v>
      </c>
      <c r="T41" s="160">
        <v>0</v>
      </c>
      <c r="U41" s="160">
        <v>0</v>
      </c>
      <c r="V41" s="160">
        <v>0</v>
      </c>
      <c r="W41" s="160">
        <v>40000</v>
      </c>
      <c r="X41" s="161">
        <v>0</v>
      </c>
      <c r="Y41" s="160"/>
      <c r="Z41" s="16">
        <v>0</v>
      </c>
      <c r="AA41" s="162">
        <v>0</v>
      </c>
      <c r="AB41" s="162">
        <v>0</v>
      </c>
      <c r="AC41" s="162">
        <v>0</v>
      </c>
      <c r="AD41" s="160"/>
      <c r="AE41" s="145">
        <v>40000</v>
      </c>
      <c r="AF41" s="163">
        <v>1.0469999999999999</v>
      </c>
      <c r="AG41" s="164">
        <v>1.046</v>
      </c>
      <c r="AH41" s="164">
        <v>1.046</v>
      </c>
      <c r="AI41" s="164">
        <v>40000</v>
      </c>
      <c r="AJ41" s="164">
        <f t="shared" si="3"/>
        <v>0</v>
      </c>
      <c r="AK41" s="165">
        <v>40000</v>
      </c>
      <c r="AL41" s="165">
        <f t="shared" si="8"/>
        <v>40000</v>
      </c>
      <c r="AM41" s="165">
        <f t="shared" si="6"/>
        <v>41840</v>
      </c>
      <c r="AN41" s="165">
        <f t="shared" si="7"/>
        <v>43764.639999999999</v>
      </c>
      <c r="AO41" s="16"/>
      <c r="AP41" s="231">
        <f t="shared" si="4"/>
        <v>0</v>
      </c>
      <c r="AR41" s="231"/>
      <c r="AS41" s="231"/>
      <c r="AU41" s="230">
        <v>40000</v>
      </c>
      <c r="AV41" s="233">
        <v>40000</v>
      </c>
      <c r="AW41" s="230">
        <f t="shared" si="0"/>
        <v>0</v>
      </c>
    </row>
    <row r="42" spans="1:49" hidden="1" x14ac:dyDescent="0.3">
      <c r="A42" s="16" t="s">
        <v>324</v>
      </c>
      <c r="B42" s="39" t="s">
        <v>427</v>
      </c>
      <c r="C42" s="39" t="s">
        <v>76</v>
      </c>
      <c r="D42" s="340" t="s">
        <v>3452</v>
      </c>
      <c r="E42" s="159" t="s">
        <v>308</v>
      </c>
      <c r="F42" s="159" t="s">
        <v>363</v>
      </c>
      <c r="G42" s="159" t="s">
        <v>309</v>
      </c>
      <c r="H42" s="159" t="s">
        <v>325</v>
      </c>
      <c r="I42" s="159" t="s">
        <v>326</v>
      </c>
      <c r="J42" s="159" t="s">
        <v>327</v>
      </c>
      <c r="K42" s="159" t="s">
        <v>1849</v>
      </c>
      <c r="L42" s="39" t="s">
        <v>304</v>
      </c>
      <c r="M42" s="39" t="s">
        <v>305</v>
      </c>
      <c r="N42" s="39">
        <v>11</v>
      </c>
      <c r="O42" s="39" t="s">
        <v>76</v>
      </c>
      <c r="P42" s="39" t="s">
        <v>76</v>
      </c>
      <c r="Q42" s="39" t="s">
        <v>427</v>
      </c>
      <c r="R42" s="16" t="s">
        <v>324</v>
      </c>
      <c r="S42" s="160">
        <v>8500</v>
      </c>
      <c r="T42" s="160">
        <v>0</v>
      </c>
      <c r="U42" s="160">
        <v>0</v>
      </c>
      <c r="V42" s="160">
        <v>0</v>
      </c>
      <c r="W42" s="160">
        <v>8500</v>
      </c>
      <c r="X42" s="161">
        <v>0</v>
      </c>
      <c r="Y42" s="160"/>
      <c r="Z42" s="16">
        <v>0</v>
      </c>
      <c r="AA42" s="162">
        <v>0</v>
      </c>
      <c r="AB42" s="162">
        <v>0</v>
      </c>
      <c r="AC42" s="162">
        <v>0</v>
      </c>
      <c r="AD42" s="160"/>
      <c r="AE42" s="145">
        <v>8500</v>
      </c>
      <c r="AF42" s="163">
        <v>1.0469999999999999</v>
      </c>
      <c r="AG42" s="164">
        <v>1.046</v>
      </c>
      <c r="AH42" s="164">
        <v>1.046</v>
      </c>
      <c r="AI42" s="164">
        <v>8500</v>
      </c>
      <c r="AJ42" s="164">
        <f t="shared" si="3"/>
        <v>0</v>
      </c>
      <c r="AK42" s="165">
        <v>30000</v>
      </c>
      <c r="AL42" s="165">
        <f t="shared" si="8"/>
        <v>30000</v>
      </c>
      <c r="AM42" s="165">
        <f t="shared" si="6"/>
        <v>31380</v>
      </c>
      <c r="AN42" s="165">
        <f t="shared" si="7"/>
        <v>32823.480000000003</v>
      </c>
      <c r="AO42" s="16"/>
      <c r="AP42" s="231">
        <f t="shared" si="4"/>
        <v>0</v>
      </c>
      <c r="AR42" s="231"/>
      <c r="AS42" s="231"/>
      <c r="AU42" s="230">
        <v>8500</v>
      </c>
      <c r="AV42" s="233">
        <v>8500</v>
      </c>
      <c r="AW42" s="230">
        <f t="shared" si="0"/>
        <v>0</v>
      </c>
    </row>
    <row r="43" spans="1:49" hidden="1" x14ac:dyDescent="0.3">
      <c r="A43" s="16" t="s">
        <v>1986</v>
      </c>
      <c r="B43" s="39" t="s">
        <v>428</v>
      </c>
      <c r="C43" s="39" t="s">
        <v>78</v>
      </c>
      <c r="D43" s="340" t="s">
        <v>3452</v>
      </c>
      <c r="E43" s="159" t="s">
        <v>308</v>
      </c>
      <c r="F43" s="159" t="s">
        <v>363</v>
      </c>
      <c r="G43" s="159" t="s">
        <v>309</v>
      </c>
      <c r="H43" s="159" t="s">
        <v>330</v>
      </c>
      <c r="I43" s="159" t="s">
        <v>430</v>
      </c>
      <c r="J43" s="159" t="s">
        <v>312</v>
      </c>
      <c r="K43" s="159" t="s">
        <v>1849</v>
      </c>
      <c r="L43" s="39" t="s">
        <v>304</v>
      </c>
      <c r="M43" s="39" t="s">
        <v>305</v>
      </c>
      <c r="N43" s="39">
        <v>11</v>
      </c>
      <c r="O43" s="39" t="s">
        <v>78</v>
      </c>
      <c r="P43" s="39" t="s">
        <v>429</v>
      </c>
      <c r="Q43" s="39" t="s">
        <v>428</v>
      </c>
      <c r="R43" s="16" t="s">
        <v>1986</v>
      </c>
      <c r="S43" s="160">
        <v>75000</v>
      </c>
      <c r="T43" s="160">
        <v>0</v>
      </c>
      <c r="U43" s="160">
        <v>0</v>
      </c>
      <c r="V43" s="160">
        <v>0</v>
      </c>
      <c r="W43" s="160">
        <v>75000</v>
      </c>
      <c r="X43" s="161">
        <v>0</v>
      </c>
      <c r="Y43" s="160"/>
      <c r="Z43" s="16">
        <v>0</v>
      </c>
      <c r="AA43" s="162">
        <v>0</v>
      </c>
      <c r="AB43" s="162">
        <v>0</v>
      </c>
      <c r="AC43" s="162">
        <v>0</v>
      </c>
      <c r="AD43" s="160"/>
      <c r="AE43" s="145">
        <v>75000</v>
      </c>
      <c r="AF43" s="163">
        <v>1.0469999999999999</v>
      </c>
      <c r="AG43" s="164">
        <v>1.046</v>
      </c>
      <c r="AH43" s="164">
        <v>1.046</v>
      </c>
      <c r="AI43" s="164">
        <v>75000</v>
      </c>
      <c r="AJ43" s="164">
        <f t="shared" si="3"/>
        <v>0</v>
      </c>
      <c r="AK43" s="165">
        <v>200000</v>
      </c>
      <c r="AL43" s="165">
        <f t="shared" si="8"/>
        <v>200000</v>
      </c>
      <c r="AM43" s="165">
        <f t="shared" si="6"/>
        <v>209200</v>
      </c>
      <c r="AN43" s="165">
        <f t="shared" si="7"/>
        <v>218823.2</v>
      </c>
      <c r="AO43" s="16"/>
      <c r="AP43" s="231">
        <f t="shared" si="4"/>
        <v>0</v>
      </c>
      <c r="AR43" s="231"/>
      <c r="AS43" s="231"/>
      <c r="AU43" s="230">
        <v>75000</v>
      </c>
      <c r="AV43" s="233">
        <v>75000</v>
      </c>
      <c r="AW43" s="230">
        <f t="shared" si="0"/>
        <v>0</v>
      </c>
    </row>
    <row r="44" spans="1:49" hidden="1" x14ac:dyDescent="0.3">
      <c r="A44" s="16" t="s">
        <v>337</v>
      </c>
      <c r="B44" s="39" t="s">
        <v>431</v>
      </c>
      <c r="C44" s="39" t="s">
        <v>82</v>
      </c>
      <c r="D44" s="340" t="s">
        <v>3452</v>
      </c>
      <c r="E44" s="159" t="s">
        <v>308</v>
      </c>
      <c r="F44" s="159" t="s">
        <v>363</v>
      </c>
      <c r="G44" s="159" t="s">
        <v>309</v>
      </c>
      <c r="H44" s="159" t="s">
        <v>334</v>
      </c>
      <c r="I44" s="159" t="s">
        <v>339</v>
      </c>
      <c r="J44" s="159" t="s">
        <v>312</v>
      </c>
      <c r="K44" s="159" t="s">
        <v>1849</v>
      </c>
      <c r="L44" s="39" t="s">
        <v>304</v>
      </c>
      <c r="M44" s="39" t="s">
        <v>305</v>
      </c>
      <c r="N44" s="39">
        <v>11</v>
      </c>
      <c r="O44" s="39" t="s">
        <v>82</v>
      </c>
      <c r="P44" s="39" t="s">
        <v>338</v>
      </c>
      <c r="Q44" s="39" t="s">
        <v>431</v>
      </c>
      <c r="R44" s="16" t="s">
        <v>337</v>
      </c>
      <c r="S44" s="160">
        <v>0</v>
      </c>
      <c r="T44" s="160">
        <v>0</v>
      </c>
      <c r="U44" s="160">
        <v>0</v>
      </c>
      <c r="V44" s="160">
        <v>0</v>
      </c>
      <c r="W44" s="160">
        <v>0</v>
      </c>
      <c r="X44" s="161">
        <v>0</v>
      </c>
      <c r="Y44" s="160"/>
      <c r="Z44" s="16">
        <v>0</v>
      </c>
      <c r="AA44" s="162">
        <v>0</v>
      </c>
      <c r="AB44" s="162">
        <v>0</v>
      </c>
      <c r="AC44" s="162">
        <v>0</v>
      </c>
      <c r="AD44" s="160"/>
      <c r="AE44" s="145">
        <v>0</v>
      </c>
      <c r="AF44" s="163">
        <v>1.0469999999999999</v>
      </c>
      <c r="AG44" s="164">
        <v>1.046</v>
      </c>
      <c r="AH44" s="164">
        <v>1.046</v>
      </c>
      <c r="AI44" s="164">
        <v>0</v>
      </c>
      <c r="AJ44" s="164">
        <f t="shared" si="3"/>
        <v>0</v>
      </c>
      <c r="AK44" s="165">
        <v>50000</v>
      </c>
      <c r="AL44" s="165">
        <f t="shared" si="8"/>
        <v>50000</v>
      </c>
      <c r="AM44" s="165">
        <f t="shared" si="6"/>
        <v>52300</v>
      </c>
      <c r="AN44" s="165">
        <f t="shared" si="7"/>
        <v>54705.8</v>
      </c>
      <c r="AO44" s="16"/>
      <c r="AP44" s="231">
        <f t="shared" si="4"/>
        <v>0</v>
      </c>
      <c r="AR44" s="231"/>
      <c r="AS44" s="231"/>
      <c r="AU44" s="230">
        <v>0</v>
      </c>
      <c r="AV44" s="233">
        <v>0</v>
      </c>
      <c r="AW44" s="230">
        <f t="shared" si="0"/>
        <v>0</v>
      </c>
    </row>
    <row r="45" spans="1:49" hidden="1" x14ac:dyDescent="0.3">
      <c r="A45" s="16" t="s">
        <v>345</v>
      </c>
      <c r="B45" s="39" t="s">
        <v>432</v>
      </c>
      <c r="C45" s="39" t="s">
        <v>82</v>
      </c>
      <c r="D45" s="340" t="s">
        <v>3452</v>
      </c>
      <c r="E45" s="159" t="s">
        <v>308</v>
      </c>
      <c r="F45" s="159" t="s">
        <v>363</v>
      </c>
      <c r="G45" s="159" t="s">
        <v>309</v>
      </c>
      <c r="H45" s="159" t="s">
        <v>334</v>
      </c>
      <c r="I45" s="159" t="s">
        <v>347</v>
      </c>
      <c r="J45" s="159" t="s">
        <v>312</v>
      </c>
      <c r="K45" s="159" t="s">
        <v>1849</v>
      </c>
      <c r="L45" s="39" t="s">
        <v>304</v>
      </c>
      <c r="M45" s="39" t="s">
        <v>305</v>
      </c>
      <c r="N45" s="39">
        <v>11</v>
      </c>
      <c r="O45" s="39" t="s">
        <v>82</v>
      </c>
      <c r="P45" s="39" t="s">
        <v>346</v>
      </c>
      <c r="Q45" s="39" t="s">
        <v>432</v>
      </c>
      <c r="R45" s="16" t="s">
        <v>345</v>
      </c>
      <c r="S45" s="160">
        <v>35000</v>
      </c>
      <c r="T45" s="160">
        <v>0</v>
      </c>
      <c r="U45" s="160">
        <v>0</v>
      </c>
      <c r="V45" s="160">
        <v>0</v>
      </c>
      <c r="W45" s="160">
        <v>35000</v>
      </c>
      <c r="X45" s="161">
        <v>0</v>
      </c>
      <c r="Y45" s="160"/>
      <c r="Z45" s="16">
        <v>0</v>
      </c>
      <c r="AA45" s="162">
        <v>0</v>
      </c>
      <c r="AB45" s="162">
        <v>0</v>
      </c>
      <c r="AC45" s="162">
        <v>0</v>
      </c>
      <c r="AD45" s="160"/>
      <c r="AE45" s="145">
        <v>35000</v>
      </c>
      <c r="AF45" s="163">
        <v>1.0469999999999999</v>
      </c>
      <c r="AG45" s="164">
        <v>1.046</v>
      </c>
      <c r="AH45" s="164">
        <v>1.046</v>
      </c>
      <c r="AI45" s="164">
        <v>35000</v>
      </c>
      <c r="AJ45" s="164">
        <f t="shared" si="3"/>
        <v>0</v>
      </c>
      <c r="AK45" s="165">
        <v>35000</v>
      </c>
      <c r="AL45" s="165">
        <f t="shared" ref="AL45:AL47" si="9">AK45</f>
        <v>35000</v>
      </c>
      <c r="AM45" s="165">
        <f t="shared" si="6"/>
        <v>36610</v>
      </c>
      <c r="AN45" s="165">
        <f t="shared" si="7"/>
        <v>38294.060000000005</v>
      </c>
      <c r="AO45" s="16"/>
      <c r="AP45" s="231">
        <f t="shared" si="4"/>
        <v>0</v>
      </c>
      <c r="AR45" s="231"/>
      <c r="AS45" s="231"/>
      <c r="AU45" s="230">
        <v>35000</v>
      </c>
      <c r="AV45" s="233">
        <v>35000</v>
      </c>
      <c r="AW45" s="230">
        <f t="shared" si="0"/>
        <v>0</v>
      </c>
    </row>
    <row r="46" spans="1:49" hidden="1" x14ac:dyDescent="0.3">
      <c r="A46" s="16" t="s">
        <v>349</v>
      </c>
      <c r="B46" s="39" t="s">
        <v>433</v>
      </c>
      <c r="C46" s="39" t="s">
        <v>82</v>
      </c>
      <c r="D46" s="340" t="s">
        <v>3452</v>
      </c>
      <c r="E46" s="159" t="s">
        <v>308</v>
      </c>
      <c r="F46" s="159" t="s">
        <v>363</v>
      </c>
      <c r="G46" s="159" t="s">
        <v>309</v>
      </c>
      <c r="H46" s="159" t="s">
        <v>334</v>
      </c>
      <c r="I46" s="159" t="s">
        <v>351</v>
      </c>
      <c r="J46" s="159" t="s">
        <v>312</v>
      </c>
      <c r="K46" s="159" t="s">
        <v>1849</v>
      </c>
      <c r="L46" s="39" t="s">
        <v>304</v>
      </c>
      <c r="M46" s="39" t="s">
        <v>305</v>
      </c>
      <c r="N46" s="39">
        <v>11</v>
      </c>
      <c r="O46" s="39" t="s">
        <v>82</v>
      </c>
      <c r="P46" s="39" t="s">
        <v>350</v>
      </c>
      <c r="Q46" s="39" t="s">
        <v>433</v>
      </c>
      <c r="R46" s="16" t="s">
        <v>349</v>
      </c>
      <c r="S46" s="160">
        <v>0</v>
      </c>
      <c r="T46" s="160">
        <v>0</v>
      </c>
      <c r="U46" s="160">
        <v>0</v>
      </c>
      <c r="V46" s="160">
        <v>0</v>
      </c>
      <c r="W46" s="160">
        <v>0</v>
      </c>
      <c r="X46" s="161">
        <v>0</v>
      </c>
      <c r="Y46" s="160"/>
      <c r="Z46" s="16">
        <v>0</v>
      </c>
      <c r="AA46" s="162">
        <v>0</v>
      </c>
      <c r="AB46" s="162">
        <v>0</v>
      </c>
      <c r="AC46" s="162">
        <v>0</v>
      </c>
      <c r="AD46" s="160"/>
      <c r="AE46" s="145">
        <v>0</v>
      </c>
      <c r="AF46" s="163">
        <v>1.0469999999999999</v>
      </c>
      <c r="AG46" s="164">
        <v>1.046</v>
      </c>
      <c r="AH46" s="164">
        <v>1.046</v>
      </c>
      <c r="AI46" s="164">
        <v>0</v>
      </c>
      <c r="AJ46" s="164">
        <f t="shared" si="3"/>
        <v>0</v>
      </c>
      <c r="AK46" s="165">
        <v>15000</v>
      </c>
      <c r="AL46" s="165">
        <f t="shared" si="9"/>
        <v>15000</v>
      </c>
      <c r="AM46" s="165">
        <f t="shared" si="6"/>
        <v>15690</v>
      </c>
      <c r="AN46" s="165">
        <f t="shared" si="7"/>
        <v>16411.740000000002</v>
      </c>
      <c r="AO46" s="16"/>
      <c r="AP46" s="231">
        <f t="shared" si="4"/>
        <v>0</v>
      </c>
      <c r="AR46" s="231"/>
      <c r="AS46" s="231"/>
      <c r="AU46" s="230">
        <v>0</v>
      </c>
      <c r="AV46" s="233">
        <v>0</v>
      </c>
      <c r="AW46" s="230">
        <f t="shared" si="0"/>
        <v>0</v>
      </c>
    </row>
    <row r="47" spans="1:49" hidden="1" x14ac:dyDescent="0.3">
      <c r="A47" s="16" t="s">
        <v>353</v>
      </c>
      <c r="B47" s="39" t="s">
        <v>434</v>
      </c>
      <c r="C47" s="39" t="s">
        <v>82</v>
      </c>
      <c r="D47" s="340" t="s">
        <v>3452</v>
      </c>
      <c r="E47" s="159" t="s">
        <v>308</v>
      </c>
      <c r="F47" s="159" t="s">
        <v>363</v>
      </c>
      <c r="G47" s="159" t="s">
        <v>309</v>
      </c>
      <c r="H47" s="159" t="s">
        <v>334</v>
      </c>
      <c r="I47" s="159" t="s">
        <v>355</v>
      </c>
      <c r="J47" s="159" t="s">
        <v>312</v>
      </c>
      <c r="K47" s="159" t="s">
        <v>1849</v>
      </c>
      <c r="L47" s="39" t="s">
        <v>304</v>
      </c>
      <c r="M47" s="39" t="s">
        <v>305</v>
      </c>
      <c r="N47" s="39">
        <v>11</v>
      </c>
      <c r="O47" s="39" t="s">
        <v>82</v>
      </c>
      <c r="P47" s="39" t="s">
        <v>354</v>
      </c>
      <c r="Q47" s="39" t="s">
        <v>434</v>
      </c>
      <c r="R47" s="16" t="s">
        <v>353</v>
      </c>
      <c r="S47" s="223">
        <v>75000</v>
      </c>
      <c r="T47" s="160">
        <v>0</v>
      </c>
      <c r="U47" s="160">
        <v>0</v>
      </c>
      <c r="V47" s="160">
        <v>0</v>
      </c>
      <c r="W47" s="160">
        <v>75000</v>
      </c>
      <c r="X47" s="161">
        <v>0</v>
      </c>
      <c r="Y47" s="160"/>
      <c r="Z47" s="16">
        <v>0</v>
      </c>
      <c r="AA47" s="162">
        <v>0</v>
      </c>
      <c r="AB47" s="224">
        <v>0</v>
      </c>
      <c r="AC47" s="224">
        <v>0</v>
      </c>
      <c r="AD47" s="223"/>
      <c r="AE47" s="145">
        <v>60000</v>
      </c>
      <c r="AF47" s="163">
        <v>1.0469999999999999</v>
      </c>
      <c r="AG47" s="164">
        <v>1.046</v>
      </c>
      <c r="AH47" s="164">
        <v>1.046</v>
      </c>
      <c r="AI47" s="164">
        <v>75000</v>
      </c>
      <c r="AJ47" s="164">
        <f t="shared" si="3"/>
        <v>-15000</v>
      </c>
      <c r="AK47" s="165">
        <f>AI47</f>
        <v>75000</v>
      </c>
      <c r="AL47" s="165">
        <f t="shared" si="9"/>
        <v>75000</v>
      </c>
      <c r="AM47" s="165">
        <f t="shared" si="6"/>
        <v>78450</v>
      </c>
      <c r="AN47" s="165">
        <f t="shared" si="7"/>
        <v>82058.7</v>
      </c>
      <c r="AO47" s="16"/>
      <c r="AP47" s="231">
        <f t="shared" si="4"/>
        <v>0</v>
      </c>
      <c r="AQ47" s="230"/>
      <c r="AR47" s="231"/>
      <c r="AS47" s="231"/>
      <c r="AT47" s="230"/>
      <c r="AU47" s="230">
        <v>75000</v>
      </c>
      <c r="AV47" s="233">
        <v>75000</v>
      </c>
      <c r="AW47" s="230">
        <f t="shared" si="0"/>
        <v>0</v>
      </c>
    </row>
    <row r="48" spans="1:49" hidden="1" x14ac:dyDescent="0.3">
      <c r="A48" s="16" t="s">
        <v>357</v>
      </c>
      <c r="B48" s="39" t="s">
        <v>435</v>
      </c>
      <c r="C48" s="39" t="s">
        <v>82</v>
      </c>
      <c r="D48" s="340" t="s">
        <v>3452</v>
      </c>
      <c r="E48" s="159" t="s">
        <v>308</v>
      </c>
      <c r="F48" s="159" t="s">
        <v>363</v>
      </c>
      <c r="G48" s="159" t="s">
        <v>309</v>
      </c>
      <c r="H48" s="159" t="s">
        <v>334</v>
      </c>
      <c r="I48" s="159" t="s">
        <v>359</v>
      </c>
      <c r="J48" s="159" t="s">
        <v>312</v>
      </c>
      <c r="K48" s="159" t="s">
        <v>1849</v>
      </c>
      <c r="L48" s="39" t="s">
        <v>304</v>
      </c>
      <c r="M48" s="39" t="s">
        <v>305</v>
      </c>
      <c r="N48" s="39">
        <v>11</v>
      </c>
      <c r="O48" s="39" t="s">
        <v>82</v>
      </c>
      <c r="P48" s="39" t="s">
        <v>358</v>
      </c>
      <c r="Q48" s="39" t="s">
        <v>435</v>
      </c>
      <c r="R48" s="16" t="s">
        <v>357</v>
      </c>
      <c r="S48" s="223">
        <v>75000</v>
      </c>
      <c r="T48" s="160">
        <v>0</v>
      </c>
      <c r="U48" s="160">
        <v>0</v>
      </c>
      <c r="V48" s="160">
        <v>0</v>
      </c>
      <c r="W48" s="160">
        <v>75000</v>
      </c>
      <c r="X48" s="161">
        <v>0</v>
      </c>
      <c r="Y48" s="160"/>
      <c r="Z48" s="16">
        <v>0</v>
      </c>
      <c r="AA48" s="162">
        <v>0</v>
      </c>
      <c r="AB48" s="224">
        <v>0</v>
      </c>
      <c r="AC48" s="224">
        <v>0</v>
      </c>
      <c r="AD48" s="223"/>
      <c r="AE48" s="145">
        <v>60000</v>
      </c>
      <c r="AF48" s="163">
        <v>1.0469999999999999</v>
      </c>
      <c r="AG48" s="164">
        <v>1.046</v>
      </c>
      <c r="AH48" s="164">
        <v>1.046</v>
      </c>
      <c r="AI48" s="164">
        <v>75000</v>
      </c>
      <c r="AJ48" s="164">
        <f t="shared" si="3"/>
        <v>-15000</v>
      </c>
      <c r="AK48" s="165">
        <f>AI48</f>
        <v>75000</v>
      </c>
      <c r="AL48" s="165">
        <f>AK48</f>
        <v>75000</v>
      </c>
      <c r="AM48" s="165">
        <f t="shared" si="6"/>
        <v>78450</v>
      </c>
      <c r="AN48" s="165">
        <f t="shared" si="7"/>
        <v>82058.7</v>
      </c>
      <c r="AO48" s="16"/>
      <c r="AP48" s="231">
        <f t="shared" si="4"/>
        <v>0</v>
      </c>
      <c r="AR48" s="231"/>
      <c r="AS48" s="231"/>
      <c r="AU48" s="230">
        <v>75000</v>
      </c>
      <c r="AV48" s="233">
        <v>75000</v>
      </c>
      <c r="AW48" s="230">
        <f t="shared" si="0"/>
        <v>0</v>
      </c>
    </row>
    <row r="49" spans="1:49" s="172" customFormat="1" x14ac:dyDescent="0.3">
      <c r="A49" s="166" t="s">
        <v>1987</v>
      </c>
      <c r="B49" s="167" t="s">
        <v>436</v>
      </c>
      <c r="C49" s="167" t="s">
        <v>437</v>
      </c>
      <c r="D49" s="412" t="s">
        <v>3453</v>
      </c>
      <c r="E49" s="168" t="s">
        <v>373</v>
      </c>
      <c r="F49" s="168" t="s">
        <v>303</v>
      </c>
      <c r="G49" s="168" t="s">
        <v>309</v>
      </c>
      <c r="H49" s="168" t="s">
        <v>363</v>
      </c>
      <c r="I49" s="168" t="s">
        <v>316</v>
      </c>
      <c r="J49" s="168" t="s">
        <v>312</v>
      </c>
      <c r="K49" s="168" t="s">
        <v>1849</v>
      </c>
      <c r="L49" s="167" t="s">
        <v>304</v>
      </c>
      <c r="M49" s="167" t="s">
        <v>305</v>
      </c>
      <c r="N49" s="167">
        <v>11</v>
      </c>
      <c r="O49" s="167" t="s">
        <v>437</v>
      </c>
      <c r="P49" s="167" t="s">
        <v>437</v>
      </c>
      <c r="Q49" s="167" t="s">
        <v>436</v>
      </c>
      <c r="R49" s="166" t="s">
        <v>1987</v>
      </c>
      <c r="S49" s="169">
        <v>2571832</v>
      </c>
      <c r="T49" s="160">
        <v>195247.08</v>
      </c>
      <c r="U49" s="160">
        <v>0</v>
      </c>
      <c r="V49" s="160">
        <v>780988.32</v>
      </c>
      <c r="W49" s="160">
        <v>1790843.68</v>
      </c>
      <c r="X49" s="161">
        <v>0</v>
      </c>
      <c r="Y49" s="160"/>
      <c r="Z49" s="16">
        <v>30.36</v>
      </c>
      <c r="AA49" s="162">
        <v>780988.32</v>
      </c>
      <c r="AB49" s="162">
        <v>195247.08</v>
      </c>
      <c r="AC49" s="162">
        <v>2342964.96</v>
      </c>
      <c r="AD49" s="160"/>
      <c r="AE49" s="228">
        <v>2571832</v>
      </c>
      <c r="AF49" s="163">
        <v>1.0529999999999999</v>
      </c>
      <c r="AG49" s="163">
        <v>1.0489999999999999</v>
      </c>
      <c r="AH49" s="163">
        <v>1.0469999999999999</v>
      </c>
      <c r="AI49" s="164">
        <v>2571832</v>
      </c>
      <c r="AJ49" s="164">
        <f t="shared" si="3"/>
        <v>0</v>
      </c>
      <c r="AK49" s="229">
        <v>2571832</v>
      </c>
      <c r="AL49" s="229">
        <f ca="1">SUMIF('SM &amp; Vacancies'!A:K,D49,'SM &amp; Vacancies'!J:J)*105.3/100</f>
        <v>2469516.66</v>
      </c>
      <c r="AM49" s="229">
        <f t="shared" ca="1" si="6"/>
        <v>2590522.9763400001</v>
      </c>
      <c r="AN49" s="229">
        <f t="shared" ca="1" si="7"/>
        <v>2712277.5562279797</v>
      </c>
      <c r="AO49" s="166"/>
      <c r="AP49" s="413">
        <f t="shared" ca="1" si="4"/>
        <v>102315.33999999985</v>
      </c>
      <c r="AR49" s="231"/>
      <c r="AS49" s="231"/>
      <c r="AU49" s="414">
        <v>2571832</v>
      </c>
      <c r="AV49" s="415">
        <v>2571832</v>
      </c>
      <c r="AW49" s="414">
        <f t="shared" si="0"/>
        <v>0</v>
      </c>
    </row>
    <row r="50" spans="1:49" s="172" customFormat="1" x14ac:dyDescent="0.3">
      <c r="A50" s="166" t="s">
        <v>1988</v>
      </c>
      <c r="B50" s="167" t="s">
        <v>438</v>
      </c>
      <c r="C50" s="167" t="s">
        <v>439</v>
      </c>
      <c r="D50" s="412" t="s">
        <v>3453</v>
      </c>
      <c r="E50" s="168" t="s">
        <v>373</v>
      </c>
      <c r="F50" s="168" t="s">
        <v>303</v>
      </c>
      <c r="G50" s="168" t="s">
        <v>309</v>
      </c>
      <c r="H50" s="168" t="s">
        <v>363</v>
      </c>
      <c r="I50" s="168" t="s">
        <v>440</v>
      </c>
      <c r="J50" s="168" t="s">
        <v>312</v>
      </c>
      <c r="K50" s="168" t="s">
        <v>1849</v>
      </c>
      <c r="L50" s="167" t="s">
        <v>304</v>
      </c>
      <c r="M50" s="167" t="s">
        <v>305</v>
      </c>
      <c r="N50" s="167">
        <v>11</v>
      </c>
      <c r="O50" s="167" t="s">
        <v>439</v>
      </c>
      <c r="P50" s="167" t="s">
        <v>439</v>
      </c>
      <c r="Q50" s="167" t="s">
        <v>438</v>
      </c>
      <c r="R50" s="166" t="s">
        <v>1988</v>
      </c>
      <c r="S50" s="169">
        <v>25152</v>
      </c>
      <c r="T50" s="160">
        <v>2000</v>
      </c>
      <c r="U50" s="160">
        <v>0</v>
      </c>
      <c r="V50" s="160">
        <v>8000</v>
      </c>
      <c r="W50" s="160">
        <v>17152</v>
      </c>
      <c r="X50" s="161">
        <v>0</v>
      </c>
      <c r="Y50" s="160"/>
      <c r="Z50" s="16">
        <v>31.8</v>
      </c>
      <c r="AA50" s="162">
        <v>8000</v>
      </c>
      <c r="AB50" s="162">
        <v>2000</v>
      </c>
      <c r="AC50" s="162">
        <v>24000</v>
      </c>
      <c r="AD50" s="160"/>
      <c r="AE50" s="228">
        <v>25152</v>
      </c>
      <c r="AF50" s="163">
        <v>1.0529999999999999</v>
      </c>
      <c r="AG50" s="163">
        <v>1.0489999999999999</v>
      </c>
      <c r="AH50" s="163">
        <v>1.0469999999999999</v>
      </c>
      <c r="AI50" s="164">
        <v>25152</v>
      </c>
      <c r="AJ50" s="164">
        <f t="shared" si="3"/>
        <v>0</v>
      </c>
      <c r="AK50" s="229">
        <v>25152</v>
      </c>
      <c r="AL50" s="229">
        <f ca="1">SUMIF('SM &amp; Vacancies'!A:N,D50,'SM &amp; Vacancies'!N:N)*105.3/100</f>
        <v>25272</v>
      </c>
      <c r="AM50" s="229">
        <f t="shared" ca="1" si="6"/>
        <v>26510.327999999998</v>
      </c>
      <c r="AN50" s="229">
        <f t="shared" ca="1" si="7"/>
        <v>27756.313415999997</v>
      </c>
      <c r="AO50" s="166"/>
      <c r="AP50" s="413">
        <f t="shared" ca="1" si="4"/>
        <v>-120</v>
      </c>
      <c r="AR50" s="231"/>
      <c r="AS50" s="231"/>
      <c r="AU50" s="414">
        <v>25152</v>
      </c>
      <c r="AV50" s="415">
        <v>25152</v>
      </c>
      <c r="AW50" s="414">
        <f t="shared" si="0"/>
        <v>0</v>
      </c>
    </row>
    <row r="51" spans="1:49" x14ac:dyDescent="0.3">
      <c r="A51" s="16" t="s">
        <v>1989</v>
      </c>
      <c r="B51" s="39" t="s">
        <v>441</v>
      </c>
      <c r="C51" s="39" t="s">
        <v>442</v>
      </c>
      <c r="D51" s="340" t="s">
        <v>3453</v>
      </c>
      <c r="E51" s="159" t="s">
        <v>373</v>
      </c>
      <c r="F51" s="159" t="s">
        <v>303</v>
      </c>
      <c r="G51" s="159" t="s">
        <v>309</v>
      </c>
      <c r="H51" s="159" t="s">
        <v>370</v>
      </c>
      <c r="I51" s="159" t="s">
        <v>443</v>
      </c>
      <c r="J51" s="159" t="s">
        <v>312</v>
      </c>
      <c r="K51" s="159" t="s">
        <v>1849</v>
      </c>
      <c r="L51" s="39" t="s">
        <v>304</v>
      </c>
      <c r="M51" s="39" t="s">
        <v>305</v>
      </c>
      <c r="N51" s="39">
        <v>11</v>
      </c>
      <c r="O51" s="39" t="s">
        <v>442</v>
      </c>
      <c r="P51" s="39" t="s">
        <v>442</v>
      </c>
      <c r="Q51" s="39" t="s">
        <v>441</v>
      </c>
      <c r="R51" s="16" t="s">
        <v>1989</v>
      </c>
      <c r="S51" s="169">
        <v>0</v>
      </c>
      <c r="T51" s="160">
        <v>0</v>
      </c>
      <c r="U51" s="160">
        <v>0</v>
      </c>
      <c r="V51" s="160">
        <v>0</v>
      </c>
      <c r="W51" s="160">
        <v>0</v>
      </c>
      <c r="X51" s="161">
        <v>0</v>
      </c>
      <c r="Y51" s="160"/>
      <c r="Z51" s="16">
        <v>0</v>
      </c>
      <c r="AA51" s="162">
        <v>0</v>
      </c>
      <c r="AB51" s="162">
        <v>0</v>
      </c>
      <c r="AC51" s="162">
        <v>0</v>
      </c>
      <c r="AD51" s="160"/>
      <c r="AE51" s="145">
        <v>0</v>
      </c>
      <c r="AF51" s="163">
        <v>1.0469999999999999</v>
      </c>
      <c r="AG51" s="164">
        <v>1.046</v>
      </c>
      <c r="AH51" s="164">
        <v>1.046</v>
      </c>
      <c r="AI51" s="164">
        <v>0</v>
      </c>
      <c r="AJ51" s="164">
        <f t="shared" si="3"/>
        <v>0</v>
      </c>
      <c r="AK51" s="165">
        <v>0</v>
      </c>
      <c r="AL51" s="165">
        <v>0</v>
      </c>
      <c r="AM51" s="165">
        <f t="shared" si="6"/>
        <v>0</v>
      </c>
      <c r="AN51" s="165">
        <f t="shared" si="7"/>
        <v>0</v>
      </c>
      <c r="AO51" s="16"/>
      <c r="AP51" s="231">
        <f t="shared" si="4"/>
        <v>0</v>
      </c>
      <c r="AR51" s="231"/>
      <c r="AS51" s="231"/>
      <c r="AU51" s="230">
        <v>0</v>
      </c>
      <c r="AV51" s="233">
        <v>0</v>
      </c>
      <c r="AW51" s="230">
        <f t="shared" si="0"/>
        <v>0</v>
      </c>
    </row>
    <row r="52" spans="1:49" x14ac:dyDescent="0.3">
      <c r="A52" s="16" t="s">
        <v>1990</v>
      </c>
      <c r="B52" s="39" t="s">
        <v>444</v>
      </c>
      <c r="C52" s="39" t="s">
        <v>445</v>
      </c>
      <c r="D52" s="340" t="s">
        <v>3453</v>
      </c>
      <c r="E52" s="159" t="s">
        <v>373</v>
      </c>
      <c r="F52" s="159" t="s">
        <v>303</v>
      </c>
      <c r="G52" s="159" t="s">
        <v>309</v>
      </c>
      <c r="H52" s="159" t="s">
        <v>370</v>
      </c>
      <c r="I52" s="159" t="s">
        <v>377</v>
      </c>
      <c r="J52" s="159" t="s">
        <v>312</v>
      </c>
      <c r="K52" s="159" t="s">
        <v>1849</v>
      </c>
      <c r="L52" s="39" t="s">
        <v>304</v>
      </c>
      <c r="M52" s="39" t="s">
        <v>305</v>
      </c>
      <c r="N52" s="39">
        <v>11</v>
      </c>
      <c r="O52" s="39" t="s">
        <v>445</v>
      </c>
      <c r="P52" s="39" t="s">
        <v>445</v>
      </c>
      <c r="Q52" s="39" t="s">
        <v>444</v>
      </c>
      <c r="R52" s="16" t="s">
        <v>1990</v>
      </c>
      <c r="S52" s="169">
        <v>0</v>
      </c>
      <c r="T52" s="160">
        <v>0</v>
      </c>
      <c r="U52" s="160">
        <v>0</v>
      </c>
      <c r="V52" s="160">
        <v>0</v>
      </c>
      <c r="W52" s="160">
        <v>0</v>
      </c>
      <c r="X52" s="161">
        <v>0</v>
      </c>
      <c r="Y52" s="160"/>
      <c r="Z52" s="16">
        <v>0</v>
      </c>
      <c r="AA52" s="162">
        <v>0</v>
      </c>
      <c r="AB52" s="162">
        <v>0</v>
      </c>
      <c r="AC52" s="162">
        <v>0</v>
      </c>
      <c r="AD52" s="160"/>
      <c r="AE52" s="145">
        <v>0</v>
      </c>
      <c r="AF52" s="163">
        <v>1.0469999999999999</v>
      </c>
      <c r="AG52" s="164">
        <v>1.046</v>
      </c>
      <c r="AH52" s="164">
        <v>1.046</v>
      </c>
      <c r="AI52" s="164">
        <v>0</v>
      </c>
      <c r="AJ52" s="164">
        <f t="shared" si="3"/>
        <v>0</v>
      </c>
      <c r="AK52" s="165">
        <v>0</v>
      </c>
      <c r="AL52" s="165">
        <v>0</v>
      </c>
      <c r="AM52" s="165">
        <f t="shared" si="6"/>
        <v>0</v>
      </c>
      <c r="AN52" s="165">
        <f t="shared" si="7"/>
        <v>0</v>
      </c>
      <c r="AO52" s="16"/>
      <c r="AP52" s="231">
        <f t="shared" si="4"/>
        <v>0</v>
      </c>
      <c r="AR52" s="231"/>
      <c r="AS52" s="231"/>
      <c r="AU52" s="230">
        <v>0</v>
      </c>
      <c r="AV52" s="233">
        <v>0</v>
      </c>
      <c r="AW52" s="230">
        <f t="shared" si="0"/>
        <v>0</v>
      </c>
    </row>
    <row r="53" spans="1:49" x14ac:dyDescent="0.3">
      <c r="A53" s="16" t="s">
        <v>25</v>
      </c>
      <c r="B53" s="39" t="s">
        <v>446</v>
      </c>
      <c r="C53" s="39" t="s">
        <v>447</v>
      </c>
      <c r="D53" s="340" t="s">
        <v>3453</v>
      </c>
      <c r="E53" s="159" t="s">
        <v>373</v>
      </c>
      <c r="F53" s="159" t="s">
        <v>303</v>
      </c>
      <c r="G53" s="159" t="s">
        <v>309</v>
      </c>
      <c r="H53" s="159" t="s">
        <v>370</v>
      </c>
      <c r="I53" s="159" t="s">
        <v>448</v>
      </c>
      <c r="J53" s="159" t="s">
        <v>312</v>
      </c>
      <c r="K53" s="159" t="s">
        <v>1849</v>
      </c>
      <c r="L53" s="39" t="s">
        <v>304</v>
      </c>
      <c r="M53" s="39" t="s">
        <v>305</v>
      </c>
      <c r="N53" s="39">
        <v>11</v>
      </c>
      <c r="O53" s="39" t="s">
        <v>447</v>
      </c>
      <c r="P53" s="39" t="s">
        <v>447</v>
      </c>
      <c r="Q53" s="39" t="s">
        <v>446</v>
      </c>
      <c r="R53" s="16" t="s">
        <v>25</v>
      </c>
      <c r="S53" s="169">
        <v>0</v>
      </c>
      <c r="T53" s="160">
        <v>177.12</v>
      </c>
      <c r="U53" s="160">
        <v>0</v>
      </c>
      <c r="V53" s="160">
        <v>708.48</v>
      </c>
      <c r="W53" s="160">
        <v>-708.48</v>
      </c>
      <c r="X53" s="161">
        <v>0</v>
      </c>
      <c r="Y53" s="160"/>
      <c r="Z53" s="16">
        <v>0</v>
      </c>
      <c r="AA53" s="162">
        <v>708.48</v>
      </c>
      <c r="AB53" s="162">
        <v>177.12</v>
      </c>
      <c r="AC53" s="162">
        <v>2125.44</v>
      </c>
      <c r="AD53" s="160"/>
      <c r="AE53" s="145">
        <v>0</v>
      </c>
      <c r="AF53" s="163">
        <v>1.0469999999999999</v>
      </c>
      <c r="AG53" s="164">
        <v>1.046</v>
      </c>
      <c r="AH53" s="164">
        <v>1.046</v>
      </c>
      <c r="AI53" s="164">
        <v>0</v>
      </c>
      <c r="AJ53" s="164">
        <f t="shared" si="3"/>
        <v>0</v>
      </c>
      <c r="AK53" s="165">
        <v>0</v>
      </c>
      <c r="AL53" s="165">
        <v>0</v>
      </c>
      <c r="AM53" s="165">
        <f t="shared" si="6"/>
        <v>0</v>
      </c>
      <c r="AN53" s="165">
        <f t="shared" si="7"/>
        <v>0</v>
      </c>
      <c r="AO53" s="16"/>
      <c r="AP53" s="231">
        <f t="shared" si="4"/>
        <v>0</v>
      </c>
      <c r="AR53" s="231"/>
      <c r="AS53" s="231"/>
      <c r="AU53" s="230">
        <v>0</v>
      </c>
      <c r="AV53" s="233">
        <v>0</v>
      </c>
      <c r="AW53" s="230">
        <f t="shared" si="0"/>
        <v>0</v>
      </c>
    </row>
    <row r="54" spans="1:49" s="172" customFormat="1" x14ac:dyDescent="0.3">
      <c r="A54" s="166" t="s">
        <v>1991</v>
      </c>
      <c r="B54" s="167" t="s">
        <v>449</v>
      </c>
      <c r="C54" s="167" t="s">
        <v>450</v>
      </c>
      <c r="D54" s="412" t="s">
        <v>3453</v>
      </c>
      <c r="E54" s="168" t="s">
        <v>373</v>
      </c>
      <c r="F54" s="168" t="s">
        <v>303</v>
      </c>
      <c r="G54" s="168" t="s">
        <v>309</v>
      </c>
      <c r="H54" s="168" t="s">
        <v>370</v>
      </c>
      <c r="I54" s="168" t="s">
        <v>451</v>
      </c>
      <c r="J54" s="168" t="s">
        <v>312</v>
      </c>
      <c r="K54" s="168" t="s">
        <v>1849</v>
      </c>
      <c r="L54" s="167" t="s">
        <v>304</v>
      </c>
      <c r="M54" s="167" t="s">
        <v>305</v>
      </c>
      <c r="N54" s="167">
        <v>11</v>
      </c>
      <c r="O54" s="167" t="s">
        <v>450</v>
      </c>
      <c r="P54" s="167" t="s">
        <v>450</v>
      </c>
      <c r="Q54" s="167" t="s">
        <v>449</v>
      </c>
      <c r="R54" s="166" t="s">
        <v>1991</v>
      </c>
      <c r="S54" s="169">
        <v>0</v>
      </c>
      <c r="T54" s="160">
        <v>10.8</v>
      </c>
      <c r="U54" s="160">
        <v>0</v>
      </c>
      <c r="V54" s="160">
        <v>43.2</v>
      </c>
      <c r="W54" s="160">
        <v>-43.2</v>
      </c>
      <c r="X54" s="161">
        <v>0</v>
      </c>
      <c r="Y54" s="160"/>
      <c r="Z54" s="16">
        <v>0</v>
      </c>
      <c r="AA54" s="162">
        <v>43.2</v>
      </c>
      <c r="AB54" s="162">
        <v>10.8</v>
      </c>
      <c r="AC54" s="162">
        <v>129.60000000000002</v>
      </c>
      <c r="AD54" s="160"/>
      <c r="AE54" s="228">
        <v>0</v>
      </c>
      <c r="AF54" s="186">
        <v>1.0529999999999999</v>
      </c>
      <c r="AG54" s="186">
        <v>1.0489999999999999</v>
      </c>
      <c r="AH54" s="186">
        <v>1.0469999999999999</v>
      </c>
      <c r="AI54" s="164">
        <v>0</v>
      </c>
      <c r="AJ54" s="164">
        <f t="shared" si="3"/>
        <v>0</v>
      </c>
      <c r="AK54" s="229">
        <v>0</v>
      </c>
      <c r="AL54" s="229">
        <f>'SM &amp; Vacancies'!O11</f>
        <v>955.28160000000014</v>
      </c>
      <c r="AM54" s="229">
        <f t="shared" si="6"/>
        <v>1002.0903984</v>
      </c>
      <c r="AN54" s="229">
        <f t="shared" si="7"/>
        <v>1049.1886471247999</v>
      </c>
      <c r="AO54" s="166"/>
      <c r="AP54" s="413">
        <f t="shared" si="4"/>
        <v>-955.28160000000014</v>
      </c>
      <c r="AR54" s="231"/>
      <c r="AS54" s="231"/>
      <c r="AU54" s="414">
        <v>0</v>
      </c>
      <c r="AV54" s="415">
        <v>0</v>
      </c>
      <c r="AW54" s="414">
        <f t="shared" si="0"/>
        <v>0</v>
      </c>
    </row>
    <row r="55" spans="1:49" s="172" customFormat="1" x14ac:dyDescent="0.3">
      <c r="A55" s="166" t="s">
        <v>50</v>
      </c>
      <c r="B55" s="167" t="s">
        <v>452</v>
      </c>
      <c r="C55" s="167" t="s">
        <v>302</v>
      </c>
      <c r="D55" s="412" t="s">
        <v>3453</v>
      </c>
      <c r="E55" s="168" t="s">
        <v>373</v>
      </c>
      <c r="F55" s="168" t="s">
        <v>303</v>
      </c>
      <c r="G55" s="168" t="s">
        <v>309</v>
      </c>
      <c r="H55" s="168" t="s">
        <v>373</v>
      </c>
      <c r="I55" s="168" t="s">
        <v>374</v>
      </c>
      <c r="J55" s="168" t="s">
        <v>312</v>
      </c>
      <c r="K55" s="168" t="s">
        <v>1849</v>
      </c>
      <c r="L55" s="167" t="s">
        <v>304</v>
      </c>
      <c r="M55" s="167" t="s">
        <v>305</v>
      </c>
      <c r="N55" s="167">
        <v>11</v>
      </c>
      <c r="O55" s="167" t="s">
        <v>302</v>
      </c>
      <c r="P55" s="167" t="s">
        <v>302</v>
      </c>
      <c r="Q55" s="167" t="s">
        <v>452</v>
      </c>
      <c r="R55" s="166" t="s">
        <v>50</v>
      </c>
      <c r="S55" s="169">
        <v>6911759</v>
      </c>
      <c r="T55" s="160">
        <v>932014.04</v>
      </c>
      <c r="U55" s="160">
        <v>0</v>
      </c>
      <c r="V55" s="160">
        <v>3879353.14</v>
      </c>
      <c r="W55" s="160">
        <v>3032405.86</v>
      </c>
      <c r="X55" s="161">
        <v>0</v>
      </c>
      <c r="Y55" s="160"/>
      <c r="Z55" s="16">
        <v>56.12</v>
      </c>
      <c r="AA55" s="162">
        <v>3879353.14</v>
      </c>
      <c r="AB55" s="162">
        <v>969838.28500000003</v>
      </c>
      <c r="AC55" s="162">
        <v>11638059.42</v>
      </c>
      <c r="AD55" s="160"/>
      <c r="AE55" s="228">
        <v>6911759</v>
      </c>
      <c r="AF55" s="163">
        <v>1.0529999999999999</v>
      </c>
      <c r="AG55" s="163">
        <v>1.0489999999999999</v>
      </c>
      <c r="AH55" s="163">
        <v>1.0469999999999999</v>
      </c>
      <c r="AI55" s="164">
        <v>6911759</v>
      </c>
      <c r="AJ55" s="164">
        <f t="shared" si="3"/>
        <v>0</v>
      </c>
      <c r="AK55" s="229">
        <v>6911759</v>
      </c>
      <c r="AL55" s="229">
        <f ca="1">SUMIF('MS &amp; Vacancies combined'!A:J,D55,'MS &amp; Vacancies combined'!J:J)*105.3/100</f>
        <v>6611792.6399645461</v>
      </c>
      <c r="AM55" s="229">
        <f t="shared" ca="1" si="6"/>
        <v>6935770.4793228088</v>
      </c>
      <c r="AN55" s="229">
        <f t="shared" ca="1" si="7"/>
        <v>7261751.6918509807</v>
      </c>
      <c r="AO55" s="166"/>
      <c r="AP55" s="413">
        <f t="shared" ca="1" si="4"/>
        <v>299966.36003545392</v>
      </c>
      <c r="AR55" s="231"/>
      <c r="AS55" s="231"/>
      <c r="AU55" s="414">
        <v>6911759</v>
      </c>
      <c r="AV55" s="415">
        <v>6911759</v>
      </c>
      <c r="AW55" s="414">
        <f t="shared" si="0"/>
        <v>0</v>
      </c>
    </row>
    <row r="56" spans="1:49" s="172" customFormat="1" x14ac:dyDescent="0.3">
      <c r="A56" s="166" t="s">
        <v>52</v>
      </c>
      <c r="B56" s="167" t="s">
        <v>453</v>
      </c>
      <c r="C56" s="167" t="s">
        <v>376</v>
      </c>
      <c r="D56" s="412" t="s">
        <v>3453</v>
      </c>
      <c r="E56" s="168" t="s">
        <v>373</v>
      </c>
      <c r="F56" s="168" t="s">
        <v>303</v>
      </c>
      <c r="G56" s="168" t="s">
        <v>309</v>
      </c>
      <c r="H56" s="168" t="s">
        <v>373</v>
      </c>
      <c r="I56" s="168" t="s">
        <v>377</v>
      </c>
      <c r="J56" s="168" t="s">
        <v>312</v>
      </c>
      <c r="K56" s="168" t="s">
        <v>1849</v>
      </c>
      <c r="L56" s="167" t="s">
        <v>304</v>
      </c>
      <c r="M56" s="167" t="s">
        <v>305</v>
      </c>
      <c r="N56" s="167">
        <v>11</v>
      </c>
      <c r="O56" s="167" t="s">
        <v>376</v>
      </c>
      <c r="P56" s="167" t="s">
        <v>376</v>
      </c>
      <c r="Q56" s="167" t="s">
        <v>453</v>
      </c>
      <c r="R56" s="166" t="s">
        <v>52</v>
      </c>
      <c r="S56" s="169">
        <v>58072</v>
      </c>
      <c r="T56" s="160">
        <v>2450</v>
      </c>
      <c r="U56" s="160">
        <v>0</v>
      </c>
      <c r="V56" s="160">
        <v>10500</v>
      </c>
      <c r="W56" s="160">
        <v>47572</v>
      </c>
      <c r="X56" s="161">
        <v>0</v>
      </c>
      <c r="Y56" s="160"/>
      <c r="Z56" s="16">
        <v>18.079999999999998</v>
      </c>
      <c r="AA56" s="162">
        <v>10500</v>
      </c>
      <c r="AB56" s="162">
        <v>2625</v>
      </c>
      <c r="AC56" s="162">
        <v>31500</v>
      </c>
      <c r="AD56" s="160"/>
      <c r="AE56" s="145">
        <v>58072</v>
      </c>
      <c r="AF56" s="163">
        <v>1.0529999999999999</v>
      </c>
      <c r="AG56" s="163">
        <v>1.0489999999999999</v>
      </c>
      <c r="AH56" s="163">
        <v>1.0469999999999999</v>
      </c>
      <c r="AI56" s="164">
        <v>58072</v>
      </c>
      <c r="AJ56" s="164">
        <f t="shared" si="3"/>
        <v>0</v>
      </c>
      <c r="AK56" s="229">
        <v>58072</v>
      </c>
      <c r="AL56" s="229">
        <f ca="1">SUMIF('MS &amp; Vacancies combined'!A:M,D56,'MS &amp; Vacancies combined'!M:M)*105.3/100</f>
        <v>20971.712695893377</v>
      </c>
      <c r="AM56" s="229">
        <f t="shared" ca="1" si="6"/>
        <v>21999.326617992152</v>
      </c>
      <c r="AN56" s="229">
        <f t="shared" ca="1" si="7"/>
        <v>23033.294969037783</v>
      </c>
      <c r="AO56" s="166"/>
      <c r="AP56" s="413">
        <f t="shared" ca="1" si="4"/>
        <v>37100.28730410662</v>
      </c>
      <c r="AR56" s="231"/>
      <c r="AS56" s="231"/>
      <c r="AU56" s="414">
        <v>58072</v>
      </c>
      <c r="AV56" s="415">
        <v>58072</v>
      </c>
      <c r="AW56" s="414">
        <f t="shared" si="0"/>
        <v>0</v>
      </c>
    </row>
    <row r="57" spans="1:49" s="172" customFormat="1" x14ac:dyDescent="0.3">
      <c r="A57" s="166" t="s">
        <v>54</v>
      </c>
      <c r="B57" s="167" t="s">
        <v>454</v>
      </c>
      <c r="C57" s="167" t="s">
        <v>379</v>
      </c>
      <c r="D57" s="412" t="s">
        <v>3453</v>
      </c>
      <c r="E57" s="168" t="s">
        <v>373</v>
      </c>
      <c r="F57" s="168" t="s">
        <v>303</v>
      </c>
      <c r="G57" s="168" t="s">
        <v>309</v>
      </c>
      <c r="H57" s="168" t="s">
        <v>373</v>
      </c>
      <c r="I57" s="168" t="s">
        <v>380</v>
      </c>
      <c r="J57" s="168" t="s">
        <v>312</v>
      </c>
      <c r="K57" s="168" t="s">
        <v>1849</v>
      </c>
      <c r="L57" s="167" t="s">
        <v>304</v>
      </c>
      <c r="M57" s="167" t="s">
        <v>305</v>
      </c>
      <c r="N57" s="167">
        <v>11</v>
      </c>
      <c r="O57" s="167" t="s">
        <v>379</v>
      </c>
      <c r="P57" s="167" t="s">
        <v>379</v>
      </c>
      <c r="Q57" s="167" t="s">
        <v>454</v>
      </c>
      <c r="R57" s="166" t="s">
        <v>54</v>
      </c>
      <c r="S57" s="169">
        <v>230464</v>
      </c>
      <c r="T57" s="160">
        <v>0</v>
      </c>
      <c r="U57" s="160">
        <v>0</v>
      </c>
      <c r="V57" s="160">
        <v>0</v>
      </c>
      <c r="W57" s="160">
        <v>230464</v>
      </c>
      <c r="X57" s="161">
        <v>0</v>
      </c>
      <c r="Y57" s="160"/>
      <c r="Z57" s="16">
        <v>0</v>
      </c>
      <c r="AA57" s="162">
        <v>0</v>
      </c>
      <c r="AB57" s="162">
        <v>0</v>
      </c>
      <c r="AC57" s="162">
        <v>0</v>
      </c>
      <c r="AD57" s="160"/>
      <c r="AE57" s="145">
        <v>230464</v>
      </c>
      <c r="AF57" s="163">
        <v>1.0529999999999999</v>
      </c>
      <c r="AG57" s="163">
        <v>1.0489999999999999</v>
      </c>
      <c r="AH57" s="163">
        <v>1.0469999999999999</v>
      </c>
      <c r="AI57" s="164">
        <v>230464</v>
      </c>
      <c r="AJ57" s="164">
        <f t="shared" si="3"/>
        <v>0</v>
      </c>
      <c r="AK57" s="229">
        <v>230464</v>
      </c>
      <c r="AL57" s="229">
        <f ca="1">SUMIF('MS &amp; Vacancies combined'!A:L,D57,'MS &amp; Vacancies combined'!L:L)*105.3/100</f>
        <v>235761.66393693368</v>
      </c>
      <c r="AM57" s="229">
        <f t="shared" ca="1" si="6"/>
        <v>247313.98546984341</v>
      </c>
      <c r="AN57" s="229">
        <f t="shared" ca="1" si="7"/>
        <v>258937.74278692604</v>
      </c>
      <c r="AO57" s="166"/>
      <c r="AP57" s="413">
        <f t="shared" ca="1" si="4"/>
        <v>-5297.6639369336772</v>
      </c>
      <c r="AR57" s="231"/>
      <c r="AS57" s="231"/>
      <c r="AU57" s="414">
        <v>230464</v>
      </c>
      <c r="AV57" s="415">
        <v>230464</v>
      </c>
      <c r="AW57" s="414">
        <f t="shared" si="0"/>
        <v>0</v>
      </c>
    </row>
    <row r="58" spans="1:49" x14ac:dyDescent="0.3">
      <c r="A58" s="16" t="s">
        <v>55</v>
      </c>
      <c r="B58" s="39" t="s">
        <v>455</v>
      </c>
      <c r="C58" s="39" t="s">
        <v>382</v>
      </c>
      <c r="D58" s="340" t="s">
        <v>3453</v>
      </c>
      <c r="E58" s="159" t="s">
        <v>373</v>
      </c>
      <c r="F58" s="159" t="s">
        <v>303</v>
      </c>
      <c r="G58" s="159" t="s">
        <v>309</v>
      </c>
      <c r="H58" s="159" t="s">
        <v>373</v>
      </c>
      <c r="I58" s="159" t="s">
        <v>383</v>
      </c>
      <c r="J58" s="159" t="s">
        <v>312</v>
      </c>
      <c r="K58" s="159" t="s">
        <v>1849</v>
      </c>
      <c r="L58" s="39" t="s">
        <v>304</v>
      </c>
      <c r="M58" s="39" t="s">
        <v>305</v>
      </c>
      <c r="N58" s="39">
        <v>11</v>
      </c>
      <c r="O58" s="39" t="s">
        <v>382</v>
      </c>
      <c r="P58" s="39" t="s">
        <v>382</v>
      </c>
      <c r="Q58" s="39" t="s">
        <v>455</v>
      </c>
      <c r="R58" s="16" t="s">
        <v>55</v>
      </c>
      <c r="S58" s="169">
        <v>0</v>
      </c>
      <c r="T58" s="160">
        <v>0</v>
      </c>
      <c r="U58" s="160">
        <v>0</v>
      </c>
      <c r="V58" s="160">
        <v>0</v>
      </c>
      <c r="W58" s="160">
        <v>0</v>
      </c>
      <c r="X58" s="161">
        <v>0</v>
      </c>
      <c r="Y58" s="160"/>
      <c r="Z58" s="16">
        <v>0</v>
      </c>
      <c r="AA58" s="162">
        <v>0</v>
      </c>
      <c r="AB58" s="162">
        <v>0</v>
      </c>
      <c r="AC58" s="162">
        <v>0</v>
      </c>
      <c r="AD58" s="160"/>
      <c r="AE58" s="145">
        <v>0</v>
      </c>
      <c r="AF58" s="163">
        <v>1.0469999999999999</v>
      </c>
      <c r="AG58" s="164">
        <v>1.046</v>
      </c>
      <c r="AH58" s="164">
        <v>1.046</v>
      </c>
      <c r="AI58" s="164">
        <v>0</v>
      </c>
      <c r="AJ58" s="164">
        <f t="shared" si="3"/>
        <v>0</v>
      </c>
      <c r="AK58" s="165">
        <v>0</v>
      </c>
      <c r="AL58" s="165">
        <v>0</v>
      </c>
      <c r="AM58" s="165">
        <f t="shared" ref="AM58:AM118" si="10">AL58*AG58</f>
        <v>0</v>
      </c>
      <c r="AN58" s="165">
        <f t="shared" ref="AN58:AN118" si="11">AM58*AH58</f>
        <v>0</v>
      </c>
      <c r="AO58" s="16"/>
      <c r="AP58" s="231">
        <f t="shared" si="4"/>
        <v>0</v>
      </c>
      <c r="AR58" s="231"/>
      <c r="AS58" s="231"/>
      <c r="AU58" s="230">
        <v>0</v>
      </c>
      <c r="AV58" s="233">
        <v>0</v>
      </c>
      <c r="AW58" s="230">
        <f t="shared" si="0"/>
        <v>0</v>
      </c>
    </row>
    <row r="59" spans="1:49" s="172" customFormat="1" x14ac:dyDescent="0.3">
      <c r="A59" s="166" t="s">
        <v>56</v>
      </c>
      <c r="B59" s="167" t="s">
        <v>456</v>
      </c>
      <c r="C59" s="167" t="s">
        <v>385</v>
      </c>
      <c r="D59" s="412" t="s">
        <v>3453</v>
      </c>
      <c r="E59" s="168" t="s">
        <v>373</v>
      </c>
      <c r="F59" s="168" t="s">
        <v>303</v>
      </c>
      <c r="G59" s="168" t="s">
        <v>309</v>
      </c>
      <c r="H59" s="168" t="s">
        <v>373</v>
      </c>
      <c r="I59" s="168" t="s">
        <v>386</v>
      </c>
      <c r="J59" s="168" t="s">
        <v>387</v>
      </c>
      <c r="K59" s="168" t="s">
        <v>1849</v>
      </c>
      <c r="L59" s="167" t="s">
        <v>304</v>
      </c>
      <c r="M59" s="167" t="s">
        <v>305</v>
      </c>
      <c r="N59" s="167">
        <v>11</v>
      </c>
      <c r="O59" s="167" t="s">
        <v>385</v>
      </c>
      <c r="P59" s="167" t="s">
        <v>385</v>
      </c>
      <c r="Q59" s="167" t="s">
        <v>456</v>
      </c>
      <c r="R59" s="166" t="s">
        <v>56</v>
      </c>
      <c r="S59" s="169">
        <v>43274</v>
      </c>
      <c r="T59" s="160">
        <v>86003.8</v>
      </c>
      <c r="U59" s="160">
        <v>0</v>
      </c>
      <c r="V59" s="160">
        <v>382167.7</v>
      </c>
      <c r="W59" s="160">
        <v>-338893.7</v>
      </c>
      <c r="X59" s="161">
        <v>0</v>
      </c>
      <c r="Y59" s="160"/>
      <c r="Z59" s="16">
        <v>883.13</v>
      </c>
      <c r="AA59" s="162">
        <v>382167.7</v>
      </c>
      <c r="AB59" s="162">
        <v>95541.925000000003</v>
      </c>
      <c r="AC59" s="162">
        <v>1146503.1000000001</v>
      </c>
      <c r="AD59" s="160"/>
      <c r="AE59" s="145">
        <v>43274</v>
      </c>
      <c r="AF59" s="163">
        <v>1.0529999999999999</v>
      </c>
      <c r="AG59" s="163">
        <v>1.0489999999999999</v>
      </c>
      <c r="AH59" s="163">
        <v>1.0469999999999999</v>
      </c>
      <c r="AI59" s="164">
        <v>43274</v>
      </c>
      <c r="AJ59" s="164">
        <f t="shared" si="3"/>
        <v>0</v>
      </c>
      <c r="AK59" s="229">
        <v>43274</v>
      </c>
      <c r="AL59" s="229">
        <f ca="1">SUMIF('MS &amp; Vacancies combined'!A:O,D59,'MS &amp; Vacancies combined'!O:O)*105.3/100</f>
        <v>898894.20995198097</v>
      </c>
      <c r="AM59" s="229">
        <f ca="1">AL59*AG59</f>
        <v>942940.02623962797</v>
      </c>
      <c r="AN59" s="229">
        <f ca="1">AM59*AH59</f>
        <v>987258.20747289038</v>
      </c>
      <c r="AO59" s="166"/>
      <c r="AP59" s="413">
        <f t="shared" ca="1" si="4"/>
        <v>-855620.20995198097</v>
      </c>
      <c r="AR59" s="231"/>
      <c r="AS59" s="231"/>
      <c r="AU59" s="414">
        <v>43274</v>
      </c>
      <c r="AV59" s="415">
        <v>43274</v>
      </c>
      <c r="AW59" s="414">
        <f t="shared" si="0"/>
        <v>0</v>
      </c>
    </row>
    <row r="60" spans="1:49" x14ac:dyDescent="0.3">
      <c r="A60" s="16" t="s">
        <v>57</v>
      </c>
      <c r="B60" s="39" t="s">
        <v>457</v>
      </c>
      <c r="C60" s="39" t="s">
        <v>389</v>
      </c>
      <c r="D60" s="340" t="s">
        <v>3453</v>
      </c>
      <c r="E60" s="159" t="s">
        <v>373</v>
      </c>
      <c r="F60" s="159" t="s">
        <v>303</v>
      </c>
      <c r="G60" s="159" t="s">
        <v>309</v>
      </c>
      <c r="H60" s="159" t="s">
        <v>373</v>
      </c>
      <c r="I60" s="159" t="s">
        <v>390</v>
      </c>
      <c r="J60" s="159" t="s">
        <v>312</v>
      </c>
      <c r="K60" s="159" t="s">
        <v>1849</v>
      </c>
      <c r="L60" s="39" t="s">
        <v>304</v>
      </c>
      <c r="M60" s="39" t="s">
        <v>305</v>
      </c>
      <c r="N60" s="39">
        <v>11</v>
      </c>
      <c r="O60" s="39" t="s">
        <v>389</v>
      </c>
      <c r="P60" s="39" t="s">
        <v>389</v>
      </c>
      <c r="Q60" s="39" t="s">
        <v>457</v>
      </c>
      <c r="R60" s="16" t="s">
        <v>57</v>
      </c>
      <c r="S60" s="169">
        <v>1848632</v>
      </c>
      <c r="T60" s="160">
        <v>120120.55</v>
      </c>
      <c r="U60" s="160">
        <v>0</v>
      </c>
      <c r="V60" s="160">
        <v>437874.37</v>
      </c>
      <c r="W60" s="160">
        <v>1410757.63</v>
      </c>
      <c r="X60" s="161">
        <v>0</v>
      </c>
      <c r="Y60" s="160"/>
      <c r="Z60" s="16">
        <v>23.68</v>
      </c>
      <c r="AA60" s="162">
        <v>437874.37</v>
      </c>
      <c r="AB60" s="162">
        <v>109468.5925</v>
      </c>
      <c r="AC60" s="162">
        <v>1313623.1099999999</v>
      </c>
      <c r="AD60" s="160"/>
      <c r="AE60" s="145">
        <v>1848632</v>
      </c>
      <c r="AF60" s="421">
        <v>1.0529999999999999</v>
      </c>
      <c r="AG60" s="421">
        <v>1.0489999999999999</v>
      </c>
      <c r="AH60" s="421">
        <v>1.0469999999999999</v>
      </c>
      <c r="AI60" s="164">
        <v>1848632</v>
      </c>
      <c r="AJ60" s="164">
        <f t="shared" si="3"/>
        <v>0</v>
      </c>
      <c r="AK60" s="165">
        <v>1848632</v>
      </c>
      <c r="AL60" s="165">
        <f>AK60*80%</f>
        <v>1478905.6</v>
      </c>
      <c r="AM60" s="165">
        <f>AL60*AG60</f>
        <v>1551371.9743999999</v>
      </c>
      <c r="AN60" s="165">
        <f t="shared" si="11"/>
        <v>1624286.4571967998</v>
      </c>
      <c r="AO60" s="16"/>
      <c r="AP60" s="231">
        <f t="shared" si="4"/>
        <v>369726.39999999991</v>
      </c>
      <c r="AR60" s="231"/>
      <c r="AS60" s="231"/>
      <c r="AU60" s="230">
        <v>1848632</v>
      </c>
      <c r="AV60" s="233">
        <v>1848632</v>
      </c>
      <c r="AW60" s="230">
        <f t="shared" si="0"/>
        <v>0</v>
      </c>
    </row>
    <row r="61" spans="1:49" x14ac:dyDescent="0.3">
      <c r="A61" s="16" t="s">
        <v>60</v>
      </c>
      <c r="B61" s="39" t="s">
        <v>458</v>
      </c>
      <c r="C61" s="39" t="s">
        <v>392</v>
      </c>
      <c r="D61" s="340" t="s">
        <v>3453</v>
      </c>
      <c r="E61" s="159" t="s">
        <v>373</v>
      </c>
      <c r="F61" s="159" t="s">
        <v>303</v>
      </c>
      <c r="G61" s="159" t="s">
        <v>309</v>
      </c>
      <c r="H61" s="159" t="s">
        <v>373</v>
      </c>
      <c r="I61" s="159" t="s">
        <v>393</v>
      </c>
      <c r="J61" s="159" t="s">
        <v>312</v>
      </c>
      <c r="K61" s="159" t="s">
        <v>1849</v>
      </c>
      <c r="L61" s="39" t="s">
        <v>304</v>
      </c>
      <c r="M61" s="39" t="s">
        <v>305</v>
      </c>
      <c r="N61" s="39">
        <v>11</v>
      </c>
      <c r="O61" s="39" t="s">
        <v>392</v>
      </c>
      <c r="P61" s="39" t="s">
        <v>392</v>
      </c>
      <c r="Q61" s="39" t="s">
        <v>458</v>
      </c>
      <c r="R61" s="16" t="s">
        <v>60</v>
      </c>
      <c r="S61" s="169">
        <v>117652</v>
      </c>
      <c r="T61" s="160">
        <v>8528.07</v>
      </c>
      <c r="U61" s="160">
        <v>0</v>
      </c>
      <c r="V61" s="160">
        <v>27155.42</v>
      </c>
      <c r="W61" s="160">
        <v>90496.58</v>
      </c>
      <c r="X61" s="161">
        <v>0</v>
      </c>
      <c r="Y61" s="160"/>
      <c r="Z61" s="16">
        <v>23.08</v>
      </c>
      <c r="AA61" s="162">
        <v>27155.42</v>
      </c>
      <c r="AB61" s="162">
        <v>6788.8549999999996</v>
      </c>
      <c r="AC61" s="162">
        <v>81466.259999999995</v>
      </c>
      <c r="AD61" s="160"/>
      <c r="AE61" s="145">
        <v>117652</v>
      </c>
      <c r="AF61" s="421">
        <v>1.0529999999999999</v>
      </c>
      <c r="AG61" s="421">
        <v>1.0489999999999999</v>
      </c>
      <c r="AH61" s="421">
        <v>1.0469999999999999</v>
      </c>
      <c r="AI61" s="164">
        <v>117652</v>
      </c>
      <c r="AJ61" s="164">
        <f t="shared" si="3"/>
        <v>0</v>
      </c>
      <c r="AK61" s="165">
        <v>117652</v>
      </c>
      <c r="AL61" s="165">
        <f>AK61*AF61</f>
        <v>123887.556</v>
      </c>
      <c r="AM61" s="165">
        <f t="shared" si="10"/>
        <v>129958.04624399998</v>
      </c>
      <c r="AN61" s="165">
        <f t="shared" si="11"/>
        <v>136066.07441746799</v>
      </c>
      <c r="AO61" s="16"/>
      <c r="AP61" s="231">
        <f t="shared" si="4"/>
        <v>-6235.5559999999969</v>
      </c>
      <c r="AR61" s="231"/>
      <c r="AS61" s="231"/>
      <c r="AU61" s="230">
        <v>117652</v>
      </c>
      <c r="AV61" s="233">
        <v>117652</v>
      </c>
      <c r="AW61" s="230">
        <f t="shared" si="0"/>
        <v>0</v>
      </c>
    </row>
    <row r="62" spans="1:49" x14ac:dyDescent="0.3">
      <c r="A62" s="16" t="s">
        <v>61</v>
      </c>
      <c r="B62" s="39" t="s">
        <v>459</v>
      </c>
      <c r="C62" s="39" t="s">
        <v>460</v>
      </c>
      <c r="D62" s="340" t="s">
        <v>3453</v>
      </c>
      <c r="E62" s="159" t="s">
        <v>373</v>
      </c>
      <c r="F62" s="159" t="s">
        <v>303</v>
      </c>
      <c r="G62" s="159" t="s">
        <v>309</v>
      </c>
      <c r="H62" s="159" t="s">
        <v>373</v>
      </c>
      <c r="I62" s="159" t="s">
        <v>461</v>
      </c>
      <c r="J62" s="159" t="s">
        <v>312</v>
      </c>
      <c r="K62" s="159" t="s">
        <v>1849</v>
      </c>
      <c r="L62" s="39" t="s">
        <v>304</v>
      </c>
      <c r="M62" s="39" t="s">
        <v>305</v>
      </c>
      <c r="N62" s="39">
        <v>11</v>
      </c>
      <c r="O62" s="39" t="s">
        <v>460</v>
      </c>
      <c r="P62" s="39" t="s">
        <v>460</v>
      </c>
      <c r="Q62" s="39" t="s">
        <v>459</v>
      </c>
      <c r="R62" s="16" t="s">
        <v>61</v>
      </c>
      <c r="S62" s="169">
        <v>0</v>
      </c>
      <c r="T62" s="160">
        <v>21061</v>
      </c>
      <c r="U62" s="160">
        <v>0</v>
      </c>
      <c r="V62" s="160">
        <v>157387</v>
      </c>
      <c r="W62" s="160">
        <v>-157387</v>
      </c>
      <c r="X62" s="161">
        <v>0</v>
      </c>
      <c r="Y62" s="160"/>
      <c r="Z62" s="16">
        <v>0</v>
      </c>
      <c r="AA62" s="162">
        <v>157387</v>
      </c>
      <c r="AB62" s="162">
        <v>39346.75</v>
      </c>
      <c r="AC62" s="162">
        <v>472161</v>
      </c>
      <c r="AD62" s="160"/>
      <c r="AE62" s="145">
        <v>0</v>
      </c>
      <c r="AF62" s="163">
        <v>1.0469999999999999</v>
      </c>
      <c r="AG62" s="164">
        <v>1.046</v>
      </c>
      <c r="AH62" s="164">
        <v>1.046</v>
      </c>
      <c r="AI62" s="164">
        <v>0</v>
      </c>
      <c r="AJ62" s="164">
        <f t="shared" si="3"/>
        <v>0</v>
      </c>
      <c r="AK62" s="165">
        <v>0</v>
      </c>
      <c r="AL62" s="165">
        <v>0</v>
      </c>
      <c r="AM62" s="165">
        <f t="shared" si="10"/>
        <v>0</v>
      </c>
      <c r="AN62" s="165">
        <f t="shared" si="11"/>
        <v>0</v>
      </c>
      <c r="AO62" s="16"/>
      <c r="AP62" s="231">
        <f t="shared" si="4"/>
        <v>0</v>
      </c>
      <c r="AR62" s="231"/>
      <c r="AS62" s="231"/>
      <c r="AU62" s="230">
        <v>0</v>
      </c>
      <c r="AV62" s="233">
        <v>0</v>
      </c>
      <c r="AW62" s="230">
        <f t="shared" si="0"/>
        <v>0</v>
      </c>
    </row>
    <row r="63" spans="1:49" s="172" customFormat="1" x14ac:dyDescent="0.3">
      <c r="A63" s="166" t="s">
        <v>62</v>
      </c>
      <c r="B63" s="167" t="s">
        <v>462</v>
      </c>
      <c r="C63" s="167" t="s">
        <v>395</v>
      </c>
      <c r="D63" s="412" t="s">
        <v>3453</v>
      </c>
      <c r="E63" s="168" t="s">
        <v>373</v>
      </c>
      <c r="F63" s="168" t="s">
        <v>303</v>
      </c>
      <c r="G63" s="168" t="s">
        <v>309</v>
      </c>
      <c r="H63" s="168" t="s">
        <v>373</v>
      </c>
      <c r="I63" s="168" t="s">
        <v>396</v>
      </c>
      <c r="J63" s="168" t="s">
        <v>312</v>
      </c>
      <c r="K63" s="168" t="s">
        <v>1849</v>
      </c>
      <c r="L63" s="167" t="s">
        <v>304</v>
      </c>
      <c r="M63" s="167" t="s">
        <v>305</v>
      </c>
      <c r="N63" s="167">
        <v>11</v>
      </c>
      <c r="O63" s="167" t="s">
        <v>395</v>
      </c>
      <c r="P63" s="167" t="s">
        <v>395</v>
      </c>
      <c r="Q63" s="167" t="s">
        <v>462</v>
      </c>
      <c r="R63" s="166" t="s">
        <v>62</v>
      </c>
      <c r="S63" s="169">
        <v>405875</v>
      </c>
      <c r="T63" s="160">
        <v>0</v>
      </c>
      <c r="U63" s="160">
        <v>0</v>
      </c>
      <c r="V63" s="160">
        <v>32918.949999999997</v>
      </c>
      <c r="W63" s="160">
        <v>372956.05</v>
      </c>
      <c r="X63" s="161">
        <v>0</v>
      </c>
      <c r="Y63" s="160"/>
      <c r="Z63" s="16">
        <v>8.11</v>
      </c>
      <c r="AA63" s="162">
        <v>32918.949999999997</v>
      </c>
      <c r="AB63" s="162">
        <v>8229.7374999999993</v>
      </c>
      <c r="AC63" s="162">
        <v>98756.849999999991</v>
      </c>
      <c r="AD63" s="160"/>
      <c r="AE63" s="145">
        <v>405875</v>
      </c>
      <c r="AF63" s="163">
        <v>1.0529999999999999</v>
      </c>
      <c r="AG63" s="163">
        <v>1.0489999999999999</v>
      </c>
      <c r="AH63" s="163">
        <v>1.0469999999999999</v>
      </c>
      <c r="AI63" s="164">
        <v>405875</v>
      </c>
      <c r="AJ63" s="164">
        <f t="shared" si="3"/>
        <v>0</v>
      </c>
      <c r="AK63" s="229">
        <v>405875</v>
      </c>
      <c r="AL63" s="229">
        <f ca="1">SUMIF('MS &amp; Vacancies combined'!A:K,D63,'MS &amp; Vacancies combined'!K:K)*105.3/100</f>
        <v>451987.01240249333</v>
      </c>
      <c r="AM63" s="229">
        <f ca="1">AL63*AG63</f>
        <v>474134.37601021549</v>
      </c>
      <c r="AN63" s="229">
        <f ca="1">AM63*AH63</f>
        <v>496418.69168269559</v>
      </c>
      <c r="AO63" s="166"/>
      <c r="AP63" s="413">
        <f t="shared" ca="1" si="4"/>
        <v>-46112.012402493332</v>
      </c>
      <c r="AR63" s="231"/>
      <c r="AS63" s="231"/>
      <c r="AU63" s="414">
        <v>405875</v>
      </c>
      <c r="AV63" s="415">
        <v>405875</v>
      </c>
      <c r="AW63" s="414">
        <f t="shared" si="0"/>
        <v>0</v>
      </c>
    </row>
    <row r="64" spans="1:49" x14ac:dyDescent="0.3">
      <c r="A64" s="16" t="s">
        <v>64</v>
      </c>
      <c r="B64" s="39" t="s">
        <v>463</v>
      </c>
      <c r="C64" s="39" t="s">
        <v>464</v>
      </c>
      <c r="D64" s="340" t="s">
        <v>3453</v>
      </c>
      <c r="E64" s="159" t="s">
        <v>373</v>
      </c>
      <c r="F64" s="159" t="s">
        <v>303</v>
      </c>
      <c r="G64" s="159" t="s">
        <v>309</v>
      </c>
      <c r="H64" s="159" t="s">
        <v>373</v>
      </c>
      <c r="I64" s="159" t="s">
        <v>465</v>
      </c>
      <c r="J64" s="159" t="s">
        <v>312</v>
      </c>
      <c r="K64" s="159" t="s">
        <v>1849</v>
      </c>
      <c r="L64" s="39" t="s">
        <v>304</v>
      </c>
      <c r="M64" s="39" t="s">
        <v>305</v>
      </c>
      <c r="N64" s="39">
        <v>11</v>
      </c>
      <c r="O64" s="39" t="s">
        <v>464</v>
      </c>
      <c r="P64" s="39" t="s">
        <v>464</v>
      </c>
      <c r="Q64" s="39" t="s">
        <v>463</v>
      </c>
      <c r="R64" s="16" t="s">
        <v>64</v>
      </c>
      <c r="S64" s="169">
        <v>641450</v>
      </c>
      <c r="T64" s="160">
        <v>63884.03</v>
      </c>
      <c r="U64" s="160">
        <v>0</v>
      </c>
      <c r="V64" s="160">
        <v>240512.25</v>
      </c>
      <c r="W64" s="160">
        <v>400937.75</v>
      </c>
      <c r="X64" s="161">
        <v>0</v>
      </c>
      <c r="Y64" s="160"/>
      <c r="Z64" s="16">
        <v>37.49</v>
      </c>
      <c r="AA64" s="162">
        <v>240512.25</v>
      </c>
      <c r="AB64" s="162">
        <v>60128.0625</v>
      </c>
      <c r="AC64" s="162">
        <v>721536.75</v>
      </c>
      <c r="AD64" s="160"/>
      <c r="AE64" s="145">
        <v>641450</v>
      </c>
      <c r="AF64" s="421">
        <v>1.0529999999999999</v>
      </c>
      <c r="AG64" s="421">
        <v>1.0489999999999999</v>
      </c>
      <c r="AH64" s="421">
        <v>1.0469999999999999</v>
      </c>
      <c r="AI64" s="164">
        <v>641450</v>
      </c>
      <c r="AJ64" s="164">
        <f t="shared" si="3"/>
        <v>0</v>
      </c>
      <c r="AK64" s="165">
        <v>641450</v>
      </c>
      <c r="AL64" s="165">
        <f>AK64*AF64</f>
        <v>675446.85</v>
      </c>
      <c r="AM64" s="165">
        <f t="shared" si="10"/>
        <v>708543.74564999994</v>
      </c>
      <c r="AN64" s="165">
        <f t="shared" si="11"/>
        <v>741845.30169554986</v>
      </c>
      <c r="AO64" s="16"/>
      <c r="AP64" s="231">
        <f t="shared" si="4"/>
        <v>-33996.849999999977</v>
      </c>
      <c r="AR64" s="231"/>
      <c r="AS64" s="231"/>
      <c r="AU64" s="230">
        <v>641450</v>
      </c>
      <c r="AV64" s="233">
        <v>641450</v>
      </c>
      <c r="AW64" s="230">
        <f t="shared" si="0"/>
        <v>0</v>
      </c>
    </row>
    <row r="65" spans="1:49" x14ac:dyDescent="0.3">
      <c r="A65" s="16" t="s">
        <v>65</v>
      </c>
      <c r="B65" s="39" t="s">
        <v>466</v>
      </c>
      <c r="C65" s="39" t="s">
        <v>467</v>
      </c>
      <c r="D65" s="340" t="s">
        <v>3453</v>
      </c>
      <c r="E65" s="159" t="s">
        <v>373</v>
      </c>
      <c r="F65" s="159" t="s">
        <v>303</v>
      </c>
      <c r="G65" s="159" t="s">
        <v>309</v>
      </c>
      <c r="H65" s="159" t="s">
        <v>373</v>
      </c>
      <c r="I65" s="159" t="s">
        <v>468</v>
      </c>
      <c r="J65" s="159" t="s">
        <v>312</v>
      </c>
      <c r="K65" s="159" t="s">
        <v>1849</v>
      </c>
      <c r="L65" s="39" t="s">
        <v>304</v>
      </c>
      <c r="M65" s="39" t="s">
        <v>305</v>
      </c>
      <c r="N65" s="39">
        <v>11</v>
      </c>
      <c r="O65" s="39" t="s">
        <v>467</v>
      </c>
      <c r="P65" s="39" t="s">
        <v>467</v>
      </c>
      <c r="Q65" s="39" t="s">
        <v>466</v>
      </c>
      <c r="R65" s="16" t="s">
        <v>65</v>
      </c>
      <c r="S65" s="169">
        <v>0</v>
      </c>
      <c r="T65" s="160">
        <v>0</v>
      </c>
      <c r="U65" s="160">
        <v>0</v>
      </c>
      <c r="V65" s="160">
        <v>0</v>
      </c>
      <c r="W65" s="160">
        <v>0</v>
      </c>
      <c r="X65" s="161">
        <v>0</v>
      </c>
      <c r="Y65" s="160"/>
      <c r="Z65" s="16">
        <v>0</v>
      </c>
      <c r="AA65" s="162">
        <v>0</v>
      </c>
      <c r="AB65" s="162">
        <v>0</v>
      </c>
      <c r="AC65" s="162">
        <v>0</v>
      </c>
      <c r="AD65" s="160"/>
      <c r="AE65" s="145">
        <v>0</v>
      </c>
      <c r="AF65" s="163">
        <v>1.0469999999999999</v>
      </c>
      <c r="AG65" s="164">
        <v>1.046</v>
      </c>
      <c r="AH65" s="164">
        <v>1.046</v>
      </c>
      <c r="AI65" s="164">
        <v>0</v>
      </c>
      <c r="AJ65" s="164">
        <f t="shared" si="3"/>
        <v>0</v>
      </c>
      <c r="AK65" s="165">
        <v>0</v>
      </c>
      <c r="AL65" s="165">
        <v>0</v>
      </c>
      <c r="AM65" s="165">
        <f t="shared" si="10"/>
        <v>0</v>
      </c>
      <c r="AN65" s="165">
        <f t="shared" si="11"/>
        <v>0</v>
      </c>
      <c r="AO65" s="16"/>
      <c r="AP65" s="231">
        <f t="shared" si="4"/>
        <v>0</v>
      </c>
      <c r="AR65" s="231"/>
      <c r="AS65" s="231"/>
      <c r="AU65" s="230">
        <v>0</v>
      </c>
      <c r="AV65" s="233">
        <v>0</v>
      </c>
      <c r="AW65" s="230">
        <f t="shared" si="0"/>
        <v>0</v>
      </c>
    </row>
    <row r="66" spans="1:49" s="172" customFormat="1" x14ac:dyDescent="0.3">
      <c r="A66" s="166" t="s">
        <v>69</v>
      </c>
      <c r="B66" s="167" t="s">
        <v>469</v>
      </c>
      <c r="C66" s="167" t="s">
        <v>398</v>
      </c>
      <c r="D66" s="412" t="s">
        <v>3453</v>
      </c>
      <c r="E66" s="168" t="s">
        <v>373</v>
      </c>
      <c r="F66" s="168" t="s">
        <v>303</v>
      </c>
      <c r="G66" s="168" t="s">
        <v>309</v>
      </c>
      <c r="H66" s="168" t="s">
        <v>310</v>
      </c>
      <c r="I66" s="168" t="s">
        <v>374</v>
      </c>
      <c r="J66" s="168" t="s">
        <v>312</v>
      </c>
      <c r="K66" s="168" t="s">
        <v>1849</v>
      </c>
      <c r="L66" s="167" t="s">
        <v>304</v>
      </c>
      <c r="M66" s="167" t="s">
        <v>305</v>
      </c>
      <c r="N66" s="167">
        <v>11</v>
      </c>
      <c r="O66" s="167" t="s">
        <v>398</v>
      </c>
      <c r="P66" s="167" t="s">
        <v>398</v>
      </c>
      <c r="Q66" s="167" t="s">
        <v>469</v>
      </c>
      <c r="R66" s="166" t="s">
        <v>69</v>
      </c>
      <c r="S66" s="169">
        <v>2461</v>
      </c>
      <c r="T66" s="160">
        <v>432</v>
      </c>
      <c r="U66" s="160">
        <v>0</v>
      </c>
      <c r="V66" s="160">
        <v>1760.4</v>
      </c>
      <c r="W66" s="160">
        <v>700.6</v>
      </c>
      <c r="X66" s="161">
        <v>0</v>
      </c>
      <c r="Y66" s="160"/>
      <c r="Z66" s="16">
        <v>71.53</v>
      </c>
      <c r="AA66" s="162">
        <v>1760.4</v>
      </c>
      <c r="AB66" s="162">
        <v>440.1</v>
      </c>
      <c r="AC66" s="162">
        <v>5281.2000000000007</v>
      </c>
      <c r="AD66" s="160"/>
      <c r="AE66" s="145">
        <v>2461</v>
      </c>
      <c r="AF66" s="163">
        <v>1.0529999999999999</v>
      </c>
      <c r="AG66" s="163">
        <v>1.0489999999999999</v>
      </c>
      <c r="AH66" s="163">
        <v>1.0469999999999999</v>
      </c>
      <c r="AI66" s="164">
        <v>2461</v>
      </c>
      <c r="AJ66" s="164">
        <f t="shared" si="3"/>
        <v>0</v>
      </c>
      <c r="AK66" s="229">
        <v>2461</v>
      </c>
      <c r="AL66" s="229">
        <f ca="1">SUMIF('MS &amp; Vacancies combined'!A:N,D66,'MS &amp; Vacancies combined'!N:N)*105.3/100</f>
        <v>2516.6055235072049</v>
      </c>
      <c r="AM66" s="229">
        <f t="shared" ca="1" si="10"/>
        <v>2639.919194159058</v>
      </c>
      <c r="AN66" s="229">
        <f t="shared" ca="1" si="11"/>
        <v>2763.9953962845334</v>
      </c>
      <c r="AO66" s="166"/>
      <c r="AP66" s="413">
        <f t="shared" ca="1" si="4"/>
        <v>-55.605523507204907</v>
      </c>
      <c r="AR66" s="231"/>
      <c r="AS66" s="231"/>
      <c r="AU66" s="414">
        <v>2461</v>
      </c>
      <c r="AV66" s="415">
        <v>2461</v>
      </c>
      <c r="AW66" s="414">
        <f t="shared" ref="AW66:AW129" si="12">AU66-S66</f>
        <v>0</v>
      </c>
    </row>
    <row r="67" spans="1:49" s="172" customFormat="1" x14ac:dyDescent="0.3">
      <c r="A67" s="166" t="s">
        <v>70</v>
      </c>
      <c r="B67" s="167" t="s">
        <v>470</v>
      </c>
      <c r="C67" s="167" t="s">
        <v>400</v>
      </c>
      <c r="D67" s="412" t="s">
        <v>3453</v>
      </c>
      <c r="E67" s="168" t="s">
        <v>373</v>
      </c>
      <c r="F67" s="168" t="s">
        <v>303</v>
      </c>
      <c r="G67" s="168" t="s">
        <v>309</v>
      </c>
      <c r="H67" s="168" t="s">
        <v>310</v>
      </c>
      <c r="I67" s="168" t="s">
        <v>401</v>
      </c>
      <c r="J67" s="168" t="s">
        <v>312</v>
      </c>
      <c r="K67" s="168" t="s">
        <v>1849</v>
      </c>
      <c r="L67" s="167" t="s">
        <v>304</v>
      </c>
      <c r="M67" s="167" t="s">
        <v>305</v>
      </c>
      <c r="N67" s="167">
        <v>11</v>
      </c>
      <c r="O67" s="167" t="s">
        <v>400</v>
      </c>
      <c r="P67" s="167" t="s">
        <v>400</v>
      </c>
      <c r="Q67" s="167" t="s">
        <v>470</v>
      </c>
      <c r="R67" s="166" t="s">
        <v>70</v>
      </c>
      <c r="S67" s="169">
        <v>117500</v>
      </c>
      <c r="T67" s="160">
        <v>8907.4</v>
      </c>
      <c r="U67" s="160">
        <v>0</v>
      </c>
      <c r="V67" s="160">
        <v>37109.08</v>
      </c>
      <c r="W67" s="160">
        <v>80390.92</v>
      </c>
      <c r="X67" s="161">
        <v>0</v>
      </c>
      <c r="Y67" s="160"/>
      <c r="Z67" s="16">
        <v>31.58</v>
      </c>
      <c r="AA67" s="162">
        <v>37109.08</v>
      </c>
      <c r="AB67" s="162">
        <v>9277.27</v>
      </c>
      <c r="AC67" s="162">
        <v>111327.24</v>
      </c>
      <c r="AD67" s="160"/>
      <c r="AE67" s="145">
        <v>117500</v>
      </c>
      <c r="AF67" s="163">
        <v>1.0529999999999999</v>
      </c>
      <c r="AG67" s="163">
        <v>1.0489999999999999</v>
      </c>
      <c r="AH67" s="163">
        <v>1.0469999999999999</v>
      </c>
      <c r="AI67" s="164">
        <v>117500</v>
      </c>
      <c r="AJ67" s="164">
        <f t="shared" si="3"/>
        <v>0</v>
      </c>
      <c r="AK67" s="229">
        <v>117500</v>
      </c>
      <c r="AL67" s="229">
        <f ca="1">SUMIF('MS &amp; Vacancies combined'!A:P,D67,'MS &amp; Vacancies combined'!P:P)*105.3/100</f>
        <v>1173402.1616802127</v>
      </c>
      <c r="AM67" s="229">
        <f t="shared" ca="1" si="10"/>
        <v>1230898.867602543</v>
      </c>
      <c r="AN67" s="229">
        <f t="shared" ca="1" si="11"/>
        <v>1288751.1143798623</v>
      </c>
      <c r="AO67" s="166"/>
      <c r="AP67" s="413">
        <f t="shared" ca="1" si="4"/>
        <v>-1055902.1616802127</v>
      </c>
      <c r="AR67" s="231"/>
      <c r="AS67" s="231"/>
      <c r="AU67" s="414">
        <v>117500</v>
      </c>
      <c r="AV67" s="415">
        <v>117500</v>
      </c>
      <c r="AW67" s="414">
        <f t="shared" si="12"/>
        <v>0</v>
      </c>
    </row>
    <row r="68" spans="1:49" s="172" customFormat="1" x14ac:dyDescent="0.3">
      <c r="A68" s="166" t="s">
        <v>71</v>
      </c>
      <c r="B68" s="167" t="s">
        <v>471</v>
      </c>
      <c r="C68" s="167" t="s">
        <v>403</v>
      </c>
      <c r="D68" s="412" t="s">
        <v>3453</v>
      </c>
      <c r="E68" s="168" t="s">
        <v>373</v>
      </c>
      <c r="F68" s="168" t="s">
        <v>303</v>
      </c>
      <c r="G68" s="168" t="s">
        <v>309</v>
      </c>
      <c r="H68" s="168" t="s">
        <v>310</v>
      </c>
      <c r="I68" s="168" t="s">
        <v>404</v>
      </c>
      <c r="J68" s="168" t="s">
        <v>312</v>
      </c>
      <c r="K68" s="168" t="s">
        <v>1849</v>
      </c>
      <c r="L68" s="167" t="s">
        <v>304</v>
      </c>
      <c r="M68" s="167" t="s">
        <v>305</v>
      </c>
      <c r="N68" s="167">
        <v>11</v>
      </c>
      <c r="O68" s="167" t="s">
        <v>403</v>
      </c>
      <c r="P68" s="167" t="s">
        <v>403</v>
      </c>
      <c r="Q68" s="167" t="s">
        <v>471</v>
      </c>
      <c r="R68" s="166" t="s">
        <v>71</v>
      </c>
      <c r="S68" s="169">
        <v>1200535</v>
      </c>
      <c r="T68" s="160">
        <v>111901.4</v>
      </c>
      <c r="U68" s="160">
        <v>0</v>
      </c>
      <c r="V68" s="160">
        <v>461373.2</v>
      </c>
      <c r="W68" s="160">
        <v>739161.8</v>
      </c>
      <c r="X68" s="161">
        <v>0</v>
      </c>
      <c r="Y68" s="160"/>
      <c r="Z68" s="16">
        <v>38.43</v>
      </c>
      <c r="AA68" s="162">
        <v>461373.2</v>
      </c>
      <c r="AB68" s="162">
        <v>115343.3</v>
      </c>
      <c r="AC68" s="162">
        <v>1384119.6</v>
      </c>
      <c r="AD68" s="160"/>
      <c r="AE68" s="145">
        <v>1200535</v>
      </c>
      <c r="AF68" s="163">
        <v>1.0529999999999999</v>
      </c>
      <c r="AG68" s="163">
        <v>1.0489999999999999</v>
      </c>
      <c r="AH68" s="163">
        <v>1.0469999999999999</v>
      </c>
      <c r="AI68" s="164">
        <v>1200535</v>
      </c>
      <c r="AJ68" s="164">
        <f t="shared" si="3"/>
        <v>0</v>
      </c>
      <c r="AK68" s="229">
        <v>1200535</v>
      </c>
      <c r="AL68" s="229">
        <f ca="1">SUMIF('MS &amp; Vacancies combined'!A:Q,D68,'MS &amp; Vacancies combined'!Q:Q)*105.3/100</f>
        <v>1166726.282981535</v>
      </c>
      <c r="AM68" s="229">
        <f t="shared" ca="1" si="10"/>
        <v>1223895.8708476301</v>
      </c>
      <c r="AN68" s="229">
        <f t="shared" ca="1" si="11"/>
        <v>1281418.9767774686</v>
      </c>
      <c r="AO68" s="166"/>
      <c r="AP68" s="413">
        <f t="shared" ca="1" si="4"/>
        <v>33808.717018465046</v>
      </c>
      <c r="AR68" s="231"/>
      <c r="AS68" s="231"/>
      <c r="AU68" s="414">
        <v>1200535</v>
      </c>
      <c r="AV68" s="415">
        <v>1200535</v>
      </c>
      <c r="AW68" s="414">
        <f t="shared" si="12"/>
        <v>0</v>
      </c>
    </row>
    <row r="69" spans="1:49" s="172" customFormat="1" x14ac:dyDescent="0.3">
      <c r="A69" s="166" t="s">
        <v>72</v>
      </c>
      <c r="B69" s="167" t="s">
        <v>472</v>
      </c>
      <c r="C69" s="167" t="s">
        <v>406</v>
      </c>
      <c r="D69" s="412" t="s">
        <v>3453</v>
      </c>
      <c r="E69" s="168" t="s">
        <v>373</v>
      </c>
      <c r="F69" s="168" t="s">
        <v>303</v>
      </c>
      <c r="G69" s="168" t="s">
        <v>309</v>
      </c>
      <c r="H69" s="168" t="s">
        <v>310</v>
      </c>
      <c r="I69" s="168" t="s">
        <v>407</v>
      </c>
      <c r="J69" s="168" t="s">
        <v>312</v>
      </c>
      <c r="K69" s="168" t="s">
        <v>1849</v>
      </c>
      <c r="L69" s="167" t="s">
        <v>304</v>
      </c>
      <c r="M69" s="167" t="s">
        <v>305</v>
      </c>
      <c r="N69" s="167">
        <v>11</v>
      </c>
      <c r="O69" s="167" t="s">
        <v>406</v>
      </c>
      <c r="P69" s="167" t="s">
        <v>406</v>
      </c>
      <c r="Q69" s="167" t="s">
        <v>472</v>
      </c>
      <c r="R69" s="166" t="s">
        <v>72</v>
      </c>
      <c r="S69" s="169">
        <v>1248955</v>
      </c>
      <c r="T69" s="160">
        <v>155913.92000000001</v>
      </c>
      <c r="U69" s="160">
        <v>0</v>
      </c>
      <c r="V69" s="160">
        <v>650451.77</v>
      </c>
      <c r="W69" s="160">
        <v>598503.23</v>
      </c>
      <c r="X69" s="161">
        <v>0</v>
      </c>
      <c r="Y69" s="160"/>
      <c r="Z69" s="16">
        <v>52.07</v>
      </c>
      <c r="AA69" s="162">
        <v>650451.77</v>
      </c>
      <c r="AB69" s="162">
        <v>162612.9425</v>
      </c>
      <c r="AC69" s="162">
        <v>1951355.31</v>
      </c>
      <c r="AD69" s="160"/>
      <c r="AE69" s="145">
        <v>1248955</v>
      </c>
      <c r="AF69" s="163">
        <v>1.0529999999999999</v>
      </c>
      <c r="AG69" s="163">
        <v>1.0489999999999999</v>
      </c>
      <c r="AH69" s="163">
        <v>1.0469999999999999</v>
      </c>
      <c r="AI69" s="164">
        <v>1248955</v>
      </c>
      <c r="AJ69" s="164">
        <f t="shared" si="3"/>
        <v>0</v>
      </c>
      <c r="AK69" s="229">
        <v>1248955</v>
      </c>
      <c r="AL69" s="229">
        <f ca="1">SUMIF('MS &amp; Vacancies combined'!A:R,D69,'MS &amp; Vacancies combined'!R:R)*105.3/100</f>
        <v>1091449.9059541239</v>
      </c>
      <c r="AM69" s="229">
        <f t="shared" ca="1" si="10"/>
        <v>1144930.9513458759</v>
      </c>
      <c r="AN69" s="229">
        <f t="shared" ca="1" si="11"/>
        <v>1198742.706059132</v>
      </c>
      <c r="AO69" s="166"/>
      <c r="AP69" s="413">
        <f t="shared" ca="1" si="4"/>
        <v>157505.09404587606</v>
      </c>
      <c r="AR69" s="231"/>
      <c r="AS69" s="231"/>
      <c r="AU69" s="414">
        <v>1248955</v>
      </c>
      <c r="AV69" s="415">
        <v>1248955</v>
      </c>
      <c r="AW69" s="414">
        <f t="shared" si="12"/>
        <v>0</v>
      </c>
    </row>
    <row r="70" spans="1:49" s="172" customFormat="1" x14ac:dyDescent="0.3">
      <c r="A70" s="166" t="s">
        <v>73</v>
      </c>
      <c r="B70" s="167" t="s">
        <v>473</v>
      </c>
      <c r="C70" s="167" t="s">
        <v>307</v>
      </c>
      <c r="D70" s="412" t="s">
        <v>3453</v>
      </c>
      <c r="E70" s="168" t="s">
        <v>373</v>
      </c>
      <c r="F70" s="168" t="s">
        <v>303</v>
      </c>
      <c r="G70" s="168" t="s">
        <v>309</v>
      </c>
      <c r="H70" s="168" t="s">
        <v>310</v>
      </c>
      <c r="I70" s="168" t="s">
        <v>311</v>
      </c>
      <c r="J70" s="168" t="s">
        <v>312</v>
      </c>
      <c r="K70" s="168" t="s">
        <v>1849</v>
      </c>
      <c r="L70" s="167" t="s">
        <v>304</v>
      </c>
      <c r="M70" s="167" t="s">
        <v>305</v>
      </c>
      <c r="N70" s="167">
        <v>11</v>
      </c>
      <c r="O70" s="167" t="s">
        <v>307</v>
      </c>
      <c r="P70" s="167" t="s">
        <v>307</v>
      </c>
      <c r="Q70" s="167" t="s">
        <v>473</v>
      </c>
      <c r="R70" s="166" t="s">
        <v>73</v>
      </c>
      <c r="S70" s="169">
        <v>44549</v>
      </c>
      <c r="T70" s="160">
        <v>7000.46</v>
      </c>
      <c r="U70" s="160">
        <v>0</v>
      </c>
      <c r="V70" s="160">
        <v>28786.22</v>
      </c>
      <c r="W70" s="160">
        <v>15762.78</v>
      </c>
      <c r="X70" s="161">
        <v>0</v>
      </c>
      <c r="Y70" s="160"/>
      <c r="Z70" s="16">
        <v>64.61</v>
      </c>
      <c r="AA70" s="162">
        <v>28786.22</v>
      </c>
      <c r="AB70" s="162">
        <v>7196.5550000000003</v>
      </c>
      <c r="AC70" s="162">
        <v>86358.66</v>
      </c>
      <c r="AD70" s="160"/>
      <c r="AE70" s="145">
        <v>44549</v>
      </c>
      <c r="AF70" s="163">
        <v>1.0529999999999999</v>
      </c>
      <c r="AG70" s="163">
        <v>1.0489999999999999</v>
      </c>
      <c r="AH70" s="163">
        <v>1.0469999999999999</v>
      </c>
      <c r="AI70" s="164">
        <v>44549</v>
      </c>
      <c r="AJ70" s="164">
        <f t="shared" si="3"/>
        <v>0</v>
      </c>
      <c r="AK70" s="229">
        <v>44549</v>
      </c>
      <c r="AL70" s="229">
        <f ca="1">SUMIF('MS &amp; Vacancies combined'!A:S,D70,'MS &amp; Vacancies combined'!S:S)*105.3/100</f>
        <v>41272.330585518182</v>
      </c>
      <c r="AM70" s="229">
        <f t="shared" ca="1" si="10"/>
        <v>43294.674784208568</v>
      </c>
      <c r="AN70" s="229">
        <f t="shared" ca="1" si="11"/>
        <v>45329.52449906637</v>
      </c>
      <c r="AO70" s="166"/>
      <c r="AP70" s="413">
        <f t="shared" ca="1" si="4"/>
        <v>3276.6694144818175</v>
      </c>
      <c r="AR70" s="231"/>
      <c r="AS70" s="231"/>
      <c r="AU70" s="414">
        <v>44549</v>
      </c>
      <c r="AV70" s="415">
        <v>44549</v>
      </c>
      <c r="AW70" s="414">
        <f t="shared" si="12"/>
        <v>0</v>
      </c>
    </row>
    <row r="71" spans="1:49" hidden="1" x14ac:dyDescent="0.3">
      <c r="A71" s="16" t="s">
        <v>324</v>
      </c>
      <c r="B71" s="39" t="s">
        <v>474</v>
      </c>
      <c r="C71" s="39" t="s">
        <v>76</v>
      </c>
      <c r="D71" s="340" t="s">
        <v>3453</v>
      </c>
      <c r="E71" s="159" t="s">
        <v>373</v>
      </c>
      <c r="F71" s="159" t="s">
        <v>303</v>
      </c>
      <c r="G71" s="159" t="s">
        <v>309</v>
      </c>
      <c r="H71" s="159" t="s">
        <v>325</v>
      </c>
      <c r="I71" s="159" t="s">
        <v>326</v>
      </c>
      <c r="J71" s="159" t="s">
        <v>327</v>
      </c>
      <c r="K71" s="159" t="s">
        <v>1849</v>
      </c>
      <c r="L71" s="39" t="s">
        <v>304</v>
      </c>
      <c r="M71" s="39" t="s">
        <v>305</v>
      </c>
      <c r="N71" s="39">
        <v>11</v>
      </c>
      <c r="O71" s="39" t="s">
        <v>76</v>
      </c>
      <c r="P71" s="39" t="s">
        <v>475</v>
      </c>
      <c r="Q71" s="39" t="s">
        <v>474</v>
      </c>
      <c r="R71" s="16" t="s">
        <v>324</v>
      </c>
      <c r="S71" s="160">
        <v>10000</v>
      </c>
      <c r="T71" s="160">
        <v>0</v>
      </c>
      <c r="U71" s="160">
        <v>0</v>
      </c>
      <c r="V71" s="160">
        <v>5428.5</v>
      </c>
      <c r="W71" s="160">
        <v>4571.5</v>
      </c>
      <c r="X71" s="161">
        <v>4326</v>
      </c>
      <c r="Y71" s="160"/>
      <c r="Z71" s="16">
        <v>54.28</v>
      </c>
      <c r="AA71" s="162">
        <v>5428.5</v>
      </c>
      <c r="AB71" s="162">
        <v>1357.125</v>
      </c>
      <c r="AC71" s="162">
        <v>16285.5</v>
      </c>
      <c r="AD71" s="160"/>
      <c r="AE71" s="145">
        <v>10000</v>
      </c>
      <c r="AF71" s="163">
        <v>1.0469999999999999</v>
      </c>
      <c r="AG71" s="164">
        <v>1.046</v>
      </c>
      <c r="AH71" s="164">
        <v>1.046</v>
      </c>
      <c r="AI71" s="164">
        <v>10000</v>
      </c>
      <c r="AJ71" s="164">
        <f t="shared" ref="AJ71:AJ134" si="13">AE71-AI71</f>
        <v>0</v>
      </c>
      <c r="AK71" s="165">
        <v>10000</v>
      </c>
      <c r="AL71" s="165">
        <f>AK71</f>
        <v>10000</v>
      </c>
      <c r="AM71" s="165">
        <f t="shared" si="10"/>
        <v>10460</v>
      </c>
      <c r="AN71" s="165">
        <f t="shared" si="11"/>
        <v>10941.16</v>
      </c>
      <c r="AO71" s="16"/>
      <c r="AP71" s="231">
        <f t="shared" ref="AP71:AP134" si="14">AK71-AL71</f>
        <v>0</v>
      </c>
      <c r="AR71" s="231"/>
      <c r="AS71" s="231"/>
      <c r="AU71" s="230">
        <v>10000</v>
      </c>
      <c r="AV71" s="233">
        <v>10000</v>
      </c>
      <c r="AW71" s="230">
        <f t="shared" si="12"/>
        <v>0</v>
      </c>
    </row>
    <row r="72" spans="1:49" hidden="1" x14ac:dyDescent="0.3">
      <c r="A72" s="16" t="s">
        <v>477</v>
      </c>
      <c r="B72" s="39" t="s">
        <v>476</v>
      </c>
      <c r="C72" s="39" t="s">
        <v>78</v>
      </c>
      <c r="D72" s="340" t="s">
        <v>3453</v>
      </c>
      <c r="E72" s="159" t="s">
        <v>373</v>
      </c>
      <c r="F72" s="159" t="s">
        <v>303</v>
      </c>
      <c r="G72" s="159" t="s">
        <v>309</v>
      </c>
      <c r="H72" s="159" t="s">
        <v>330</v>
      </c>
      <c r="I72" s="159" t="s">
        <v>479</v>
      </c>
      <c r="J72" s="159" t="s">
        <v>312</v>
      </c>
      <c r="K72" s="159" t="s">
        <v>1849</v>
      </c>
      <c r="L72" s="39" t="s">
        <v>304</v>
      </c>
      <c r="M72" s="39" t="s">
        <v>305</v>
      </c>
      <c r="N72" s="39">
        <v>11</v>
      </c>
      <c r="O72" s="39" t="s">
        <v>78</v>
      </c>
      <c r="P72" s="39" t="s">
        <v>478</v>
      </c>
      <c r="Q72" s="39" t="s">
        <v>476</v>
      </c>
      <c r="R72" s="16" t="s">
        <v>477</v>
      </c>
      <c r="S72" s="160">
        <v>1500000</v>
      </c>
      <c r="T72" s="160">
        <v>0</v>
      </c>
      <c r="U72" s="160">
        <v>0</v>
      </c>
      <c r="V72" s="160">
        <v>0</v>
      </c>
      <c r="W72" s="160">
        <v>1500000</v>
      </c>
      <c r="X72" s="161">
        <v>0</v>
      </c>
      <c r="Y72" s="160"/>
      <c r="Z72" s="16">
        <v>0</v>
      </c>
      <c r="AA72" s="162">
        <v>0</v>
      </c>
      <c r="AB72" s="162">
        <v>0</v>
      </c>
      <c r="AC72" s="162">
        <v>0</v>
      </c>
      <c r="AD72" s="160"/>
      <c r="AE72" s="145">
        <v>1500000</v>
      </c>
      <c r="AF72" s="163">
        <v>1.0469999999999999</v>
      </c>
      <c r="AG72" s="164">
        <v>1.046</v>
      </c>
      <c r="AH72" s="164">
        <v>1.046</v>
      </c>
      <c r="AI72" s="164">
        <v>1500000</v>
      </c>
      <c r="AJ72" s="164">
        <f t="shared" si="13"/>
        <v>0</v>
      </c>
      <c r="AK72" s="165">
        <v>1500000</v>
      </c>
      <c r="AL72" s="165">
        <f>AK72</f>
        <v>1500000</v>
      </c>
      <c r="AM72" s="165">
        <f t="shared" si="10"/>
        <v>1569000</v>
      </c>
      <c r="AN72" s="165">
        <f t="shared" si="11"/>
        <v>1641174</v>
      </c>
      <c r="AO72" s="16"/>
      <c r="AP72" s="231">
        <f t="shared" si="14"/>
        <v>0</v>
      </c>
      <c r="AR72" s="231"/>
      <c r="AS72" s="231"/>
      <c r="AU72" s="230">
        <v>1500000</v>
      </c>
      <c r="AV72" s="233">
        <v>1500000</v>
      </c>
      <c r="AW72" s="230">
        <f t="shared" si="12"/>
        <v>0</v>
      </c>
    </row>
    <row r="73" spans="1:49" hidden="1" x14ac:dyDescent="0.3">
      <c r="A73" s="16" t="s">
        <v>481</v>
      </c>
      <c r="B73" s="39" t="s">
        <v>480</v>
      </c>
      <c r="C73" s="39" t="s">
        <v>82</v>
      </c>
      <c r="D73" s="340" t="s">
        <v>3453</v>
      </c>
      <c r="E73" s="159" t="s">
        <v>373</v>
      </c>
      <c r="F73" s="159" t="s">
        <v>303</v>
      </c>
      <c r="G73" s="159" t="s">
        <v>309</v>
      </c>
      <c r="H73" s="159" t="s">
        <v>334</v>
      </c>
      <c r="I73" s="159" t="s">
        <v>483</v>
      </c>
      <c r="J73" s="159" t="s">
        <v>312</v>
      </c>
      <c r="K73" s="159" t="s">
        <v>1849</v>
      </c>
      <c r="L73" s="39" t="s">
        <v>304</v>
      </c>
      <c r="M73" s="39" t="s">
        <v>305</v>
      </c>
      <c r="N73" s="39">
        <v>11</v>
      </c>
      <c r="O73" s="39" t="s">
        <v>82</v>
      </c>
      <c r="P73" s="39" t="s">
        <v>482</v>
      </c>
      <c r="Q73" s="39" t="s">
        <v>480</v>
      </c>
      <c r="R73" s="16" t="s">
        <v>481</v>
      </c>
      <c r="S73" s="160">
        <v>0</v>
      </c>
      <c r="T73" s="160">
        <v>0</v>
      </c>
      <c r="U73" s="160">
        <v>0</v>
      </c>
      <c r="V73" s="160">
        <v>0</v>
      </c>
      <c r="W73" s="160">
        <v>0</v>
      </c>
      <c r="X73" s="161">
        <v>0</v>
      </c>
      <c r="Y73" s="160"/>
      <c r="Z73" s="16">
        <v>0</v>
      </c>
      <c r="AA73" s="162">
        <v>0</v>
      </c>
      <c r="AB73" s="162">
        <v>0</v>
      </c>
      <c r="AC73" s="162">
        <v>0</v>
      </c>
      <c r="AD73" s="160"/>
      <c r="AE73" s="145">
        <v>0</v>
      </c>
      <c r="AF73" s="163">
        <v>1.0469999999999999</v>
      </c>
      <c r="AG73" s="164">
        <v>1.046</v>
      </c>
      <c r="AH73" s="164">
        <v>1.046</v>
      </c>
      <c r="AI73" s="164">
        <v>0</v>
      </c>
      <c r="AJ73" s="164">
        <f t="shared" si="13"/>
        <v>0</v>
      </c>
      <c r="AK73" s="165">
        <v>0</v>
      </c>
      <c r="AL73" s="165">
        <v>0</v>
      </c>
      <c r="AM73" s="165">
        <f t="shared" si="10"/>
        <v>0</v>
      </c>
      <c r="AN73" s="165">
        <f t="shared" si="11"/>
        <v>0</v>
      </c>
      <c r="AO73" s="16"/>
      <c r="AP73" s="231">
        <f t="shared" si="14"/>
        <v>0</v>
      </c>
      <c r="AR73" s="231"/>
      <c r="AS73" s="231"/>
      <c r="AU73" s="230">
        <v>0</v>
      </c>
      <c r="AV73" s="233">
        <v>0</v>
      </c>
      <c r="AW73" s="230">
        <f t="shared" si="12"/>
        <v>0</v>
      </c>
    </row>
    <row r="74" spans="1:49" hidden="1" x14ac:dyDescent="0.3">
      <c r="A74" s="16" t="s">
        <v>337</v>
      </c>
      <c r="B74" s="39" t="s">
        <v>484</v>
      </c>
      <c r="C74" s="39" t="s">
        <v>82</v>
      </c>
      <c r="D74" s="340" t="s">
        <v>3453</v>
      </c>
      <c r="E74" s="159" t="s">
        <v>373</v>
      </c>
      <c r="F74" s="159" t="s">
        <v>303</v>
      </c>
      <c r="G74" s="159" t="s">
        <v>309</v>
      </c>
      <c r="H74" s="159" t="s">
        <v>334</v>
      </c>
      <c r="I74" s="159" t="s">
        <v>339</v>
      </c>
      <c r="J74" s="159" t="s">
        <v>312</v>
      </c>
      <c r="K74" s="159" t="s">
        <v>1849</v>
      </c>
      <c r="L74" s="39" t="s">
        <v>304</v>
      </c>
      <c r="M74" s="39" t="s">
        <v>305</v>
      </c>
      <c r="N74" s="39">
        <v>11</v>
      </c>
      <c r="O74" s="39" t="s">
        <v>82</v>
      </c>
      <c r="P74" s="39" t="s">
        <v>485</v>
      </c>
      <c r="Q74" s="39" t="s">
        <v>484</v>
      </c>
      <c r="R74" s="16" t="s">
        <v>337</v>
      </c>
      <c r="S74" s="160">
        <v>10000</v>
      </c>
      <c r="T74" s="160">
        <v>0</v>
      </c>
      <c r="U74" s="160">
        <v>0</v>
      </c>
      <c r="V74" s="160">
        <v>5565.22</v>
      </c>
      <c r="W74" s="160">
        <v>4434.78</v>
      </c>
      <c r="X74" s="161">
        <v>0</v>
      </c>
      <c r="Y74" s="160"/>
      <c r="Z74" s="16">
        <v>55.65</v>
      </c>
      <c r="AA74" s="162">
        <v>5565.22</v>
      </c>
      <c r="AB74" s="162">
        <v>1391.3050000000001</v>
      </c>
      <c r="AC74" s="162">
        <v>16695.66</v>
      </c>
      <c r="AD74" s="160"/>
      <c r="AE74" s="145">
        <v>10000</v>
      </c>
      <c r="AF74" s="163">
        <v>1.0469999999999999</v>
      </c>
      <c r="AG74" s="164">
        <v>1.046</v>
      </c>
      <c r="AH74" s="164">
        <v>1.046</v>
      </c>
      <c r="AI74" s="164">
        <v>10000</v>
      </c>
      <c r="AJ74" s="164">
        <f t="shared" si="13"/>
        <v>0</v>
      </c>
      <c r="AK74" s="165">
        <v>10000</v>
      </c>
      <c r="AL74" s="165">
        <f>AK74</f>
        <v>10000</v>
      </c>
      <c r="AM74" s="165">
        <f t="shared" si="10"/>
        <v>10460</v>
      </c>
      <c r="AN74" s="165">
        <f t="shared" si="11"/>
        <v>10941.16</v>
      </c>
      <c r="AO74" s="16"/>
      <c r="AP74" s="231">
        <f t="shared" si="14"/>
        <v>0</v>
      </c>
      <c r="AR74" s="231"/>
      <c r="AS74" s="231"/>
      <c r="AU74" s="230">
        <v>10000</v>
      </c>
      <c r="AV74" s="233">
        <v>10000</v>
      </c>
      <c r="AW74" s="230">
        <f t="shared" si="12"/>
        <v>0</v>
      </c>
    </row>
    <row r="75" spans="1:49" hidden="1" x14ac:dyDescent="0.3">
      <c r="A75" s="16" t="s">
        <v>341</v>
      </c>
      <c r="B75" s="39" t="s">
        <v>486</v>
      </c>
      <c r="C75" s="39" t="s">
        <v>82</v>
      </c>
      <c r="D75" s="340" t="s">
        <v>3453</v>
      </c>
      <c r="E75" s="159" t="s">
        <v>373</v>
      </c>
      <c r="F75" s="159" t="s">
        <v>303</v>
      </c>
      <c r="G75" s="159" t="s">
        <v>309</v>
      </c>
      <c r="H75" s="159" t="s">
        <v>334</v>
      </c>
      <c r="I75" s="159" t="s">
        <v>343</v>
      </c>
      <c r="J75" s="159" t="s">
        <v>312</v>
      </c>
      <c r="K75" s="159" t="s">
        <v>1849</v>
      </c>
      <c r="L75" s="39" t="s">
        <v>304</v>
      </c>
      <c r="M75" s="39" t="s">
        <v>305</v>
      </c>
      <c r="N75" s="39">
        <v>11</v>
      </c>
      <c r="O75" s="39" t="s">
        <v>82</v>
      </c>
      <c r="P75" s="39" t="s">
        <v>487</v>
      </c>
      <c r="Q75" s="39" t="s">
        <v>486</v>
      </c>
      <c r="R75" s="16" t="s">
        <v>341</v>
      </c>
      <c r="S75" s="160">
        <v>0</v>
      </c>
      <c r="T75" s="160">
        <v>0</v>
      </c>
      <c r="U75" s="160">
        <v>0</v>
      </c>
      <c r="V75" s="160">
        <v>0</v>
      </c>
      <c r="W75" s="160">
        <v>0</v>
      </c>
      <c r="X75" s="161">
        <v>0</v>
      </c>
      <c r="Y75" s="160"/>
      <c r="Z75" s="16">
        <v>0</v>
      </c>
      <c r="AA75" s="162">
        <v>0</v>
      </c>
      <c r="AB75" s="162">
        <v>0</v>
      </c>
      <c r="AC75" s="162">
        <v>0</v>
      </c>
      <c r="AD75" s="160"/>
      <c r="AE75" s="145">
        <v>0</v>
      </c>
      <c r="AF75" s="163">
        <v>1.0469999999999999</v>
      </c>
      <c r="AG75" s="164">
        <v>1.046</v>
      </c>
      <c r="AH75" s="164">
        <v>1.046</v>
      </c>
      <c r="AI75" s="164">
        <v>0</v>
      </c>
      <c r="AJ75" s="164">
        <f t="shared" si="13"/>
        <v>0</v>
      </c>
      <c r="AK75" s="165">
        <v>0</v>
      </c>
      <c r="AL75" s="165">
        <v>0</v>
      </c>
      <c r="AM75" s="165">
        <f t="shared" si="10"/>
        <v>0</v>
      </c>
      <c r="AN75" s="165">
        <f t="shared" si="11"/>
        <v>0</v>
      </c>
      <c r="AO75" s="16"/>
      <c r="AP75" s="231">
        <f t="shared" si="14"/>
        <v>0</v>
      </c>
      <c r="AR75" s="231"/>
      <c r="AS75" s="231"/>
      <c r="AU75" s="230">
        <v>0</v>
      </c>
      <c r="AV75" s="233">
        <v>0</v>
      </c>
      <c r="AW75" s="230">
        <f t="shared" si="12"/>
        <v>0</v>
      </c>
    </row>
    <row r="76" spans="1:49" hidden="1" x14ac:dyDescent="0.3">
      <c r="A76" s="16" t="s">
        <v>345</v>
      </c>
      <c r="B76" s="39" t="s">
        <v>488</v>
      </c>
      <c r="C76" s="39" t="s">
        <v>82</v>
      </c>
      <c r="D76" s="340" t="s">
        <v>3453</v>
      </c>
      <c r="E76" s="159" t="s">
        <v>373</v>
      </c>
      <c r="F76" s="159" t="s">
        <v>303</v>
      </c>
      <c r="G76" s="159" t="s">
        <v>309</v>
      </c>
      <c r="H76" s="159" t="s">
        <v>334</v>
      </c>
      <c r="I76" s="159" t="s">
        <v>347</v>
      </c>
      <c r="J76" s="159" t="s">
        <v>312</v>
      </c>
      <c r="K76" s="159" t="s">
        <v>1849</v>
      </c>
      <c r="L76" s="39" t="s">
        <v>304</v>
      </c>
      <c r="M76" s="39" t="s">
        <v>305</v>
      </c>
      <c r="N76" s="39">
        <v>11</v>
      </c>
      <c r="O76" s="39" t="s">
        <v>82</v>
      </c>
      <c r="P76" s="39" t="s">
        <v>489</v>
      </c>
      <c r="Q76" s="39" t="s">
        <v>488</v>
      </c>
      <c r="R76" s="16" t="s">
        <v>345</v>
      </c>
      <c r="S76" s="160">
        <v>75000</v>
      </c>
      <c r="T76" s="160">
        <v>33200</v>
      </c>
      <c r="U76" s="160">
        <v>0</v>
      </c>
      <c r="V76" s="160">
        <v>74701.649999999994</v>
      </c>
      <c r="W76" s="160">
        <v>298.35000000000002</v>
      </c>
      <c r="X76" s="161">
        <v>47458.83</v>
      </c>
      <c r="Y76" s="160"/>
      <c r="Z76" s="16">
        <v>99.6</v>
      </c>
      <c r="AA76" s="162">
        <v>74701.649999999994</v>
      </c>
      <c r="AB76" s="162">
        <v>18675.412499999999</v>
      </c>
      <c r="AC76" s="162">
        <v>224104.94999999998</v>
      </c>
      <c r="AD76" s="160"/>
      <c r="AE76" s="145">
        <v>75000</v>
      </c>
      <c r="AF76" s="163">
        <v>1.0469999999999999</v>
      </c>
      <c r="AG76" s="164">
        <v>1.046</v>
      </c>
      <c r="AH76" s="164">
        <v>1.046</v>
      </c>
      <c r="AI76" s="164">
        <v>75000</v>
      </c>
      <c r="AJ76" s="164">
        <f t="shared" si="13"/>
        <v>0</v>
      </c>
      <c r="AK76" s="165">
        <v>75000</v>
      </c>
      <c r="AL76" s="165">
        <f>AK76</f>
        <v>75000</v>
      </c>
      <c r="AM76" s="165">
        <f t="shared" si="10"/>
        <v>78450</v>
      </c>
      <c r="AN76" s="165">
        <f t="shared" si="11"/>
        <v>82058.7</v>
      </c>
      <c r="AO76" s="16"/>
      <c r="AP76" s="231">
        <f t="shared" si="14"/>
        <v>0</v>
      </c>
      <c r="AR76" s="231"/>
      <c r="AS76" s="231"/>
      <c r="AU76" s="230">
        <v>75000</v>
      </c>
      <c r="AV76" s="233">
        <v>75000</v>
      </c>
      <c r="AW76" s="230">
        <f t="shared" si="12"/>
        <v>0</v>
      </c>
    </row>
    <row r="77" spans="1:49" hidden="1" x14ac:dyDescent="0.3">
      <c r="A77" s="16" t="s">
        <v>349</v>
      </c>
      <c r="B77" s="39" t="s">
        <v>490</v>
      </c>
      <c r="C77" s="39" t="s">
        <v>82</v>
      </c>
      <c r="D77" s="340" t="s">
        <v>3453</v>
      </c>
      <c r="E77" s="159" t="s">
        <v>373</v>
      </c>
      <c r="F77" s="159" t="s">
        <v>303</v>
      </c>
      <c r="G77" s="159" t="s">
        <v>309</v>
      </c>
      <c r="H77" s="159" t="s">
        <v>334</v>
      </c>
      <c r="I77" s="159" t="s">
        <v>351</v>
      </c>
      <c r="J77" s="159" t="s">
        <v>312</v>
      </c>
      <c r="K77" s="159" t="s">
        <v>1849</v>
      </c>
      <c r="L77" s="39" t="s">
        <v>304</v>
      </c>
      <c r="M77" s="39" t="s">
        <v>305</v>
      </c>
      <c r="N77" s="39">
        <v>11</v>
      </c>
      <c r="O77" s="39" t="s">
        <v>82</v>
      </c>
      <c r="P77" s="39" t="s">
        <v>491</v>
      </c>
      <c r="Q77" s="39" t="s">
        <v>490</v>
      </c>
      <c r="R77" s="16" t="s">
        <v>349</v>
      </c>
      <c r="S77" s="160">
        <v>0</v>
      </c>
      <c r="T77" s="160">
        <v>0</v>
      </c>
      <c r="U77" s="160">
        <v>0</v>
      </c>
      <c r="V77" s="160">
        <v>0</v>
      </c>
      <c r="W77" s="160">
        <v>0</v>
      </c>
      <c r="X77" s="161">
        <v>0</v>
      </c>
      <c r="Y77" s="160"/>
      <c r="Z77" s="16">
        <v>0</v>
      </c>
      <c r="AA77" s="162">
        <v>0</v>
      </c>
      <c r="AB77" s="162">
        <v>0</v>
      </c>
      <c r="AC77" s="162">
        <v>0</v>
      </c>
      <c r="AD77" s="160"/>
      <c r="AE77" s="145">
        <v>0</v>
      </c>
      <c r="AF77" s="163">
        <v>1.0469999999999999</v>
      </c>
      <c r="AG77" s="164">
        <v>1.046</v>
      </c>
      <c r="AH77" s="164">
        <v>1.046</v>
      </c>
      <c r="AI77" s="164">
        <v>0</v>
      </c>
      <c r="AJ77" s="164">
        <f t="shared" si="13"/>
        <v>0</v>
      </c>
      <c r="AK77" s="165">
        <v>0</v>
      </c>
      <c r="AL77" s="165">
        <v>0</v>
      </c>
      <c r="AM77" s="165">
        <f t="shared" si="10"/>
        <v>0</v>
      </c>
      <c r="AN77" s="165">
        <f t="shared" si="11"/>
        <v>0</v>
      </c>
      <c r="AO77" s="16"/>
      <c r="AP77" s="231">
        <f t="shared" si="14"/>
        <v>0</v>
      </c>
      <c r="AR77" s="231"/>
      <c r="AS77" s="231"/>
      <c r="AU77" s="230">
        <v>0</v>
      </c>
      <c r="AV77" s="233">
        <v>0</v>
      </c>
      <c r="AW77" s="230">
        <f t="shared" si="12"/>
        <v>0</v>
      </c>
    </row>
    <row r="78" spans="1:49" hidden="1" x14ac:dyDescent="0.3">
      <c r="A78" s="16" t="s">
        <v>353</v>
      </c>
      <c r="B78" s="39" t="s">
        <v>492</v>
      </c>
      <c r="C78" s="39" t="s">
        <v>82</v>
      </c>
      <c r="D78" s="340" t="s">
        <v>3453</v>
      </c>
      <c r="E78" s="159" t="s">
        <v>373</v>
      </c>
      <c r="F78" s="159" t="s">
        <v>303</v>
      </c>
      <c r="G78" s="159" t="s">
        <v>309</v>
      </c>
      <c r="H78" s="159" t="s">
        <v>334</v>
      </c>
      <c r="I78" s="159" t="s">
        <v>355</v>
      </c>
      <c r="J78" s="159" t="s">
        <v>312</v>
      </c>
      <c r="K78" s="159" t="s">
        <v>1849</v>
      </c>
      <c r="L78" s="39" t="s">
        <v>304</v>
      </c>
      <c r="M78" s="39" t="s">
        <v>305</v>
      </c>
      <c r="N78" s="39">
        <v>11</v>
      </c>
      <c r="O78" s="39" t="s">
        <v>82</v>
      </c>
      <c r="P78" s="39" t="s">
        <v>493</v>
      </c>
      <c r="Q78" s="39" t="s">
        <v>492</v>
      </c>
      <c r="R78" s="16" t="s">
        <v>353</v>
      </c>
      <c r="S78" s="160">
        <v>0</v>
      </c>
      <c r="T78" s="160">
        <v>0</v>
      </c>
      <c r="U78" s="160">
        <v>0</v>
      </c>
      <c r="V78" s="160">
        <v>0</v>
      </c>
      <c r="W78" s="160">
        <v>0</v>
      </c>
      <c r="X78" s="161">
        <v>0</v>
      </c>
      <c r="Y78" s="160"/>
      <c r="Z78" s="16">
        <v>0</v>
      </c>
      <c r="AA78" s="162">
        <v>0</v>
      </c>
      <c r="AB78" s="162">
        <v>0</v>
      </c>
      <c r="AC78" s="162">
        <v>0</v>
      </c>
      <c r="AD78" s="160"/>
      <c r="AE78" s="145">
        <v>0</v>
      </c>
      <c r="AF78" s="163">
        <v>1.0469999999999999</v>
      </c>
      <c r="AG78" s="164">
        <v>1.046</v>
      </c>
      <c r="AH78" s="164">
        <v>1.046</v>
      </c>
      <c r="AI78" s="164">
        <v>0</v>
      </c>
      <c r="AJ78" s="164">
        <f t="shared" si="13"/>
        <v>0</v>
      </c>
      <c r="AK78" s="165">
        <v>0</v>
      </c>
      <c r="AL78" s="165">
        <v>0</v>
      </c>
      <c r="AM78" s="165">
        <f t="shared" si="10"/>
        <v>0</v>
      </c>
      <c r="AN78" s="165">
        <f t="shared" si="11"/>
        <v>0</v>
      </c>
      <c r="AO78" s="16"/>
      <c r="AP78" s="231">
        <f t="shared" si="14"/>
        <v>0</v>
      </c>
      <c r="AR78" s="231"/>
      <c r="AS78" s="231"/>
      <c r="AU78" s="230">
        <v>0</v>
      </c>
      <c r="AV78" s="233">
        <v>0</v>
      </c>
      <c r="AW78" s="230">
        <f t="shared" si="12"/>
        <v>0</v>
      </c>
    </row>
    <row r="79" spans="1:49" hidden="1" x14ac:dyDescent="0.3">
      <c r="A79" s="16" t="s">
        <v>357</v>
      </c>
      <c r="B79" s="39" t="s">
        <v>494</v>
      </c>
      <c r="C79" s="39" t="s">
        <v>82</v>
      </c>
      <c r="D79" s="340" t="s">
        <v>3453</v>
      </c>
      <c r="E79" s="159" t="s">
        <v>373</v>
      </c>
      <c r="F79" s="159" t="s">
        <v>303</v>
      </c>
      <c r="G79" s="159" t="s">
        <v>309</v>
      </c>
      <c r="H79" s="159" t="s">
        <v>334</v>
      </c>
      <c r="I79" s="159" t="s">
        <v>359</v>
      </c>
      <c r="J79" s="159" t="s">
        <v>312</v>
      </c>
      <c r="K79" s="159" t="s">
        <v>1849</v>
      </c>
      <c r="L79" s="39" t="s">
        <v>304</v>
      </c>
      <c r="M79" s="39" t="s">
        <v>305</v>
      </c>
      <c r="N79" s="39">
        <v>11</v>
      </c>
      <c r="O79" s="39" t="s">
        <v>82</v>
      </c>
      <c r="P79" s="39" t="s">
        <v>495</v>
      </c>
      <c r="Q79" s="39" t="s">
        <v>494</v>
      </c>
      <c r="R79" s="16" t="s">
        <v>357</v>
      </c>
      <c r="S79" s="160">
        <v>10000</v>
      </c>
      <c r="T79" s="160">
        <v>0</v>
      </c>
      <c r="U79" s="160">
        <v>0</v>
      </c>
      <c r="V79" s="160">
        <v>0</v>
      </c>
      <c r="W79" s="160">
        <v>10000</v>
      </c>
      <c r="X79" s="161">
        <v>0</v>
      </c>
      <c r="Y79" s="160"/>
      <c r="Z79" s="16">
        <v>0</v>
      </c>
      <c r="AA79" s="162">
        <v>0</v>
      </c>
      <c r="AB79" s="162">
        <v>0</v>
      </c>
      <c r="AC79" s="162">
        <v>0</v>
      </c>
      <c r="AD79" s="160"/>
      <c r="AE79" s="145">
        <v>10000</v>
      </c>
      <c r="AF79" s="163">
        <v>1.0469999999999999</v>
      </c>
      <c r="AG79" s="164">
        <v>1.046</v>
      </c>
      <c r="AH79" s="164">
        <v>1.046</v>
      </c>
      <c r="AI79" s="164">
        <v>10000</v>
      </c>
      <c r="AJ79" s="164">
        <f t="shared" si="13"/>
        <v>0</v>
      </c>
      <c r="AK79" s="165">
        <v>10000</v>
      </c>
      <c r="AL79" s="165">
        <f>AK79</f>
        <v>10000</v>
      </c>
      <c r="AM79" s="165">
        <f t="shared" si="10"/>
        <v>10460</v>
      </c>
      <c r="AN79" s="165">
        <f t="shared" si="11"/>
        <v>10941.16</v>
      </c>
      <c r="AO79" s="16"/>
      <c r="AP79" s="231">
        <f t="shared" si="14"/>
        <v>0</v>
      </c>
      <c r="AR79" s="231"/>
      <c r="AS79" s="231"/>
      <c r="AU79" s="230">
        <v>10000</v>
      </c>
      <c r="AV79" s="233">
        <v>10000</v>
      </c>
      <c r="AW79" s="230">
        <f t="shared" si="12"/>
        <v>0</v>
      </c>
    </row>
    <row r="80" spans="1:49" hidden="1" x14ac:dyDescent="0.3">
      <c r="A80" s="16" t="s">
        <v>83</v>
      </c>
      <c r="B80" s="39" t="s">
        <v>496</v>
      </c>
      <c r="C80" s="39" t="s">
        <v>423</v>
      </c>
      <c r="D80" s="340" t="s">
        <v>3453</v>
      </c>
      <c r="E80" s="159" t="s">
        <v>373</v>
      </c>
      <c r="F80" s="159" t="s">
        <v>303</v>
      </c>
      <c r="G80" s="159" t="s">
        <v>309</v>
      </c>
      <c r="H80" s="159" t="s">
        <v>424</v>
      </c>
      <c r="I80" s="159" t="s">
        <v>425</v>
      </c>
      <c r="J80" s="159" t="s">
        <v>426</v>
      </c>
      <c r="K80" s="159" t="s">
        <v>1849</v>
      </c>
      <c r="L80" s="39" t="s">
        <v>304</v>
      </c>
      <c r="M80" s="39" t="s">
        <v>305</v>
      </c>
      <c r="N80" s="39">
        <v>11</v>
      </c>
      <c r="O80" s="39" t="s">
        <v>423</v>
      </c>
      <c r="P80" s="39" t="s">
        <v>497</v>
      </c>
      <c r="Q80" s="39" t="s">
        <v>496</v>
      </c>
      <c r="R80" s="16" t="s">
        <v>83</v>
      </c>
      <c r="S80" s="160">
        <v>35000</v>
      </c>
      <c r="T80" s="160">
        <v>0</v>
      </c>
      <c r="U80" s="160">
        <v>0</v>
      </c>
      <c r="V80" s="160">
        <v>0</v>
      </c>
      <c r="W80" s="160">
        <v>35000</v>
      </c>
      <c r="X80" s="161">
        <v>0</v>
      </c>
      <c r="Y80" s="160"/>
      <c r="Z80" s="16">
        <v>0</v>
      </c>
      <c r="AA80" s="162">
        <v>0</v>
      </c>
      <c r="AB80" s="162">
        <v>0</v>
      </c>
      <c r="AC80" s="162">
        <v>0</v>
      </c>
      <c r="AD80" s="160"/>
      <c r="AE80" s="145">
        <v>35000</v>
      </c>
      <c r="AF80" s="163">
        <v>1.0469999999999999</v>
      </c>
      <c r="AG80" s="164">
        <v>1.046</v>
      </c>
      <c r="AH80" s="164">
        <v>1.046</v>
      </c>
      <c r="AI80" s="164">
        <v>35000</v>
      </c>
      <c r="AJ80" s="164">
        <f t="shared" si="13"/>
        <v>0</v>
      </c>
      <c r="AK80" s="165">
        <v>35000</v>
      </c>
      <c r="AL80" s="165">
        <f>AK80</f>
        <v>35000</v>
      </c>
      <c r="AM80" s="165">
        <f t="shared" si="10"/>
        <v>36610</v>
      </c>
      <c r="AN80" s="165">
        <f t="shared" si="11"/>
        <v>38294.060000000005</v>
      </c>
      <c r="AO80" s="16"/>
      <c r="AP80" s="231">
        <f t="shared" si="14"/>
        <v>0</v>
      </c>
      <c r="AR80" s="231"/>
      <c r="AS80" s="231"/>
      <c r="AU80" s="230">
        <v>35000</v>
      </c>
      <c r="AV80" s="233">
        <v>35000</v>
      </c>
      <c r="AW80" s="230">
        <f t="shared" si="12"/>
        <v>0</v>
      </c>
    </row>
    <row r="81" spans="1:49" hidden="1" x14ac:dyDescent="0.3">
      <c r="A81" s="16" t="s">
        <v>499</v>
      </c>
      <c r="B81" s="39" t="s">
        <v>498</v>
      </c>
      <c r="C81" s="39" t="s">
        <v>95</v>
      </c>
      <c r="D81" s="340" t="s">
        <v>3453</v>
      </c>
      <c r="E81" s="159" t="s">
        <v>373</v>
      </c>
      <c r="F81" s="159" t="s">
        <v>303</v>
      </c>
      <c r="G81" s="159" t="s">
        <v>309</v>
      </c>
      <c r="H81" s="159" t="s">
        <v>501</v>
      </c>
      <c r="I81" s="159" t="s">
        <v>502</v>
      </c>
      <c r="J81" s="159" t="s">
        <v>312</v>
      </c>
      <c r="K81" s="159" t="s">
        <v>1849</v>
      </c>
      <c r="L81" s="39" t="s">
        <v>304</v>
      </c>
      <c r="M81" s="39" t="s">
        <v>305</v>
      </c>
      <c r="N81" s="39">
        <v>11</v>
      </c>
      <c r="O81" s="39" t="s">
        <v>95</v>
      </c>
      <c r="P81" s="39" t="s">
        <v>500</v>
      </c>
      <c r="Q81" s="39" t="s">
        <v>498</v>
      </c>
      <c r="R81" s="16" t="s">
        <v>499</v>
      </c>
      <c r="S81" s="160">
        <v>0</v>
      </c>
      <c r="T81" s="160">
        <v>0</v>
      </c>
      <c r="U81" s="160">
        <v>0</v>
      </c>
      <c r="V81" s="160">
        <v>0</v>
      </c>
      <c r="W81" s="160">
        <v>0</v>
      </c>
      <c r="X81" s="161">
        <v>0</v>
      </c>
      <c r="Y81" s="160"/>
      <c r="Z81" s="16">
        <v>0</v>
      </c>
      <c r="AA81" s="162">
        <v>0</v>
      </c>
      <c r="AB81" s="162">
        <v>0</v>
      </c>
      <c r="AC81" s="162">
        <v>0</v>
      </c>
      <c r="AD81" s="160"/>
      <c r="AE81" s="145">
        <v>0</v>
      </c>
      <c r="AF81" s="163">
        <v>1.0469999999999999</v>
      </c>
      <c r="AG81" s="164">
        <v>1.046</v>
      </c>
      <c r="AH81" s="164">
        <v>1.046</v>
      </c>
      <c r="AI81" s="164">
        <v>0</v>
      </c>
      <c r="AJ81" s="164">
        <f t="shared" si="13"/>
        <v>0</v>
      </c>
      <c r="AK81" s="165">
        <v>0</v>
      </c>
      <c r="AL81" s="165">
        <v>0</v>
      </c>
      <c r="AM81" s="165">
        <f t="shared" si="10"/>
        <v>0</v>
      </c>
      <c r="AN81" s="165">
        <f t="shared" si="11"/>
        <v>0</v>
      </c>
      <c r="AO81" s="16"/>
      <c r="AP81" s="231">
        <f t="shared" si="14"/>
        <v>0</v>
      </c>
      <c r="AR81" s="231"/>
      <c r="AS81" s="231"/>
      <c r="AU81" s="230">
        <v>0</v>
      </c>
      <c r="AV81" s="233">
        <v>0</v>
      </c>
      <c r="AW81" s="230">
        <f t="shared" si="12"/>
        <v>0</v>
      </c>
    </row>
    <row r="82" spans="1:49" s="172" customFormat="1" x14ac:dyDescent="0.3">
      <c r="A82" s="166" t="s">
        <v>50</v>
      </c>
      <c r="B82" s="167" t="s">
        <v>503</v>
      </c>
      <c r="C82" s="167" t="s">
        <v>302</v>
      </c>
      <c r="D82" s="412" t="s">
        <v>3454</v>
      </c>
      <c r="E82" s="168" t="s">
        <v>373</v>
      </c>
      <c r="F82" s="168" t="s">
        <v>363</v>
      </c>
      <c r="G82" s="168" t="s">
        <v>309</v>
      </c>
      <c r="H82" s="168" t="s">
        <v>373</v>
      </c>
      <c r="I82" s="168" t="s">
        <v>374</v>
      </c>
      <c r="J82" s="168" t="s">
        <v>312</v>
      </c>
      <c r="K82" s="168" t="s">
        <v>1849</v>
      </c>
      <c r="L82" s="167" t="s">
        <v>304</v>
      </c>
      <c r="M82" s="167" t="s">
        <v>305</v>
      </c>
      <c r="N82" s="167">
        <v>11</v>
      </c>
      <c r="O82" s="167" t="s">
        <v>302</v>
      </c>
      <c r="P82" s="167" t="s">
        <v>302</v>
      </c>
      <c r="Q82" s="167" t="s">
        <v>503</v>
      </c>
      <c r="R82" s="166" t="s">
        <v>50</v>
      </c>
      <c r="S82" s="169">
        <v>1890525</v>
      </c>
      <c r="T82" s="160">
        <v>163274.16</v>
      </c>
      <c r="U82" s="160">
        <v>0</v>
      </c>
      <c r="V82" s="160">
        <v>653741.01</v>
      </c>
      <c r="W82" s="160">
        <v>1236783.99</v>
      </c>
      <c r="X82" s="161">
        <v>0</v>
      </c>
      <c r="Y82" s="160"/>
      <c r="Z82" s="16">
        <v>34.57</v>
      </c>
      <c r="AA82" s="162">
        <v>653741.01</v>
      </c>
      <c r="AB82" s="162">
        <v>163435.2525</v>
      </c>
      <c r="AC82" s="162">
        <v>1961223.03</v>
      </c>
      <c r="AD82" s="160"/>
      <c r="AE82" s="228">
        <v>1890525</v>
      </c>
      <c r="AF82" s="163">
        <v>1.0529999999999999</v>
      </c>
      <c r="AG82" s="163">
        <v>1.0489999999999999</v>
      </c>
      <c r="AH82" s="163">
        <v>1.0469999999999999</v>
      </c>
      <c r="AI82" s="164">
        <v>1890525</v>
      </c>
      <c r="AJ82" s="164">
        <f t="shared" si="13"/>
        <v>0</v>
      </c>
      <c r="AK82" s="229">
        <v>1890525</v>
      </c>
      <c r="AL82" s="229">
        <f ca="1">SUMIF('MS &amp; Vacancies combined'!A:J,D82,'MS &amp; Vacancies combined'!J:J)*105.3/100</f>
        <v>1837308.4473842236</v>
      </c>
      <c r="AM82" s="229">
        <f t="shared" ca="1" si="10"/>
        <v>1927336.5613060505</v>
      </c>
      <c r="AN82" s="229">
        <f t="shared" ca="1" si="11"/>
        <v>2017921.3796874348</v>
      </c>
      <c r="AO82" s="166"/>
      <c r="AP82" s="413">
        <f t="shared" ca="1" si="14"/>
        <v>53216.552615776425</v>
      </c>
      <c r="AR82" s="231"/>
      <c r="AS82" s="231"/>
      <c r="AU82" s="414">
        <v>1890525</v>
      </c>
      <c r="AV82" s="415">
        <v>1890525</v>
      </c>
      <c r="AW82" s="414">
        <f t="shared" si="12"/>
        <v>0</v>
      </c>
    </row>
    <row r="83" spans="1:49" s="172" customFormat="1" x14ac:dyDescent="0.3">
      <c r="A83" s="166" t="s">
        <v>52</v>
      </c>
      <c r="B83" s="167" t="s">
        <v>504</v>
      </c>
      <c r="C83" s="167" t="s">
        <v>376</v>
      </c>
      <c r="D83" s="412" t="s">
        <v>3454</v>
      </c>
      <c r="E83" s="168" t="s">
        <v>373</v>
      </c>
      <c r="F83" s="168" t="s">
        <v>363</v>
      </c>
      <c r="G83" s="168" t="s">
        <v>309</v>
      </c>
      <c r="H83" s="168" t="s">
        <v>373</v>
      </c>
      <c r="I83" s="168" t="s">
        <v>377</v>
      </c>
      <c r="J83" s="168" t="s">
        <v>312</v>
      </c>
      <c r="K83" s="168" t="s">
        <v>1849</v>
      </c>
      <c r="L83" s="167" t="s">
        <v>304</v>
      </c>
      <c r="M83" s="167" t="s">
        <v>305</v>
      </c>
      <c r="N83" s="167">
        <v>11</v>
      </c>
      <c r="O83" s="167" t="s">
        <v>376</v>
      </c>
      <c r="P83" s="167" t="s">
        <v>376</v>
      </c>
      <c r="Q83" s="167" t="s">
        <v>504</v>
      </c>
      <c r="R83" s="166" t="s">
        <v>52</v>
      </c>
      <c r="S83" s="169">
        <v>18864</v>
      </c>
      <c r="T83" s="160">
        <v>1500</v>
      </c>
      <c r="U83" s="160">
        <v>0</v>
      </c>
      <c r="V83" s="160">
        <v>6000</v>
      </c>
      <c r="W83" s="160">
        <v>12864</v>
      </c>
      <c r="X83" s="161">
        <v>0</v>
      </c>
      <c r="Y83" s="160"/>
      <c r="Z83" s="16">
        <v>31.8</v>
      </c>
      <c r="AA83" s="162">
        <v>6000</v>
      </c>
      <c r="AB83" s="162">
        <v>1500</v>
      </c>
      <c r="AC83" s="162">
        <v>18000</v>
      </c>
      <c r="AD83" s="160"/>
      <c r="AE83" s="145">
        <v>18864</v>
      </c>
      <c r="AF83" s="163">
        <v>1.0529999999999999</v>
      </c>
      <c r="AG83" s="163">
        <v>1.0489999999999999</v>
      </c>
      <c r="AH83" s="163">
        <v>1.0469999999999999</v>
      </c>
      <c r="AI83" s="164">
        <v>18864</v>
      </c>
      <c r="AJ83" s="164">
        <f t="shared" si="13"/>
        <v>0</v>
      </c>
      <c r="AK83" s="229">
        <v>18864</v>
      </c>
      <c r="AL83" s="229">
        <f ca="1">SUMIF('MS &amp; Vacancies combined'!A:M,D83,'MS &amp; Vacancies combined'!M:M)*105.3/100</f>
        <v>17476.427246577816</v>
      </c>
      <c r="AM83" s="229">
        <f t="shared" ca="1" si="10"/>
        <v>18332.772181660126</v>
      </c>
      <c r="AN83" s="229">
        <f t="shared" ca="1" si="11"/>
        <v>19194.41247419815</v>
      </c>
      <c r="AO83" s="166"/>
      <c r="AP83" s="413">
        <f t="shared" ca="1" si="14"/>
        <v>1387.5727534221842</v>
      </c>
      <c r="AR83" s="231"/>
      <c r="AS83" s="231"/>
      <c r="AU83" s="414">
        <v>18864</v>
      </c>
      <c r="AV83" s="415">
        <v>18864</v>
      </c>
      <c r="AW83" s="414">
        <f t="shared" si="12"/>
        <v>0</v>
      </c>
    </row>
    <row r="84" spans="1:49" s="172" customFormat="1" x14ac:dyDescent="0.3">
      <c r="A84" s="166" t="s">
        <v>54</v>
      </c>
      <c r="B84" s="167" t="s">
        <v>505</v>
      </c>
      <c r="C84" s="167" t="s">
        <v>379</v>
      </c>
      <c r="D84" s="412" t="s">
        <v>3454</v>
      </c>
      <c r="E84" s="168" t="s">
        <v>373</v>
      </c>
      <c r="F84" s="168" t="s">
        <v>363</v>
      </c>
      <c r="G84" s="168" t="s">
        <v>309</v>
      </c>
      <c r="H84" s="168" t="s">
        <v>373</v>
      </c>
      <c r="I84" s="168" t="s">
        <v>380</v>
      </c>
      <c r="J84" s="168" t="s">
        <v>312</v>
      </c>
      <c r="K84" s="168" t="s">
        <v>1849</v>
      </c>
      <c r="L84" s="167" t="s">
        <v>304</v>
      </c>
      <c r="M84" s="167" t="s">
        <v>305</v>
      </c>
      <c r="N84" s="167">
        <v>11</v>
      </c>
      <c r="O84" s="167" t="s">
        <v>379</v>
      </c>
      <c r="P84" s="167" t="s">
        <v>379</v>
      </c>
      <c r="Q84" s="167" t="s">
        <v>505</v>
      </c>
      <c r="R84" s="166" t="s">
        <v>54</v>
      </c>
      <c r="S84" s="169">
        <v>48519</v>
      </c>
      <c r="T84" s="160">
        <v>3035.31</v>
      </c>
      <c r="U84" s="160">
        <v>0</v>
      </c>
      <c r="V84" s="160">
        <v>9105.93</v>
      </c>
      <c r="W84" s="160">
        <v>39413.07</v>
      </c>
      <c r="X84" s="161">
        <v>0</v>
      </c>
      <c r="Y84" s="160"/>
      <c r="Z84" s="16">
        <v>18.760000000000002</v>
      </c>
      <c r="AA84" s="162">
        <v>9105.93</v>
      </c>
      <c r="AB84" s="162">
        <v>2276.4825000000001</v>
      </c>
      <c r="AC84" s="162">
        <v>27317.79</v>
      </c>
      <c r="AD84" s="160"/>
      <c r="AE84" s="145">
        <v>48519</v>
      </c>
      <c r="AF84" s="163">
        <v>1.0529999999999999</v>
      </c>
      <c r="AG84" s="163">
        <v>1.0489999999999999</v>
      </c>
      <c r="AH84" s="163">
        <v>1.0469999999999999</v>
      </c>
      <c r="AI84" s="164">
        <v>48519</v>
      </c>
      <c r="AJ84" s="164">
        <f t="shared" si="13"/>
        <v>0</v>
      </c>
      <c r="AK84" s="229">
        <v>48519</v>
      </c>
      <c r="AL84" s="229">
        <f ca="1">SUMIF('MS &amp; Vacancies combined'!A:L,D84,'MS &amp; Vacancies combined'!L:L)*105.3/100</f>
        <v>47152.332787386753</v>
      </c>
      <c r="AM84" s="229">
        <f t="shared" ca="1" si="10"/>
        <v>49462.7970939687</v>
      </c>
      <c r="AN84" s="229">
        <f t="shared" ca="1" si="11"/>
        <v>51787.548557385227</v>
      </c>
      <c r="AO84" s="166"/>
      <c r="AP84" s="413">
        <f t="shared" ca="1" si="14"/>
        <v>1366.6672126132471</v>
      </c>
      <c r="AR84" s="231"/>
      <c r="AS84" s="231"/>
      <c r="AU84" s="414">
        <v>48519</v>
      </c>
      <c r="AV84" s="415">
        <v>48519</v>
      </c>
      <c r="AW84" s="414">
        <f t="shared" si="12"/>
        <v>0</v>
      </c>
    </row>
    <row r="85" spans="1:49" x14ac:dyDescent="0.3">
      <c r="A85" s="16" t="s">
        <v>55</v>
      </c>
      <c r="B85" s="39" t="s">
        <v>506</v>
      </c>
      <c r="C85" s="39" t="s">
        <v>382</v>
      </c>
      <c r="D85" s="340" t="s">
        <v>3454</v>
      </c>
      <c r="E85" s="159" t="s">
        <v>373</v>
      </c>
      <c r="F85" s="159" t="s">
        <v>363</v>
      </c>
      <c r="G85" s="159" t="s">
        <v>309</v>
      </c>
      <c r="H85" s="159" t="s">
        <v>373</v>
      </c>
      <c r="I85" s="159" t="s">
        <v>383</v>
      </c>
      <c r="J85" s="159" t="s">
        <v>312</v>
      </c>
      <c r="K85" s="159" t="s">
        <v>1849</v>
      </c>
      <c r="L85" s="39" t="s">
        <v>304</v>
      </c>
      <c r="M85" s="39" t="s">
        <v>305</v>
      </c>
      <c r="N85" s="39">
        <v>11</v>
      </c>
      <c r="O85" s="39" t="s">
        <v>382</v>
      </c>
      <c r="P85" s="39" t="s">
        <v>382</v>
      </c>
      <c r="Q85" s="39" t="s">
        <v>506</v>
      </c>
      <c r="R85" s="16" t="s">
        <v>55</v>
      </c>
      <c r="S85" s="169">
        <v>0</v>
      </c>
      <c r="T85" s="160">
        <v>0</v>
      </c>
      <c r="U85" s="160">
        <v>0</v>
      </c>
      <c r="V85" s="160">
        <v>0</v>
      </c>
      <c r="W85" s="160">
        <v>0</v>
      </c>
      <c r="X85" s="161">
        <v>0</v>
      </c>
      <c r="Y85" s="160"/>
      <c r="Z85" s="16">
        <v>0</v>
      </c>
      <c r="AA85" s="162">
        <v>0</v>
      </c>
      <c r="AB85" s="162">
        <v>0</v>
      </c>
      <c r="AC85" s="162">
        <v>0</v>
      </c>
      <c r="AD85" s="160"/>
      <c r="AE85" s="145">
        <v>0</v>
      </c>
      <c r="AF85" s="163">
        <v>1.0469999999999999</v>
      </c>
      <c r="AG85" s="164">
        <v>1.046</v>
      </c>
      <c r="AH85" s="164">
        <v>1.046</v>
      </c>
      <c r="AI85" s="164">
        <v>0</v>
      </c>
      <c r="AJ85" s="164">
        <f t="shared" si="13"/>
        <v>0</v>
      </c>
      <c r="AK85" s="165">
        <v>0</v>
      </c>
      <c r="AL85" s="165">
        <v>0</v>
      </c>
      <c r="AM85" s="165">
        <f t="shared" si="10"/>
        <v>0</v>
      </c>
      <c r="AN85" s="165">
        <f t="shared" si="11"/>
        <v>0</v>
      </c>
      <c r="AO85" s="16"/>
      <c r="AP85" s="231">
        <f t="shared" si="14"/>
        <v>0</v>
      </c>
      <c r="AR85" s="231"/>
      <c r="AS85" s="231"/>
      <c r="AU85" s="230">
        <v>0</v>
      </c>
      <c r="AV85" s="233">
        <v>0</v>
      </c>
      <c r="AW85" s="230">
        <f t="shared" si="12"/>
        <v>0</v>
      </c>
    </row>
    <row r="86" spans="1:49" x14ac:dyDescent="0.3">
      <c r="A86" s="16" t="s">
        <v>508</v>
      </c>
      <c r="B86" s="39" t="s">
        <v>507</v>
      </c>
      <c r="C86" s="39" t="s">
        <v>385</v>
      </c>
      <c r="D86" s="340" t="s">
        <v>3454</v>
      </c>
      <c r="E86" s="159" t="s">
        <v>373</v>
      </c>
      <c r="F86" s="159" t="s">
        <v>363</v>
      </c>
      <c r="G86" s="159" t="s">
        <v>309</v>
      </c>
      <c r="H86" s="159" t="s">
        <v>373</v>
      </c>
      <c r="I86" s="159" t="s">
        <v>386</v>
      </c>
      <c r="J86" s="159" t="s">
        <v>312</v>
      </c>
      <c r="K86" s="159" t="s">
        <v>1849</v>
      </c>
      <c r="L86" s="39" t="s">
        <v>304</v>
      </c>
      <c r="M86" s="39" t="s">
        <v>305</v>
      </c>
      <c r="N86" s="39">
        <v>11</v>
      </c>
      <c r="O86" s="39" t="s">
        <v>385</v>
      </c>
      <c r="P86" s="39" t="s">
        <v>385</v>
      </c>
      <c r="Q86" s="39" t="s">
        <v>507</v>
      </c>
      <c r="R86" s="16" t="s">
        <v>508</v>
      </c>
      <c r="S86" s="169">
        <v>0</v>
      </c>
      <c r="T86" s="160">
        <v>0</v>
      </c>
      <c r="U86" s="160">
        <v>0</v>
      </c>
      <c r="V86" s="160">
        <v>0</v>
      </c>
      <c r="W86" s="160">
        <v>0</v>
      </c>
      <c r="X86" s="161">
        <v>0</v>
      </c>
      <c r="Y86" s="160"/>
      <c r="Z86" s="16">
        <v>0</v>
      </c>
      <c r="AA86" s="162">
        <v>0</v>
      </c>
      <c r="AB86" s="162">
        <v>0</v>
      </c>
      <c r="AC86" s="162">
        <v>0</v>
      </c>
      <c r="AD86" s="160"/>
      <c r="AE86" s="145">
        <v>0</v>
      </c>
      <c r="AF86" s="163">
        <v>1.0469999999999999</v>
      </c>
      <c r="AG86" s="164">
        <v>1.046</v>
      </c>
      <c r="AH86" s="164">
        <v>1.046</v>
      </c>
      <c r="AI86" s="164">
        <v>0</v>
      </c>
      <c r="AJ86" s="164">
        <f t="shared" si="13"/>
        <v>0</v>
      </c>
      <c r="AK86" s="165">
        <v>0</v>
      </c>
      <c r="AL86" s="165">
        <v>0</v>
      </c>
      <c r="AM86" s="165">
        <f t="shared" si="10"/>
        <v>0</v>
      </c>
      <c r="AN86" s="165">
        <f t="shared" si="11"/>
        <v>0</v>
      </c>
      <c r="AO86" s="16"/>
      <c r="AP86" s="231">
        <f t="shared" si="14"/>
        <v>0</v>
      </c>
      <c r="AR86" s="231"/>
      <c r="AS86" s="231"/>
      <c r="AU86" s="230">
        <v>0</v>
      </c>
      <c r="AV86" s="233">
        <v>0</v>
      </c>
      <c r="AW86" s="230">
        <f t="shared" si="12"/>
        <v>0</v>
      </c>
    </row>
    <row r="87" spans="1:49" s="172" customFormat="1" x14ac:dyDescent="0.3">
      <c r="A87" s="166" t="s">
        <v>56</v>
      </c>
      <c r="B87" s="167" t="s">
        <v>509</v>
      </c>
      <c r="C87" s="167" t="s">
        <v>385</v>
      </c>
      <c r="D87" s="412" t="s">
        <v>3454</v>
      </c>
      <c r="E87" s="168" t="s">
        <v>373</v>
      </c>
      <c r="F87" s="168" t="s">
        <v>363</v>
      </c>
      <c r="G87" s="168" t="s">
        <v>309</v>
      </c>
      <c r="H87" s="168" t="s">
        <v>373</v>
      </c>
      <c r="I87" s="168" t="s">
        <v>386</v>
      </c>
      <c r="J87" s="168" t="s">
        <v>387</v>
      </c>
      <c r="K87" s="168" t="s">
        <v>1849</v>
      </c>
      <c r="L87" s="167" t="s">
        <v>304</v>
      </c>
      <c r="M87" s="167" t="s">
        <v>305</v>
      </c>
      <c r="N87" s="167">
        <v>11</v>
      </c>
      <c r="O87" s="167" t="s">
        <v>385</v>
      </c>
      <c r="P87" s="167" t="s">
        <v>385</v>
      </c>
      <c r="Q87" s="167" t="s">
        <v>509</v>
      </c>
      <c r="R87" s="166" t="s">
        <v>56</v>
      </c>
      <c r="S87" s="169">
        <v>31354</v>
      </c>
      <c r="T87" s="160">
        <v>59341.15</v>
      </c>
      <c r="U87" s="160">
        <v>0</v>
      </c>
      <c r="V87" s="160">
        <v>244152.66</v>
      </c>
      <c r="W87" s="160">
        <v>-212798.66</v>
      </c>
      <c r="X87" s="161">
        <v>0</v>
      </c>
      <c r="Y87" s="160"/>
      <c r="Z87" s="16">
        <v>778.69</v>
      </c>
      <c r="AA87" s="162">
        <v>244152.66</v>
      </c>
      <c r="AB87" s="162">
        <v>61038.165000000001</v>
      </c>
      <c r="AC87" s="162">
        <v>732457.98</v>
      </c>
      <c r="AD87" s="160"/>
      <c r="AE87" s="145">
        <v>31354</v>
      </c>
      <c r="AF87" s="163">
        <v>1.0529999999999999</v>
      </c>
      <c r="AG87" s="163">
        <v>1.0489999999999999</v>
      </c>
      <c r="AH87" s="163">
        <v>1.0469999999999999</v>
      </c>
      <c r="AI87" s="164">
        <v>31354</v>
      </c>
      <c r="AJ87" s="164">
        <f t="shared" si="13"/>
        <v>0</v>
      </c>
      <c r="AK87" s="229">
        <v>31354</v>
      </c>
      <c r="AL87" s="229">
        <f ca="1">SUMIF('MS &amp; Vacancies combined'!A:O,D87,'MS &amp; Vacancies combined'!O:O)*105.3/100</f>
        <v>338964.04466100002</v>
      </c>
      <c r="AM87" s="229">
        <f ca="1">AL87*AG87</f>
        <v>355573.28284938901</v>
      </c>
      <c r="AN87" s="229">
        <f ca="1">AM87*AH87</f>
        <v>372285.22714331024</v>
      </c>
      <c r="AO87" s="166"/>
      <c r="AP87" s="413">
        <f t="shared" ca="1" si="14"/>
        <v>-307610.04466100002</v>
      </c>
      <c r="AR87" s="231"/>
      <c r="AS87" s="231"/>
      <c r="AU87" s="414">
        <v>31354</v>
      </c>
      <c r="AV87" s="415">
        <v>31354</v>
      </c>
      <c r="AW87" s="414">
        <f t="shared" si="12"/>
        <v>0</v>
      </c>
    </row>
    <row r="88" spans="1:49" x14ac:dyDescent="0.3">
      <c r="A88" s="16" t="s">
        <v>57</v>
      </c>
      <c r="B88" s="39" t="s">
        <v>510</v>
      </c>
      <c r="C88" s="39" t="s">
        <v>389</v>
      </c>
      <c r="D88" s="340" t="s">
        <v>3454</v>
      </c>
      <c r="E88" s="159" t="s">
        <v>373</v>
      </c>
      <c r="F88" s="159" t="s">
        <v>363</v>
      </c>
      <c r="G88" s="159" t="s">
        <v>309</v>
      </c>
      <c r="H88" s="159" t="s">
        <v>373</v>
      </c>
      <c r="I88" s="159" t="s">
        <v>390</v>
      </c>
      <c r="J88" s="159" t="s">
        <v>312</v>
      </c>
      <c r="K88" s="159" t="s">
        <v>1849</v>
      </c>
      <c r="L88" s="39" t="s">
        <v>304</v>
      </c>
      <c r="M88" s="39" t="s">
        <v>305</v>
      </c>
      <c r="N88" s="39">
        <v>11</v>
      </c>
      <c r="O88" s="39" t="s">
        <v>389</v>
      </c>
      <c r="P88" s="39" t="s">
        <v>389</v>
      </c>
      <c r="Q88" s="39" t="s">
        <v>510</v>
      </c>
      <c r="R88" s="16" t="s">
        <v>57</v>
      </c>
      <c r="S88" s="169">
        <v>5051</v>
      </c>
      <c r="T88" s="160">
        <v>0</v>
      </c>
      <c r="U88" s="160">
        <v>0</v>
      </c>
      <c r="V88" s="160">
        <v>3557.93</v>
      </c>
      <c r="W88" s="160">
        <v>1493.07</v>
      </c>
      <c r="X88" s="161">
        <v>0</v>
      </c>
      <c r="Y88" s="160"/>
      <c r="Z88" s="16">
        <v>70.44</v>
      </c>
      <c r="AA88" s="162">
        <v>3557.93</v>
      </c>
      <c r="AB88" s="162">
        <v>889.48249999999996</v>
      </c>
      <c r="AC88" s="162">
        <v>10673.789999999999</v>
      </c>
      <c r="AD88" s="160"/>
      <c r="AE88" s="145">
        <v>5051</v>
      </c>
      <c r="AF88" s="421">
        <v>1.0529999999999999</v>
      </c>
      <c r="AG88" s="421">
        <v>1.0489999999999999</v>
      </c>
      <c r="AH88" s="421">
        <v>1.0469999999999999</v>
      </c>
      <c r="AI88" s="164">
        <v>5051</v>
      </c>
      <c r="AJ88" s="164">
        <f t="shared" si="13"/>
        <v>0</v>
      </c>
      <c r="AK88" s="165">
        <v>5051</v>
      </c>
      <c r="AL88" s="165">
        <f>AK88*80%</f>
        <v>4040.8</v>
      </c>
      <c r="AM88" s="165">
        <f t="shared" si="10"/>
        <v>4238.7991999999995</v>
      </c>
      <c r="AN88" s="165">
        <f t="shared" si="11"/>
        <v>4438.022762399999</v>
      </c>
      <c r="AO88" s="16"/>
      <c r="AP88" s="231">
        <f t="shared" si="14"/>
        <v>1010.1999999999998</v>
      </c>
      <c r="AR88" s="231"/>
      <c r="AS88" s="231"/>
      <c r="AU88" s="230">
        <v>5051</v>
      </c>
      <c r="AV88" s="233">
        <v>5051</v>
      </c>
      <c r="AW88" s="230">
        <f t="shared" si="12"/>
        <v>0</v>
      </c>
    </row>
    <row r="89" spans="1:49" x14ac:dyDescent="0.3">
      <c r="A89" s="16" t="s">
        <v>60</v>
      </c>
      <c r="B89" s="39" t="s">
        <v>511</v>
      </c>
      <c r="C89" s="39" t="s">
        <v>392</v>
      </c>
      <c r="D89" s="340" t="s">
        <v>3454</v>
      </c>
      <c r="E89" s="159" t="s">
        <v>373</v>
      </c>
      <c r="F89" s="159" t="s">
        <v>363</v>
      </c>
      <c r="G89" s="159" t="s">
        <v>309</v>
      </c>
      <c r="H89" s="159" t="s">
        <v>373</v>
      </c>
      <c r="I89" s="159" t="s">
        <v>393</v>
      </c>
      <c r="J89" s="159" t="s">
        <v>312</v>
      </c>
      <c r="K89" s="159" t="s">
        <v>1849</v>
      </c>
      <c r="L89" s="39" t="s">
        <v>304</v>
      </c>
      <c r="M89" s="39" t="s">
        <v>305</v>
      </c>
      <c r="N89" s="39">
        <v>11</v>
      </c>
      <c r="O89" s="39" t="s">
        <v>392</v>
      </c>
      <c r="P89" s="39" t="s">
        <v>392</v>
      </c>
      <c r="Q89" s="39" t="s">
        <v>511</v>
      </c>
      <c r="R89" s="16" t="s">
        <v>60</v>
      </c>
      <c r="S89" s="169">
        <v>0</v>
      </c>
      <c r="T89" s="160">
        <v>84.94</v>
      </c>
      <c r="U89" s="160">
        <v>0</v>
      </c>
      <c r="V89" s="160">
        <v>206.92</v>
      </c>
      <c r="W89" s="160">
        <v>-206.92</v>
      </c>
      <c r="X89" s="161">
        <v>0</v>
      </c>
      <c r="Y89" s="160"/>
      <c r="Z89" s="16">
        <v>0</v>
      </c>
      <c r="AA89" s="162">
        <v>206.92</v>
      </c>
      <c r="AB89" s="162">
        <v>51.73</v>
      </c>
      <c r="AC89" s="162">
        <v>620.76</v>
      </c>
      <c r="AD89" s="160"/>
      <c r="AE89" s="145">
        <v>0</v>
      </c>
      <c r="AF89" s="421">
        <v>1.0529999999999999</v>
      </c>
      <c r="AG89" s="421">
        <v>1.0489999999999999</v>
      </c>
      <c r="AH89" s="421">
        <v>1.0469999999999999</v>
      </c>
      <c r="AI89" s="164">
        <v>0</v>
      </c>
      <c r="AJ89" s="164">
        <f t="shared" si="13"/>
        <v>0</v>
      </c>
      <c r="AK89" s="165">
        <v>0</v>
      </c>
      <c r="AL89" s="165">
        <f>AK89*AF89</f>
        <v>0</v>
      </c>
      <c r="AM89" s="165">
        <f t="shared" si="10"/>
        <v>0</v>
      </c>
      <c r="AN89" s="165">
        <f t="shared" si="11"/>
        <v>0</v>
      </c>
      <c r="AO89" s="16"/>
      <c r="AP89" s="231">
        <f t="shared" si="14"/>
        <v>0</v>
      </c>
      <c r="AR89" s="231"/>
      <c r="AS89" s="231"/>
      <c r="AU89" s="230">
        <v>0</v>
      </c>
      <c r="AV89" s="233">
        <v>0</v>
      </c>
      <c r="AW89" s="230">
        <f t="shared" si="12"/>
        <v>0</v>
      </c>
    </row>
    <row r="90" spans="1:49" x14ac:dyDescent="0.3">
      <c r="A90" s="16" t="s">
        <v>61</v>
      </c>
      <c r="B90" s="39" t="s">
        <v>512</v>
      </c>
      <c r="C90" s="39" t="s">
        <v>460</v>
      </c>
      <c r="D90" s="340" t="s">
        <v>3454</v>
      </c>
      <c r="E90" s="159" t="s">
        <v>373</v>
      </c>
      <c r="F90" s="159" t="s">
        <v>363</v>
      </c>
      <c r="G90" s="159" t="s">
        <v>309</v>
      </c>
      <c r="H90" s="159" t="s">
        <v>373</v>
      </c>
      <c r="I90" s="159" t="s">
        <v>461</v>
      </c>
      <c r="J90" s="159" t="s">
        <v>312</v>
      </c>
      <c r="K90" s="159" t="s">
        <v>1849</v>
      </c>
      <c r="L90" s="39" t="s">
        <v>304</v>
      </c>
      <c r="M90" s="39" t="s">
        <v>305</v>
      </c>
      <c r="N90" s="39">
        <v>11</v>
      </c>
      <c r="O90" s="39" t="s">
        <v>460</v>
      </c>
      <c r="P90" s="39" t="s">
        <v>460</v>
      </c>
      <c r="Q90" s="39" t="s">
        <v>512</v>
      </c>
      <c r="R90" s="16" t="s">
        <v>61</v>
      </c>
      <c r="S90" s="169">
        <v>0</v>
      </c>
      <c r="T90" s="160">
        <v>0</v>
      </c>
      <c r="U90" s="160">
        <v>0</v>
      </c>
      <c r="V90" s="160">
        <v>0</v>
      </c>
      <c r="W90" s="160">
        <v>0</v>
      </c>
      <c r="X90" s="161">
        <v>0</v>
      </c>
      <c r="Y90" s="160"/>
      <c r="Z90" s="16">
        <v>0</v>
      </c>
      <c r="AA90" s="162">
        <v>0</v>
      </c>
      <c r="AB90" s="162">
        <v>0</v>
      </c>
      <c r="AC90" s="162">
        <v>0</v>
      </c>
      <c r="AD90" s="160"/>
      <c r="AE90" s="145">
        <v>0</v>
      </c>
      <c r="AF90" s="163">
        <v>1.0469999999999999</v>
      </c>
      <c r="AG90" s="164">
        <v>1.046</v>
      </c>
      <c r="AH90" s="164">
        <v>1.046</v>
      </c>
      <c r="AI90" s="164">
        <v>0</v>
      </c>
      <c r="AJ90" s="164">
        <f t="shared" si="13"/>
        <v>0</v>
      </c>
      <c r="AK90" s="165">
        <v>0</v>
      </c>
      <c r="AL90" s="165">
        <v>0</v>
      </c>
      <c r="AM90" s="165">
        <f t="shared" si="10"/>
        <v>0</v>
      </c>
      <c r="AN90" s="165">
        <f t="shared" si="11"/>
        <v>0</v>
      </c>
      <c r="AO90" s="16"/>
      <c r="AP90" s="231">
        <f t="shared" si="14"/>
        <v>0</v>
      </c>
      <c r="AR90" s="231"/>
      <c r="AS90" s="231"/>
      <c r="AU90" s="230">
        <v>0</v>
      </c>
      <c r="AV90" s="233">
        <v>0</v>
      </c>
      <c r="AW90" s="230">
        <f t="shared" si="12"/>
        <v>0</v>
      </c>
    </row>
    <row r="91" spans="1:49" s="172" customFormat="1" x14ac:dyDescent="0.3">
      <c r="A91" s="166" t="s">
        <v>62</v>
      </c>
      <c r="B91" s="167" t="s">
        <v>513</v>
      </c>
      <c r="C91" s="167" t="s">
        <v>395</v>
      </c>
      <c r="D91" s="412" t="s">
        <v>3454</v>
      </c>
      <c r="E91" s="168" t="s">
        <v>373</v>
      </c>
      <c r="F91" s="168" t="s">
        <v>363</v>
      </c>
      <c r="G91" s="168" t="s">
        <v>309</v>
      </c>
      <c r="H91" s="168" t="s">
        <v>373</v>
      </c>
      <c r="I91" s="168" t="s">
        <v>396</v>
      </c>
      <c r="J91" s="168" t="s">
        <v>312</v>
      </c>
      <c r="K91" s="168" t="s">
        <v>1849</v>
      </c>
      <c r="L91" s="167" t="s">
        <v>304</v>
      </c>
      <c r="M91" s="167" t="s">
        <v>305</v>
      </c>
      <c r="N91" s="167">
        <v>11</v>
      </c>
      <c r="O91" s="167" t="s">
        <v>395</v>
      </c>
      <c r="P91" s="167" t="s">
        <v>395</v>
      </c>
      <c r="Q91" s="167" t="s">
        <v>513</v>
      </c>
      <c r="R91" s="166" t="s">
        <v>62</v>
      </c>
      <c r="S91" s="169">
        <v>157544</v>
      </c>
      <c r="T91" s="160">
        <v>0</v>
      </c>
      <c r="U91" s="160">
        <v>0</v>
      </c>
      <c r="V91" s="160">
        <v>46986</v>
      </c>
      <c r="W91" s="160">
        <v>110558</v>
      </c>
      <c r="X91" s="161">
        <v>0</v>
      </c>
      <c r="Y91" s="160"/>
      <c r="Z91" s="16">
        <v>29.82</v>
      </c>
      <c r="AA91" s="162">
        <v>46986</v>
      </c>
      <c r="AB91" s="162">
        <v>11746.5</v>
      </c>
      <c r="AC91" s="162">
        <v>140958</v>
      </c>
      <c r="AD91" s="160"/>
      <c r="AE91" s="145">
        <v>157544</v>
      </c>
      <c r="AF91" s="163">
        <v>1.0529999999999999</v>
      </c>
      <c r="AG91" s="163">
        <v>1.0489999999999999</v>
      </c>
      <c r="AH91" s="163">
        <v>1.0469999999999999</v>
      </c>
      <c r="AI91" s="164">
        <v>157544</v>
      </c>
      <c r="AJ91" s="164">
        <f t="shared" si="13"/>
        <v>0</v>
      </c>
      <c r="AK91" s="229">
        <v>157544</v>
      </c>
      <c r="AL91" s="229">
        <f ca="1">SUMIF('MS &amp; Vacancies combined'!A:K,D91,'MS &amp; Vacancies combined'!K:K)*105.3/100</f>
        <v>153109.03728201863</v>
      </c>
      <c r="AM91" s="229">
        <f ca="1">AL91*AG91</f>
        <v>160611.38010883753</v>
      </c>
      <c r="AN91" s="229">
        <f ca="1">AM91*AH91</f>
        <v>168160.11497395288</v>
      </c>
      <c r="AO91" s="166"/>
      <c r="AP91" s="413">
        <f t="shared" ca="1" si="14"/>
        <v>4434.9627179813688</v>
      </c>
      <c r="AR91" s="231"/>
      <c r="AS91" s="231"/>
      <c r="AU91" s="414">
        <v>157544</v>
      </c>
      <c r="AV91" s="415">
        <v>157544</v>
      </c>
      <c r="AW91" s="414">
        <f t="shared" si="12"/>
        <v>0</v>
      </c>
    </row>
    <row r="92" spans="1:49" x14ac:dyDescent="0.3">
      <c r="A92" s="16" t="s">
        <v>64</v>
      </c>
      <c r="B92" s="39" t="s">
        <v>514</v>
      </c>
      <c r="C92" s="39" t="s">
        <v>464</v>
      </c>
      <c r="D92" s="340" t="s">
        <v>3454</v>
      </c>
      <c r="E92" s="159" t="s">
        <v>373</v>
      </c>
      <c r="F92" s="159" t="s">
        <v>363</v>
      </c>
      <c r="G92" s="159" t="s">
        <v>309</v>
      </c>
      <c r="H92" s="159" t="s">
        <v>373</v>
      </c>
      <c r="I92" s="159" t="s">
        <v>465</v>
      </c>
      <c r="J92" s="159" t="s">
        <v>312</v>
      </c>
      <c r="K92" s="159" t="s">
        <v>1849</v>
      </c>
      <c r="L92" s="39" t="s">
        <v>304</v>
      </c>
      <c r="M92" s="39" t="s">
        <v>305</v>
      </c>
      <c r="N92" s="39">
        <v>11</v>
      </c>
      <c r="O92" s="39" t="s">
        <v>464</v>
      </c>
      <c r="P92" s="39" t="s">
        <v>464</v>
      </c>
      <c r="Q92" s="39" t="s">
        <v>514</v>
      </c>
      <c r="R92" s="16" t="s">
        <v>64</v>
      </c>
      <c r="S92" s="169">
        <v>204606</v>
      </c>
      <c r="T92" s="160">
        <v>16873.73</v>
      </c>
      <c r="U92" s="160">
        <v>0</v>
      </c>
      <c r="V92" s="160">
        <v>76704.479999999996</v>
      </c>
      <c r="W92" s="160">
        <v>127901.52</v>
      </c>
      <c r="X92" s="161">
        <v>0</v>
      </c>
      <c r="Y92" s="160"/>
      <c r="Z92" s="16">
        <v>37.479999999999997</v>
      </c>
      <c r="AA92" s="162">
        <v>76704.479999999996</v>
      </c>
      <c r="AB92" s="162">
        <v>19176.12</v>
      </c>
      <c r="AC92" s="162">
        <v>230113.44</v>
      </c>
      <c r="AD92" s="160"/>
      <c r="AE92" s="145">
        <v>204606</v>
      </c>
      <c r="AF92" s="421">
        <v>1.0529999999999999</v>
      </c>
      <c r="AG92" s="421">
        <v>1.0489999999999999</v>
      </c>
      <c r="AH92" s="421">
        <v>1.0469999999999999</v>
      </c>
      <c r="AI92" s="164">
        <v>204606</v>
      </c>
      <c r="AJ92" s="164">
        <f t="shared" si="13"/>
        <v>0</v>
      </c>
      <c r="AK92" s="165">
        <v>204606</v>
      </c>
      <c r="AL92" s="165">
        <f>AK92*AF92</f>
        <v>215450.11799999999</v>
      </c>
      <c r="AM92" s="165">
        <f t="shared" si="10"/>
        <v>226007.17378199997</v>
      </c>
      <c r="AN92" s="165">
        <f t="shared" si="11"/>
        <v>236629.51094975395</v>
      </c>
      <c r="AO92" s="16"/>
      <c r="AP92" s="231">
        <f t="shared" si="14"/>
        <v>-10844.117999999988</v>
      </c>
      <c r="AR92" s="231"/>
      <c r="AS92" s="231"/>
      <c r="AU92" s="230">
        <v>204606</v>
      </c>
      <c r="AV92" s="233">
        <v>204606</v>
      </c>
      <c r="AW92" s="230">
        <f t="shared" si="12"/>
        <v>0</v>
      </c>
    </row>
    <row r="93" spans="1:49" s="172" customFormat="1" x14ac:dyDescent="0.3">
      <c r="A93" s="166" t="s">
        <v>69</v>
      </c>
      <c r="B93" s="167" t="s">
        <v>515</v>
      </c>
      <c r="C93" s="167" t="s">
        <v>398</v>
      </c>
      <c r="D93" s="412" t="s">
        <v>3454</v>
      </c>
      <c r="E93" s="168" t="s">
        <v>373</v>
      </c>
      <c r="F93" s="168" t="s">
        <v>363</v>
      </c>
      <c r="G93" s="168" t="s">
        <v>309</v>
      </c>
      <c r="H93" s="168" t="s">
        <v>310</v>
      </c>
      <c r="I93" s="168" t="s">
        <v>374</v>
      </c>
      <c r="J93" s="168" t="s">
        <v>312</v>
      </c>
      <c r="K93" s="168" t="s">
        <v>1849</v>
      </c>
      <c r="L93" s="167" t="s">
        <v>304</v>
      </c>
      <c r="M93" s="167" t="s">
        <v>305</v>
      </c>
      <c r="N93" s="167">
        <v>11</v>
      </c>
      <c r="O93" s="167" t="s">
        <v>398</v>
      </c>
      <c r="P93" s="167" t="s">
        <v>398</v>
      </c>
      <c r="Q93" s="167" t="s">
        <v>515</v>
      </c>
      <c r="R93" s="166" t="s">
        <v>69</v>
      </c>
      <c r="S93" s="169">
        <v>518</v>
      </c>
      <c r="T93" s="160">
        <v>43.2</v>
      </c>
      <c r="U93" s="160">
        <v>0</v>
      </c>
      <c r="V93" s="160">
        <v>172.8</v>
      </c>
      <c r="W93" s="160">
        <v>345.2</v>
      </c>
      <c r="X93" s="161">
        <v>0</v>
      </c>
      <c r="Y93" s="160"/>
      <c r="Z93" s="16">
        <v>33.35</v>
      </c>
      <c r="AA93" s="162">
        <v>172.8</v>
      </c>
      <c r="AB93" s="162">
        <v>43.2</v>
      </c>
      <c r="AC93" s="162">
        <v>518.40000000000009</v>
      </c>
      <c r="AD93" s="160"/>
      <c r="AE93" s="145">
        <v>518</v>
      </c>
      <c r="AF93" s="163">
        <v>1.0529999999999999</v>
      </c>
      <c r="AG93" s="163">
        <v>1.0489999999999999</v>
      </c>
      <c r="AH93" s="163">
        <v>1.0469999999999999</v>
      </c>
      <c r="AI93" s="164">
        <v>518</v>
      </c>
      <c r="AJ93" s="164">
        <f t="shared" si="13"/>
        <v>0</v>
      </c>
      <c r="AK93" s="229">
        <v>518</v>
      </c>
      <c r="AL93" s="229">
        <f ca="1">SUMIF('MS &amp; Vacancies combined'!A:N,D93,'MS &amp; Vacancies combined'!N:N)*105.3/100</f>
        <v>503.32110470144113</v>
      </c>
      <c r="AM93" s="229">
        <f t="shared" ca="1" si="10"/>
        <v>527.98383883181168</v>
      </c>
      <c r="AN93" s="229">
        <f t="shared" ca="1" si="11"/>
        <v>552.79907925690679</v>
      </c>
      <c r="AO93" s="166"/>
      <c r="AP93" s="413">
        <f t="shared" ca="1" si="14"/>
        <v>14.678895298558871</v>
      </c>
      <c r="AR93" s="231"/>
      <c r="AS93" s="231"/>
      <c r="AU93" s="414">
        <v>518</v>
      </c>
      <c r="AV93" s="415">
        <v>518</v>
      </c>
      <c r="AW93" s="414">
        <f t="shared" si="12"/>
        <v>0</v>
      </c>
    </row>
    <row r="94" spans="1:49" s="172" customFormat="1" x14ac:dyDescent="0.3">
      <c r="A94" s="166" t="s">
        <v>70</v>
      </c>
      <c r="B94" s="167" t="s">
        <v>516</v>
      </c>
      <c r="C94" s="167" t="s">
        <v>400</v>
      </c>
      <c r="D94" s="412" t="s">
        <v>3454</v>
      </c>
      <c r="E94" s="168" t="s">
        <v>373</v>
      </c>
      <c r="F94" s="168" t="s">
        <v>363</v>
      </c>
      <c r="G94" s="168" t="s">
        <v>309</v>
      </c>
      <c r="H94" s="168" t="s">
        <v>310</v>
      </c>
      <c r="I94" s="168" t="s">
        <v>401</v>
      </c>
      <c r="J94" s="168" t="s">
        <v>312</v>
      </c>
      <c r="K94" s="168" t="s">
        <v>1849</v>
      </c>
      <c r="L94" s="167" t="s">
        <v>304</v>
      </c>
      <c r="M94" s="167" t="s">
        <v>305</v>
      </c>
      <c r="N94" s="167">
        <v>11</v>
      </c>
      <c r="O94" s="167" t="s">
        <v>400</v>
      </c>
      <c r="P94" s="167" t="s">
        <v>400</v>
      </c>
      <c r="Q94" s="167" t="s">
        <v>516</v>
      </c>
      <c r="R94" s="166" t="s">
        <v>70</v>
      </c>
      <c r="S94" s="169">
        <v>32139</v>
      </c>
      <c r="T94" s="160">
        <v>1715.35</v>
      </c>
      <c r="U94" s="160">
        <v>0</v>
      </c>
      <c r="V94" s="160">
        <v>9000.64</v>
      </c>
      <c r="W94" s="160">
        <v>23138.36</v>
      </c>
      <c r="X94" s="161">
        <v>0</v>
      </c>
      <c r="Y94" s="160"/>
      <c r="Z94" s="16">
        <v>28</v>
      </c>
      <c r="AA94" s="162">
        <v>9000.64</v>
      </c>
      <c r="AB94" s="162">
        <v>2250.16</v>
      </c>
      <c r="AC94" s="162">
        <v>27001.919999999998</v>
      </c>
      <c r="AD94" s="160"/>
      <c r="AE94" s="145">
        <v>32139</v>
      </c>
      <c r="AF94" s="163">
        <v>1.0529999999999999</v>
      </c>
      <c r="AG94" s="163">
        <v>1.0489999999999999</v>
      </c>
      <c r="AH94" s="163">
        <v>1.0469999999999999</v>
      </c>
      <c r="AI94" s="164">
        <v>32139</v>
      </c>
      <c r="AJ94" s="164">
        <f t="shared" si="13"/>
        <v>0</v>
      </c>
      <c r="AK94" s="229">
        <v>32139</v>
      </c>
      <c r="AL94" s="229">
        <f ca="1">SUMIF('MS &amp; Vacancies combined'!A:P,D94,'MS &amp; Vacancies combined'!P:P)*105.3/100</f>
        <v>32152.897829223912</v>
      </c>
      <c r="AM94" s="229">
        <f t="shared" ca="1" si="10"/>
        <v>33728.389822855883</v>
      </c>
      <c r="AN94" s="229">
        <f t="shared" ca="1" si="11"/>
        <v>35313.624144530106</v>
      </c>
      <c r="AO94" s="166"/>
      <c r="AP94" s="413">
        <f t="shared" ca="1" si="14"/>
        <v>-13.897829223911685</v>
      </c>
      <c r="AR94" s="231"/>
      <c r="AS94" s="231"/>
      <c r="AU94" s="414">
        <v>32139</v>
      </c>
      <c r="AV94" s="415">
        <v>32139</v>
      </c>
      <c r="AW94" s="414">
        <f t="shared" si="12"/>
        <v>0</v>
      </c>
    </row>
    <row r="95" spans="1:49" s="172" customFormat="1" x14ac:dyDescent="0.3">
      <c r="A95" s="166" t="s">
        <v>71</v>
      </c>
      <c r="B95" s="167" t="s">
        <v>517</v>
      </c>
      <c r="C95" s="167" t="s">
        <v>403</v>
      </c>
      <c r="D95" s="412" t="s">
        <v>3454</v>
      </c>
      <c r="E95" s="168" t="s">
        <v>373</v>
      </c>
      <c r="F95" s="168" t="s">
        <v>363</v>
      </c>
      <c r="G95" s="168" t="s">
        <v>309</v>
      </c>
      <c r="H95" s="168" t="s">
        <v>310</v>
      </c>
      <c r="I95" s="168" t="s">
        <v>404</v>
      </c>
      <c r="J95" s="168" t="s">
        <v>312</v>
      </c>
      <c r="K95" s="168" t="s">
        <v>1849</v>
      </c>
      <c r="L95" s="167" t="s">
        <v>304</v>
      </c>
      <c r="M95" s="167" t="s">
        <v>305</v>
      </c>
      <c r="N95" s="167">
        <v>11</v>
      </c>
      <c r="O95" s="167" t="s">
        <v>403</v>
      </c>
      <c r="P95" s="167" t="s">
        <v>403</v>
      </c>
      <c r="Q95" s="167" t="s">
        <v>517</v>
      </c>
      <c r="R95" s="166" t="s">
        <v>71</v>
      </c>
      <c r="S95" s="169">
        <v>240107</v>
      </c>
      <c r="T95" s="160">
        <v>14238</v>
      </c>
      <c r="U95" s="160">
        <v>0</v>
      </c>
      <c r="V95" s="160">
        <v>56952</v>
      </c>
      <c r="W95" s="160">
        <v>183155</v>
      </c>
      <c r="X95" s="161">
        <v>0</v>
      </c>
      <c r="Y95" s="160"/>
      <c r="Z95" s="16">
        <v>23.71</v>
      </c>
      <c r="AA95" s="162">
        <v>56952</v>
      </c>
      <c r="AB95" s="162">
        <v>14238</v>
      </c>
      <c r="AC95" s="162">
        <v>170856</v>
      </c>
      <c r="AD95" s="160"/>
      <c r="AE95" s="145">
        <v>240107</v>
      </c>
      <c r="AF95" s="163">
        <v>1.0529999999999999</v>
      </c>
      <c r="AG95" s="163">
        <v>1.0489999999999999</v>
      </c>
      <c r="AH95" s="163">
        <v>1.0469999999999999</v>
      </c>
      <c r="AI95" s="164">
        <v>240107</v>
      </c>
      <c r="AJ95" s="164">
        <f t="shared" si="13"/>
        <v>0</v>
      </c>
      <c r="AK95" s="229">
        <v>240107</v>
      </c>
      <c r="AL95" s="229">
        <f ca="1">SUMIF('MS &amp; Vacancies combined'!A:Q,D95,'MS &amp; Vacancies combined'!Q:Q)*105.3/100</f>
        <v>233345.25659630701</v>
      </c>
      <c r="AM95" s="229">
        <f t="shared" ca="1" si="10"/>
        <v>244779.17416952603</v>
      </c>
      <c r="AN95" s="229">
        <f t="shared" ca="1" si="11"/>
        <v>256283.79535549373</v>
      </c>
      <c r="AO95" s="166"/>
      <c r="AP95" s="413">
        <f t="shared" ca="1" si="14"/>
        <v>6761.7434036929917</v>
      </c>
      <c r="AR95" s="231"/>
      <c r="AS95" s="231"/>
      <c r="AU95" s="414">
        <v>240107</v>
      </c>
      <c r="AV95" s="415">
        <v>240107</v>
      </c>
      <c r="AW95" s="414">
        <f t="shared" si="12"/>
        <v>0</v>
      </c>
    </row>
    <row r="96" spans="1:49" s="172" customFormat="1" x14ac:dyDescent="0.3">
      <c r="A96" s="166" t="s">
        <v>72</v>
      </c>
      <c r="B96" s="167" t="s">
        <v>518</v>
      </c>
      <c r="C96" s="167" t="s">
        <v>406</v>
      </c>
      <c r="D96" s="412" t="s">
        <v>3454</v>
      </c>
      <c r="E96" s="168" t="s">
        <v>373</v>
      </c>
      <c r="F96" s="168" t="s">
        <v>363</v>
      </c>
      <c r="G96" s="168" t="s">
        <v>309</v>
      </c>
      <c r="H96" s="168" t="s">
        <v>310</v>
      </c>
      <c r="I96" s="168" t="s">
        <v>407</v>
      </c>
      <c r="J96" s="168" t="s">
        <v>312</v>
      </c>
      <c r="K96" s="168" t="s">
        <v>1849</v>
      </c>
      <c r="L96" s="167" t="s">
        <v>304</v>
      </c>
      <c r="M96" s="167" t="s">
        <v>305</v>
      </c>
      <c r="N96" s="167">
        <v>11</v>
      </c>
      <c r="O96" s="167" t="s">
        <v>406</v>
      </c>
      <c r="P96" s="167" t="s">
        <v>406</v>
      </c>
      <c r="Q96" s="167" t="s">
        <v>518</v>
      </c>
      <c r="R96" s="166" t="s">
        <v>72</v>
      </c>
      <c r="S96" s="169">
        <v>341618</v>
      </c>
      <c r="T96" s="160">
        <v>32893.120000000003</v>
      </c>
      <c r="U96" s="160">
        <v>0</v>
      </c>
      <c r="V96" s="160">
        <v>131572.48000000001</v>
      </c>
      <c r="W96" s="160">
        <v>210045.52</v>
      </c>
      <c r="X96" s="161">
        <v>0</v>
      </c>
      <c r="Y96" s="160"/>
      <c r="Z96" s="16">
        <v>38.51</v>
      </c>
      <c r="AA96" s="162">
        <v>131572.48000000001</v>
      </c>
      <c r="AB96" s="162">
        <v>32893.120000000003</v>
      </c>
      <c r="AC96" s="162">
        <v>394717.44000000006</v>
      </c>
      <c r="AD96" s="160"/>
      <c r="AE96" s="145">
        <v>341618</v>
      </c>
      <c r="AF96" s="163">
        <v>1.0529999999999999</v>
      </c>
      <c r="AG96" s="163">
        <v>1.0489999999999999</v>
      </c>
      <c r="AH96" s="163">
        <v>1.0469999999999999</v>
      </c>
      <c r="AI96" s="164">
        <v>341618</v>
      </c>
      <c r="AJ96" s="164">
        <f t="shared" si="13"/>
        <v>0</v>
      </c>
      <c r="AK96" s="229">
        <v>341618</v>
      </c>
      <c r="AL96" s="229">
        <f ca="1">SUMIF('MS &amp; Vacancies combined'!A:R,D96,'MS &amp; Vacancies combined'!R:R)*105.3/100</f>
        <v>332001.63644232921</v>
      </c>
      <c r="AM96" s="229">
        <f t="shared" ca="1" si="10"/>
        <v>348269.71662800334</v>
      </c>
      <c r="AN96" s="229">
        <f t="shared" ca="1" si="11"/>
        <v>364638.39330951945</v>
      </c>
      <c r="AO96" s="166"/>
      <c r="AP96" s="413">
        <f t="shared" ca="1" si="14"/>
        <v>9616.3635576707893</v>
      </c>
      <c r="AR96" s="231"/>
      <c r="AS96" s="231"/>
      <c r="AU96" s="414">
        <v>341618</v>
      </c>
      <c r="AV96" s="415">
        <v>341618</v>
      </c>
      <c r="AW96" s="414">
        <f t="shared" si="12"/>
        <v>0</v>
      </c>
    </row>
    <row r="97" spans="1:49" s="172" customFormat="1" x14ac:dyDescent="0.3">
      <c r="A97" s="166" t="s">
        <v>73</v>
      </c>
      <c r="B97" s="167" t="s">
        <v>519</v>
      </c>
      <c r="C97" s="167" t="s">
        <v>307</v>
      </c>
      <c r="D97" s="412" t="s">
        <v>3454</v>
      </c>
      <c r="E97" s="168" t="s">
        <v>373</v>
      </c>
      <c r="F97" s="168" t="s">
        <v>363</v>
      </c>
      <c r="G97" s="168" t="s">
        <v>309</v>
      </c>
      <c r="H97" s="168" t="s">
        <v>310</v>
      </c>
      <c r="I97" s="168" t="s">
        <v>311</v>
      </c>
      <c r="J97" s="168" t="s">
        <v>312</v>
      </c>
      <c r="K97" s="168" t="s">
        <v>1849</v>
      </c>
      <c r="L97" s="167" t="s">
        <v>304</v>
      </c>
      <c r="M97" s="167" t="s">
        <v>305</v>
      </c>
      <c r="N97" s="167">
        <v>11</v>
      </c>
      <c r="O97" s="167" t="s">
        <v>307</v>
      </c>
      <c r="P97" s="167" t="s">
        <v>307</v>
      </c>
      <c r="Q97" s="167" t="s">
        <v>519</v>
      </c>
      <c r="R97" s="166" t="s">
        <v>73</v>
      </c>
      <c r="S97" s="169">
        <v>8910</v>
      </c>
      <c r="T97" s="160">
        <v>708.48</v>
      </c>
      <c r="U97" s="160">
        <v>0</v>
      </c>
      <c r="V97" s="160">
        <v>2833.92</v>
      </c>
      <c r="W97" s="160">
        <v>6076.08</v>
      </c>
      <c r="X97" s="161">
        <v>0</v>
      </c>
      <c r="Y97" s="160"/>
      <c r="Z97" s="16">
        <v>31.8</v>
      </c>
      <c r="AA97" s="162">
        <v>2833.92</v>
      </c>
      <c r="AB97" s="162">
        <v>708.48</v>
      </c>
      <c r="AC97" s="162">
        <v>8501.76</v>
      </c>
      <c r="AD97" s="160"/>
      <c r="AE97" s="145">
        <v>8910</v>
      </c>
      <c r="AF97" s="163">
        <v>1.0529999999999999</v>
      </c>
      <c r="AG97" s="163">
        <v>1.0489999999999999</v>
      </c>
      <c r="AH97" s="163">
        <v>1.0469999999999999</v>
      </c>
      <c r="AI97" s="164">
        <v>8910</v>
      </c>
      <c r="AJ97" s="164">
        <f t="shared" si="13"/>
        <v>0</v>
      </c>
      <c r="AK97" s="229">
        <v>8910</v>
      </c>
      <c r="AL97" s="229">
        <f ca="1">SUMIF('MS &amp; Vacancies combined'!A:S,D97,'MS &amp; Vacancies combined'!S:S)*105.3/100</f>
        <v>8254.466117103635</v>
      </c>
      <c r="AM97" s="229">
        <f t="shared" ca="1" si="10"/>
        <v>8658.9349568417128</v>
      </c>
      <c r="AN97" s="229">
        <f t="shared" ca="1" si="11"/>
        <v>9065.904899813273</v>
      </c>
      <c r="AO97" s="166"/>
      <c r="AP97" s="413">
        <f t="shared" ca="1" si="14"/>
        <v>655.53388289636496</v>
      </c>
      <c r="AR97" s="231"/>
      <c r="AS97" s="231"/>
      <c r="AU97" s="414">
        <v>8910</v>
      </c>
      <c r="AV97" s="415">
        <v>8910</v>
      </c>
      <c r="AW97" s="414">
        <f t="shared" si="12"/>
        <v>0</v>
      </c>
    </row>
    <row r="98" spans="1:49" hidden="1" x14ac:dyDescent="0.3">
      <c r="A98" s="16" t="s">
        <v>477</v>
      </c>
      <c r="B98" s="39" t="s">
        <v>520</v>
      </c>
      <c r="C98" s="39" t="s">
        <v>78</v>
      </c>
      <c r="D98" s="340" t="s">
        <v>3454</v>
      </c>
      <c r="E98" s="159" t="s">
        <v>373</v>
      </c>
      <c r="F98" s="159" t="s">
        <v>363</v>
      </c>
      <c r="G98" s="159" t="s">
        <v>309</v>
      </c>
      <c r="H98" s="159" t="s">
        <v>330</v>
      </c>
      <c r="I98" s="159" t="s">
        <v>479</v>
      </c>
      <c r="J98" s="159" t="s">
        <v>312</v>
      </c>
      <c r="K98" s="159" t="s">
        <v>1849</v>
      </c>
      <c r="L98" s="39" t="s">
        <v>304</v>
      </c>
      <c r="M98" s="39" t="s">
        <v>305</v>
      </c>
      <c r="N98" s="39">
        <v>11</v>
      </c>
      <c r="O98" s="39" t="s">
        <v>78</v>
      </c>
      <c r="P98" s="39" t="s">
        <v>521</v>
      </c>
      <c r="Q98" s="39" t="s">
        <v>520</v>
      </c>
      <c r="R98" s="16" t="s">
        <v>477</v>
      </c>
      <c r="S98" s="160">
        <v>1142721</v>
      </c>
      <c r="T98" s="160">
        <v>35316.5</v>
      </c>
      <c r="U98" s="160">
        <v>30420.95</v>
      </c>
      <c r="V98" s="160">
        <v>71663.25</v>
      </c>
      <c r="W98" s="160">
        <v>1071057.75</v>
      </c>
      <c r="X98" s="161">
        <v>162083.56</v>
      </c>
      <c r="Y98" s="160"/>
      <c r="Z98" s="16">
        <v>6.27</v>
      </c>
      <c r="AA98" s="162">
        <v>102084.2</v>
      </c>
      <c r="AB98" s="162">
        <v>25521.05</v>
      </c>
      <c r="AC98" s="162">
        <v>306252.59999999998</v>
      </c>
      <c r="AD98" s="160"/>
      <c r="AE98" s="145">
        <v>1142721</v>
      </c>
      <c r="AF98" s="163">
        <v>1.0469999999999999</v>
      </c>
      <c r="AG98" s="164">
        <v>1.046</v>
      </c>
      <c r="AH98" s="164">
        <v>1.046</v>
      </c>
      <c r="AI98" s="164">
        <v>1142721</v>
      </c>
      <c r="AJ98" s="164">
        <f t="shared" si="13"/>
        <v>0</v>
      </c>
      <c r="AK98" s="165">
        <v>1142721</v>
      </c>
      <c r="AL98" s="165">
        <f>AK98</f>
        <v>1142721</v>
      </c>
      <c r="AM98" s="165">
        <f t="shared" si="10"/>
        <v>1195286.166</v>
      </c>
      <c r="AN98" s="165">
        <f t="shared" si="11"/>
        <v>1250269.3296360001</v>
      </c>
      <c r="AO98" s="16"/>
      <c r="AP98" s="231">
        <f t="shared" si="14"/>
        <v>0</v>
      </c>
      <c r="AR98" s="231"/>
      <c r="AS98" s="231"/>
      <c r="AU98" s="230">
        <v>1142721</v>
      </c>
      <c r="AV98" s="233">
        <v>1142721</v>
      </c>
      <c r="AW98" s="230">
        <f t="shared" si="12"/>
        <v>0</v>
      </c>
    </row>
    <row r="99" spans="1:49" s="146" customFormat="1" hidden="1" x14ac:dyDescent="0.3">
      <c r="A99" s="84" t="s">
        <v>337</v>
      </c>
      <c r="B99" s="147" t="s">
        <v>522</v>
      </c>
      <c r="C99" s="39" t="s">
        <v>82</v>
      </c>
      <c r="D99" s="340" t="s">
        <v>3454</v>
      </c>
      <c r="E99" s="159" t="s">
        <v>373</v>
      </c>
      <c r="F99" s="159" t="s">
        <v>363</v>
      </c>
      <c r="G99" s="159" t="s">
        <v>309</v>
      </c>
      <c r="H99" s="159" t="s">
        <v>334</v>
      </c>
      <c r="I99" s="159" t="s">
        <v>339</v>
      </c>
      <c r="J99" s="159" t="s">
        <v>312</v>
      </c>
      <c r="K99" s="159" t="s">
        <v>1849</v>
      </c>
      <c r="L99" s="39" t="s">
        <v>304</v>
      </c>
      <c r="M99" s="39" t="s">
        <v>305</v>
      </c>
      <c r="N99" s="39">
        <v>11</v>
      </c>
      <c r="O99" s="39" t="s">
        <v>82</v>
      </c>
      <c r="P99" s="39" t="s">
        <v>523</v>
      </c>
      <c r="Q99" s="39" t="s">
        <v>522</v>
      </c>
      <c r="R99" s="16" t="s">
        <v>337</v>
      </c>
      <c r="S99" s="148">
        <v>0</v>
      </c>
      <c r="T99" s="160">
        <v>0</v>
      </c>
      <c r="U99" s="160">
        <v>0</v>
      </c>
      <c r="V99" s="160">
        <v>0</v>
      </c>
      <c r="W99" s="160">
        <v>0</v>
      </c>
      <c r="X99" s="161">
        <v>0</v>
      </c>
      <c r="Y99" s="160"/>
      <c r="Z99" s="16">
        <v>0</v>
      </c>
      <c r="AA99" s="162">
        <v>0</v>
      </c>
      <c r="AB99" s="162">
        <v>0</v>
      </c>
      <c r="AC99" s="162">
        <v>0</v>
      </c>
      <c r="AD99" s="160"/>
      <c r="AE99" s="149">
        <v>0</v>
      </c>
      <c r="AF99" s="163">
        <v>1.0469999999999999</v>
      </c>
      <c r="AG99" s="164">
        <v>1.046</v>
      </c>
      <c r="AH99" s="164">
        <v>1.046</v>
      </c>
      <c r="AI99" s="164">
        <v>0</v>
      </c>
      <c r="AJ99" s="164">
        <f t="shared" si="13"/>
        <v>0</v>
      </c>
      <c r="AK99" s="203">
        <v>250000</v>
      </c>
      <c r="AL99" s="165">
        <f>AK99</f>
        <v>250000</v>
      </c>
      <c r="AM99" s="165">
        <f t="shared" si="10"/>
        <v>261500</v>
      </c>
      <c r="AN99" s="165">
        <f t="shared" si="11"/>
        <v>273529</v>
      </c>
      <c r="AO99" s="16"/>
      <c r="AP99" s="231">
        <f t="shared" si="14"/>
        <v>0</v>
      </c>
      <c r="AQ99"/>
      <c r="AR99" s="231"/>
      <c r="AS99" s="231"/>
      <c r="AT99"/>
      <c r="AU99" s="230">
        <v>0</v>
      </c>
      <c r="AV99" s="233">
        <v>0</v>
      </c>
      <c r="AW99" s="230">
        <f t="shared" si="12"/>
        <v>0</v>
      </c>
    </row>
    <row r="100" spans="1:49" hidden="1" x14ac:dyDescent="0.3">
      <c r="A100" s="16" t="s">
        <v>341</v>
      </c>
      <c r="B100" s="39" t="s">
        <v>524</v>
      </c>
      <c r="C100" s="39" t="s">
        <v>82</v>
      </c>
      <c r="D100" s="340" t="s">
        <v>3454</v>
      </c>
      <c r="E100" s="159" t="s">
        <v>373</v>
      </c>
      <c r="F100" s="159" t="s">
        <v>363</v>
      </c>
      <c r="G100" s="159" t="s">
        <v>309</v>
      </c>
      <c r="H100" s="159" t="s">
        <v>334</v>
      </c>
      <c r="I100" s="159" t="s">
        <v>343</v>
      </c>
      <c r="J100" s="159" t="s">
        <v>312</v>
      </c>
      <c r="K100" s="159" t="s">
        <v>1849</v>
      </c>
      <c r="L100" s="39" t="s">
        <v>304</v>
      </c>
      <c r="M100" s="39" t="s">
        <v>305</v>
      </c>
      <c r="N100" s="39">
        <v>11</v>
      </c>
      <c r="O100" s="39" t="s">
        <v>82</v>
      </c>
      <c r="P100" s="39" t="s">
        <v>525</v>
      </c>
      <c r="Q100" s="39" t="s">
        <v>524</v>
      </c>
      <c r="R100" s="16" t="s">
        <v>341</v>
      </c>
      <c r="S100" s="160">
        <v>0</v>
      </c>
      <c r="T100" s="160">
        <v>0</v>
      </c>
      <c r="U100" s="160">
        <v>0</v>
      </c>
      <c r="V100" s="160">
        <v>0</v>
      </c>
      <c r="W100" s="160">
        <v>0</v>
      </c>
      <c r="X100" s="161">
        <v>0</v>
      </c>
      <c r="Y100" s="160"/>
      <c r="Z100" s="16">
        <v>0</v>
      </c>
      <c r="AA100" s="162">
        <v>0</v>
      </c>
      <c r="AB100" s="162">
        <v>0</v>
      </c>
      <c r="AC100" s="162">
        <v>0</v>
      </c>
      <c r="AD100" s="160"/>
      <c r="AE100" s="145">
        <v>0</v>
      </c>
      <c r="AF100" s="163">
        <v>1.0469999999999999</v>
      </c>
      <c r="AG100" s="164">
        <v>1.046</v>
      </c>
      <c r="AH100" s="164">
        <v>1.046</v>
      </c>
      <c r="AI100" s="164">
        <v>0</v>
      </c>
      <c r="AJ100" s="164">
        <f t="shared" si="13"/>
        <v>0</v>
      </c>
      <c r="AK100" s="165">
        <v>0</v>
      </c>
      <c r="AL100" s="165">
        <v>0</v>
      </c>
      <c r="AM100" s="165">
        <f t="shared" si="10"/>
        <v>0</v>
      </c>
      <c r="AN100" s="165">
        <f t="shared" si="11"/>
        <v>0</v>
      </c>
      <c r="AO100" s="16"/>
      <c r="AP100" s="231">
        <f t="shared" si="14"/>
        <v>0</v>
      </c>
      <c r="AR100" s="231"/>
      <c r="AS100" s="231"/>
      <c r="AU100" s="230">
        <v>0</v>
      </c>
      <c r="AV100" s="233">
        <v>0</v>
      </c>
      <c r="AW100" s="230">
        <f t="shared" si="12"/>
        <v>0</v>
      </c>
    </row>
    <row r="101" spans="1:49" hidden="1" x14ac:dyDescent="0.3">
      <c r="A101" s="16" t="s">
        <v>527</v>
      </c>
      <c r="B101" s="39" t="s">
        <v>526</v>
      </c>
      <c r="C101" s="39" t="s">
        <v>82</v>
      </c>
      <c r="D101" s="340" t="s">
        <v>3454</v>
      </c>
      <c r="E101" s="159" t="s">
        <v>373</v>
      </c>
      <c r="F101" s="159" t="s">
        <v>363</v>
      </c>
      <c r="G101" s="159" t="s">
        <v>309</v>
      </c>
      <c r="H101" s="159" t="s">
        <v>334</v>
      </c>
      <c r="I101" s="159" t="s">
        <v>529</v>
      </c>
      <c r="J101" s="159" t="s">
        <v>312</v>
      </c>
      <c r="K101" s="159" t="s">
        <v>1849</v>
      </c>
      <c r="L101" s="39" t="s">
        <v>304</v>
      </c>
      <c r="M101" s="39" t="s">
        <v>305</v>
      </c>
      <c r="N101" s="39">
        <v>11</v>
      </c>
      <c r="O101" s="39" t="s">
        <v>82</v>
      </c>
      <c r="P101" s="39" t="s">
        <v>528</v>
      </c>
      <c r="Q101" s="39" t="s">
        <v>526</v>
      </c>
      <c r="R101" s="16" t="s">
        <v>527</v>
      </c>
      <c r="S101" s="223">
        <v>160000</v>
      </c>
      <c r="T101" s="160">
        <v>0</v>
      </c>
      <c r="U101" s="160">
        <v>0</v>
      </c>
      <c r="V101" s="160">
        <v>0</v>
      </c>
      <c r="W101" s="160">
        <v>160000</v>
      </c>
      <c r="X101" s="161">
        <v>0</v>
      </c>
      <c r="Y101" s="160"/>
      <c r="Z101" s="16">
        <v>0</v>
      </c>
      <c r="AA101" s="162">
        <v>0</v>
      </c>
      <c r="AB101" s="224">
        <v>0</v>
      </c>
      <c r="AC101" s="224">
        <v>0</v>
      </c>
      <c r="AD101" s="223"/>
      <c r="AE101" s="145">
        <v>120000</v>
      </c>
      <c r="AF101" s="163">
        <v>1.0469999999999999</v>
      </c>
      <c r="AG101" s="164">
        <v>1.046</v>
      </c>
      <c r="AH101" s="164">
        <v>1.046</v>
      </c>
      <c r="AI101" s="164">
        <v>160000</v>
      </c>
      <c r="AJ101" s="164">
        <f t="shared" si="13"/>
        <v>-40000</v>
      </c>
      <c r="AK101" s="165">
        <v>120000</v>
      </c>
      <c r="AL101" s="165">
        <f>AK101</f>
        <v>120000</v>
      </c>
      <c r="AM101" s="165">
        <f t="shared" si="10"/>
        <v>125520</v>
      </c>
      <c r="AN101" s="165">
        <f t="shared" si="11"/>
        <v>131293.92000000001</v>
      </c>
      <c r="AO101" s="16"/>
      <c r="AP101" s="231">
        <f t="shared" si="14"/>
        <v>0</v>
      </c>
      <c r="AR101" s="231"/>
      <c r="AS101" s="231"/>
      <c r="AU101" s="230">
        <v>160000</v>
      </c>
      <c r="AV101" s="233">
        <v>160000</v>
      </c>
      <c r="AW101" s="230">
        <f t="shared" si="12"/>
        <v>0</v>
      </c>
    </row>
    <row r="102" spans="1:49" hidden="1" x14ac:dyDescent="0.3">
      <c r="A102" s="16" t="s">
        <v>531</v>
      </c>
      <c r="B102" s="39" t="s">
        <v>530</v>
      </c>
      <c r="C102" s="39" t="s">
        <v>82</v>
      </c>
      <c r="D102" s="340" t="s">
        <v>3454</v>
      </c>
      <c r="E102" s="159" t="s">
        <v>373</v>
      </c>
      <c r="F102" s="159" t="s">
        <v>363</v>
      </c>
      <c r="G102" s="159" t="s">
        <v>309</v>
      </c>
      <c r="H102" s="159" t="s">
        <v>334</v>
      </c>
      <c r="I102" s="159" t="s">
        <v>533</v>
      </c>
      <c r="J102" s="159" t="s">
        <v>312</v>
      </c>
      <c r="K102" s="159" t="s">
        <v>1849</v>
      </c>
      <c r="L102" s="39" t="s">
        <v>304</v>
      </c>
      <c r="M102" s="39" t="s">
        <v>305</v>
      </c>
      <c r="N102" s="39">
        <v>11</v>
      </c>
      <c r="O102" s="39" t="s">
        <v>82</v>
      </c>
      <c r="P102" s="39" t="s">
        <v>532</v>
      </c>
      <c r="Q102" s="39" t="s">
        <v>530</v>
      </c>
      <c r="R102" s="16" t="s">
        <v>531</v>
      </c>
      <c r="S102" s="160">
        <v>6116315</v>
      </c>
      <c r="T102" s="160">
        <v>0</v>
      </c>
      <c r="U102" s="160">
        <v>0</v>
      </c>
      <c r="V102" s="160">
        <v>0</v>
      </c>
      <c r="W102" s="160">
        <v>6116315</v>
      </c>
      <c r="X102" s="161">
        <v>0</v>
      </c>
      <c r="Y102" s="160"/>
      <c r="Z102" s="16">
        <v>0</v>
      </c>
      <c r="AA102" s="162">
        <v>0</v>
      </c>
      <c r="AB102" s="162">
        <v>0</v>
      </c>
      <c r="AC102" s="162">
        <v>0</v>
      </c>
      <c r="AD102" s="160"/>
      <c r="AE102" s="145">
        <v>6116315</v>
      </c>
      <c r="AF102" s="163">
        <v>1.0469999999999999</v>
      </c>
      <c r="AG102" s="164">
        <v>1.046</v>
      </c>
      <c r="AH102" s="164">
        <v>1.046</v>
      </c>
      <c r="AI102" s="164">
        <v>6116315</v>
      </c>
      <c r="AJ102" s="164">
        <f t="shared" si="13"/>
        <v>0</v>
      </c>
      <c r="AK102" s="165">
        <v>6116315</v>
      </c>
      <c r="AL102" s="165">
        <f>AK102</f>
        <v>6116315</v>
      </c>
      <c r="AM102" s="165">
        <f t="shared" si="10"/>
        <v>6397665.4900000002</v>
      </c>
      <c r="AN102" s="165">
        <f t="shared" si="11"/>
        <v>6691958.1025400003</v>
      </c>
      <c r="AO102" s="16"/>
      <c r="AP102" s="231">
        <f t="shared" si="14"/>
        <v>0</v>
      </c>
      <c r="AR102" s="231"/>
      <c r="AS102" s="231"/>
      <c r="AU102" s="230">
        <v>6116315</v>
      </c>
      <c r="AV102" s="233">
        <v>6116315</v>
      </c>
      <c r="AW102" s="230">
        <f t="shared" si="12"/>
        <v>0</v>
      </c>
    </row>
    <row r="103" spans="1:49" hidden="1" x14ac:dyDescent="0.3">
      <c r="A103" s="16" t="s">
        <v>83</v>
      </c>
      <c r="B103" s="39" t="s">
        <v>534</v>
      </c>
      <c r="C103" s="39" t="s">
        <v>423</v>
      </c>
      <c r="D103" s="340" t="s">
        <v>3454</v>
      </c>
      <c r="E103" s="159" t="s">
        <v>373</v>
      </c>
      <c r="F103" s="159" t="s">
        <v>363</v>
      </c>
      <c r="G103" s="159" t="s">
        <v>309</v>
      </c>
      <c r="H103" s="159" t="s">
        <v>424</v>
      </c>
      <c r="I103" s="159" t="s">
        <v>425</v>
      </c>
      <c r="J103" s="159" t="s">
        <v>426</v>
      </c>
      <c r="K103" s="159" t="s">
        <v>1849</v>
      </c>
      <c r="L103" s="39" t="s">
        <v>304</v>
      </c>
      <c r="M103" s="39" t="s">
        <v>305</v>
      </c>
      <c r="N103" s="39">
        <v>11</v>
      </c>
      <c r="O103" s="39" t="s">
        <v>423</v>
      </c>
      <c r="P103" s="39" t="s">
        <v>535</v>
      </c>
      <c r="Q103" s="39" t="s">
        <v>534</v>
      </c>
      <c r="R103" s="16" t="s">
        <v>83</v>
      </c>
      <c r="S103" s="160">
        <v>10000</v>
      </c>
      <c r="T103" s="160">
        <v>0</v>
      </c>
      <c r="U103" s="160">
        <v>9330</v>
      </c>
      <c r="V103" s="160">
        <v>0</v>
      </c>
      <c r="W103" s="160">
        <v>10000</v>
      </c>
      <c r="X103" s="161">
        <v>9330</v>
      </c>
      <c r="Y103" s="160"/>
      <c r="Z103" s="16">
        <v>0</v>
      </c>
      <c r="AA103" s="162">
        <v>9330</v>
      </c>
      <c r="AB103" s="162">
        <v>2332.5</v>
      </c>
      <c r="AC103" s="162">
        <v>27990</v>
      </c>
      <c r="AD103" s="160"/>
      <c r="AE103" s="145">
        <v>10000</v>
      </c>
      <c r="AF103" s="163">
        <v>1.0469999999999999</v>
      </c>
      <c r="AG103" s="164">
        <v>1.046</v>
      </c>
      <c r="AH103" s="164">
        <v>1.046</v>
      </c>
      <c r="AI103" s="164">
        <v>10000</v>
      </c>
      <c r="AJ103" s="164">
        <f t="shared" si="13"/>
        <v>0</v>
      </c>
      <c r="AK103" s="165">
        <v>200000</v>
      </c>
      <c r="AL103" s="165">
        <f>AK103</f>
        <v>200000</v>
      </c>
      <c r="AM103" s="165">
        <f t="shared" si="10"/>
        <v>209200</v>
      </c>
      <c r="AN103" s="165">
        <f t="shared" si="11"/>
        <v>218823.2</v>
      </c>
      <c r="AO103" s="16"/>
      <c r="AP103" s="231">
        <f t="shared" si="14"/>
        <v>0</v>
      </c>
      <c r="AR103" s="231"/>
      <c r="AS103" s="231"/>
      <c r="AU103" s="230">
        <v>10000</v>
      </c>
      <c r="AV103" s="233">
        <v>10000</v>
      </c>
      <c r="AW103" s="230">
        <f t="shared" si="12"/>
        <v>0</v>
      </c>
    </row>
    <row r="104" spans="1:49" hidden="1" x14ac:dyDescent="0.3">
      <c r="A104" s="16" t="s">
        <v>537</v>
      </c>
      <c r="B104" s="39" t="s">
        <v>536</v>
      </c>
      <c r="C104" s="39" t="s">
        <v>423</v>
      </c>
      <c r="D104" s="340" t="s">
        <v>3454</v>
      </c>
      <c r="E104" s="159" t="s">
        <v>373</v>
      </c>
      <c r="F104" s="159" t="s">
        <v>363</v>
      </c>
      <c r="G104" s="159" t="s">
        <v>309</v>
      </c>
      <c r="H104" s="159" t="s">
        <v>424</v>
      </c>
      <c r="I104" s="159" t="s">
        <v>425</v>
      </c>
      <c r="J104" s="159" t="s">
        <v>538</v>
      </c>
      <c r="K104" s="159" t="s">
        <v>1849</v>
      </c>
      <c r="L104" s="39" t="s">
        <v>304</v>
      </c>
      <c r="M104" s="39" t="s">
        <v>305</v>
      </c>
      <c r="N104" s="39">
        <v>11</v>
      </c>
      <c r="O104" s="39" t="s">
        <v>423</v>
      </c>
      <c r="P104" s="39" t="s">
        <v>535</v>
      </c>
      <c r="Q104" s="39" t="s">
        <v>536</v>
      </c>
      <c r="R104" s="16" t="s">
        <v>537</v>
      </c>
      <c r="S104" s="160">
        <v>30000</v>
      </c>
      <c r="T104" s="160">
        <v>0</v>
      </c>
      <c r="U104" s="160">
        <v>0</v>
      </c>
      <c r="V104" s="160">
        <v>0</v>
      </c>
      <c r="W104" s="160">
        <v>30000</v>
      </c>
      <c r="X104" s="161">
        <v>0</v>
      </c>
      <c r="Y104" s="160"/>
      <c r="Z104" s="16">
        <v>0</v>
      </c>
      <c r="AA104" s="162">
        <v>0</v>
      </c>
      <c r="AB104" s="162">
        <v>0</v>
      </c>
      <c r="AC104" s="162">
        <v>0</v>
      </c>
      <c r="AD104" s="160"/>
      <c r="AE104" s="145">
        <v>30000</v>
      </c>
      <c r="AF104" s="163">
        <v>1.0469999999999999</v>
      </c>
      <c r="AG104" s="164">
        <v>1.046</v>
      </c>
      <c r="AH104" s="164">
        <v>1.046</v>
      </c>
      <c r="AI104" s="164">
        <v>30000</v>
      </c>
      <c r="AJ104" s="164">
        <f t="shared" si="13"/>
        <v>0</v>
      </c>
      <c r="AK104" s="165">
        <v>30000</v>
      </c>
      <c r="AL104" s="165">
        <f>AK104</f>
        <v>30000</v>
      </c>
      <c r="AM104" s="165">
        <f t="shared" si="10"/>
        <v>31380</v>
      </c>
      <c r="AN104" s="165">
        <f t="shared" si="11"/>
        <v>32823.480000000003</v>
      </c>
      <c r="AO104" s="16"/>
      <c r="AP104" s="231">
        <f t="shared" si="14"/>
        <v>0</v>
      </c>
      <c r="AR104" s="231"/>
      <c r="AS104" s="231"/>
      <c r="AU104" s="230">
        <v>30000</v>
      </c>
      <c r="AV104" s="233">
        <v>30000</v>
      </c>
      <c r="AW104" s="230">
        <f t="shared" si="12"/>
        <v>0</v>
      </c>
    </row>
    <row r="105" spans="1:49" hidden="1" x14ac:dyDescent="0.3">
      <c r="A105" s="16" t="s">
        <v>499</v>
      </c>
      <c r="B105" s="39" t="s">
        <v>539</v>
      </c>
      <c r="C105" s="39" t="s">
        <v>95</v>
      </c>
      <c r="D105" s="340" t="s">
        <v>3454</v>
      </c>
      <c r="E105" s="159" t="s">
        <v>373</v>
      </c>
      <c r="F105" s="159" t="s">
        <v>363</v>
      </c>
      <c r="G105" s="159" t="s">
        <v>309</v>
      </c>
      <c r="H105" s="159" t="s">
        <v>501</v>
      </c>
      <c r="I105" s="159" t="s">
        <v>502</v>
      </c>
      <c r="J105" s="159" t="s">
        <v>312</v>
      </c>
      <c r="K105" s="159" t="s">
        <v>1849</v>
      </c>
      <c r="L105" s="39" t="s">
        <v>304</v>
      </c>
      <c r="M105" s="39" t="s">
        <v>305</v>
      </c>
      <c r="N105" s="39">
        <v>11</v>
      </c>
      <c r="O105" s="39" t="s">
        <v>95</v>
      </c>
      <c r="P105" s="39" t="s">
        <v>540</v>
      </c>
      <c r="Q105" s="39" t="s">
        <v>539</v>
      </c>
      <c r="R105" s="16" t="s">
        <v>499</v>
      </c>
      <c r="S105" s="160">
        <v>0</v>
      </c>
      <c r="T105" s="160">
        <v>0</v>
      </c>
      <c r="U105" s="160">
        <v>0</v>
      </c>
      <c r="V105" s="160">
        <v>0</v>
      </c>
      <c r="W105" s="160">
        <v>0</v>
      </c>
      <c r="X105" s="161">
        <v>0</v>
      </c>
      <c r="Y105" s="160"/>
      <c r="Z105" s="16">
        <v>0</v>
      </c>
      <c r="AA105" s="162">
        <v>0</v>
      </c>
      <c r="AB105" s="162">
        <v>0</v>
      </c>
      <c r="AC105" s="162">
        <v>0</v>
      </c>
      <c r="AD105" s="160"/>
      <c r="AE105" s="145">
        <v>0</v>
      </c>
      <c r="AF105" s="163">
        <v>1.0469999999999999</v>
      </c>
      <c r="AG105" s="164">
        <v>1.046</v>
      </c>
      <c r="AH105" s="164">
        <v>1.046</v>
      </c>
      <c r="AI105" s="164">
        <v>0</v>
      </c>
      <c r="AJ105" s="164">
        <f t="shared" si="13"/>
        <v>0</v>
      </c>
      <c r="AK105" s="165">
        <v>0</v>
      </c>
      <c r="AL105" s="165">
        <v>0</v>
      </c>
      <c r="AM105" s="165">
        <f t="shared" si="10"/>
        <v>0</v>
      </c>
      <c r="AN105" s="165">
        <f t="shared" si="11"/>
        <v>0</v>
      </c>
      <c r="AO105" s="16"/>
      <c r="AP105" s="231">
        <f t="shared" si="14"/>
        <v>0</v>
      </c>
      <c r="AR105" s="231"/>
      <c r="AS105" s="231"/>
      <c r="AU105" s="230">
        <v>0</v>
      </c>
      <c r="AV105" s="233">
        <v>0</v>
      </c>
      <c r="AW105" s="230">
        <f t="shared" si="12"/>
        <v>0</v>
      </c>
    </row>
    <row r="106" spans="1:49" s="172" customFormat="1" x14ac:dyDescent="0.3">
      <c r="A106" s="166" t="s">
        <v>50</v>
      </c>
      <c r="B106" s="167" t="s">
        <v>541</v>
      </c>
      <c r="C106" s="167" t="s">
        <v>302</v>
      </c>
      <c r="D106" s="412" t="s">
        <v>3455</v>
      </c>
      <c r="E106" s="168" t="s">
        <v>373</v>
      </c>
      <c r="F106" s="168" t="s">
        <v>542</v>
      </c>
      <c r="G106" s="168" t="s">
        <v>309</v>
      </c>
      <c r="H106" s="168" t="s">
        <v>373</v>
      </c>
      <c r="I106" s="168" t="s">
        <v>374</v>
      </c>
      <c r="J106" s="168" t="s">
        <v>312</v>
      </c>
      <c r="K106" s="168" t="s">
        <v>1849</v>
      </c>
      <c r="L106" s="167" t="s">
        <v>304</v>
      </c>
      <c r="M106" s="167" t="s">
        <v>305</v>
      </c>
      <c r="N106" s="167">
        <v>11</v>
      </c>
      <c r="O106" s="167" t="s">
        <v>302</v>
      </c>
      <c r="P106" s="167" t="s">
        <v>302</v>
      </c>
      <c r="Q106" s="167" t="s">
        <v>541</v>
      </c>
      <c r="R106" s="166" t="s">
        <v>50</v>
      </c>
      <c r="S106" s="169">
        <v>0</v>
      </c>
      <c r="T106" s="160">
        <v>0</v>
      </c>
      <c r="U106" s="160">
        <v>0</v>
      </c>
      <c r="V106" s="160">
        <v>0</v>
      </c>
      <c r="W106" s="160">
        <v>0</v>
      </c>
      <c r="X106" s="161">
        <v>0</v>
      </c>
      <c r="Y106" s="160"/>
      <c r="Z106" s="16">
        <v>0</v>
      </c>
      <c r="AA106" s="162">
        <v>0</v>
      </c>
      <c r="AB106" s="162">
        <v>0</v>
      </c>
      <c r="AC106" s="162">
        <v>0</v>
      </c>
      <c r="AD106" s="160"/>
      <c r="AE106" s="228">
        <v>0</v>
      </c>
      <c r="AF106" s="163">
        <v>1.0529999999999999</v>
      </c>
      <c r="AG106" s="163">
        <v>1.0489999999999999</v>
      </c>
      <c r="AH106" s="163">
        <v>1.0469999999999999</v>
      </c>
      <c r="AI106" s="164">
        <v>0</v>
      </c>
      <c r="AJ106" s="164">
        <f t="shared" si="13"/>
        <v>0</v>
      </c>
      <c r="AK106" s="229">
        <v>0</v>
      </c>
      <c r="AL106" s="229">
        <f ca="1">SUMIF('MS &amp; Vacancies combined'!A:J,D106,'MS &amp; Vacancies combined'!J:J)*105.3/100</f>
        <v>0</v>
      </c>
      <c r="AM106" s="229">
        <f t="shared" ca="1" si="10"/>
        <v>0</v>
      </c>
      <c r="AN106" s="229">
        <f t="shared" ca="1" si="11"/>
        <v>0</v>
      </c>
      <c r="AO106" s="166"/>
      <c r="AP106" s="413">
        <f t="shared" ca="1" si="14"/>
        <v>0</v>
      </c>
      <c r="AR106" s="231"/>
      <c r="AS106" s="231"/>
      <c r="AU106" s="414">
        <v>0</v>
      </c>
      <c r="AV106" s="415">
        <v>0</v>
      </c>
      <c r="AW106" s="414">
        <f t="shared" si="12"/>
        <v>0</v>
      </c>
    </row>
    <row r="107" spans="1:49" s="172" customFormat="1" x14ac:dyDescent="0.3">
      <c r="A107" s="166" t="s">
        <v>52</v>
      </c>
      <c r="B107" s="167" t="s">
        <v>543</v>
      </c>
      <c r="C107" s="167" t="s">
        <v>376</v>
      </c>
      <c r="D107" s="412" t="s">
        <v>3455</v>
      </c>
      <c r="E107" s="168" t="s">
        <v>373</v>
      </c>
      <c r="F107" s="168" t="s">
        <v>542</v>
      </c>
      <c r="G107" s="168" t="s">
        <v>309</v>
      </c>
      <c r="H107" s="168" t="s">
        <v>373</v>
      </c>
      <c r="I107" s="168" t="s">
        <v>377</v>
      </c>
      <c r="J107" s="168" t="s">
        <v>312</v>
      </c>
      <c r="K107" s="168" t="s">
        <v>1849</v>
      </c>
      <c r="L107" s="167" t="s">
        <v>304</v>
      </c>
      <c r="M107" s="167" t="s">
        <v>305</v>
      </c>
      <c r="N107" s="167">
        <v>11</v>
      </c>
      <c r="O107" s="167" t="s">
        <v>376</v>
      </c>
      <c r="P107" s="167" t="s">
        <v>376</v>
      </c>
      <c r="Q107" s="167" t="s">
        <v>543</v>
      </c>
      <c r="R107" s="166" t="s">
        <v>52</v>
      </c>
      <c r="S107" s="169">
        <v>0</v>
      </c>
      <c r="T107" s="160">
        <v>0</v>
      </c>
      <c r="U107" s="160">
        <v>0</v>
      </c>
      <c r="V107" s="160">
        <v>0</v>
      </c>
      <c r="W107" s="160">
        <v>0</v>
      </c>
      <c r="X107" s="161">
        <v>0</v>
      </c>
      <c r="Y107" s="160"/>
      <c r="Z107" s="16">
        <v>0</v>
      </c>
      <c r="AA107" s="162">
        <v>0</v>
      </c>
      <c r="AB107" s="162">
        <v>0</v>
      </c>
      <c r="AC107" s="162">
        <v>0</v>
      </c>
      <c r="AD107" s="160"/>
      <c r="AE107" s="145">
        <v>0</v>
      </c>
      <c r="AF107" s="163">
        <v>1.0529999999999999</v>
      </c>
      <c r="AG107" s="163">
        <v>1.0489999999999999</v>
      </c>
      <c r="AH107" s="163">
        <v>1.0469999999999999</v>
      </c>
      <c r="AI107" s="164">
        <v>0</v>
      </c>
      <c r="AJ107" s="164">
        <f t="shared" si="13"/>
        <v>0</v>
      </c>
      <c r="AK107" s="229">
        <v>0</v>
      </c>
      <c r="AL107" s="229">
        <f ca="1">SUMIF('MS &amp; Vacancies combined'!A:M,D107,'MS &amp; Vacancies combined'!M:M)*105.3/100</f>
        <v>0</v>
      </c>
      <c r="AM107" s="229">
        <f t="shared" ca="1" si="10"/>
        <v>0</v>
      </c>
      <c r="AN107" s="229">
        <f t="shared" ca="1" si="11"/>
        <v>0</v>
      </c>
      <c r="AO107" s="166"/>
      <c r="AP107" s="413">
        <f t="shared" ca="1" si="14"/>
        <v>0</v>
      </c>
      <c r="AR107" s="231"/>
      <c r="AS107" s="231"/>
      <c r="AU107" s="414">
        <v>0</v>
      </c>
      <c r="AV107" s="415">
        <v>0</v>
      </c>
      <c r="AW107" s="414">
        <f t="shared" si="12"/>
        <v>0</v>
      </c>
    </row>
    <row r="108" spans="1:49" s="172" customFormat="1" x14ac:dyDescent="0.3">
      <c r="A108" s="166" t="s">
        <v>54</v>
      </c>
      <c r="B108" s="167" t="s">
        <v>544</v>
      </c>
      <c r="C108" s="167" t="s">
        <v>379</v>
      </c>
      <c r="D108" s="412" t="s">
        <v>3455</v>
      </c>
      <c r="E108" s="168" t="s">
        <v>373</v>
      </c>
      <c r="F108" s="168" t="s">
        <v>542</v>
      </c>
      <c r="G108" s="168" t="s">
        <v>309</v>
      </c>
      <c r="H108" s="168" t="s">
        <v>373</v>
      </c>
      <c r="I108" s="168" t="s">
        <v>380</v>
      </c>
      <c r="J108" s="168" t="s">
        <v>312</v>
      </c>
      <c r="K108" s="168" t="s">
        <v>1849</v>
      </c>
      <c r="L108" s="167" t="s">
        <v>304</v>
      </c>
      <c r="M108" s="167" t="s">
        <v>305</v>
      </c>
      <c r="N108" s="167">
        <v>11</v>
      </c>
      <c r="O108" s="167" t="s">
        <v>379</v>
      </c>
      <c r="P108" s="167" t="s">
        <v>379</v>
      </c>
      <c r="Q108" s="167" t="s">
        <v>544</v>
      </c>
      <c r="R108" s="166" t="s">
        <v>54</v>
      </c>
      <c r="S108" s="169">
        <v>0</v>
      </c>
      <c r="T108" s="160">
        <v>0</v>
      </c>
      <c r="U108" s="160">
        <v>0</v>
      </c>
      <c r="V108" s="160">
        <v>0</v>
      </c>
      <c r="W108" s="160">
        <v>0</v>
      </c>
      <c r="X108" s="161">
        <v>0</v>
      </c>
      <c r="Y108" s="160"/>
      <c r="Z108" s="16">
        <v>0</v>
      </c>
      <c r="AA108" s="162">
        <v>0</v>
      </c>
      <c r="AB108" s="162">
        <v>0</v>
      </c>
      <c r="AC108" s="162">
        <v>0</v>
      </c>
      <c r="AD108" s="160"/>
      <c r="AE108" s="145">
        <v>0</v>
      </c>
      <c r="AF108" s="163">
        <v>1.0529999999999999</v>
      </c>
      <c r="AG108" s="163">
        <v>1.0489999999999999</v>
      </c>
      <c r="AH108" s="163">
        <v>1.0469999999999999</v>
      </c>
      <c r="AI108" s="164">
        <v>0</v>
      </c>
      <c r="AJ108" s="164">
        <f t="shared" si="13"/>
        <v>0</v>
      </c>
      <c r="AK108" s="229">
        <v>0</v>
      </c>
      <c r="AL108" s="229">
        <f ca="1">SUMIF('MS &amp; Vacancies combined'!A:L,D108,'MS &amp; Vacancies combined'!L:L)*105.3/100</f>
        <v>0</v>
      </c>
      <c r="AM108" s="229">
        <f t="shared" ca="1" si="10"/>
        <v>0</v>
      </c>
      <c r="AN108" s="229">
        <f t="shared" ca="1" si="11"/>
        <v>0</v>
      </c>
      <c r="AO108" s="166"/>
      <c r="AP108" s="413">
        <f t="shared" ca="1" si="14"/>
        <v>0</v>
      </c>
      <c r="AR108" s="231"/>
      <c r="AS108" s="231"/>
      <c r="AU108" s="414">
        <v>0</v>
      </c>
      <c r="AV108" s="415">
        <v>0</v>
      </c>
      <c r="AW108" s="414">
        <f t="shared" si="12"/>
        <v>0</v>
      </c>
    </row>
    <row r="109" spans="1:49" s="172" customFormat="1" x14ac:dyDescent="0.3">
      <c r="A109" s="166" t="s">
        <v>56</v>
      </c>
      <c r="B109" s="167" t="s">
        <v>545</v>
      </c>
      <c r="C109" s="167" t="s">
        <v>385</v>
      </c>
      <c r="D109" s="412" t="s">
        <v>3455</v>
      </c>
      <c r="E109" s="168" t="s">
        <v>373</v>
      </c>
      <c r="F109" s="168" t="s">
        <v>542</v>
      </c>
      <c r="G109" s="168" t="s">
        <v>309</v>
      </c>
      <c r="H109" s="168" t="s">
        <v>373</v>
      </c>
      <c r="I109" s="168" t="s">
        <v>386</v>
      </c>
      <c r="J109" s="168" t="s">
        <v>387</v>
      </c>
      <c r="K109" s="168" t="s">
        <v>1849</v>
      </c>
      <c r="L109" s="167" t="s">
        <v>304</v>
      </c>
      <c r="M109" s="167" t="s">
        <v>305</v>
      </c>
      <c r="N109" s="167">
        <v>11</v>
      </c>
      <c r="O109" s="167" t="s">
        <v>385</v>
      </c>
      <c r="P109" s="167" t="s">
        <v>385</v>
      </c>
      <c r="Q109" s="167" t="s">
        <v>545</v>
      </c>
      <c r="R109" s="166" t="s">
        <v>56</v>
      </c>
      <c r="S109" s="169">
        <v>0</v>
      </c>
      <c r="T109" s="160">
        <v>0</v>
      </c>
      <c r="U109" s="160">
        <v>0</v>
      </c>
      <c r="V109" s="160">
        <v>0</v>
      </c>
      <c r="W109" s="160">
        <v>0</v>
      </c>
      <c r="X109" s="161">
        <v>0</v>
      </c>
      <c r="Y109" s="160"/>
      <c r="Z109" s="16">
        <v>0</v>
      </c>
      <c r="AA109" s="162">
        <v>0</v>
      </c>
      <c r="AB109" s="162">
        <v>0</v>
      </c>
      <c r="AC109" s="162">
        <v>0</v>
      </c>
      <c r="AD109" s="160"/>
      <c r="AE109" s="145">
        <v>0</v>
      </c>
      <c r="AF109" s="163">
        <v>1.0529999999999999</v>
      </c>
      <c r="AG109" s="163">
        <v>1.0489999999999999</v>
      </c>
      <c r="AH109" s="163">
        <v>1.0469999999999999</v>
      </c>
      <c r="AI109" s="164">
        <v>0</v>
      </c>
      <c r="AJ109" s="164">
        <f t="shared" si="13"/>
        <v>0</v>
      </c>
      <c r="AK109" s="229">
        <v>0</v>
      </c>
      <c r="AL109" s="229">
        <f ca="1">SUMIF('MS &amp; Vacancies combined'!A:O,D109,'MS &amp; Vacancies combined'!O:O)*105.3/100</f>
        <v>0</v>
      </c>
      <c r="AM109" s="229">
        <f t="shared" ca="1" si="10"/>
        <v>0</v>
      </c>
      <c r="AN109" s="229">
        <f t="shared" ca="1" si="11"/>
        <v>0</v>
      </c>
      <c r="AO109" s="166"/>
      <c r="AP109" s="413">
        <f t="shared" ca="1" si="14"/>
        <v>0</v>
      </c>
      <c r="AR109" s="231"/>
      <c r="AS109" s="231"/>
      <c r="AU109" s="414">
        <v>0</v>
      </c>
      <c r="AV109" s="415">
        <v>0</v>
      </c>
      <c r="AW109" s="414">
        <f t="shared" si="12"/>
        <v>0</v>
      </c>
    </row>
    <row r="110" spans="1:49" s="172" customFormat="1" x14ac:dyDescent="0.3">
      <c r="A110" s="166" t="s">
        <v>62</v>
      </c>
      <c r="B110" s="167" t="s">
        <v>546</v>
      </c>
      <c r="C110" s="167" t="s">
        <v>395</v>
      </c>
      <c r="D110" s="412" t="s">
        <v>3455</v>
      </c>
      <c r="E110" s="168" t="s">
        <v>373</v>
      </c>
      <c r="F110" s="168" t="s">
        <v>542</v>
      </c>
      <c r="G110" s="168" t="s">
        <v>309</v>
      </c>
      <c r="H110" s="168" t="s">
        <v>373</v>
      </c>
      <c r="I110" s="168" t="s">
        <v>396</v>
      </c>
      <c r="J110" s="168" t="s">
        <v>312</v>
      </c>
      <c r="K110" s="168" t="s">
        <v>1849</v>
      </c>
      <c r="L110" s="167" t="s">
        <v>304</v>
      </c>
      <c r="M110" s="167" t="s">
        <v>305</v>
      </c>
      <c r="N110" s="167">
        <v>11</v>
      </c>
      <c r="O110" s="167" t="s">
        <v>395</v>
      </c>
      <c r="P110" s="167" t="s">
        <v>395</v>
      </c>
      <c r="Q110" s="167" t="s">
        <v>546</v>
      </c>
      <c r="R110" s="166" t="s">
        <v>62</v>
      </c>
      <c r="S110" s="169">
        <v>0</v>
      </c>
      <c r="T110" s="160">
        <v>0</v>
      </c>
      <c r="U110" s="160">
        <v>0</v>
      </c>
      <c r="V110" s="160">
        <v>0</v>
      </c>
      <c r="W110" s="160">
        <v>0</v>
      </c>
      <c r="X110" s="161">
        <v>0</v>
      </c>
      <c r="Y110" s="160"/>
      <c r="Z110" s="16">
        <v>0</v>
      </c>
      <c r="AA110" s="162">
        <v>0</v>
      </c>
      <c r="AB110" s="162">
        <v>0</v>
      </c>
      <c r="AC110" s="162">
        <v>0</v>
      </c>
      <c r="AD110" s="160"/>
      <c r="AE110" s="145">
        <v>0</v>
      </c>
      <c r="AF110" s="163">
        <v>1.0529999999999999</v>
      </c>
      <c r="AG110" s="163">
        <v>1.0489999999999999</v>
      </c>
      <c r="AH110" s="163">
        <v>1.0469999999999999</v>
      </c>
      <c r="AI110" s="164">
        <v>0</v>
      </c>
      <c r="AJ110" s="164">
        <f t="shared" si="13"/>
        <v>0</v>
      </c>
      <c r="AK110" s="229">
        <v>0</v>
      </c>
      <c r="AL110" s="229">
        <f ca="1">SUMIF('MS &amp; Vacancies combined'!A:K,D110,'MS &amp; Vacancies combined'!K:K)*105.3/100</f>
        <v>0</v>
      </c>
      <c r="AM110" s="229">
        <f t="shared" ca="1" si="10"/>
        <v>0</v>
      </c>
      <c r="AN110" s="229">
        <f t="shared" ca="1" si="11"/>
        <v>0</v>
      </c>
      <c r="AO110" s="166"/>
      <c r="AP110" s="413">
        <f t="shared" ca="1" si="14"/>
        <v>0</v>
      </c>
      <c r="AR110" s="231"/>
      <c r="AS110" s="231"/>
      <c r="AU110" s="414">
        <v>0</v>
      </c>
      <c r="AV110" s="415">
        <v>0</v>
      </c>
      <c r="AW110" s="414">
        <f t="shared" si="12"/>
        <v>0</v>
      </c>
    </row>
    <row r="111" spans="1:49" s="172" customFormat="1" x14ac:dyDescent="0.3">
      <c r="A111" s="166" t="s">
        <v>69</v>
      </c>
      <c r="B111" s="167" t="s">
        <v>547</v>
      </c>
      <c r="C111" s="167" t="s">
        <v>398</v>
      </c>
      <c r="D111" s="412" t="s">
        <v>3455</v>
      </c>
      <c r="E111" s="168" t="s">
        <v>373</v>
      </c>
      <c r="F111" s="168" t="s">
        <v>542</v>
      </c>
      <c r="G111" s="168" t="s">
        <v>309</v>
      </c>
      <c r="H111" s="168" t="s">
        <v>310</v>
      </c>
      <c r="I111" s="168" t="s">
        <v>374</v>
      </c>
      <c r="J111" s="168" t="s">
        <v>312</v>
      </c>
      <c r="K111" s="168" t="s">
        <v>1849</v>
      </c>
      <c r="L111" s="167" t="s">
        <v>304</v>
      </c>
      <c r="M111" s="167" t="s">
        <v>305</v>
      </c>
      <c r="N111" s="167">
        <v>11</v>
      </c>
      <c r="O111" s="167" t="s">
        <v>398</v>
      </c>
      <c r="P111" s="167" t="s">
        <v>398</v>
      </c>
      <c r="Q111" s="167" t="s">
        <v>547</v>
      </c>
      <c r="R111" s="166" t="s">
        <v>69</v>
      </c>
      <c r="S111" s="169">
        <v>0</v>
      </c>
      <c r="T111" s="160">
        <v>0</v>
      </c>
      <c r="U111" s="160">
        <v>0</v>
      </c>
      <c r="V111" s="160">
        <v>0</v>
      </c>
      <c r="W111" s="160">
        <v>0</v>
      </c>
      <c r="X111" s="161">
        <v>0</v>
      </c>
      <c r="Y111" s="160"/>
      <c r="Z111" s="16">
        <v>0</v>
      </c>
      <c r="AA111" s="162">
        <v>0</v>
      </c>
      <c r="AB111" s="162">
        <v>0</v>
      </c>
      <c r="AC111" s="162">
        <v>0</v>
      </c>
      <c r="AD111" s="160"/>
      <c r="AE111" s="145">
        <v>0</v>
      </c>
      <c r="AF111" s="163">
        <v>1.0529999999999999</v>
      </c>
      <c r="AG111" s="163">
        <v>1.0489999999999999</v>
      </c>
      <c r="AH111" s="163">
        <v>1.0469999999999999</v>
      </c>
      <c r="AI111" s="164">
        <v>0</v>
      </c>
      <c r="AJ111" s="164">
        <f t="shared" si="13"/>
        <v>0</v>
      </c>
      <c r="AK111" s="229">
        <v>0</v>
      </c>
      <c r="AL111" s="229">
        <f ca="1">SUMIF('MS &amp; Vacancies combined'!A:N,D111,'MS &amp; Vacancies combined'!N:N)*105.3/100</f>
        <v>0</v>
      </c>
      <c r="AM111" s="229">
        <f t="shared" ca="1" si="10"/>
        <v>0</v>
      </c>
      <c r="AN111" s="229">
        <f t="shared" ca="1" si="11"/>
        <v>0</v>
      </c>
      <c r="AO111" s="166"/>
      <c r="AP111" s="413">
        <f t="shared" ca="1" si="14"/>
        <v>0</v>
      </c>
      <c r="AR111" s="231"/>
      <c r="AS111" s="231"/>
      <c r="AU111" s="414">
        <v>0</v>
      </c>
      <c r="AV111" s="415">
        <v>0</v>
      </c>
      <c r="AW111" s="414">
        <f t="shared" si="12"/>
        <v>0</v>
      </c>
    </row>
    <row r="112" spans="1:49" s="172" customFormat="1" x14ac:dyDescent="0.3">
      <c r="A112" s="166" t="s">
        <v>71</v>
      </c>
      <c r="B112" s="167" t="s">
        <v>548</v>
      </c>
      <c r="C112" s="167" t="s">
        <v>403</v>
      </c>
      <c r="D112" s="412" t="s">
        <v>3455</v>
      </c>
      <c r="E112" s="168" t="s">
        <v>373</v>
      </c>
      <c r="F112" s="168" t="s">
        <v>542</v>
      </c>
      <c r="G112" s="168" t="s">
        <v>309</v>
      </c>
      <c r="H112" s="168" t="s">
        <v>310</v>
      </c>
      <c r="I112" s="168" t="s">
        <v>404</v>
      </c>
      <c r="J112" s="168" t="s">
        <v>312</v>
      </c>
      <c r="K112" s="168" t="s">
        <v>1849</v>
      </c>
      <c r="L112" s="167" t="s">
        <v>304</v>
      </c>
      <c r="M112" s="167" t="s">
        <v>305</v>
      </c>
      <c r="N112" s="167">
        <v>11</v>
      </c>
      <c r="O112" s="167" t="s">
        <v>403</v>
      </c>
      <c r="P112" s="167" t="s">
        <v>403</v>
      </c>
      <c r="Q112" s="167" t="s">
        <v>548</v>
      </c>
      <c r="R112" s="166" t="s">
        <v>71</v>
      </c>
      <c r="S112" s="169">
        <v>0</v>
      </c>
      <c r="T112" s="160">
        <v>0</v>
      </c>
      <c r="U112" s="160">
        <v>0</v>
      </c>
      <c r="V112" s="160">
        <v>0</v>
      </c>
      <c r="W112" s="160">
        <v>0</v>
      </c>
      <c r="X112" s="161">
        <v>0</v>
      </c>
      <c r="Y112" s="160"/>
      <c r="Z112" s="16">
        <v>0</v>
      </c>
      <c r="AA112" s="162">
        <v>0</v>
      </c>
      <c r="AB112" s="162">
        <v>0</v>
      </c>
      <c r="AC112" s="162">
        <v>0</v>
      </c>
      <c r="AD112" s="160"/>
      <c r="AE112" s="145">
        <v>0</v>
      </c>
      <c r="AF112" s="163">
        <v>1.0529999999999999</v>
      </c>
      <c r="AG112" s="163">
        <v>1.0489999999999999</v>
      </c>
      <c r="AH112" s="163">
        <v>1.0469999999999999</v>
      </c>
      <c r="AI112" s="164">
        <v>0</v>
      </c>
      <c r="AJ112" s="164">
        <f t="shared" si="13"/>
        <v>0</v>
      </c>
      <c r="AK112" s="229">
        <v>0</v>
      </c>
      <c r="AL112" s="229">
        <f ca="1">SUMIF('MS &amp; Vacancies combined'!A:Q,D112,'MS &amp; Vacancies combined'!Q:Q)*105.3/100</f>
        <v>0</v>
      </c>
      <c r="AM112" s="229">
        <f t="shared" ca="1" si="10"/>
        <v>0</v>
      </c>
      <c r="AN112" s="229">
        <f t="shared" ca="1" si="11"/>
        <v>0</v>
      </c>
      <c r="AO112" s="166"/>
      <c r="AP112" s="413">
        <f t="shared" ca="1" si="14"/>
        <v>0</v>
      </c>
      <c r="AR112" s="231"/>
      <c r="AS112" s="231"/>
      <c r="AU112" s="414">
        <v>0</v>
      </c>
      <c r="AV112" s="415">
        <v>0</v>
      </c>
      <c r="AW112" s="414">
        <f t="shared" si="12"/>
        <v>0</v>
      </c>
    </row>
    <row r="113" spans="1:49" s="172" customFormat="1" x14ac:dyDescent="0.3">
      <c r="A113" s="166" t="s">
        <v>72</v>
      </c>
      <c r="B113" s="167" t="s">
        <v>549</v>
      </c>
      <c r="C113" s="167" t="s">
        <v>406</v>
      </c>
      <c r="D113" s="412" t="s">
        <v>3455</v>
      </c>
      <c r="E113" s="168" t="s">
        <v>373</v>
      </c>
      <c r="F113" s="168" t="s">
        <v>542</v>
      </c>
      <c r="G113" s="168" t="s">
        <v>309</v>
      </c>
      <c r="H113" s="168" t="s">
        <v>310</v>
      </c>
      <c r="I113" s="168" t="s">
        <v>407</v>
      </c>
      <c r="J113" s="168" t="s">
        <v>312</v>
      </c>
      <c r="K113" s="168" t="s">
        <v>1849</v>
      </c>
      <c r="L113" s="167" t="s">
        <v>304</v>
      </c>
      <c r="M113" s="167" t="s">
        <v>305</v>
      </c>
      <c r="N113" s="167">
        <v>11</v>
      </c>
      <c r="O113" s="167" t="s">
        <v>406</v>
      </c>
      <c r="P113" s="167" t="s">
        <v>406</v>
      </c>
      <c r="Q113" s="167" t="s">
        <v>549</v>
      </c>
      <c r="R113" s="166" t="s">
        <v>72</v>
      </c>
      <c r="S113" s="169">
        <v>0</v>
      </c>
      <c r="T113" s="160">
        <v>0</v>
      </c>
      <c r="U113" s="160">
        <v>0</v>
      </c>
      <c r="V113" s="160">
        <v>0</v>
      </c>
      <c r="W113" s="160">
        <v>0</v>
      </c>
      <c r="X113" s="161">
        <v>0</v>
      </c>
      <c r="Y113" s="160"/>
      <c r="Z113" s="16">
        <v>0</v>
      </c>
      <c r="AA113" s="162">
        <v>0</v>
      </c>
      <c r="AB113" s="162">
        <v>0</v>
      </c>
      <c r="AC113" s="162">
        <v>0</v>
      </c>
      <c r="AD113" s="160"/>
      <c r="AE113" s="145">
        <v>0</v>
      </c>
      <c r="AF113" s="163">
        <v>1.0529999999999999</v>
      </c>
      <c r="AG113" s="163">
        <v>1.0489999999999999</v>
      </c>
      <c r="AH113" s="163">
        <v>1.0469999999999999</v>
      </c>
      <c r="AI113" s="164">
        <v>0</v>
      </c>
      <c r="AJ113" s="164">
        <f t="shared" si="13"/>
        <v>0</v>
      </c>
      <c r="AK113" s="229">
        <v>0</v>
      </c>
      <c r="AL113" s="229">
        <f ca="1">SUMIF('MS &amp; Vacancies combined'!A:R,D113,'MS &amp; Vacancies combined'!R:R)*105.3/100</f>
        <v>0</v>
      </c>
      <c r="AM113" s="229">
        <f t="shared" ca="1" si="10"/>
        <v>0</v>
      </c>
      <c r="AN113" s="229">
        <f t="shared" ca="1" si="11"/>
        <v>0</v>
      </c>
      <c r="AO113" s="166"/>
      <c r="AP113" s="413">
        <f t="shared" ca="1" si="14"/>
        <v>0</v>
      </c>
      <c r="AR113" s="231"/>
      <c r="AS113" s="231"/>
      <c r="AU113" s="414">
        <v>0</v>
      </c>
      <c r="AV113" s="415">
        <v>0</v>
      </c>
      <c r="AW113" s="414">
        <f t="shared" si="12"/>
        <v>0</v>
      </c>
    </row>
    <row r="114" spans="1:49" s="172" customFormat="1" x14ac:dyDescent="0.3">
      <c r="A114" s="166" t="s">
        <v>73</v>
      </c>
      <c r="B114" s="167" t="s">
        <v>550</v>
      </c>
      <c r="C114" s="167" t="s">
        <v>307</v>
      </c>
      <c r="D114" s="412" t="s">
        <v>3455</v>
      </c>
      <c r="E114" s="168" t="s">
        <v>373</v>
      </c>
      <c r="F114" s="168" t="s">
        <v>542</v>
      </c>
      <c r="G114" s="168" t="s">
        <v>309</v>
      </c>
      <c r="H114" s="168" t="s">
        <v>310</v>
      </c>
      <c r="I114" s="168" t="s">
        <v>311</v>
      </c>
      <c r="J114" s="168" t="s">
        <v>312</v>
      </c>
      <c r="K114" s="168" t="s">
        <v>1849</v>
      </c>
      <c r="L114" s="167" t="s">
        <v>304</v>
      </c>
      <c r="M114" s="167" t="s">
        <v>305</v>
      </c>
      <c r="N114" s="167">
        <v>11</v>
      </c>
      <c r="O114" s="167" t="s">
        <v>307</v>
      </c>
      <c r="P114" s="167" t="s">
        <v>307</v>
      </c>
      <c r="Q114" s="167" t="s">
        <v>550</v>
      </c>
      <c r="R114" s="166" t="s">
        <v>73</v>
      </c>
      <c r="S114" s="169">
        <v>0</v>
      </c>
      <c r="T114" s="160">
        <v>0</v>
      </c>
      <c r="U114" s="160">
        <v>0</v>
      </c>
      <c r="V114" s="160">
        <v>0</v>
      </c>
      <c r="W114" s="160">
        <v>0</v>
      </c>
      <c r="X114" s="161">
        <v>0</v>
      </c>
      <c r="Y114" s="160"/>
      <c r="Z114" s="16">
        <v>0</v>
      </c>
      <c r="AA114" s="162">
        <v>0</v>
      </c>
      <c r="AB114" s="162">
        <v>0</v>
      </c>
      <c r="AC114" s="162">
        <v>0</v>
      </c>
      <c r="AD114" s="160"/>
      <c r="AE114" s="145">
        <v>0</v>
      </c>
      <c r="AF114" s="163">
        <v>1.0529999999999999</v>
      </c>
      <c r="AG114" s="163">
        <v>1.0489999999999999</v>
      </c>
      <c r="AH114" s="163">
        <v>1.0469999999999999</v>
      </c>
      <c r="AI114" s="164">
        <v>0</v>
      </c>
      <c r="AJ114" s="164">
        <f t="shared" si="13"/>
        <v>0</v>
      </c>
      <c r="AK114" s="229">
        <v>0</v>
      </c>
      <c r="AL114" s="229">
        <f ca="1">SUMIF('MS &amp; Vacancies combined'!A:S,D114,'MS &amp; Vacancies combined'!S:S)*105.3/100</f>
        <v>0</v>
      </c>
      <c r="AM114" s="229">
        <f t="shared" ca="1" si="10"/>
        <v>0</v>
      </c>
      <c r="AN114" s="229">
        <f t="shared" ca="1" si="11"/>
        <v>0</v>
      </c>
      <c r="AO114" s="166"/>
      <c r="AP114" s="413">
        <f t="shared" ca="1" si="14"/>
        <v>0</v>
      </c>
      <c r="AR114" s="231"/>
      <c r="AS114" s="231"/>
      <c r="AU114" s="414">
        <v>0</v>
      </c>
      <c r="AV114" s="415">
        <v>0</v>
      </c>
      <c r="AW114" s="414">
        <f t="shared" si="12"/>
        <v>0</v>
      </c>
    </row>
    <row r="115" spans="1:49" hidden="1" x14ac:dyDescent="0.3">
      <c r="A115" s="16" t="s">
        <v>341</v>
      </c>
      <c r="B115" s="39" t="s">
        <v>551</v>
      </c>
      <c r="C115" s="39" t="s">
        <v>82</v>
      </c>
      <c r="D115" s="340" t="s">
        <v>3455</v>
      </c>
      <c r="E115" s="159" t="s">
        <v>373</v>
      </c>
      <c r="F115" s="159" t="s">
        <v>542</v>
      </c>
      <c r="G115" s="159" t="s">
        <v>309</v>
      </c>
      <c r="H115" s="159" t="s">
        <v>334</v>
      </c>
      <c r="I115" s="159" t="s">
        <v>343</v>
      </c>
      <c r="J115" s="159" t="s">
        <v>312</v>
      </c>
      <c r="K115" s="159" t="s">
        <v>1849</v>
      </c>
      <c r="L115" s="39" t="s">
        <v>304</v>
      </c>
      <c r="M115" s="39" t="s">
        <v>305</v>
      </c>
      <c r="N115" s="39">
        <v>11</v>
      </c>
      <c r="O115" s="39" t="s">
        <v>82</v>
      </c>
      <c r="P115" s="39" t="s">
        <v>342</v>
      </c>
      <c r="Q115" s="39" t="s">
        <v>551</v>
      </c>
      <c r="R115" s="16" t="s">
        <v>341</v>
      </c>
      <c r="S115" s="160">
        <v>0</v>
      </c>
      <c r="T115" s="160">
        <v>0</v>
      </c>
      <c r="U115" s="160">
        <v>0</v>
      </c>
      <c r="V115" s="160">
        <v>0</v>
      </c>
      <c r="W115" s="160">
        <v>0</v>
      </c>
      <c r="X115" s="161">
        <v>0</v>
      </c>
      <c r="Y115" s="160"/>
      <c r="Z115" s="16">
        <v>0</v>
      </c>
      <c r="AA115" s="162">
        <v>0</v>
      </c>
      <c r="AB115" s="162">
        <v>0</v>
      </c>
      <c r="AC115" s="162">
        <v>0</v>
      </c>
      <c r="AD115" s="160"/>
      <c r="AE115" s="145">
        <v>0</v>
      </c>
      <c r="AF115" s="163">
        <v>1.0469999999999999</v>
      </c>
      <c r="AG115" s="164">
        <v>1.046</v>
      </c>
      <c r="AH115" s="164">
        <v>1.046</v>
      </c>
      <c r="AI115" s="164">
        <v>0</v>
      </c>
      <c r="AJ115" s="164">
        <f t="shared" si="13"/>
        <v>0</v>
      </c>
      <c r="AK115" s="165">
        <v>0</v>
      </c>
      <c r="AL115" s="165">
        <v>0</v>
      </c>
      <c r="AM115" s="165">
        <f t="shared" si="10"/>
        <v>0</v>
      </c>
      <c r="AN115" s="165">
        <f t="shared" si="11"/>
        <v>0</v>
      </c>
      <c r="AO115" s="16"/>
      <c r="AP115" s="231">
        <f t="shared" si="14"/>
        <v>0</v>
      </c>
      <c r="AR115" s="231"/>
      <c r="AS115" s="231"/>
      <c r="AU115" s="230">
        <v>0</v>
      </c>
      <c r="AV115" s="233">
        <v>0</v>
      </c>
      <c r="AW115" s="230">
        <f t="shared" si="12"/>
        <v>0</v>
      </c>
    </row>
    <row r="116" spans="1:49" hidden="1" x14ac:dyDescent="0.3">
      <c r="A116" s="16" t="s">
        <v>171</v>
      </c>
      <c r="B116" s="39" t="s">
        <v>552</v>
      </c>
      <c r="C116" s="39" t="s">
        <v>553</v>
      </c>
      <c r="D116" s="340" t="s">
        <v>3456</v>
      </c>
      <c r="E116" s="159" t="s">
        <v>373</v>
      </c>
      <c r="F116" s="159" t="s">
        <v>370</v>
      </c>
      <c r="G116" s="159" t="s">
        <v>387</v>
      </c>
      <c r="H116" s="159" t="s">
        <v>554</v>
      </c>
      <c r="I116" s="159" t="s">
        <v>555</v>
      </c>
      <c r="J116" s="159" t="s">
        <v>312</v>
      </c>
      <c r="K116" s="159" t="s">
        <v>1992</v>
      </c>
      <c r="L116" s="39" t="s">
        <v>556</v>
      </c>
      <c r="M116" s="39" t="s">
        <v>305</v>
      </c>
      <c r="N116" s="39">
        <v>11</v>
      </c>
      <c r="O116" s="167" t="s">
        <v>553</v>
      </c>
      <c r="P116" s="39" t="s">
        <v>553</v>
      </c>
      <c r="Q116" s="39" t="s">
        <v>552</v>
      </c>
      <c r="R116" s="16" t="s">
        <v>171</v>
      </c>
      <c r="S116" s="160">
        <v>-34237</v>
      </c>
      <c r="T116" s="160">
        <v>0</v>
      </c>
      <c r="U116" s="160">
        <v>0</v>
      </c>
      <c r="V116" s="160">
        <v>0</v>
      </c>
      <c r="W116" s="160">
        <v>-34237</v>
      </c>
      <c r="X116" s="161" t="e">
        <v>#N/A</v>
      </c>
      <c r="Y116" s="160"/>
      <c r="Z116" s="16">
        <v>0</v>
      </c>
      <c r="AA116" s="162">
        <v>0</v>
      </c>
      <c r="AB116" s="162">
        <v>0</v>
      </c>
      <c r="AC116" s="162">
        <v>0</v>
      </c>
      <c r="AD116" s="160"/>
      <c r="AE116" s="145">
        <v>-34237</v>
      </c>
      <c r="AF116" s="163">
        <v>1.0469999999999999</v>
      </c>
      <c r="AG116" s="164">
        <v>1.046</v>
      </c>
      <c r="AH116" s="164">
        <v>1.046</v>
      </c>
      <c r="AI116" s="164">
        <v>-34237</v>
      </c>
      <c r="AJ116" s="164">
        <f t="shared" si="13"/>
        <v>0</v>
      </c>
      <c r="AK116" s="165">
        <v>-34237</v>
      </c>
      <c r="AL116" s="165">
        <f>AK116</f>
        <v>-34237</v>
      </c>
      <c r="AM116" s="165">
        <f t="shared" si="10"/>
        <v>-35811.902000000002</v>
      </c>
      <c r="AN116" s="165">
        <f t="shared" si="11"/>
        <v>-37459.249492000003</v>
      </c>
      <c r="AO116" s="16"/>
      <c r="AP116" s="231">
        <f t="shared" si="14"/>
        <v>0</v>
      </c>
      <c r="AR116" s="231"/>
      <c r="AS116" s="231"/>
      <c r="AU116" s="230">
        <v>-34237</v>
      </c>
      <c r="AV116" s="233">
        <v>-34237</v>
      </c>
      <c r="AW116" s="230">
        <f t="shared" si="12"/>
        <v>0</v>
      </c>
    </row>
    <row r="117" spans="1:49" s="172" customFormat="1" x14ac:dyDescent="0.3">
      <c r="A117" s="166" t="s">
        <v>50</v>
      </c>
      <c r="B117" s="167" t="s">
        <v>557</v>
      </c>
      <c r="C117" s="167" t="s">
        <v>302</v>
      </c>
      <c r="D117" s="412" t="s">
        <v>3456</v>
      </c>
      <c r="E117" s="168" t="s">
        <v>373</v>
      </c>
      <c r="F117" s="168" t="s">
        <v>370</v>
      </c>
      <c r="G117" s="168" t="s">
        <v>309</v>
      </c>
      <c r="H117" s="168" t="s">
        <v>373</v>
      </c>
      <c r="I117" s="168" t="s">
        <v>374</v>
      </c>
      <c r="J117" s="168" t="s">
        <v>312</v>
      </c>
      <c r="K117" s="168" t="s">
        <v>1849</v>
      </c>
      <c r="L117" s="167" t="s">
        <v>304</v>
      </c>
      <c r="M117" s="167" t="s">
        <v>305</v>
      </c>
      <c r="N117" s="167">
        <v>11</v>
      </c>
      <c r="O117" s="167" t="s">
        <v>302</v>
      </c>
      <c r="P117" s="167" t="s">
        <v>302</v>
      </c>
      <c r="Q117" s="167" t="s">
        <v>557</v>
      </c>
      <c r="R117" s="166" t="s">
        <v>50</v>
      </c>
      <c r="S117" s="169">
        <v>1893367</v>
      </c>
      <c r="T117" s="160">
        <v>79019.38</v>
      </c>
      <c r="U117" s="160">
        <v>0</v>
      </c>
      <c r="V117" s="160">
        <v>486506.29</v>
      </c>
      <c r="W117" s="160">
        <v>1406860.71</v>
      </c>
      <c r="X117" s="161">
        <v>0</v>
      </c>
      <c r="Y117" s="160"/>
      <c r="Z117" s="16">
        <v>25.69</v>
      </c>
      <c r="AA117" s="162">
        <v>486506.29</v>
      </c>
      <c r="AB117" s="162">
        <v>121626.57249999999</v>
      </c>
      <c r="AC117" s="162">
        <v>1459518.8699999999</v>
      </c>
      <c r="AD117" s="160"/>
      <c r="AE117" s="228">
        <v>1893367</v>
      </c>
      <c r="AF117" s="163">
        <v>1.0529999999999999</v>
      </c>
      <c r="AG117" s="163">
        <v>1.0489999999999999</v>
      </c>
      <c r="AH117" s="163">
        <v>1.0469999999999999</v>
      </c>
      <c r="AI117" s="164">
        <v>1893367</v>
      </c>
      <c r="AJ117" s="164">
        <f t="shared" si="13"/>
        <v>0</v>
      </c>
      <c r="AK117" s="229">
        <v>1893367</v>
      </c>
      <c r="AL117" s="229">
        <f ca="1">SUMIF('MS &amp; Vacancies combined'!A:J,D117,'MS &amp; Vacancies combined'!J:J)*105.3/100</f>
        <v>2545878.5391452229</v>
      </c>
      <c r="AM117" s="229">
        <f t="shared" ca="1" si="10"/>
        <v>2670626.5875633387</v>
      </c>
      <c r="AN117" s="229">
        <f t="shared" ca="1" si="11"/>
        <v>2796146.0371788153</v>
      </c>
      <c r="AO117" s="166"/>
      <c r="AP117" s="413">
        <f t="shared" ca="1" si="14"/>
        <v>-652511.53914522287</v>
      </c>
      <c r="AR117" s="231"/>
      <c r="AS117" s="231"/>
      <c r="AU117" s="414">
        <v>1893367</v>
      </c>
      <c r="AV117" s="415">
        <v>1893367</v>
      </c>
      <c r="AW117" s="414">
        <f t="shared" si="12"/>
        <v>0</v>
      </c>
    </row>
    <row r="118" spans="1:49" s="172" customFormat="1" x14ac:dyDescent="0.3">
      <c r="A118" s="166" t="s">
        <v>52</v>
      </c>
      <c r="B118" s="167" t="s">
        <v>558</v>
      </c>
      <c r="C118" s="167" t="s">
        <v>376</v>
      </c>
      <c r="D118" s="412" t="s">
        <v>3456</v>
      </c>
      <c r="E118" s="168" t="s">
        <v>373</v>
      </c>
      <c r="F118" s="168" t="s">
        <v>370</v>
      </c>
      <c r="G118" s="168" t="s">
        <v>309</v>
      </c>
      <c r="H118" s="168" t="s">
        <v>373</v>
      </c>
      <c r="I118" s="168" t="s">
        <v>377</v>
      </c>
      <c r="J118" s="168" t="s">
        <v>312</v>
      </c>
      <c r="K118" s="168" t="s">
        <v>1849</v>
      </c>
      <c r="L118" s="167" t="s">
        <v>304</v>
      </c>
      <c r="M118" s="167" t="s">
        <v>305</v>
      </c>
      <c r="N118" s="167">
        <v>11</v>
      </c>
      <c r="O118" s="167" t="s">
        <v>376</v>
      </c>
      <c r="P118" s="167" t="s">
        <v>376</v>
      </c>
      <c r="Q118" s="167" t="s">
        <v>558</v>
      </c>
      <c r="R118" s="166" t="s">
        <v>52</v>
      </c>
      <c r="S118" s="169">
        <v>13834</v>
      </c>
      <c r="T118" s="160">
        <v>350</v>
      </c>
      <c r="U118" s="160">
        <v>0</v>
      </c>
      <c r="V118" s="160">
        <v>2900</v>
      </c>
      <c r="W118" s="160">
        <v>10934</v>
      </c>
      <c r="X118" s="161">
        <v>0</v>
      </c>
      <c r="Y118" s="160"/>
      <c r="Z118" s="16">
        <v>20.96</v>
      </c>
      <c r="AA118" s="162">
        <v>2900</v>
      </c>
      <c r="AB118" s="162">
        <v>725</v>
      </c>
      <c r="AC118" s="162">
        <v>8700</v>
      </c>
      <c r="AD118" s="160"/>
      <c r="AE118" s="145">
        <v>13834</v>
      </c>
      <c r="AF118" s="163">
        <v>1.0529999999999999</v>
      </c>
      <c r="AG118" s="163">
        <v>1.0489999999999999</v>
      </c>
      <c r="AH118" s="163">
        <v>1.0469999999999999</v>
      </c>
      <c r="AI118" s="164">
        <v>13834</v>
      </c>
      <c r="AJ118" s="164">
        <f t="shared" si="13"/>
        <v>0</v>
      </c>
      <c r="AK118" s="229">
        <v>13834</v>
      </c>
      <c r="AL118" s="229">
        <f ca="1">SUMIF('MS &amp; Vacancies combined'!A:M,D118,'MS &amp; Vacancies combined'!M:M)*105.3/100</f>
        <v>12816.046647490399</v>
      </c>
      <c r="AM118" s="229">
        <f t="shared" ca="1" si="10"/>
        <v>13444.032933217428</v>
      </c>
      <c r="AN118" s="229">
        <f t="shared" ca="1" si="11"/>
        <v>14075.902481078647</v>
      </c>
      <c r="AO118" s="166"/>
      <c r="AP118" s="413">
        <f t="shared" ca="1" si="14"/>
        <v>1017.9533525096012</v>
      </c>
      <c r="AR118" s="231"/>
      <c r="AS118" s="231"/>
      <c r="AU118" s="414">
        <v>13834</v>
      </c>
      <c r="AV118" s="415">
        <v>13834</v>
      </c>
      <c r="AW118" s="414">
        <f t="shared" si="12"/>
        <v>0</v>
      </c>
    </row>
    <row r="119" spans="1:49" s="172" customFormat="1" x14ac:dyDescent="0.3">
      <c r="A119" s="166" t="s">
        <v>54</v>
      </c>
      <c r="B119" s="167" t="s">
        <v>559</v>
      </c>
      <c r="C119" s="167" t="s">
        <v>379</v>
      </c>
      <c r="D119" s="412" t="s">
        <v>3456</v>
      </c>
      <c r="E119" s="168" t="s">
        <v>373</v>
      </c>
      <c r="F119" s="168" t="s">
        <v>370</v>
      </c>
      <c r="G119" s="168" t="s">
        <v>309</v>
      </c>
      <c r="H119" s="168" t="s">
        <v>373</v>
      </c>
      <c r="I119" s="168" t="s">
        <v>380</v>
      </c>
      <c r="J119" s="168" t="s">
        <v>312</v>
      </c>
      <c r="K119" s="168" t="s">
        <v>1849</v>
      </c>
      <c r="L119" s="167" t="s">
        <v>304</v>
      </c>
      <c r="M119" s="167" t="s">
        <v>305</v>
      </c>
      <c r="N119" s="167">
        <v>11</v>
      </c>
      <c r="O119" s="167" t="s">
        <v>379</v>
      </c>
      <c r="P119" s="167" t="s">
        <v>379</v>
      </c>
      <c r="Q119" s="167" t="s">
        <v>559</v>
      </c>
      <c r="R119" s="166" t="s">
        <v>54</v>
      </c>
      <c r="S119" s="169">
        <v>48519</v>
      </c>
      <c r="T119" s="160">
        <v>1011.77</v>
      </c>
      <c r="U119" s="160">
        <v>0</v>
      </c>
      <c r="V119" s="160">
        <v>6070.62</v>
      </c>
      <c r="W119" s="160">
        <v>42448.38</v>
      </c>
      <c r="X119" s="161">
        <v>0</v>
      </c>
      <c r="Y119" s="160"/>
      <c r="Z119" s="16">
        <v>12.51</v>
      </c>
      <c r="AA119" s="162">
        <v>6070.62</v>
      </c>
      <c r="AB119" s="162">
        <v>1517.655</v>
      </c>
      <c r="AC119" s="162">
        <v>18211.86</v>
      </c>
      <c r="AD119" s="160"/>
      <c r="AE119" s="145">
        <v>48519</v>
      </c>
      <c r="AF119" s="163">
        <v>1.0529999999999999</v>
      </c>
      <c r="AG119" s="163">
        <v>1.0489999999999999</v>
      </c>
      <c r="AH119" s="163">
        <v>1.0469999999999999</v>
      </c>
      <c r="AI119" s="164">
        <v>48519</v>
      </c>
      <c r="AJ119" s="164">
        <f t="shared" si="13"/>
        <v>0</v>
      </c>
      <c r="AK119" s="229">
        <v>48519</v>
      </c>
      <c r="AL119" s="229">
        <f ca="1">SUMIF('MS &amp; Vacancies combined'!A:L,D119,'MS &amp; Vacancies combined'!L:L)*105.3/100</f>
        <v>70728.499181080129</v>
      </c>
      <c r="AM119" s="229">
        <f t="shared" ref="AM119:AN119" ca="1" si="15">AL119*AG119</f>
        <v>74194.195640953054</v>
      </c>
      <c r="AN119" s="229">
        <f t="shared" ca="1" si="15"/>
        <v>77681.322836077845</v>
      </c>
      <c r="AO119" s="166"/>
      <c r="AP119" s="413">
        <f t="shared" ca="1" si="14"/>
        <v>-22209.499181080129</v>
      </c>
      <c r="AR119" s="231"/>
      <c r="AS119" s="231"/>
      <c r="AU119" s="414">
        <v>48519</v>
      </c>
      <c r="AV119" s="415">
        <v>48519</v>
      </c>
      <c r="AW119" s="414">
        <f t="shared" si="12"/>
        <v>0</v>
      </c>
    </row>
    <row r="120" spans="1:49" x14ac:dyDescent="0.3">
      <c r="A120" s="16" t="s">
        <v>508</v>
      </c>
      <c r="B120" s="39" t="s">
        <v>560</v>
      </c>
      <c r="C120" s="39" t="s">
        <v>385</v>
      </c>
      <c r="D120" s="340" t="s">
        <v>3456</v>
      </c>
      <c r="E120" s="159" t="s">
        <v>373</v>
      </c>
      <c r="F120" s="159" t="s">
        <v>370</v>
      </c>
      <c r="G120" s="159" t="s">
        <v>309</v>
      </c>
      <c r="H120" s="159" t="s">
        <v>373</v>
      </c>
      <c r="I120" s="159" t="s">
        <v>386</v>
      </c>
      <c r="J120" s="159" t="s">
        <v>312</v>
      </c>
      <c r="K120" s="159" t="s">
        <v>1849</v>
      </c>
      <c r="L120" s="39" t="s">
        <v>304</v>
      </c>
      <c r="M120" s="39" t="s">
        <v>305</v>
      </c>
      <c r="N120" s="39">
        <v>11</v>
      </c>
      <c r="O120" s="39" t="s">
        <v>385</v>
      </c>
      <c r="P120" s="39" t="s">
        <v>385</v>
      </c>
      <c r="Q120" s="39" t="s">
        <v>560</v>
      </c>
      <c r="R120" s="16" t="s">
        <v>508</v>
      </c>
      <c r="S120" s="169">
        <v>0</v>
      </c>
      <c r="T120" s="160">
        <v>0</v>
      </c>
      <c r="U120" s="160">
        <v>0</v>
      </c>
      <c r="V120" s="160">
        <v>0</v>
      </c>
      <c r="W120" s="160">
        <v>0</v>
      </c>
      <c r="X120" s="161">
        <v>0</v>
      </c>
      <c r="Y120" s="160"/>
      <c r="Z120" s="16">
        <v>0</v>
      </c>
      <c r="AA120" s="162">
        <v>0</v>
      </c>
      <c r="AB120" s="162">
        <v>0</v>
      </c>
      <c r="AC120" s="162">
        <v>0</v>
      </c>
      <c r="AD120" s="160"/>
      <c r="AE120" s="145">
        <v>0</v>
      </c>
      <c r="AF120" s="163">
        <v>1.0469999999999999</v>
      </c>
      <c r="AG120" s="164">
        <v>1.046</v>
      </c>
      <c r="AH120" s="164">
        <v>1.046</v>
      </c>
      <c r="AI120" s="164">
        <v>0</v>
      </c>
      <c r="AJ120" s="164">
        <f t="shared" si="13"/>
        <v>0</v>
      </c>
      <c r="AK120" s="165">
        <v>0</v>
      </c>
      <c r="AL120" s="165">
        <v>0</v>
      </c>
      <c r="AM120" s="165">
        <f t="shared" ref="AM120:AM182" si="16">AL120*AG120</f>
        <v>0</v>
      </c>
      <c r="AN120" s="165">
        <f t="shared" ref="AN120:AN182" si="17">AM120*AH120</f>
        <v>0</v>
      </c>
      <c r="AO120" s="16"/>
      <c r="AP120" s="231">
        <f t="shared" si="14"/>
        <v>0</v>
      </c>
      <c r="AR120" s="231"/>
      <c r="AS120" s="231"/>
      <c r="AU120" s="230">
        <v>0</v>
      </c>
      <c r="AV120" s="233">
        <v>0</v>
      </c>
      <c r="AW120" s="230">
        <f t="shared" si="12"/>
        <v>0</v>
      </c>
    </row>
    <row r="121" spans="1:49" s="172" customFormat="1" x14ac:dyDescent="0.3">
      <c r="A121" s="166" t="s">
        <v>56</v>
      </c>
      <c r="B121" s="167" t="s">
        <v>561</v>
      </c>
      <c r="C121" s="167" t="s">
        <v>385</v>
      </c>
      <c r="D121" s="412" t="s">
        <v>3456</v>
      </c>
      <c r="E121" s="168" t="s">
        <v>373</v>
      </c>
      <c r="F121" s="168" t="s">
        <v>370</v>
      </c>
      <c r="G121" s="168" t="s">
        <v>309</v>
      </c>
      <c r="H121" s="168" t="s">
        <v>373</v>
      </c>
      <c r="I121" s="168" t="s">
        <v>386</v>
      </c>
      <c r="J121" s="168" t="s">
        <v>387</v>
      </c>
      <c r="K121" s="168" t="s">
        <v>1849</v>
      </c>
      <c r="L121" s="167" t="s">
        <v>304</v>
      </c>
      <c r="M121" s="167" t="s">
        <v>305</v>
      </c>
      <c r="N121" s="167">
        <v>11</v>
      </c>
      <c r="O121" s="167" t="s">
        <v>385</v>
      </c>
      <c r="P121" s="167" t="s">
        <v>385</v>
      </c>
      <c r="Q121" s="167" t="s">
        <v>561</v>
      </c>
      <c r="R121" s="166" t="s">
        <v>56</v>
      </c>
      <c r="S121" s="169">
        <v>27729</v>
      </c>
      <c r="T121" s="160">
        <v>12677.75</v>
      </c>
      <c r="U121" s="160">
        <v>0</v>
      </c>
      <c r="V121" s="160">
        <v>78583.600000000006</v>
      </c>
      <c r="W121" s="160">
        <v>-50854.6</v>
      </c>
      <c r="X121" s="161">
        <v>0</v>
      </c>
      <c r="Y121" s="160"/>
      <c r="Z121" s="16">
        <v>283.39</v>
      </c>
      <c r="AA121" s="162">
        <v>78583.600000000006</v>
      </c>
      <c r="AB121" s="162">
        <v>19645.900000000001</v>
      </c>
      <c r="AC121" s="162">
        <v>235750.80000000002</v>
      </c>
      <c r="AD121" s="160"/>
      <c r="AE121" s="145">
        <v>27729</v>
      </c>
      <c r="AF121" s="163">
        <v>1.0529999999999999</v>
      </c>
      <c r="AG121" s="163">
        <v>1.0489999999999999</v>
      </c>
      <c r="AH121" s="163">
        <v>1.0469999999999999</v>
      </c>
      <c r="AI121" s="164">
        <v>27729</v>
      </c>
      <c r="AJ121" s="164">
        <f t="shared" si="13"/>
        <v>0</v>
      </c>
      <c r="AK121" s="229">
        <v>27729</v>
      </c>
      <c r="AL121" s="229">
        <f ca="1">SUMIF('MS &amp; Vacancies combined'!A:O,D121,'MS &amp; Vacancies combined'!O:O)*105.3/100</f>
        <v>117651.30822396185</v>
      </c>
      <c r="AM121" s="229">
        <f ca="1">AL121*AG121</f>
        <v>123416.22232693598</v>
      </c>
      <c r="AN121" s="229">
        <f ca="1">AM121*AH121</f>
        <v>129216.78477630197</v>
      </c>
      <c r="AO121" s="166"/>
      <c r="AP121" s="413">
        <f t="shared" ca="1" si="14"/>
        <v>-89922.308223961852</v>
      </c>
      <c r="AR121" s="231"/>
      <c r="AS121" s="231"/>
      <c r="AU121" s="414">
        <v>27729</v>
      </c>
      <c r="AV121" s="415">
        <v>27729</v>
      </c>
      <c r="AW121" s="414">
        <f t="shared" si="12"/>
        <v>0</v>
      </c>
    </row>
    <row r="122" spans="1:49" x14ac:dyDescent="0.3">
      <c r="A122" s="16" t="s">
        <v>61</v>
      </c>
      <c r="B122" s="39" t="s">
        <v>562</v>
      </c>
      <c r="C122" s="39" t="s">
        <v>460</v>
      </c>
      <c r="D122" s="340" t="s">
        <v>3456</v>
      </c>
      <c r="E122" s="159" t="s">
        <v>373</v>
      </c>
      <c r="F122" s="159" t="s">
        <v>370</v>
      </c>
      <c r="G122" s="159" t="s">
        <v>309</v>
      </c>
      <c r="H122" s="159" t="s">
        <v>373</v>
      </c>
      <c r="I122" s="159" t="s">
        <v>461</v>
      </c>
      <c r="J122" s="159" t="s">
        <v>312</v>
      </c>
      <c r="K122" s="159" t="s">
        <v>1849</v>
      </c>
      <c r="L122" s="39" t="s">
        <v>304</v>
      </c>
      <c r="M122" s="39" t="s">
        <v>305</v>
      </c>
      <c r="N122" s="39">
        <v>11</v>
      </c>
      <c r="O122" s="39" t="s">
        <v>460</v>
      </c>
      <c r="P122" s="39" t="s">
        <v>460</v>
      </c>
      <c r="Q122" s="39" t="s">
        <v>562</v>
      </c>
      <c r="R122" s="16" t="s">
        <v>61</v>
      </c>
      <c r="S122" s="169">
        <v>0</v>
      </c>
      <c r="T122" s="160">
        <v>0</v>
      </c>
      <c r="U122" s="160">
        <v>0</v>
      </c>
      <c r="V122" s="160">
        <v>0</v>
      </c>
      <c r="W122" s="160">
        <v>0</v>
      </c>
      <c r="X122" s="161">
        <v>0</v>
      </c>
      <c r="Y122" s="160"/>
      <c r="Z122" s="16">
        <v>0</v>
      </c>
      <c r="AA122" s="162">
        <v>0</v>
      </c>
      <c r="AB122" s="162">
        <v>0</v>
      </c>
      <c r="AC122" s="162">
        <v>0</v>
      </c>
      <c r="AD122" s="160"/>
      <c r="AE122" s="145">
        <v>0</v>
      </c>
      <c r="AF122" s="163">
        <v>1.0469999999999999</v>
      </c>
      <c r="AG122" s="164">
        <v>1.046</v>
      </c>
      <c r="AH122" s="164">
        <v>1.046</v>
      </c>
      <c r="AI122" s="164">
        <v>0</v>
      </c>
      <c r="AJ122" s="164">
        <f t="shared" si="13"/>
        <v>0</v>
      </c>
      <c r="AK122" s="165">
        <v>0</v>
      </c>
      <c r="AL122" s="165">
        <v>0</v>
      </c>
      <c r="AM122" s="165">
        <f t="shared" si="16"/>
        <v>0</v>
      </c>
      <c r="AN122" s="165">
        <f t="shared" si="17"/>
        <v>0</v>
      </c>
      <c r="AO122" s="16"/>
      <c r="AP122" s="231">
        <f t="shared" si="14"/>
        <v>0</v>
      </c>
      <c r="AR122" s="231"/>
      <c r="AS122" s="231"/>
      <c r="AU122" s="230">
        <v>0</v>
      </c>
      <c r="AV122" s="233">
        <v>0</v>
      </c>
      <c r="AW122" s="230">
        <f t="shared" si="12"/>
        <v>0</v>
      </c>
    </row>
    <row r="123" spans="1:49" s="172" customFormat="1" x14ac:dyDescent="0.3">
      <c r="A123" s="166" t="s">
        <v>62</v>
      </c>
      <c r="B123" s="167" t="s">
        <v>563</v>
      </c>
      <c r="C123" s="167" t="s">
        <v>395</v>
      </c>
      <c r="D123" s="412" t="s">
        <v>3456</v>
      </c>
      <c r="E123" s="168" t="s">
        <v>373</v>
      </c>
      <c r="F123" s="168" t="s">
        <v>370</v>
      </c>
      <c r="G123" s="168" t="s">
        <v>309</v>
      </c>
      <c r="H123" s="168" t="s">
        <v>373</v>
      </c>
      <c r="I123" s="168" t="s">
        <v>396</v>
      </c>
      <c r="J123" s="168" t="s">
        <v>312</v>
      </c>
      <c r="K123" s="168" t="s">
        <v>1849</v>
      </c>
      <c r="L123" s="167" t="s">
        <v>304</v>
      </c>
      <c r="M123" s="167" t="s">
        <v>305</v>
      </c>
      <c r="N123" s="167">
        <v>11</v>
      </c>
      <c r="O123" s="167" t="s">
        <v>395</v>
      </c>
      <c r="P123" s="167" t="s">
        <v>395</v>
      </c>
      <c r="Q123" s="167" t="s">
        <v>563</v>
      </c>
      <c r="R123" s="166" t="s">
        <v>62</v>
      </c>
      <c r="S123" s="169">
        <v>157781</v>
      </c>
      <c r="T123" s="160">
        <v>0</v>
      </c>
      <c r="U123" s="160">
        <v>0</v>
      </c>
      <c r="V123" s="160">
        <v>2590.0300000000002</v>
      </c>
      <c r="W123" s="160">
        <v>155190.97</v>
      </c>
      <c r="X123" s="161">
        <v>0</v>
      </c>
      <c r="Y123" s="160"/>
      <c r="Z123" s="16">
        <v>1.64</v>
      </c>
      <c r="AA123" s="162">
        <v>2590.0300000000002</v>
      </c>
      <c r="AB123" s="162">
        <v>647.50750000000005</v>
      </c>
      <c r="AC123" s="162">
        <v>7770.09</v>
      </c>
      <c r="AD123" s="160"/>
      <c r="AE123" s="145">
        <v>157781</v>
      </c>
      <c r="AF123" s="163">
        <v>1.0529999999999999</v>
      </c>
      <c r="AG123" s="163">
        <v>1.0489999999999999</v>
      </c>
      <c r="AH123" s="163">
        <v>1.0469999999999999</v>
      </c>
      <c r="AI123" s="164">
        <v>157781</v>
      </c>
      <c r="AJ123" s="164">
        <f t="shared" si="13"/>
        <v>0</v>
      </c>
      <c r="AK123" s="229">
        <v>157781</v>
      </c>
      <c r="AL123" s="229">
        <f ca="1">SUMIF('MS &amp; Vacancies combined'!A:K,D123,'MS &amp; Vacancies combined'!K:K)*105.3/100</f>
        <v>134260.22504027202</v>
      </c>
      <c r="AM123" s="229">
        <f t="shared" ca="1" si="16"/>
        <v>140838.97606724536</v>
      </c>
      <c r="AN123" s="229">
        <f t="shared" ca="1" si="17"/>
        <v>147458.40794240587</v>
      </c>
      <c r="AO123" s="166"/>
      <c r="AP123" s="413">
        <f t="shared" ca="1" si="14"/>
        <v>23520.774959727976</v>
      </c>
      <c r="AR123" s="231"/>
      <c r="AS123" s="231"/>
      <c r="AU123" s="414">
        <v>157781</v>
      </c>
      <c r="AV123" s="415">
        <v>157781</v>
      </c>
      <c r="AW123" s="414">
        <f t="shared" si="12"/>
        <v>0</v>
      </c>
    </row>
    <row r="124" spans="1:49" s="172" customFormat="1" x14ac:dyDescent="0.3">
      <c r="A124" s="166" t="s">
        <v>69</v>
      </c>
      <c r="B124" s="167" t="s">
        <v>564</v>
      </c>
      <c r="C124" s="167" t="s">
        <v>398</v>
      </c>
      <c r="D124" s="412" t="s">
        <v>3456</v>
      </c>
      <c r="E124" s="168" t="s">
        <v>373</v>
      </c>
      <c r="F124" s="168" t="s">
        <v>370</v>
      </c>
      <c r="G124" s="168" t="s">
        <v>309</v>
      </c>
      <c r="H124" s="168" t="s">
        <v>310</v>
      </c>
      <c r="I124" s="168" t="s">
        <v>374</v>
      </c>
      <c r="J124" s="168" t="s">
        <v>312</v>
      </c>
      <c r="K124" s="168" t="s">
        <v>1849</v>
      </c>
      <c r="L124" s="167" t="s">
        <v>304</v>
      </c>
      <c r="M124" s="167" t="s">
        <v>305</v>
      </c>
      <c r="N124" s="167">
        <v>11</v>
      </c>
      <c r="O124" s="167" t="s">
        <v>398</v>
      </c>
      <c r="P124" s="167" t="s">
        <v>398</v>
      </c>
      <c r="Q124" s="167" t="s">
        <v>564</v>
      </c>
      <c r="R124" s="166" t="s">
        <v>69</v>
      </c>
      <c r="S124" s="169">
        <v>518</v>
      </c>
      <c r="T124" s="160">
        <v>21.6</v>
      </c>
      <c r="U124" s="160">
        <v>0</v>
      </c>
      <c r="V124" s="160">
        <v>108</v>
      </c>
      <c r="W124" s="160">
        <v>410</v>
      </c>
      <c r="X124" s="161">
        <v>0</v>
      </c>
      <c r="Y124" s="160"/>
      <c r="Z124" s="16">
        <v>20.84</v>
      </c>
      <c r="AA124" s="162">
        <v>108</v>
      </c>
      <c r="AB124" s="162">
        <v>27</v>
      </c>
      <c r="AC124" s="162">
        <v>324</v>
      </c>
      <c r="AD124" s="160"/>
      <c r="AE124" s="145">
        <v>518</v>
      </c>
      <c r="AF124" s="163">
        <v>1.0529999999999999</v>
      </c>
      <c r="AG124" s="163">
        <v>1.0489999999999999</v>
      </c>
      <c r="AH124" s="163">
        <v>1.0469999999999999</v>
      </c>
      <c r="AI124" s="164">
        <v>518</v>
      </c>
      <c r="AJ124" s="164">
        <f t="shared" si="13"/>
        <v>0</v>
      </c>
      <c r="AK124" s="229">
        <v>518</v>
      </c>
      <c r="AL124" s="229">
        <f ca="1">SUMIF('MS &amp; Vacancies combined'!A:N,D124,'MS &amp; Vacancies combined'!N:N)*105.3/100</f>
        <v>754.98165705216172</v>
      </c>
      <c r="AM124" s="229">
        <f t="shared" ca="1" si="16"/>
        <v>791.97575824771764</v>
      </c>
      <c r="AN124" s="229">
        <f t="shared" ca="1" si="17"/>
        <v>829.19861888536036</v>
      </c>
      <c r="AO124" s="166"/>
      <c r="AP124" s="413">
        <f t="shared" ca="1" si="14"/>
        <v>-236.98165705216172</v>
      </c>
      <c r="AR124" s="231"/>
      <c r="AS124" s="231"/>
      <c r="AU124" s="414">
        <v>518</v>
      </c>
      <c r="AV124" s="415">
        <v>518</v>
      </c>
      <c r="AW124" s="414">
        <f t="shared" si="12"/>
        <v>0</v>
      </c>
    </row>
    <row r="125" spans="1:49" s="172" customFormat="1" x14ac:dyDescent="0.3">
      <c r="A125" s="166" t="s">
        <v>70</v>
      </c>
      <c r="B125" s="167" t="s">
        <v>565</v>
      </c>
      <c r="C125" s="167" t="s">
        <v>400</v>
      </c>
      <c r="D125" s="412" t="s">
        <v>3456</v>
      </c>
      <c r="E125" s="168" t="s">
        <v>373</v>
      </c>
      <c r="F125" s="168" t="s">
        <v>370</v>
      </c>
      <c r="G125" s="168" t="s">
        <v>309</v>
      </c>
      <c r="H125" s="168" t="s">
        <v>310</v>
      </c>
      <c r="I125" s="168" t="s">
        <v>401</v>
      </c>
      <c r="J125" s="168" t="s">
        <v>312</v>
      </c>
      <c r="K125" s="168" t="s">
        <v>1849</v>
      </c>
      <c r="L125" s="167" t="s">
        <v>304</v>
      </c>
      <c r="M125" s="167" t="s">
        <v>305</v>
      </c>
      <c r="N125" s="167">
        <v>11</v>
      </c>
      <c r="O125" s="167" t="s">
        <v>400</v>
      </c>
      <c r="P125" s="167" t="s">
        <v>400</v>
      </c>
      <c r="Q125" s="167" t="s">
        <v>565</v>
      </c>
      <c r="R125" s="166" t="s">
        <v>70</v>
      </c>
      <c r="S125" s="169">
        <v>32187</v>
      </c>
      <c r="T125" s="160">
        <v>0</v>
      </c>
      <c r="U125" s="160">
        <v>0</v>
      </c>
      <c r="V125" s="160">
        <v>0</v>
      </c>
      <c r="W125" s="160">
        <v>32187</v>
      </c>
      <c r="X125" s="161">
        <v>0</v>
      </c>
      <c r="Y125" s="160"/>
      <c r="Z125" s="16">
        <v>0</v>
      </c>
      <c r="AA125" s="162">
        <v>0</v>
      </c>
      <c r="AB125" s="162">
        <v>0</v>
      </c>
      <c r="AC125" s="162">
        <v>0</v>
      </c>
      <c r="AD125" s="160"/>
      <c r="AE125" s="145">
        <v>32187</v>
      </c>
      <c r="AF125" s="163">
        <v>1.0529999999999999</v>
      </c>
      <c r="AG125" s="163">
        <v>1.0489999999999999</v>
      </c>
      <c r="AH125" s="163">
        <v>1.0469999999999999</v>
      </c>
      <c r="AI125" s="164">
        <v>32187</v>
      </c>
      <c r="AJ125" s="164">
        <f t="shared" si="13"/>
        <v>0</v>
      </c>
      <c r="AK125" s="229">
        <v>32187</v>
      </c>
      <c r="AL125" s="229">
        <f ca="1">SUMIF('MS &amp; Vacancies combined'!A:P,D125,'MS &amp; Vacancies combined'!P:P)*105.3/100</f>
        <v>1664017.3649168848</v>
      </c>
      <c r="AM125" s="229">
        <f t="shared" ca="1" si="16"/>
        <v>1745554.215797812</v>
      </c>
      <c r="AN125" s="229">
        <f t="shared" ca="1" si="17"/>
        <v>1827595.2639403089</v>
      </c>
      <c r="AO125" s="166"/>
      <c r="AP125" s="413">
        <f t="shared" ca="1" si="14"/>
        <v>-1631830.3649168848</v>
      </c>
      <c r="AR125" s="231"/>
      <c r="AS125" s="231"/>
      <c r="AU125" s="414">
        <v>32187</v>
      </c>
      <c r="AV125" s="415">
        <v>32187</v>
      </c>
      <c r="AW125" s="414">
        <f t="shared" si="12"/>
        <v>0</v>
      </c>
    </row>
    <row r="126" spans="1:49" s="172" customFormat="1" x14ac:dyDescent="0.3">
      <c r="A126" s="166" t="s">
        <v>71</v>
      </c>
      <c r="B126" s="167" t="s">
        <v>566</v>
      </c>
      <c r="C126" s="167" t="s">
        <v>403</v>
      </c>
      <c r="D126" s="412" t="s">
        <v>3456</v>
      </c>
      <c r="E126" s="168" t="s">
        <v>373</v>
      </c>
      <c r="F126" s="168" t="s">
        <v>370</v>
      </c>
      <c r="G126" s="168" t="s">
        <v>309</v>
      </c>
      <c r="H126" s="168" t="s">
        <v>310</v>
      </c>
      <c r="I126" s="168" t="s">
        <v>404</v>
      </c>
      <c r="J126" s="168" t="s">
        <v>312</v>
      </c>
      <c r="K126" s="168" t="s">
        <v>1849</v>
      </c>
      <c r="L126" s="167" t="s">
        <v>304</v>
      </c>
      <c r="M126" s="167" t="s">
        <v>305</v>
      </c>
      <c r="N126" s="167">
        <v>11</v>
      </c>
      <c r="O126" s="167" t="s">
        <v>403</v>
      </c>
      <c r="P126" s="167" t="s">
        <v>403</v>
      </c>
      <c r="Q126" s="167" t="s">
        <v>566</v>
      </c>
      <c r="R126" s="166" t="s">
        <v>71</v>
      </c>
      <c r="S126" s="169">
        <v>240107</v>
      </c>
      <c r="T126" s="160">
        <v>5007</v>
      </c>
      <c r="U126" s="160">
        <v>0</v>
      </c>
      <c r="V126" s="160">
        <v>30042</v>
      </c>
      <c r="W126" s="160">
        <v>210065</v>
      </c>
      <c r="X126" s="161">
        <v>0</v>
      </c>
      <c r="Y126" s="160"/>
      <c r="Z126" s="16">
        <v>12.51</v>
      </c>
      <c r="AA126" s="162">
        <v>30042</v>
      </c>
      <c r="AB126" s="162">
        <v>7510.5</v>
      </c>
      <c r="AC126" s="162">
        <v>90126</v>
      </c>
      <c r="AD126" s="160"/>
      <c r="AE126" s="145">
        <v>240107</v>
      </c>
      <c r="AF126" s="163">
        <v>1.0529999999999999</v>
      </c>
      <c r="AG126" s="163">
        <v>1.0489999999999999</v>
      </c>
      <c r="AH126" s="163">
        <v>1.0469999999999999</v>
      </c>
      <c r="AI126" s="164">
        <v>240107</v>
      </c>
      <c r="AJ126" s="164">
        <f t="shared" si="13"/>
        <v>0</v>
      </c>
      <c r="AK126" s="229">
        <v>240107</v>
      </c>
      <c r="AL126" s="229">
        <f ca="1">SUMIF('MS &amp; Vacancies combined'!A:Q,D126,'MS &amp; Vacancies combined'!Q:Q)*105.3/100</f>
        <v>350017.8848944605</v>
      </c>
      <c r="AM126" s="229">
        <f t="shared" ca="1" si="16"/>
        <v>367168.76125428901</v>
      </c>
      <c r="AN126" s="229">
        <f t="shared" ca="1" si="17"/>
        <v>384425.69303324056</v>
      </c>
      <c r="AO126" s="166"/>
      <c r="AP126" s="413">
        <f t="shared" ca="1" si="14"/>
        <v>-109910.8848944605</v>
      </c>
      <c r="AR126" s="231"/>
      <c r="AS126" s="231"/>
      <c r="AU126" s="414">
        <v>240107</v>
      </c>
      <c r="AV126" s="415">
        <v>240107</v>
      </c>
      <c r="AW126" s="414">
        <f t="shared" si="12"/>
        <v>0</v>
      </c>
    </row>
    <row r="127" spans="1:49" s="172" customFormat="1" x14ac:dyDescent="0.3">
      <c r="A127" s="166" t="s">
        <v>72</v>
      </c>
      <c r="B127" s="167" t="s">
        <v>567</v>
      </c>
      <c r="C127" s="167" t="s">
        <v>406</v>
      </c>
      <c r="D127" s="412" t="s">
        <v>3456</v>
      </c>
      <c r="E127" s="168" t="s">
        <v>373</v>
      </c>
      <c r="F127" s="168" t="s">
        <v>370</v>
      </c>
      <c r="G127" s="168" t="s">
        <v>309</v>
      </c>
      <c r="H127" s="168" t="s">
        <v>310</v>
      </c>
      <c r="I127" s="168" t="s">
        <v>407</v>
      </c>
      <c r="J127" s="168" t="s">
        <v>312</v>
      </c>
      <c r="K127" s="168" t="s">
        <v>1849</v>
      </c>
      <c r="L127" s="167" t="s">
        <v>304</v>
      </c>
      <c r="M127" s="167" t="s">
        <v>305</v>
      </c>
      <c r="N127" s="167">
        <v>11</v>
      </c>
      <c r="O127" s="167" t="s">
        <v>406</v>
      </c>
      <c r="P127" s="167" t="s">
        <v>406</v>
      </c>
      <c r="Q127" s="167" t="s">
        <v>567</v>
      </c>
      <c r="R127" s="166" t="s">
        <v>72</v>
      </c>
      <c r="S127" s="169">
        <v>342131</v>
      </c>
      <c r="T127" s="160">
        <v>8490.3700000000008</v>
      </c>
      <c r="U127" s="160">
        <v>0</v>
      </c>
      <c r="V127" s="160">
        <v>57838.9</v>
      </c>
      <c r="W127" s="160">
        <v>284292.09999999998</v>
      </c>
      <c r="X127" s="161">
        <v>0</v>
      </c>
      <c r="Y127" s="160"/>
      <c r="Z127" s="16">
        <v>16.899999999999999</v>
      </c>
      <c r="AA127" s="162">
        <v>57838.9</v>
      </c>
      <c r="AB127" s="162">
        <v>14459.725</v>
      </c>
      <c r="AC127" s="162">
        <v>173516.7</v>
      </c>
      <c r="AD127" s="160"/>
      <c r="AE127" s="145">
        <v>342131</v>
      </c>
      <c r="AF127" s="163">
        <v>1.0529999999999999</v>
      </c>
      <c r="AG127" s="163">
        <v>1.0489999999999999</v>
      </c>
      <c r="AH127" s="163">
        <v>1.0469999999999999</v>
      </c>
      <c r="AI127" s="164">
        <v>342131</v>
      </c>
      <c r="AJ127" s="164">
        <f t="shared" si="13"/>
        <v>0</v>
      </c>
      <c r="AK127" s="229">
        <v>342131</v>
      </c>
      <c r="AL127" s="229">
        <f ca="1">SUMIF('MS &amp; Vacancies combined'!A:R,D127,'MS &amp; Vacancies combined'!R:R)*105.3/100</f>
        <v>459786.46808528068</v>
      </c>
      <c r="AM127" s="229">
        <f t="shared" ca="1" si="16"/>
        <v>482316.00502145942</v>
      </c>
      <c r="AN127" s="229">
        <f t="shared" ca="1" si="17"/>
        <v>504984.85725746799</v>
      </c>
      <c r="AO127" s="166"/>
      <c r="AP127" s="413">
        <f t="shared" ca="1" si="14"/>
        <v>-117655.46808528068</v>
      </c>
      <c r="AR127" s="231"/>
      <c r="AS127" s="231"/>
      <c r="AU127" s="414">
        <v>342131</v>
      </c>
      <c r="AV127" s="415">
        <v>342131</v>
      </c>
      <c r="AW127" s="414">
        <f t="shared" si="12"/>
        <v>0</v>
      </c>
    </row>
    <row r="128" spans="1:49" s="172" customFormat="1" x14ac:dyDescent="0.3">
      <c r="A128" s="166" t="s">
        <v>73</v>
      </c>
      <c r="B128" s="167" t="s">
        <v>568</v>
      </c>
      <c r="C128" s="167" t="s">
        <v>307</v>
      </c>
      <c r="D128" s="412" t="s">
        <v>3456</v>
      </c>
      <c r="E128" s="168" t="s">
        <v>373</v>
      </c>
      <c r="F128" s="168" t="s">
        <v>370</v>
      </c>
      <c r="G128" s="168" t="s">
        <v>309</v>
      </c>
      <c r="H128" s="168" t="s">
        <v>310</v>
      </c>
      <c r="I128" s="168" t="s">
        <v>311</v>
      </c>
      <c r="J128" s="168" t="s">
        <v>312</v>
      </c>
      <c r="K128" s="168" t="s">
        <v>1849</v>
      </c>
      <c r="L128" s="167" t="s">
        <v>304</v>
      </c>
      <c r="M128" s="167" t="s">
        <v>305</v>
      </c>
      <c r="N128" s="167">
        <v>11</v>
      </c>
      <c r="O128" s="167" t="s">
        <v>307</v>
      </c>
      <c r="P128" s="167" t="s">
        <v>307</v>
      </c>
      <c r="Q128" s="167" t="s">
        <v>568</v>
      </c>
      <c r="R128" s="166" t="s">
        <v>73</v>
      </c>
      <c r="S128" s="169">
        <v>8910</v>
      </c>
      <c r="T128" s="160">
        <v>354.24</v>
      </c>
      <c r="U128" s="160">
        <v>0</v>
      </c>
      <c r="V128" s="160">
        <v>1771.2</v>
      </c>
      <c r="W128" s="160">
        <v>7138.8</v>
      </c>
      <c r="X128" s="161">
        <v>0</v>
      </c>
      <c r="Y128" s="160"/>
      <c r="Z128" s="16">
        <v>19.87</v>
      </c>
      <c r="AA128" s="162">
        <v>1771.2</v>
      </c>
      <c r="AB128" s="162">
        <v>442.8</v>
      </c>
      <c r="AC128" s="162">
        <v>5313.6</v>
      </c>
      <c r="AD128" s="160"/>
      <c r="AE128" s="145">
        <v>8910</v>
      </c>
      <c r="AF128" s="163">
        <v>1.0529999999999999</v>
      </c>
      <c r="AG128" s="163">
        <v>1.0489999999999999</v>
      </c>
      <c r="AH128" s="163">
        <v>1.0469999999999999</v>
      </c>
      <c r="AI128" s="164">
        <v>8910</v>
      </c>
      <c r="AJ128" s="164">
        <f t="shared" si="13"/>
        <v>0</v>
      </c>
      <c r="AK128" s="229">
        <v>8910</v>
      </c>
      <c r="AL128" s="229">
        <f ca="1">SUMIF('MS &amp; Vacancies combined'!A:S,D128,'MS &amp; Vacancies combined'!S:S)*105.3/100</f>
        <v>12381.699175655451</v>
      </c>
      <c r="AM128" s="229">
        <f t="shared" ca="1" si="16"/>
        <v>12988.402435262567</v>
      </c>
      <c r="AN128" s="229">
        <f t="shared" ca="1" si="17"/>
        <v>13598.857349719907</v>
      </c>
      <c r="AO128" s="166"/>
      <c r="AP128" s="413">
        <f t="shared" ca="1" si="14"/>
        <v>-3471.6991756554507</v>
      </c>
      <c r="AR128" s="231"/>
      <c r="AS128" s="231"/>
      <c r="AU128" s="414">
        <v>8910</v>
      </c>
      <c r="AV128" s="415">
        <v>8910</v>
      </c>
      <c r="AW128" s="414">
        <f t="shared" si="12"/>
        <v>0</v>
      </c>
    </row>
    <row r="129" spans="1:49" hidden="1" x14ac:dyDescent="0.3">
      <c r="A129" s="16" t="s">
        <v>324</v>
      </c>
      <c r="B129" s="39" t="s">
        <v>569</v>
      </c>
      <c r="C129" s="39" t="s">
        <v>76</v>
      </c>
      <c r="D129" s="340" t="s">
        <v>3456</v>
      </c>
      <c r="E129" s="159" t="s">
        <v>373</v>
      </c>
      <c r="F129" s="159" t="s">
        <v>370</v>
      </c>
      <c r="G129" s="159" t="s">
        <v>309</v>
      </c>
      <c r="H129" s="159" t="s">
        <v>325</v>
      </c>
      <c r="I129" s="159" t="s">
        <v>326</v>
      </c>
      <c r="J129" s="159" t="s">
        <v>327</v>
      </c>
      <c r="K129" s="159" t="s">
        <v>1849</v>
      </c>
      <c r="L129" s="39" t="s">
        <v>304</v>
      </c>
      <c r="M129" s="39" t="s">
        <v>305</v>
      </c>
      <c r="N129" s="39">
        <v>11</v>
      </c>
      <c r="O129" s="39" t="s">
        <v>76</v>
      </c>
      <c r="P129" s="39" t="s">
        <v>76</v>
      </c>
      <c r="Q129" s="39" t="s">
        <v>569</v>
      </c>
      <c r="R129" s="16" t="s">
        <v>324</v>
      </c>
      <c r="S129" s="160">
        <v>0</v>
      </c>
      <c r="T129" s="160">
        <v>0</v>
      </c>
      <c r="U129" s="160">
        <v>0</v>
      </c>
      <c r="V129" s="160">
        <v>0</v>
      </c>
      <c r="W129" s="160">
        <v>0</v>
      </c>
      <c r="X129" s="161">
        <v>0</v>
      </c>
      <c r="Y129" s="160"/>
      <c r="Z129" s="16">
        <v>0</v>
      </c>
      <c r="AA129" s="162">
        <v>0</v>
      </c>
      <c r="AB129" s="162">
        <v>0</v>
      </c>
      <c r="AC129" s="162">
        <v>0</v>
      </c>
      <c r="AD129" s="160"/>
      <c r="AE129" s="145">
        <v>0</v>
      </c>
      <c r="AF129" s="163">
        <v>1.0469999999999999</v>
      </c>
      <c r="AG129" s="164">
        <v>1.046</v>
      </c>
      <c r="AH129" s="164">
        <v>1.046</v>
      </c>
      <c r="AI129" s="164">
        <v>0</v>
      </c>
      <c r="AJ129" s="164">
        <f t="shared" si="13"/>
        <v>0</v>
      </c>
      <c r="AK129" s="165">
        <v>0</v>
      </c>
      <c r="AL129" s="165">
        <v>0</v>
      </c>
      <c r="AM129" s="165">
        <f t="shared" si="16"/>
        <v>0</v>
      </c>
      <c r="AN129" s="165">
        <f t="shared" si="17"/>
        <v>0</v>
      </c>
      <c r="AO129" s="16"/>
      <c r="AP129" s="231">
        <f t="shared" si="14"/>
        <v>0</v>
      </c>
      <c r="AR129" s="231"/>
      <c r="AS129" s="231"/>
      <c r="AU129" s="230">
        <v>0</v>
      </c>
      <c r="AV129" s="233">
        <v>0</v>
      </c>
      <c r="AW129" s="230">
        <f t="shared" si="12"/>
        <v>0</v>
      </c>
    </row>
    <row r="130" spans="1:49" hidden="1" x14ac:dyDescent="0.3">
      <c r="A130" s="16" t="s">
        <v>571</v>
      </c>
      <c r="B130" s="39" t="s">
        <v>570</v>
      </c>
      <c r="C130" s="39" t="s">
        <v>76</v>
      </c>
      <c r="D130" s="340" t="s">
        <v>3456</v>
      </c>
      <c r="E130" s="159" t="s">
        <v>373</v>
      </c>
      <c r="F130" s="159" t="s">
        <v>370</v>
      </c>
      <c r="G130" s="159" t="s">
        <v>309</v>
      </c>
      <c r="H130" s="159" t="s">
        <v>325</v>
      </c>
      <c r="I130" s="159" t="s">
        <v>573</v>
      </c>
      <c r="J130" s="159" t="s">
        <v>387</v>
      </c>
      <c r="K130" s="159" t="s">
        <v>1849</v>
      </c>
      <c r="L130" s="39" t="s">
        <v>304</v>
      </c>
      <c r="M130" s="39" t="s">
        <v>305</v>
      </c>
      <c r="N130" s="39">
        <v>11</v>
      </c>
      <c r="O130" s="39" t="s">
        <v>76</v>
      </c>
      <c r="P130" s="39" t="s">
        <v>572</v>
      </c>
      <c r="Q130" s="39" t="s">
        <v>570</v>
      </c>
      <c r="R130" s="16" t="s">
        <v>571</v>
      </c>
      <c r="S130" s="160">
        <v>0</v>
      </c>
      <c r="T130" s="160">
        <v>0</v>
      </c>
      <c r="U130" s="160">
        <v>0</v>
      </c>
      <c r="V130" s="160">
        <v>0</v>
      </c>
      <c r="W130" s="160">
        <v>0</v>
      </c>
      <c r="X130" s="161">
        <v>0</v>
      </c>
      <c r="Y130" s="160"/>
      <c r="Z130" s="16">
        <v>0</v>
      </c>
      <c r="AA130" s="162">
        <v>0</v>
      </c>
      <c r="AB130" s="162">
        <v>0</v>
      </c>
      <c r="AC130" s="162">
        <v>0</v>
      </c>
      <c r="AD130" s="160"/>
      <c r="AE130" s="145">
        <v>0</v>
      </c>
      <c r="AF130" s="163">
        <v>1.0469999999999999</v>
      </c>
      <c r="AG130" s="164">
        <v>1.046</v>
      </c>
      <c r="AH130" s="164">
        <v>1.046</v>
      </c>
      <c r="AI130" s="164">
        <v>0</v>
      </c>
      <c r="AJ130" s="164">
        <f t="shared" si="13"/>
        <v>0</v>
      </c>
      <c r="AK130" s="165">
        <v>0</v>
      </c>
      <c r="AL130" s="165">
        <v>0</v>
      </c>
      <c r="AM130" s="165">
        <f t="shared" si="16"/>
        <v>0</v>
      </c>
      <c r="AN130" s="165">
        <f t="shared" si="17"/>
        <v>0</v>
      </c>
      <c r="AO130" s="16"/>
      <c r="AP130" s="231">
        <f t="shared" si="14"/>
        <v>0</v>
      </c>
      <c r="AR130" s="231"/>
      <c r="AS130" s="231"/>
      <c r="AU130" s="230">
        <v>0</v>
      </c>
      <c r="AV130" s="233">
        <v>0</v>
      </c>
      <c r="AW130" s="230">
        <f t="shared" ref="AW130:AW193" si="18">AU130-S130</f>
        <v>0</v>
      </c>
    </row>
    <row r="131" spans="1:49" s="172" customFormat="1" hidden="1" x14ac:dyDescent="0.3">
      <c r="A131" s="166" t="s">
        <v>1993</v>
      </c>
      <c r="B131" s="167" t="s">
        <v>574</v>
      </c>
      <c r="C131" s="39" t="s">
        <v>82</v>
      </c>
      <c r="D131" s="340" t="s">
        <v>3456</v>
      </c>
      <c r="E131" s="168" t="s">
        <v>373</v>
      </c>
      <c r="F131" s="168" t="s">
        <v>370</v>
      </c>
      <c r="G131" s="168" t="s">
        <v>309</v>
      </c>
      <c r="H131" s="168" t="s">
        <v>334</v>
      </c>
      <c r="I131" s="168" t="s">
        <v>483</v>
      </c>
      <c r="J131" s="168" t="s">
        <v>387</v>
      </c>
      <c r="K131" s="168" t="s">
        <v>1849</v>
      </c>
      <c r="L131" s="167" t="s">
        <v>304</v>
      </c>
      <c r="M131" s="167" t="s">
        <v>305</v>
      </c>
      <c r="N131" s="167">
        <v>11</v>
      </c>
      <c r="O131" s="39" t="s">
        <v>82</v>
      </c>
      <c r="P131" s="39" t="s">
        <v>576</v>
      </c>
      <c r="Q131" s="167" t="s">
        <v>574</v>
      </c>
      <c r="R131" s="166" t="s">
        <v>1993</v>
      </c>
      <c r="S131" s="160">
        <v>500000</v>
      </c>
      <c r="T131" s="169">
        <v>142780</v>
      </c>
      <c r="U131" s="169">
        <v>0</v>
      </c>
      <c r="V131" s="169">
        <v>142780</v>
      </c>
      <c r="W131" s="169">
        <v>357220</v>
      </c>
      <c r="X131" s="170">
        <v>347980</v>
      </c>
      <c r="Y131" s="169"/>
      <c r="Z131" s="166">
        <v>28.55</v>
      </c>
      <c r="AA131" s="171">
        <v>142780</v>
      </c>
      <c r="AB131" s="171">
        <v>35695</v>
      </c>
      <c r="AC131" s="171">
        <v>428340</v>
      </c>
      <c r="AD131" s="169">
        <v>700000</v>
      </c>
      <c r="AE131" s="160">
        <v>1200000</v>
      </c>
      <c r="AF131" s="163">
        <v>1.0469999999999999</v>
      </c>
      <c r="AG131" s="164">
        <v>1.046</v>
      </c>
      <c r="AH131" s="164">
        <v>1.046</v>
      </c>
      <c r="AI131" s="164">
        <v>1200000</v>
      </c>
      <c r="AJ131" s="164">
        <f t="shared" si="13"/>
        <v>0</v>
      </c>
      <c r="AK131" s="165">
        <v>600000</v>
      </c>
      <c r="AL131" s="165">
        <f>AK131</f>
        <v>600000</v>
      </c>
      <c r="AM131" s="165">
        <f t="shared" si="16"/>
        <v>627600</v>
      </c>
      <c r="AN131" s="165">
        <f t="shared" si="17"/>
        <v>656469.6</v>
      </c>
      <c r="AO131" s="166" t="s">
        <v>1994</v>
      </c>
      <c r="AP131" s="231">
        <f t="shared" si="14"/>
        <v>0</v>
      </c>
      <c r="AQ131" t="s">
        <v>2164</v>
      </c>
      <c r="AR131" s="231"/>
      <c r="AS131" s="231"/>
      <c r="AT131"/>
      <c r="AU131" s="230">
        <v>500000</v>
      </c>
      <c r="AV131" s="233">
        <v>1200000</v>
      </c>
      <c r="AW131" s="230">
        <f t="shared" si="18"/>
        <v>0</v>
      </c>
    </row>
    <row r="132" spans="1:49" s="172" customFormat="1" hidden="1" x14ac:dyDescent="0.3">
      <c r="A132" s="166" t="s">
        <v>1995</v>
      </c>
      <c r="B132" s="167" t="s">
        <v>577</v>
      </c>
      <c r="C132" s="39" t="s">
        <v>82</v>
      </c>
      <c r="D132" s="340" t="s">
        <v>3456</v>
      </c>
      <c r="E132" s="168" t="s">
        <v>373</v>
      </c>
      <c r="F132" s="168" t="s">
        <v>370</v>
      </c>
      <c r="G132" s="168" t="s">
        <v>309</v>
      </c>
      <c r="H132" s="168" t="s">
        <v>334</v>
      </c>
      <c r="I132" s="168" t="s">
        <v>483</v>
      </c>
      <c r="J132" s="168" t="s">
        <v>309</v>
      </c>
      <c r="K132" s="168" t="s">
        <v>1849</v>
      </c>
      <c r="L132" s="167" t="s">
        <v>304</v>
      </c>
      <c r="M132" s="167" t="s">
        <v>305</v>
      </c>
      <c r="N132" s="167">
        <v>11</v>
      </c>
      <c r="O132" s="39" t="s">
        <v>82</v>
      </c>
      <c r="P132" s="39" t="s">
        <v>576</v>
      </c>
      <c r="Q132" s="167" t="s">
        <v>577</v>
      </c>
      <c r="R132" s="166" t="s">
        <v>1995</v>
      </c>
      <c r="S132" s="160">
        <v>1200000</v>
      </c>
      <c r="T132" s="169">
        <v>0</v>
      </c>
      <c r="U132" s="169">
        <v>0</v>
      </c>
      <c r="V132" s="169">
        <v>1199993.8700000001</v>
      </c>
      <c r="W132" s="169">
        <v>6.13</v>
      </c>
      <c r="X132" s="170">
        <v>1199993.8700000001</v>
      </c>
      <c r="Y132" s="169"/>
      <c r="Z132" s="166">
        <v>99.99</v>
      </c>
      <c r="AA132" s="171">
        <v>1199993.8700000001</v>
      </c>
      <c r="AB132" s="171">
        <v>299998.46750000003</v>
      </c>
      <c r="AC132" s="171">
        <v>3599981.6100000003</v>
      </c>
      <c r="AD132" s="169">
        <v>900000</v>
      </c>
      <c r="AE132" s="160">
        <v>2100000</v>
      </c>
      <c r="AF132" s="163">
        <v>1.0469999999999999</v>
      </c>
      <c r="AG132" s="164">
        <v>1.046</v>
      </c>
      <c r="AH132" s="164">
        <v>1.046</v>
      </c>
      <c r="AI132" s="164">
        <v>2100000</v>
      </c>
      <c r="AJ132" s="164">
        <f t="shared" si="13"/>
        <v>0</v>
      </c>
      <c r="AK132" s="165">
        <v>1200000</v>
      </c>
      <c r="AL132" s="165">
        <f>AK132</f>
        <v>1200000</v>
      </c>
      <c r="AM132" s="165">
        <f t="shared" si="16"/>
        <v>1255200</v>
      </c>
      <c r="AN132" s="165">
        <f t="shared" si="17"/>
        <v>1312939.2</v>
      </c>
      <c r="AO132" s="166" t="s">
        <v>1994</v>
      </c>
      <c r="AP132" s="231">
        <f t="shared" si="14"/>
        <v>0</v>
      </c>
      <c r="AQ132" t="s">
        <v>2164</v>
      </c>
      <c r="AR132" s="231"/>
      <c r="AS132" s="231"/>
      <c r="AT132"/>
      <c r="AU132" s="230">
        <v>1200000</v>
      </c>
      <c r="AV132" s="233">
        <v>2100000</v>
      </c>
      <c r="AW132" s="230">
        <f t="shared" si="18"/>
        <v>0</v>
      </c>
    </row>
    <row r="133" spans="1:49" s="172" customFormat="1" hidden="1" x14ac:dyDescent="0.3">
      <c r="A133" s="166" t="s">
        <v>579</v>
      </c>
      <c r="B133" s="167" t="s">
        <v>578</v>
      </c>
      <c r="C133" s="39" t="s">
        <v>82</v>
      </c>
      <c r="D133" s="340" t="s">
        <v>3456</v>
      </c>
      <c r="E133" s="168" t="s">
        <v>373</v>
      </c>
      <c r="F133" s="168" t="s">
        <v>370</v>
      </c>
      <c r="G133" s="168" t="s">
        <v>309</v>
      </c>
      <c r="H133" s="168" t="s">
        <v>334</v>
      </c>
      <c r="I133" s="168" t="s">
        <v>581</v>
      </c>
      <c r="J133" s="168" t="s">
        <v>582</v>
      </c>
      <c r="K133" s="168" t="s">
        <v>1849</v>
      </c>
      <c r="L133" s="167" t="s">
        <v>304</v>
      </c>
      <c r="M133" s="167" t="s">
        <v>305</v>
      </c>
      <c r="N133" s="167">
        <v>11</v>
      </c>
      <c r="O133" s="39" t="s">
        <v>82</v>
      </c>
      <c r="P133" s="39" t="s">
        <v>580</v>
      </c>
      <c r="Q133" s="167" t="s">
        <v>578</v>
      </c>
      <c r="R133" s="166" t="s">
        <v>579</v>
      </c>
      <c r="S133" s="160">
        <v>900000</v>
      </c>
      <c r="T133" s="169">
        <v>0</v>
      </c>
      <c r="U133" s="169">
        <v>0</v>
      </c>
      <c r="V133" s="169">
        <v>0</v>
      </c>
      <c r="W133" s="169">
        <v>900000</v>
      </c>
      <c r="X133" s="170">
        <v>0</v>
      </c>
      <c r="Y133" s="169"/>
      <c r="Z133" s="166">
        <v>0</v>
      </c>
      <c r="AA133" s="171">
        <v>0</v>
      </c>
      <c r="AB133" s="171">
        <v>0</v>
      </c>
      <c r="AC133" s="171">
        <v>0</v>
      </c>
      <c r="AD133" s="169">
        <v>0</v>
      </c>
      <c r="AE133" s="160">
        <v>900000</v>
      </c>
      <c r="AF133" s="163">
        <v>1.0469999999999999</v>
      </c>
      <c r="AG133" s="164">
        <v>1.046</v>
      </c>
      <c r="AH133" s="164">
        <v>1.046</v>
      </c>
      <c r="AI133" s="164">
        <v>900000</v>
      </c>
      <c r="AJ133" s="164">
        <f t="shared" si="13"/>
        <v>0</v>
      </c>
      <c r="AK133" s="165">
        <v>400000</v>
      </c>
      <c r="AL133" s="165">
        <f>AK133</f>
        <v>400000</v>
      </c>
      <c r="AM133" s="165">
        <f t="shared" si="16"/>
        <v>418400</v>
      </c>
      <c r="AN133" s="165">
        <f t="shared" si="17"/>
        <v>437646.4</v>
      </c>
      <c r="AO133" s="166" t="s">
        <v>1994</v>
      </c>
      <c r="AP133" s="231">
        <f t="shared" si="14"/>
        <v>0</v>
      </c>
      <c r="AQ133" t="s">
        <v>2164</v>
      </c>
      <c r="AR133" s="231"/>
      <c r="AS133" s="231"/>
      <c r="AT133"/>
      <c r="AU133" s="230">
        <v>900000</v>
      </c>
      <c r="AV133" s="233">
        <v>900000</v>
      </c>
      <c r="AW133" s="230">
        <f t="shared" si="18"/>
        <v>0</v>
      </c>
    </row>
    <row r="134" spans="1:49" hidden="1" x14ac:dyDescent="0.3">
      <c r="A134" s="16" t="s">
        <v>341</v>
      </c>
      <c r="B134" s="39" t="s">
        <v>583</v>
      </c>
      <c r="C134" s="39" t="s">
        <v>82</v>
      </c>
      <c r="D134" s="340" t="s">
        <v>3456</v>
      </c>
      <c r="E134" s="159" t="s">
        <v>373</v>
      </c>
      <c r="F134" s="159" t="s">
        <v>370</v>
      </c>
      <c r="G134" s="159" t="s">
        <v>309</v>
      </c>
      <c r="H134" s="159" t="s">
        <v>334</v>
      </c>
      <c r="I134" s="159" t="s">
        <v>343</v>
      </c>
      <c r="J134" s="159" t="s">
        <v>312</v>
      </c>
      <c r="K134" s="159" t="s">
        <v>1849</v>
      </c>
      <c r="L134" s="39" t="s">
        <v>304</v>
      </c>
      <c r="M134" s="39" t="s">
        <v>305</v>
      </c>
      <c r="N134" s="39">
        <v>11</v>
      </c>
      <c r="O134" s="39" t="s">
        <v>82</v>
      </c>
      <c r="P134" s="39" t="s">
        <v>342</v>
      </c>
      <c r="Q134" s="39" t="s">
        <v>583</v>
      </c>
      <c r="R134" s="16" t="s">
        <v>341</v>
      </c>
      <c r="S134" s="160">
        <v>0</v>
      </c>
      <c r="T134" s="160">
        <v>0</v>
      </c>
      <c r="U134" s="160">
        <v>0</v>
      </c>
      <c r="V134" s="160">
        <v>0</v>
      </c>
      <c r="W134" s="160">
        <v>0</v>
      </c>
      <c r="X134" s="161">
        <v>0</v>
      </c>
      <c r="Y134" s="160"/>
      <c r="Z134" s="16">
        <v>0</v>
      </c>
      <c r="AA134" s="162">
        <v>0</v>
      </c>
      <c r="AB134" s="162">
        <v>0</v>
      </c>
      <c r="AC134" s="162">
        <v>0</v>
      </c>
      <c r="AD134" s="160"/>
      <c r="AE134" s="160">
        <v>0</v>
      </c>
      <c r="AF134" s="163">
        <v>1.0469999999999999</v>
      </c>
      <c r="AG134" s="164">
        <v>1.046</v>
      </c>
      <c r="AH134" s="164">
        <v>1.046</v>
      </c>
      <c r="AI134" s="164">
        <v>0</v>
      </c>
      <c r="AJ134" s="164">
        <f t="shared" si="13"/>
        <v>0</v>
      </c>
      <c r="AK134" s="165">
        <v>0</v>
      </c>
      <c r="AL134" s="165">
        <v>0</v>
      </c>
      <c r="AM134" s="165">
        <f t="shared" si="16"/>
        <v>0</v>
      </c>
      <c r="AN134" s="165">
        <f t="shared" si="17"/>
        <v>0</v>
      </c>
      <c r="AO134" s="16"/>
      <c r="AP134" s="231">
        <f t="shared" si="14"/>
        <v>0</v>
      </c>
      <c r="AR134" s="231"/>
      <c r="AS134" s="231"/>
      <c r="AU134" s="230">
        <v>0</v>
      </c>
      <c r="AV134" s="233">
        <v>0</v>
      </c>
      <c r="AW134" s="230">
        <f t="shared" si="18"/>
        <v>0</v>
      </c>
    </row>
    <row r="135" spans="1:49" hidden="1" x14ac:dyDescent="0.3">
      <c r="A135" s="16" t="s">
        <v>527</v>
      </c>
      <c r="B135" s="39" t="s">
        <v>584</v>
      </c>
      <c r="C135" s="39" t="s">
        <v>82</v>
      </c>
      <c r="D135" s="340" t="s">
        <v>3456</v>
      </c>
      <c r="E135" s="159" t="s">
        <v>373</v>
      </c>
      <c r="F135" s="159" t="s">
        <v>370</v>
      </c>
      <c r="G135" s="159" t="s">
        <v>309</v>
      </c>
      <c r="H135" s="159" t="s">
        <v>334</v>
      </c>
      <c r="I135" s="159" t="s">
        <v>529</v>
      </c>
      <c r="J135" s="159" t="s">
        <v>312</v>
      </c>
      <c r="K135" s="159" t="s">
        <v>1849</v>
      </c>
      <c r="L135" s="39" t="s">
        <v>304</v>
      </c>
      <c r="M135" s="39" t="s">
        <v>305</v>
      </c>
      <c r="N135" s="39">
        <v>11</v>
      </c>
      <c r="O135" s="39" t="s">
        <v>82</v>
      </c>
      <c r="P135" s="39" t="s">
        <v>585</v>
      </c>
      <c r="Q135" s="39" t="s">
        <v>584</v>
      </c>
      <c r="R135" s="16" t="s">
        <v>527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1">
        <v>0</v>
      </c>
      <c r="Y135" s="160"/>
      <c r="Z135" s="16">
        <v>0</v>
      </c>
      <c r="AA135" s="162">
        <v>0</v>
      </c>
      <c r="AB135" s="162">
        <v>0</v>
      </c>
      <c r="AC135" s="162">
        <v>0</v>
      </c>
      <c r="AD135" s="160"/>
      <c r="AE135" s="160">
        <v>0</v>
      </c>
      <c r="AF135" s="163">
        <v>1.0469999999999999</v>
      </c>
      <c r="AG135" s="164">
        <v>1.046</v>
      </c>
      <c r="AH135" s="164">
        <v>1.046</v>
      </c>
      <c r="AI135" s="164">
        <v>0</v>
      </c>
      <c r="AJ135" s="164">
        <f t="shared" ref="AJ135:AJ198" si="19">AE135-AI135</f>
        <v>0</v>
      </c>
      <c r="AK135" s="165">
        <v>0</v>
      </c>
      <c r="AL135" s="165">
        <v>0</v>
      </c>
      <c r="AM135" s="165">
        <f t="shared" si="16"/>
        <v>0</v>
      </c>
      <c r="AN135" s="165">
        <f t="shared" si="17"/>
        <v>0</v>
      </c>
      <c r="AO135" s="16"/>
      <c r="AP135" s="231">
        <f t="shared" ref="AP135:AP198" si="20">AK135-AL135</f>
        <v>0</v>
      </c>
      <c r="AR135" s="231"/>
      <c r="AS135" s="231"/>
      <c r="AU135" s="230">
        <v>0</v>
      </c>
      <c r="AV135" s="233">
        <v>0</v>
      </c>
      <c r="AW135" s="230">
        <f t="shared" si="18"/>
        <v>0</v>
      </c>
    </row>
    <row r="136" spans="1:49" hidden="1" x14ac:dyDescent="0.3">
      <c r="A136" s="16" t="s">
        <v>83</v>
      </c>
      <c r="B136" s="39" t="s">
        <v>586</v>
      </c>
      <c r="C136" s="39" t="s">
        <v>423</v>
      </c>
      <c r="D136" s="340" t="s">
        <v>3456</v>
      </c>
      <c r="E136" s="159" t="s">
        <v>373</v>
      </c>
      <c r="F136" s="159" t="s">
        <v>370</v>
      </c>
      <c r="G136" s="159" t="s">
        <v>309</v>
      </c>
      <c r="H136" s="159" t="s">
        <v>424</v>
      </c>
      <c r="I136" s="159" t="s">
        <v>425</v>
      </c>
      <c r="J136" s="159" t="s">
        <v>426</v>
      </c>
      <c r="K136" s="159" t="s">
        <v>1849</v>
      </c>
      <c r="L136" s="39" t="s">
        <v>304</v>
      </c>
      <c r="M136" s="39" t="s">
        <v>305</v>
      </c>
      <c r="N136" s="39">
        <v>11</v>
      </c>
      <c r="O136" s="39" t="s">
        <v>423</v>
      </c>
      <c r="P136" s="39" t="s">
        <v>423</v>
      </c>
      <c r="Q136" s="39" t="s">
        <v>586</v>
      </c>
      <c r="R136" s="16" t="s">
        <v>83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1">
        <v>0</v>
      </c>
      <c r="Y136" s="160"/>
      <c r="Z136" s="16">
        <v>0</v>
      </c>
      <c r="AA136" s="162">
        <v>0</v>
      </c>
      <c r="AB136" s="162">
        <v>0</v>
      </c>
      <c r="AC136" s="162">
        <v>0</v>
      </c>
      <c r="AD136" s="160"/>
      <c r="AE136" s="160">
        <v>0</v>
      </c>
      <c r="AF136" s="163">
        <v>1.0469999999999999</v>
      </c>
      <c r="AG136" s="164">
        <v>1.046</v>
      </c>
      <c r="AH136" s="164">
        <v>1.046</v>
      </c>
      <c r="AI136" s="164">
        <v>0</v>
      </c>
      <c r="AJ136" s="164">
        <f t="shared" si="19"/>
        <v>0</v>
      </c>
      <c r="AK136" s="165">
        <v>0</v>
      </c>
      <c r="AL136" s="165">
        <v>0</v>
      </c>
      <c r="AM136" s="165">
        <f t="shared" si="16"/>
        <v>0</v>
      </c>
      <c r="AN136" s="165">
        <f t="shared" si="17"/>
        <v>0</v>
      </c>
      <c r="AO136" s="16"/>
      <c r="AP136" s="231">
        <f t="shared" si="20"/>
        <v>0</v>
      </c>
      <c r="AR136" s="231"/>
      <c r="AS136" s="231"/>
      <c r="AU136" s="230">
        <v>0</v>
      </c>
      <c r="AV136" s="233">
        <v>0</v>
      </c>
      <c r="AW136" s="230">
        <f t="shared" si="18"/>
        <v>0</v>
      </c>
    </row>
    <row r="137" spans="1:49" hidden="1" x14ac:dyDescent="0.3">
      <c r="A137" s="16" t="s">
        <v>537</v>
      </c>
      <c r="B137" s="39" t="s">
        <v>587</v>
      </c>
      <c r="C137" s="39" t="s">
        <v>423</v>
      </c>
      <c r="D137" s="340" t="s">
        <v>3456</v>
      </c>
      <c r="E137" s="159" t="s">
        <v>373</v>
      </c>
      <c r="F137" s="159" t="s">
        <v>370</v>
      </c>
      <c r="G137" s="159" t="s">
        <v>309</v>
      </c>
      <c r="H137" s="159" t="s">
        <v>424</v>
      </c>
      <c r="I137" s="159" t="s">
        <v>425</v>
      </c>
      <c r="J137" s="159" t="s">
        <v>538</v>
      </c>
      <c r="K137" s="159" t="s">
        <v>1849</v>
      </c>
      <c r="L137" s="39" t="s">
        <v>304</v>
      </c>
      <c r="M137" s="39" t="s">
        <v>305</v>
      </c>
      <c r="N137" s="39">
        <v>11</v>
      </c>
      <c r="O137" s="39" t="s">
        <v>423</v>
      </c>
      <c r="P137" s="39" t="s">
        <v>423</v>
      </c>
      <c r="Q137" s="39" t="s">
        <v>587</v>
      </c>
      <c r="R137" s="16" t="s">
        <v>537</v>
      </c>
      <c r="S137" s="160">
        <v>0</v>
      </c>
      <c r="T137" s="160">
        <v>0</v>
      </c>
      <c r="U137" s="160">
        <v>0</v>
      </c>
      <c r="V137" s="160">
        <v>0</v>
      </c>
      <c r="W137" s="160">
        <v>0</v>
      </c>
      <c r="X137" s="161">
        <v>0</v>
      </c>
      <c r="Y137" s="160"/>
      <c r="Z137" s="16">
        <v>0</v>
      </c>
      <c r="AA137" s="162">
        <v>0</v>
      </c>
      <c r="AB137" s="162">
        <v>0</v>
      </c>
      <c r="AC137" s="162">
        <v>0</v>
      </c>
      <c r="AD137" s="160"/>
      <c r="AE137" s="145">
        <v>0</v>
      </c>
      <c r="AF137" s="163">
        <v>1.0469999999999999</v>
      </c>
      <c r="AG137" s="164">
        <v>1.046</v>
      </c>
      <c r="AH137" s="164">
        <v>1.046</v>
      </c>
      <c r="AI137" s="164">
        <v>0</v>
      </c>
      <c r="AJ137" s="164">
        <f t="shared" si="19"/>
        <v>0</v>
      </c>
      <c r="AK137" s="165">
        <v>0</v>
      </c>
      <c r="AL137" s="165">
        <v>0</v>
      </c>
      <c r="AM137" s="165">
        <f t="shared" si="16"/>
        <v>0</v>
      </c>
      <c r="AN137" s="165">
        <f t="shared" si="17"/>
        <v>0</v>
      </c>
      <c r="AO137" s="16"/>
      <c r="AP137" s="231">
        <f t="shared" si="20"/>
        <v>0</v>
      </c>
      <c r="AR137" s="231"/>
      <c r="AS137" s="231"/>
      <c r="AU137" s="230">
        <v>0</v>
      </c>
      <c r="AV137" s="233">
        <v>0</v>
      </c>
      <c r="AW137" s="230">
        <f t="shared" si="18"/>
        <v>0</v>
      </c>
    </row>
    <row r="138" spans="1:49" s="172" customFormat="1" x14ac:dyDescent="0.3">
      <c r="A138" s="166" t="s">
        <v>50</v>
      </c>
      <c r="B138" s="167" t="s">
        <v>588</v>
      </c>
      <c r="C138" s="167" t="s">
        <v>302</v>
      </c>
      <c r="D138" s="412" t="s">
        <v>3457</v>
      </c>
      <c r="E138" s="168" t="s">
        <v>373</v>
      </c>
      <c r="F138" s="168" t="s">
        <v>589</v>
      </c>
      <c r="G138" s="168" t="s">
        <v>309</v>
      </c>
      <c r="H138" s="168" t="s">
        <v>373</v>
      </c>
      <c r="I138" s="168" t="s">
        <v>374</v>
      </c>
      <c r="J138" s="168" t="s">
        <v>312</v>
      </c>
      <c r="K138" s="168" t="s">
        <v>1849</v>
      </c>
      <c r="L138" s="167" t="s">
        <v>304</v>
      </c>
      <c r="M138" s="167" t="s">
        <v>305</v>
      </c>
      <c r="N138" s="167">
        <v>11</v>
      </c>
      <c r="O138" s="167" t="s">
        <v>302</v>
      </c>
      <c r="P138" s="167" t="s">
        <v>302</v>
      </c>
      <c r="Q138" s="167" t="s">
        <v>588</v>
      </c>
      <c r="R138" s="166" t="s">
        <v>50</v>
      </c>
      <c r="S138" s="169">
        <v>4709204</v>
      </c>
      <c r="T138" s="160">
        <v>372803.22</v>
      </c>
      <c r="U138" s="160">
        <v>0</v>
      </c>
      <c r="V138" s="160">
        <v>1487790.1</v>
      </c>
      <c r="W138" s="160">
        <v>3221413.9</v>
      </c>
      <c r="X138" s="161">
        <v>0</v>
      </c>
      <c r="Y138" s="160"/>
      <c r="Z138" s="16">
        <v>31.59</v>
      </c>
      <c r="AA138" s="162">
        <v>1487790.1</v>
      </c>
      <c r="AB138" s="162">
        <v>371947.52500000002</v>
      </c>
      <c r="AC138" s="162">
        <v>4463370.3000000007</v>
      </c>
      <c r="AD138" s="160"/>
      <c r="AE138" s="228">
        <v>4709204</v>
      </c>
      <c r="AF138" s="163">
        <v>1.0529999999999999</v>
      </c>
      <c r="AG138" s="163">
        <v>1.0489999999999999</v>
      </c>
      <c r="AH138" s="163">
        <v>1.0469999999999999</v>
      </c>
      <c r="AI138" s="164">
        <v>4709204</v>
      </c>
      <c r="AJ138" s="164">
        <f t="shared" si="19"/>
        <v>0</v>
      </c>
      <c r="AK138" s="229">
        <v>4709204</v>
      </c>
      <c r="AL138" s="229">
        <f ca="1">SUMIF('MS &amp; Vacancies combined'!A:J,D138,'MS &amp; Vacancies combined'!J:J)*105.3/100</f>
        <v>4042658.801629879</v>
      </c>
      <c r="AM138" s="229">
        <f t="shared" ca="1" si="16"/>
        <v>4240749.0829097433</v>
      </c>
      <c r="AN138" s="229">
        <f t="shared" ca="1" si="17"/>
        <v>4440064.289806501</v>
      </c>
      <c r="AO138" s="166"/>
      <c r="AP138" s="413">
        <f t="shared" ca="1" si="20"/>
        <v>666545.19837012095</v>
      </c>
      <c r="AR138" s="231"/>
      <c r="AS138" s="231"/>
      <c r="AU138" s="414">
        <v>4709204</v>
      </c>
      <c r="AV138" s="415">
        <v>4709204</v>
      </c>
      <c r="AW138" s="414">
        <f t="shared" si="18"/>
        <v>0</v>
      </c>
    </row>
    <row r="139" spans="1:49" s="172" customFormat="1" x14ac:dyDescent="0.3">
      <c r="A139" s="166" t="s">
        <v>52</v>
      </c>
      <c r="B139" s="167" t="s">
        <v>590</v>
      </c>
      <c r="C139" s="167" t="s">
        <v>376</v>
      </c>
      <c r="D139" s="412" t="s">
        <v>3457</v>
      </c>
      <c r="E139" s="168" t="s">
        <v>373</v>
      </c>
      <c r="F139" s="168" t="s">
        <v>589</v>
      </c>
      <c r="G139" s="168" t="s">
        <v>309</v>
      </c>
      <c r="H139" s="168" t="s">
        <v>373</v>
      </c>
      <c r="I139" s="168" t="s">
        <v>377</v>
      </c>
      <c r="J139" s="168" t="s">
        <v>312</v>
      </c>
      <c r="K139" s="168" t="s">
        <v>1849</v>
      </c>
      <c r="L139" s="167" t="s">
        <v>304</v>
      </c>
      <c r="M139" s="167" t="s">
        <v>305</v>
      </c>
      <c r="N139" s="167">
        <v>11</v>
      </c>
      <c r="O139" s="167" t="s">
        <v>376</v>
      </c>
      <c r="P139" s="167" t="s">
        <v>376</v>
      </c>
      <c r="Q139" s="167" t="s">
        <v>590</v>
      </c>
      <c r="R139" s="166" t="s">
        <v>52</v>
      </c>
      <c r="S139" s="169">
        <v>12576</v>
      </c>
      <c r="T139" s="160">
        <v>1000</v>
      </c>
      <c r="U139" s="160">
        <v>0</v>
      </c>
      <c r="V139" s="160">
        <v>4000</v>
      </c>
      <c r="W139" s="160">
        <v>8576</v>
      </c>
      <c r="X139" s="161">
        <v>0</v>
      </c>
      <c r="Y139" s="160"/>
      <c r="Z139" s="16">
        <v>31.8</v>
      </c>
      <c r="AA139" s="162">
        <v>4000</v>
      </c>
      <c r="AB139" s="162">
        <v>1000</v>
      </c>
      <c r="AC139" s="162">
        <v>12000</v>
      </c>
      <c r="AD139" s="160"/>
      <c r="AE139" s="145">
        <v>12576</v>
      </c>
      <c r="AF139" s="163">
        <v>1.0529999999999999</v>
      </c>
      <c r="AG139" s="163">
        <v>1.0489999999999999</v>
      </c>
      <c r="AH139" s="163">
        <v>1.0469999999999999</v>
      </c>
      <c r="AI139" s="164">
        <v>12576</v>
      </c>
      <c r="AJ139" s="164">
        <f t="shared" si="19"/>
        <v>0</v>
      </c>
      <c r="AK139" s="229">
        <v>12576</v>
      </c>
      <c r="AL139" s="229">
        <f ca="1">SUMIF('MS &amp; Vacancies combined'!A:M,D139,'MS &amp; Vacancies combined'!M:M)*105.3/100</f>
        <v>11650.951497718543</v>
      </c>
      <c r="AM139" s="229">
        <f t="shared" ca="1" si="16"/>
        <v>12221.84812110675</v>
      </c>
      <c r="AN139" s="229">
        <f t="shared" ca="1" si="17"/>
        <v>12796.274982798766</v>
      </c>
      <c r="AO139" s="166"/>
      <c r="AP139" s="413">
        <f t="shared" ca="1" si="20"/>
        <v>925.04850228145733</v>
      </c>
      <c r="AR139" s="231"/>
      <c r="AS139" s="231"/>
      <c r="AU139" s="414">
        <v>12576</v>
      </c>
      <c r="AV139" s="415">
        <v>12576</v>
      </c>
      <c r="AW139" s="414">
        <f t="shared" si="18"/>
        <v>0</v>
      </c>
    </row>
    <row r="140" spans="1:49" s="172" customFormat="1" x14ac:dyDescent="0.3">
      <c r="A140" s="166" t="s">
        <v>54</v>
      </c>
      <c r="B140" s="167" t="s">
        <v>591</v>
      </c>
      <c r="C140" s="167" t="s">
        <v>379</v>
      </c>
      <c r="D140" s="412" t="s">
        <v>3457</v>
      </c>
      <c r="E140" s="168" t="s">
        <v>373</v>
      </c>
      <c r="F140" s="168" t="s">
        <v>589</v>
      </c>
      <c r="G140" s="168" t="s">
        <v>309</v>
      </c>
      <c r="H140" s="168" t="s">
        <v>373</v>
      </c>
      <c r="I140" s="168" t="s">
        <v>380</v>
      </c>
      <c r="J140" s="168" t="s">
        <v>312</v>
      </c>
      <c r="K140" s="168" t="s">
        <v>1849</v>
      </c>
      <c r="L140" s="167" t="s">
        <v>304</v>
      </c>
      <c r="M140" s="167" t="s">
        <v>305</v>
      </c>
      <c r="N140" s="167">
        <v>11</v>
      </c>
      <c r="O140" s="167" t="s">
        <v>379</v>
      </c>
      <c r="P140" s="167" t="s">
        <v>379</v>
      </c>
      <c r="Q140" s="167" t="s">
        <v>591</v>
      </c>
      <c r="R140" s="166" t="s">
        <v>54</v>
      </c>
      <c r="S140" s="169">
        <v>145556</v>
      </c>
      <c r="T140" s="160">
        <v>2023.54</v>
      </c>
      <c r="U140" s="160">
        <v>0</v>
      </c>
      <c r="V140" s="160">
        <v>6070.62</v>
      </c>
      <c r="W140" s="160">
        <v>139485.38</v>
      </c>
      <c r="X140" s="161">
        <v>0</v>
      </c>
      <c r="Y140" s="160"/>
      <c r="Z140" s="16">
        <v>4.17</v>
      </c>
      <c r="AA140" s="162">
        <v>6070.62</v>
      </c>
      <c r="AB140" s="162">
        <v>1517.655</v>
      </c>
      <c r="AC140" s="162">
        <v>18211.86</v>
      </c>
      <c r="AD140" s="160"/>
      <c r="AE140" s="145">
        <v>145556</v>
      </c>
      <c r="AF140" s="163">
        <v>1.0529999999999999</v>
      </c>
      <c r="AG140" s="163">
        <v>1.0489999999999999</v>
      </c>
      <c r="AH140" s="163">
        <v>1.0469999999999999</v>
      </c>
      <c r="AI140" s="164">
        <v>145556</v>
      </c>
      <c r="AJ140" s="164">
        <f t="shared" si="19"/>
        <v>0</v>
      </c>
      <c r="AK140" s="229">
        <v>145556</v>
      </c>
      <c r="AL140" s="229">
        <f ca="1">SUMIF('MS &amp; Vacancies combined'!A:L,D140,'MS &amp; Vacancies combined'!L:L)*105.3/100</f>
        <v>47152.332787386753</v>
      </c>
      <c r="AM140" s="229">
        <f t="shared" ca="1" si="16"/>
        <v>49462.7970939687</v>
      </c>
      <c r="AN140" s="229">
        <f t="shared" ca="1" si="17"/>
        <v>51787.548557385227</v>
      </c>
      <c r="AO140" s="166"/>
      <c r="AP140" s="413">
        <f t="shared" ca="1" si="20"/>
        <v>98403.667212613247</v>
      </c>
      <c r="AR140" s="231"/>
      <c r="AS140" s="231"/>
      <c r="AU140" s="414">
        <v>145556</v>
      </c>
      <c r="AV140" s="415">
        <v>145556</v>
      </c>
      <c r="AW140" s="414">
        <f t="shared" si="18"/>
        <v>0</v>
      </c>
    </row>
    <row r="141" spans="1:49" s="172" customFormat="1" x14ac:dyDescent="0.3">
      <c r="A141" s="166" t="s">
        <v>56</v>
      </c>
      <c r="B141" s="167" t="s">
        <v>592</v>
      </c>
      <c r="C141" s="167" t="s">
        <v>385</v>
      </c>
      <c r="D141" s="412" t="s">
        <v>3457</v>
      </c>
      <c r="E141" s="168" t="s">
        <v>373</v>
      </c>
      <c r="F141" s="168" t="s">
        <v>589</v>
      </c>
      <c r="G141" s="168" t="s">
        <v>309</v>
      </c>
      <c r="H141" s="168" t="s">
        <v>373</v>
      </c>
      <c r="I141" s="168" t="s">
        <v>386</v>
      </c>
      <c r="J141" s="168" t="s">
        <v>387</v>
      </c>
      <c r="K141" s="168" t="s">
        <v>1849</v>
      </c>
      <c r="L141" s="167" t="s">
        <v>304</v>
      </c>
      <c r="M141" s="167" t="s">
        <v>305</v>
      </c>
      <c r="N141" s="167">
        <v>11</v>
      </c>
      <c r="O141" s="167" t="s">
        <v>385</v>
      </c>
      <c r="P141" s="167" t="s">
        <v>385</v>
      </c>
      <c r="Q141" s="167" t="s">
        <v>592</v>
      </c>
      <c r="R141" s="166" t="s">
        <v>56</v>
      </c>
      <c r="S141" s="169">
        <v>14995</v>
      </c>
      <c r="T141" s="160">
        <v>17449.349999999999</v>
      </c>
      <c r="U141" s="160">
        <v>0</v>
      </c>
      <c r="V141" s="160">
        <v>69924.899999999994</v>
      </c>
      <c r="W141" s="160">
        <v>-54929.9</v>
      </c>
      <c r="X141" s="161">
        <v>0</v>
      </c>
      <c r="Y141" s="160"/>
      <c r="Z141" s="16">
        <v>466.32</v>
      </c>
      <c r="AA141" s="162">
        <v>69924.899999999994</v>
      </c>
      <c r="AB141" s="162">
        <v>17481.224999999999</v>
      </c>
      <c r="AC141" s="162">
        <v>209774.69999999998</v>
      </c>
      <c r="AD141" s="160"/>
      <c r="AE141" s="145">
        <v>14995</v>
      </c>
      <c r="AF141" s="163">
        <v>1.0529999999999999</v>
      </c>
      <c r="AG141" s="163">
        <v>1.0489999999999999</v>
      </c>
      <c r="AH141" s="163">
        <v>1.0469999999999999</v>
      </c>
      <c r="AI141" s="164">
        <v>14995</v>
      </c>
      <c r="AJ141" s="164">
        <f t="shared" si="19"/>
        <v>0</v>
      </c>
      <c r="AK141" s="229">
        <v>14995</v>
      </c>
      <c r="AL141" s="229">
        <f ca="1">SUMIF('MS &amp; Vacancies combined'!A:O,D141,'MS &amp; Vacancies combined'!O:O)*105.3/100</f>
        <v>176849.79278386978</v>
      </c>
      <c r="AM141" s="229">
        <f t="shared" ca="1" si="16"/>
        <v>185515.43263027939</v>
      </c>
      <c r="AN141" s="229">
        <f t="shared" ca="1" si="17"/>
        <v>194234.65796390251</v>
      </c>
      <c r="AO141" s="166"/>
      <c r="AP141" s="413">
        <f t="shared" ca="1" si="20"/>
        <v>-161854.79278386978</v>
      </c>
      <c r="AR141" s="231"/>
      <c r="AS141" s="231"/>
      <c r="AU141" s="414">
        <v>14995</v>
      </c>
      <c r="AV141" s="415">
        <v>14995</v>
      </c>
      <c r="AW141" s="414">
        <f t="shared" si="18"/>
        <v>0</v>
      </c>
    </row>
    <row r="142" spans="1:49" x14ac:dyDescent="0.3">
      <c r="A142" s="16" t="s">
        <v>58</v>
      </c>
      <c r="B142" s="39" t="s">
        <v>593</v>
      </c>
      <c r="C142" s="39" t="s">
        <v>594</v>
      </c>
      <c r="D142" s="340" t="s">
        <v>3457</v>
      </c>
      <c r="E142" s="159" t="s">
        <v>373</v>
      </c>
      <c r="F142" s="159" t="s">
        <v>589</v>
      </c>
      <c r="G142" s="159" t="s">
        <v>309</v>
      </c>
      <c r="H142" s="159" t="s">
        <v>373</v>
      </c>
      <c r="I142" s="159" t="s">
        <v>595</v>
      </c>
      <c r="J142" s="159" t="s">
        <v>312</v>
      </c>
      <c r="K142" s="159" t="s">
        <v>1849</v>
      </c>
      <c r="L142" s="39" t="s">
        <v>304</v>
      </c>
      <c r="M142" s="39" t="s">
        <v>305</v>
      </c>
      <c r="N142" s="39">
        <v>11</v>
      </c>
      <c r="O142" s="39" t="s">
        <v>594</v>
      </c>
      <c r="P142" s="39" t="s">
        <v>594</v>
      </c>
      <c r="Q142" s="39" t="s">
        <v>593</v>
      </c>
      <c r="R142" s="16" t="s">
        <v>58</v>
      </c>
      <c r="S142" s="169">
        <v>0</v>
      </c>
      <c r="T142" s="160">
        <v>0</v>
      </c>
      <c r="U142" s="160">
        <v>0</v>
      </c>
      <c r="V142" s="160">
        <v>0</v>
      </c>
      <c r="W142" s="160">
        <v>0</v>
      </c>
      <c r="X142" s="161">
        <v>0</v>
      </c>
      <c r="Y142" s="160"/>
      <c r="Z142" s="16">
        <v>0</v>
      </c>
      <c r="AA142" s="162">
        <v>0</v>
      </c>
      <c r="AB142" s="162">
        <v>0</v>
      </c>
      <c r="AC142" s="162">
        <v>0</v>
      </c>
      <c r="AD142" s="160"/>
      <c r="AE142" s="145">
        <v>0</v>
      </c>
      <c r="AF142" s="163">
        <v>1.0469999999999999</v>
      </c>
      <c r="AG142" s="164">
        <v>1.046</v>
      </c>
      <c r="AH142" s="164">
        <v>1.046</v>
      </c>
      <c r="AI142" s="164">
        <v>0</v>
      </c>
      <c r="AJ142" s="164">
        <f t="shared" si="19"/>
        <v>0</v>
      </c>
      <c r="AK142" s="165">
        <v>0</v>
      </c>
      <c r="AL142" s="165">
        <v>0</v>
      </c>
      <c r="AM142" s="165">
        <f t="shared" si="16"/>
        <v>0</v>
      </c>
      <c r="AN142" s="165">
        <f t="shared" si="17"/>
        <v>0</v>
      </c>
      <c r="AO142" s="16"/>
      <c r="AP142" s="231">
        <f t="shared" si="20"/>
        <v>0</v>
      </c>
      <c r="AR142" s="231"/>
      <c r="AS142" s="231"/>
      <c r="AU142" s="230">
        <v>0</v>
      </c>
      <c r="AV142" s="233">
        <v>0</v>
      </c>
      <c r="AW142" s="230">
        <f t="shared" si="18"/>
        <v>0</v>
      </c>
    </row>
    <row r="143" spans="1:49" s="172" customFormat="1" x14ac:dyDescent="0.3">
      <c r="A143" s="166" t="s">
        <v>62</v>
      </c>
      <c r="B143" s="167" t="s">
        <v>596</v>
      </c>
      <c r="C143" s="167" t="s">
        <v>395</v>
      </c>
      <c r="D143" s="412" t="s">
        <v>3457</v>
      </c>
      <c r="E143" s="168" t="s">
        <v>373</v>
      </c>
      <c r="F143" s="168" t="s">
        <v>589</v>
      </c>
      <c r="G143" s="168" t="s">
        <v>309</v>
      </c>
      <c r="H143" s="168" t="s">
        <v>373</v>
      </c>
      <c r="I143" s="168" t="s">
        <v>396</v>
      </c>
      <c r="J143" s="168" t="s">
        <v>312</v>
      </c>
      <c r="K143" s="168" t="s">
        <v>1849</v>
      </c>
      <c r="L143" s="167" t="s">
        <v>304</v>
      </c>
      <c r="M143" s="167" t="s">
        <v>305</v>
      </c>
      <c r="N143" s="167">
        <v>11</v>
      </c>
      <c r="O143" s="167" t="s">
        <v>395</v>
      </c>
      <c r="P143" s="167" t="s">
        <v>395</v>
      </c>
      <c r="Q143" s="167" t="s">
        <v>596</v>
      </c>
      <c r="R143" s="166" t="s">
        <v>62</v>
      </c>
      <c r="S143" s="169">
        <v>271348</v>
      </c>
      <c r="T143" s="160">
        <v>0</v>
      </c>
      <c r="U143" s="160">
        <v>0</v>
      </c>
      <c r="V143" s="160">
        <v>43259</v>
      </c>
      <c r="W143" s="160">
        <v>228089</v>
      </c>
      <c r="X143" s="161">
        <v>0</v>
      </c>
      <c r="Y143" s="160"/>
      <c r="Z143" s="16">
        <v>15.94</v>
      </c>
      <c r="AA143" s="162">
        <v>43259</v>
      </c>
      <c r="AB143" s="162">
        <v>10814.75</v>
      </c>
      <c r="AC143" s="162">
        <v>129777</v>
      </c>
      <c r="AD143" s="160"/>
      <c r="AE143" s="145">
        <v>271348</v>
      </c>
      <c r="AF143" s="163">
        <v>1.0529999999999999</v>
      </c>
      <c r="AG143" s="163">
        <v>1.0489999999999999</v>
      </c>
      <c r="AH143" s="163">
        <v>1.0469999999999999</v>
      </c>
      <c r="AI143" s="164">
        <v>271348</v>
      </c>
      <c r="AJ143" s="164">
        <f t="shared" si="19"/>
        <v>0</v>
      </c>
      <c r="AK143" s="229">
        <v>271348</v>
      </c>
      <c r="AL143" s="229">
        <f ca="1">SUMIF('MS &amp; Vacancies combined'!A:K,D143,'MS &amp; Vacancies combined'!K:K)*105.3/100</f>
        <v>173380.72197542409</v>
      </c>
      <c r="AM143" s="229">
        <f t="shared" ca="1" si="16"/>
        <v>181876.37735221986</v>
      </c>
      <c r="AN143" s="229">
        <f t="shared" ca="1" si="17"/>
        <v>190424.56708777419</v>
      </c>
      <c r="AO143" s="166"/>
      <c r="AP143" s="413">
        <f t="shared" ca="1" si="20"/>
        <v>97967.278024575906</v>
      </c>
      <c r="AR143" s="231"/>
      <c r="AS143" s="231"/>
      <c r="AU143" s="414">
        <v>271348</v>
      </c>
      <c r="AV143" s="415">
        <v>271348</v>
      </c>
      <c r="AW143" s="414">
        <f t="shared" si="18"/>
        <v>0</v>
      </c>
    </row>
    <row r="144" spans="1:49" s="172" customFormat="1" x14ac:dyDescent="0.3">
      <c r="A144" s="166" t="s">
        <v>69</v>
      </c>
      <c r="B144" s="167" t="s">
        <v>597</v>
      </c>
      <c r="C144" s="167" t="s">
        <v>398</v>
      </c>
      <c r="D144" s="412" t="s">
        <v>3457</v>
      </c>
      <c r="E144" s="168" t="s">
        <v>373</v>
      </c>
      <c r="F144" s="168" t="s">
        <v>589</v>
      </c>
      <c r="G144" s="168" t="s">
        <v>309</v>
      </c>
      <c r="H144" s="168" t="s">
        <v>310</v>
      </c>
      <c r="I144" s="168" t="s">
        <v>374</v>
      </c>
      <c r="J144" s="168" t="s">
        <v>312</v>
      </c>
      <c r="K144" s="168" t="s">
        <v>1849</v>
      </c>
      <c r="L144" s="167" t="s">
        <v>304</v>
      </c>
      <c r="M144" s="167" t="s">
        <v>305</v>
      </c>
      <c r="N144" s="167">
        <v>11</v>
      </c>
      <c r="O144" s="167" t="s">
        <v>398</v>
      </c>
      <c r="P144" s="167" t="s">
        <v>398</v>
      </c>
      <c r="Q144" s="167" t="s">
        <v>597</v>
      </c>
      <c r="R144" s="166" t="s">
        <v>69</v>
      </c>
      <c r="S144" s="169">
        <v>1554</v>
      </c>
      <c r="T144" s="160">
        <v>129.6</v>
      </c>
      <c r="U144" s="160">
        <v>0</v>
      </c>
      <c r="V144" s="160">
        <v>518.4</v>
      </c>
      <c r="W144" s="160">
        <v>1035.5999999999999</v>
      </c>
      <c r="X144" s="161">
        <v>0</v>
      </c>
      <c r="Y144" s="160"/>
      <c r="Z144" s="16">
        <v>33.35</v>
      </c>
      <c r="AA144" s="162">
        <v>518.4</v>
      </c>
      <c r="AB144" s="162">
        <v>129.6</v>
      </c>
      <c r="AC144" s="162">
        <v>1555.1999999999998</v>
      </c>
      <c r="AD144" s="160"/>
      <c r="AE144" s="145">
        <v>1554</v>
      </c>
      <c r="AF144" s="163">
        <v>1.0529999999999999</v>
      </c>
      <c r="AG144" s="163">
        <v>1.0489999999999999</v>
      </c>
      <c r="AH144" s="163">
        <v>1.0469999999999999</v>
      </c>
      <c r="AI144" s="164">
        <v>1554</v>
      </c>
      <c r="AJ144" s="164">
        <f t="shared" si="19"/>
        <v>0</v>
      </c>
      <c r="AK144" s="229">
        <v>1554</v>
      </c>
      <c r="AL144" s="229">
        <f ca="1">SUMIF('MS &amp; Vacancies combined'!A:N,D144,'MS &amp; Vacancies combined'!N:N)*105.3/100</f>
        <v>503.32110470144113</v>
      </c>
      <c r="AM144" s="229">
        <f t="shared" ca="1" si="16"/>
        <v>527.98383883181168</v>
      </c>
      <c r="AN144" s="229">
        <f t="shared" ca="1" si="17"/>
        <v>552.79907925690679</v>
      </c>
      <c r="AO144" s="166"/>
      <c r="AP144" s="413">
        <f t="shared" ca="1" si="20"/>
        <v>1050.6788952985589</v>
      </c>
      <c r="AR144" s="231"/>
      <c r="AS144" s="231"/>
      <c r="AU144" s="414">
        <v>1554</v>
      </c>
      <c r="AV144" s="415">
        <v>1554</v>
      </c>
      <c r="AW144" s="414">
        <f t="shared" si="18"/>
        <v>0</v>
      </c>
    </row>
    <row r="145" spans="1:49" s="172" customFormat="1" x14ac:dyDescent="0.3">
      <c r="A145" s="166" t="s">
        <v>70</v>
      </c>
      <c r="B145" s="167" t="s">
        <v>598</v>
      </c>
      <c r="C145" s="167" t="s">
        <v>400</v>
      </c>
      <c r="D145" s="412" t="s">
        <v>3457</v>
      </c>
      <c r="E145" s="168" t="s">
        <v>373</v>
      </c>
      <c r="F145" s="168" t="s">
        <v>589</v>
      </c>
      <c r="G145" s="168" t="s">
        <v>309</v>
      </c>
      <c r="H145" s="168" t="s">
        <v>310</v>
      </c>
      <c r="I145" s="168" t="s">
        <v>401</v>
      </c>
      <c r="J145" s="168" t="s">
        <v>312</v>
      </c>
      <c r="K145" s="168" t="s">
        <v>1849</v>
      </c>
      <c r="L145" s="167" t="s">
        <v>304</v>
      </c>
      <c r="M145" s="167" t="s">
        <v>305</v>
      </c>
      <c r="N145" s="167">
        <v>11</v>
      </c>
      <c r="O145" s="167" t="s">
        <v>400</v>
      </c>
      <c r="P145" s="167" t="s">
        <v>400</v>
      </c>
      <c r="Q145" s="167" t="s">
        <v>598</v>
      </c>
      <c r="R145" s="166" t="s">
        <v>70</v>
      </c>
      <c r="S145" s="169">
        <v>80056</v>
      </c>
      <c r="T145" s="160">
        <v>1110.0999999999999</v>
      </c>
      <c r="U145" s="160">
        <v>0</v>
      </c>
      <c r="V145" s="160">
        <v>4440.3999999999996</v>
      </c>
      <c r="W145" s="160">
        <v>75615.600000000006</v>
      </c>
      <c r="X145" s="161">
        <v>0</v>
      </c>
      <c r="Y145" s="160"/>
      <c r="Z145" s="16">
        <v>5.54</v>
      </c>
      <c r="AA145" s="162">
        <v>4440.3999999999996</v>
      </c>
      <c r="AB145" s="162">
        <v>1110.0999999999999</v>
      </c>
      <c r="AC145" s="162">
        <v>13321.199999999999</v>
      </c>
      <c r="AD145" s="160"/>
      <c r="AE145" s="145">
        <v>80056</v>
      </c>
      <c r="AF145" s="163">
        <v>1.0529999999999999</v>
      </c>
      <c r="AG145" s="163">
        <v>1.0489999999999999</v>
      </c>
      <c r="AH145" s="163">
        <v>1.0469999999999999</v>
      </c>
      <c r="AI145" s="164">
        <v>80056</v>
      </c>
      <c r="AJ145" s="164">
        <f t="shared" si="19"/>
        <v>0</v>
      </c>
      <c r="AK145" s="229">
        <v>80056</v>
      </c>
      <c r="AL145" s="229">
        <f ca="1">SUMIF('MS &amp; Vacancies combined'!A:P,D145,'MS &amp; Vacancies combined'!P:P)*105.3/100</f>
        <v>36409.951614839061</v>
      </c>
      <c r="AM145" s="229">
        <f t="shared" ca="1" si="16"/>
        <v>38194.039243966174</v>
      </c>
      <c r="AN145" s="229">
        <f t="shared" ca="1" si="17"/>
        <v>39989.159088432578</v>
      </c>
      <c r="AO145" s="166"/>
      <c r="AP145" s="413">
        <f t="shared" ca="1" si="20"/>
        <v>43646.048385160939</v>
      </c>
      <c r="AR145" s="231"/>
      <c r="AS145" s="231"/>
      <c r="AU145" s="414">
        <v>80056</v>
      </c>
      <c r="AV145" s="415">
        <v>80056</v>
      </c>
      <c r="AW145" s="414">
        <f t="shared" si="18"/>
        <v>0</v>
      </c>
    </row>
    <row r="146" spans="1:49" s="172" customFormat="1" x14ac:dyDescent="0.3">
      <c r="A146" s="166" t="s">
        <v>71</v>
      </c>
      <c r="B146" s="167" t="s">
        <v>599</v>
      </c>
      <c r="C146" s="167" t="s">
        <v>403</v>
      </c>
      <c r="D146" s="412" t="s">
        <v>3457</v>
      </c>
      <c r="E146" s="168" t="s">
        <v>373</v>
      </c>
      <c r="F146" s="168" t="s">
        <v>589</v>
      </c>
      <c r="G146" s="168" t="s">
        <v>309</v>
      </c>
      <c r="H146" s="168" t="s">
        <v>310</v>
      </c>
      <c r="I146" s="168" t="s">
        <v>404</v>
      </c>
      <c r="J146" s="168" t="s">
        <v>312</v>
      </c>
      <c r="K146" s="168" t="s">
        <v>1849</v>
      </c>
      <c r="L146" s="167" t="s">
        <v>304</v>
      </c>
      <c r="M146" s="167" t="s">
        <v>305</v>
      </c>
      <c r="N146" s="167">
        <v>11</v>
      </c>
      <c r="O146" s="167" t="s">
        <v>403</v>
      </c>
      <c r="P146" s="167" t="s">
        <v>403</v>
      </c>
      <c r="Q146" s="167" t="s">
        <v>599</v>
      </c>
      <c r="R146" s="166" t="s">
        <v>71</v>
      </c>
      <c r="S146" s="169">
        <v>780348</v>
      </c>
      <c r="T146" s="160">
        <v>15118.8</v>
      </c>
      <c r="U146" s="160">
        <v>0</v>
      </c>
      <c r="V146" s="160">
        <v>60475.199999999997</v>
      </c>
      <c r="W146" s="160">
        <v>719872.8</v>
      </c>
      <c r="X146" s="161">
        <v>0</v>
      </c>
      <c r="Y146" s="160"/>
      <c r="Z146" s="16">
        <v>7.74</v>
      </c>
      <c r="AA146" s="162">
        <v>60475.199999999997</v>
      </c>
      <c r="AB146" s="162">
        <v>15118.8</v>
      </c>
      <c r="AC146" s="162">
        <v>181425.59999999998</v>
      </c>
      <c r="AD146" s="160"/>
      <c r="AE146" s="145">
        <v>780348</v>
      </c>
      <c r="AF146" s="163">
        <v>1.0529999999999999</v>
      </c>
      <c r="AG146" s="163">
        <v>1.0489999999999999</v>
      </c>
      <c r="AH146" s="163">
        <v>1.0469999999999999</v>
      </c>
      <c r="AI146" s="164">
        <v>780348</v>
      </c>
      <c r="AJ146" s="164">
        <f t="shared" si="19"/>
        <v>0</v>
      </c>
      <c r="AK146" s="229">
        <v>780348</v>
      </c>
      <c r="AL146" s="229">
        <f ca="1">SUMIF('MS &amp; Vacancies combined'!A:Q,D146,'MS &amp; Vacancies combined'!Q:Q)*105.3/100</f>
        <v>233345.25659630701</v>
      </c>
      <c r="AM146" s="229">
        <f t="shared" ca="1" si="16"/>
        <v>244779.17416952603</v>
      </c>
      <c r="AN146" s="229">
        <f t="shared" ca="1" si="17"/>
        <v>256283.79535549373</v>
      </c>
      <c r="AO146" s="166"/>
      <c r="AP146" s="413">
        <f t="shared" ca="1" si="20"/>
        <v>547002.74340369296</v>
      </c>
      <c r="AR146" s="231"/>
      <c r="AS146" s="231"/>
      <c r="AU146" s="414">
        <v>780348</v>
      </c>
      <c r="AV146" s="415">
        <v>780348</v>
      </c>
      <c r="AW146" s="414">
        <f t="shared" si="18"/>
        <v>0</v>
      </c>
    </row>
    <row r="147" spans="1:49" s="172" customFormat="1" x14ac:dyDescent="0.3">
      <c r="A147" s="166" t="s">
        <v>72</v>
      </c>
      <c r="B147" s="167" t="s">
        <v>600</v>
      </c>
      <c r="C147" s="167" t="s">
        <v>406</v>
      </c>
      <c r="D147" s="412" t="s">
        <v>3457</v>
      </c>
      <c r="E147" s="168" t="s">
        <v>373</v>
      </c>
      <c r="F147" s="168" t="s">
        <v>589</v>
      </c>
      <c r="G147" s="168" t="s">
        <v>309</v>
      </c>
      <c r="H147" s="168" t="s">
        <v>310</v>
      </c>
      <c r="I147" s="168" t="s">
        <v>407</v>
      </c>
      <c r="J147" s="168" t="s">
        <v>312</v>
      </c>
      <c r="K147" s="168" t="s">
        <v>1849</v>
      </c>
      <c r="L147" s="167" t="s">
        <v>304</v>
      </c>
      <c r="M147" s="167" t="s">
        <v>305</v>
      </c>
      <c r="N147" s="167">
        <v>11</v>
      </c>
      <c r="O147" s="167" t="s">
        <v>406</v>
      </c>
      <c r="P147" s="167" t="s">
        <v>406</v>
      </c>
      <c r="Q147" s="167" t="s">
        <v>600</v>
      </c>
      <c r="R147" s="166" t="s">
        <v>72</v>
      </c>
      <c r="S147" s="169">
        <v>850953</v>
      </c>
      <c r="T147" s="160">
        <v>57929.760000000002</v>
      </c>
      <c r="U147" s="160">
        <v>0</v>
      </c>
      <c r="V147" s="160">
        <v>231034.86</v>
      </c>
      <c r="W147" s="160">
        <v>619918.14</v>
      </c>
      <c r="X147" s="161">
        <v>0</v>
      </c>
      <c r="Y147" s="160"/>
      <c r="Z147" s="16">
        <v>27.15</v>
      </c>
      <c r="AA147" s="162">
        <v>231034.86</v>
      </c>
      <c r="AB147" s="162">
        <v>57758.714999999997</v>
      </c>
      <c r="AC147" s="162">
        <v>693104.58</v>
      </c>
      <c r="AD147" s="160"/>
      <c r="AE147" s="145">
        <v>850953</v>
      </c>
      <c r="AF147" s="163">
        <v>1.0529999999999999</v>
      </c>
      <c r="AG147" s="163">
        <v>1.0489999999999999</v>
      </c>
      <c r="AH147" s="163">
        <v>1.0469999999999999</v>
      </c>
      <c r="AI147" s="164">
        <v>850953</v>
      </c>
      <c r="AJ147" s="164">
        <f t="shared" si="19"/>
        <v>0</v>
      </c>
      <c r="AK147" s="229">
        <v>850953</v>
      </c>
      <c r="AL147" s="229">
        <f ca="1">SUMIF('MS &amp; Vacancies combined'!A:R,D147,'MS &amp; Vacancies combined'!R:R)*105.3/100</f>
        <v>375958.75753150956</v>
      </c>
      <c r="AM147" s="229">
        <f t="shared" ca="1" si="16"/>
        <v>394380.73665055353</v>
      </c>
      <c r="AN147" s="229">
        <f t="shared" ca="1" si="17"/>
        <v>412916.63127312955</v>
      </c>
      <c r="AO147" s="166"/>
      <c r="AP147" s="413">
        <f t="shared" ca="1" si="20"/>
        <v>474994.24246849044</v>
      </c>
      <c r="AR147" s="231"/>
      <c r="AS147" s="231"/>
      <c r="AU147" s="414">
        <v>850953</v>
      </c>
      <c r="AV147" s="415">
        <v>850953</v>
      </c>
      <c r="AW147" s="414">
        <f t="shared" si="18"/>
        <v>0</v>
      </c>
    </row>
    <row r="148" spans="1:49" s="172" customFormat="1" x14ac:dyDescent="0.3">
      <c r="A148" s="166" t="s">
        <v>73</v>
      </c>
      <c r="B148" s="167" t="s">
        <v>601</v>
      </c>
      <c r="C148" s="167" t="s">
        <v>307</v>
      </c>
      <c r="D148" s="412" t="s">
        <v>3457</v>
      </c>
      <c r="E148" s="168" t="s">
        <v>373</v>
      </c>
      <c r="F148" s="168" t="s">
        <v>589</v>
      </c>
      <c r="G148" s="168" t="s">
        <v>309</v>
      </c>
      <c r="H148" s="168" t="s">
        <v>310</v>
      </c>
      <c r="I148" s="168" t="s">
        <v>311</v>
      </c>
      <c r="J148" s="168" t="s">
        <v>312</v>
      </c>
      <c r="K148" s="168" t="s">
        <v>1849</v>
      </c>
      <c r="L148" s="167" t="s">
        <v>304</v>
      </c>
      <c r="M148" s="167" t="s">
        <v>305</v>
      </c>
      <c r="N148" s="167">
        <v>11</v>
      </c>
      <c r="O148" s="167" t="s">
        <v>307</v>
      </c>
      <c r="P148" s="167" t="s">
        <v>307</v>
      </c>
      <c r="Q148" s="167" t="s">
        <v>601</v>
      </c>
      <c r="R148" s="166" t="s">
        <v>73</v>
      </c>
      <c r="S148" s="169">
        <v>28957</v>
      </c>
      <c r="T148" s="160">
        <v>1534.8</v>
      </c>
      <c r="U148" s="160">
        <v>0</v>
      </c>
      <c r="V148" s="160">
        <v>6139.2</v>
      </c>
      <c r="W148" s="160">
        <v>22817.8</v>
      </c>
      <c r="X148" s="161">
        <v>0</v>
      </c>
      <c r="Y148" s="160"/>
      <c r="Z148" s="16">
        <v>21.2</v>
      </c>
      <c r="AA148" s="162">
        <v>6139.2</v>
      </c>
      <c r="AB148" s="162">
        <v>1534.8</v>
      </c>
      <c r="AC148" s="162">
        <v>18417.599999999999</v>
      </c>
      <c r="AD148" s="160"/>
      <c r="AE148" s="145">
        <v>28957</v>
      </c>
      <c r="AF148" s="163">
        <v>1.0529999999999999</v>
      </c>
      <c r="AG148" s="163">
        <v>1.0489999999999999</v>
      </c>
      <c r="AH148" s="163">
        <v>1.0469999999999999</v>
      </c>
      <c r="AI148" s="164">
        <v>28957</v>
      </c>
      <c r="AJ148" s="164">
        <f t="shared" si="19"/>
        <v>0</v>
      </c>
      <c r="AK148" s="229">
        <v>28957</v>
      </c>
      <c r="AL148" s="229">
        <f ca="1">SUMIF('MS &amp; Vacancies combined'!A:S,D148,'MS &amp; Vacancies combined'!S:S)*105.3/100</f>
        <v>8254.466117103635</v>
      </c>
      <c r="AM148" s="229">
        <f t="shared" ca="1" si="16"/>
        <v>8658.9349568417128</v>
      </c>
      <c r="AN148" s="229">
        <f t="shared" ca="1" si="17"/>
        <v>9065.904899813273</v>
      </c>
      <c r="AO148" s="166"/>
      <c r="AP148" s="413">
        <f t="shared" ca="1" si="20"/>
        <v>20702.533882896365</v>
      </c>
      <c r="AR148" s="231"/>
      <c r="AS148" s="231"/>
      <c r="AU148" s="414">
        <v>28957</v>
      </c>
      <c r="AV148" s="415">
        <v>28957</v>
      </c>
      <c r="AW148" s="414">
        <f t="shared" si="18"/>
        <v>0</v>
      </c>
    </row>
    <row r="149" spans="1:49" hidden="1" x14ac:dyDescent="0.3">
      <c r="A149" s="16" t="s">
        <v>603</v>
      </c>
      <c r="B149" s="39" t="s">
        <v>602</v>
      </c>
      <c r="C149" s="39" t="s">
        <v>76</v>
      </c>
      <c r="D149" s="340" t="s">
        <v>3457</v>
      </c>
      <c r="E149" s="159" t="s">
        <v>373</v>
      </c>
      <c r="F149" s="159" t="s">
        <v>589</v>
      </c>
      <c r="G149" s="159" t="s">
        <v>309</v>
      </c>
      <c r="H149" s="159" t="s">
        <v>325</v>
      </c>
      <c r="I149" s="159" t="s">
        <v>605</v>
      </c>
      <c r="J149" s="159" t="s">
        <v>312</v>
      </c>
      <c r="K149" s="159" t="s">
        <v>1849</v>
      </c>
      <c r="L149" s="39" t="s">
        <v>304</v>
      </c>
      <c r="M149" s="39" t="s">
        <v>305</v>
      </c>
      <c r="N149" s="39">
        <v>11</v>
      </c>
      <c r="O149" s="39" t="s">
        <v>76</v>
      </c>
      <c r="P149" s="39" t="s">
        <v>604</v>
      </c>
      <c r="Q149" s="39" t="s">
        <v>602</v>
      </c>
      <c r="R149" s="16" t="s">
        <v>603</v>
      </c>
      <c r="S149" s="223">
        <v>2842267</v>
      </c>
      <c r="T149" s="160">
        <v>0</v>
      </c>
      <c r="U149" s="160">
        <v>0</v>
      </c>
      <c r="V149" s="160">
        <v>0</v>
      </c>
      <c r="W149" s="160">
        <v>2842267</v>
      </c>
      <c r="X149" s="161">
        <v>0</v>
      </c>
      <c r="Y149" s="160"/>
      <c r="Z149" s="16">
        <v>0</v>
      </c>
      <c r="AA149" s="162">
        <v>0</v>
      </c>
      <c r="AB149" s="224">
        <v>0</v>
      </c>
      <c r="AC149" s="224">
        <v>0</v>
      </c>
      <c r="AD149" s="223">
        <v>-800000</v>
      </c>
      <c r="AE149" s="145">
        <v>1442267</v>
      </c>
      <c r="AF149" s="163">
        <v>1.0469999999999999</v>
      </c>
      <c r="AG149" s="164">
        <v>1.046</v>
      </c>
      <c r="AH149" s="164">
        <v>1.046</v>
      </c>
      <c r="AI149" s="164">
        <v>2042267</v>
      </c>
      <c r="AJ149" s="164">
        <f t="shared" si="19"/>
        <v>-600000</v>
      </c>
      <c r="AK149" s="165">
        <f>AE149</f>
        <v>1442267</v>
      </c>
      <c r="AL149" s="165">
        <f>AK149</f>
        <v>1442267</v>
      </c>
      <c r="AM149" s="165">
        <f t="shared" si="16"/>
        <v>1508611.2820000001</v>
      </c>
      <c r="AN149" s="165">
        <f t="shared" si="17"/>
        <v>1578007.4009720001</v>
      </c>
      <c r="AO149" s="16"/>
      <c r="AP149" s="231">
        <f t="shared" si="20"/>
        <v>0</v>
      </c>
      <c r="AR149" s="231"/>
      <c r="AS149" s="231"/>
      <c r="AU149" s="230">
        <v>2842267</v>
      </c>
      <c r="AV149" s="233">
        <v>2042267</v>
      </c>
      <c r="AW149" s="230">
        <f t="shared" si="18"/>
        <v>0</v>
      </c>
    </row>
    <row r="150" spans="1:49" hidden="1" x14ac:dyDescent="0.3">
      <c r="A150" s="16" t="s">
        <v>337</v>
      </c>
      <c r="B150" s="39" t="s">
        <v>606</v>
      </c>
      <c r="C150" s="39" t="s">
        <v>82</v>
      </c>
      <c r="D150" s="340" t="s">
        <v>3457</v>
      </c>
      <c r="E150" s="159" t="s">
        <v>373</v>
      </c>
      <c r="F150" s="159" t="s">
        <v>589</v>
      </c>
      <c r="G150" s="159" t="s">
        <v>309</v>
      </c>
      <c r="H150" s="159" t="s">
        <v>334</v>
      </c>
      <c r="I150" s="159" t="s">
        <v>339</v>
      </c>
      <c r="J150" s="159" t="s">
        <v>312</v>
      </c>
      <c r="K150" s="159" t="s">
        <v>1849</v>
      </c>
      <c r="L150" s="39" t="s">
        <v>304</v>
      </c>
      <c r="M150" s="39" t="s">
        <v>305</v>
      </c>
      <c r="N150" s="39">
        <v>11</v>
      </c>
      <c r="O150" s="39" t="s">
        <v>82</v>
      </c>
      <c r="P150" s="39" t="s">
        <v>338</v>
      </c>
      <c r="Q150" s="39" t="s">
        <v>606</v>
      </c>
      <c r="R150" s="16" t="s">
        <v>337</v>
      </c>
      <c r="S150" s="160">
        <v>260000</v>
      </c>
      <c r="T150" s="160">
        <v>0</v>
      </c>
      <c r="U150" s="160">
        <v>58123.91</v>
      </c>
      <c r="V150" s="160">
        <v>193037.5</v>
      </c>
      <c r="W150" s="160">
        <v>66962.5</v>
      </c>
      <c r="X150" s="161">
        <v>73373.91</v>
      </c>
      <c r="Y150" s="160"/>
      <c r="Z150" s="16">
        <v>74.239999999999995</v>
      </c>
      <c r="AA150" s="162">
        <v>251161.41</v>
      </c>
      <c r="AB150" s="162">
        <v>62790.352500000001</v>
      </c>
      <c r="AC150" s="162">
        <v>753484.23</v>
      </c>
      <c r="AD150" s="160">
        <v>800000</v>
      </c>
      <c r="AE150" s="145">
        <v>1060000</v>
      </c>
      <c r="AF150" s="163">
        <v>1.0469999999999999</v>
      </c>
      <c r="AG150" s="164">
        <v>1.046</v>
      </c>
      <c r="AH150" s="164">
        <v>1.046</v>
      </c>
      <c r="AI150" s="164">
        <v>1060000</v>
      </c>
      <c r="AJ150" s="164">
        <f t="shared" si="19"/>
        <v>0</v>
      </c>
      <c r="AK150" s="165">
        <v>1060000</v>
      </c>
      <c r="AL150" s="165">
        <f>AK150</f>
        <v>1060000</v>
      </c>
      <c r="AM150" s="165">
        <f t="shared" si="16"/>
        <v>1108760</v>
      </c>
      <c r="AN150" s="165">
        <f t="shared" si="17"/>
        <v>1159762.96</v>
      </c>
      <c r="AO150" s="16"/>
      <c r="AP150" s="231">
        <f t="shared" si="20"/>
        <v>0</v>
      </c>
      <c r="AR150" s="231"/>
      <c r="AS150" s="231"/>
      <c r="AU150" s="230">
        <v>260000</v>
      </c>
      <c r="AV150" s="233">
        <v>1060000</v>
      </c>
      <c r="AW150" s="230">
        <f t="shared" si="18"/>
        <v>0</v>
      </c>
    </row>
    <row r="151" spans="1:49" hidden="1" x14ac:dyDescent="0.3">
      <c r="A151" s="16" t="s">
        <v>341</v>
      </c>
      <c r="B151" s="39" t="s">
        <v>607</v>
      </c>
      <c r="C151" s="39" t="s">
        <v>82</v>
      </c>
      <c r="D151" s="340" t="s">
        <v>3457</v>
      </c>
      <c r="E151" s="159" t="s">
        <v>373</v>
      </c>
      <c r="F151" s="159" t="s">
        <v>589</v>
      </c>
      <c r="G151" s="159" t="s">
        <v>309</v>
      </c>
      <c r="H151" s="159" t="s">
        <v>334</v>
      </c>
      <c r="I151" s="159" t="s">
        <v>343</v>
      </c>
      <c r="J151" s="159" t="s">
        <v>312</v>
      </c>
      <c r="K151" s="159" t="s">
        <v>1849</v>
      </c>
      <c r="L151" s="39" t="s">
        <v>304</v>
      </c>
      <c r="M151" s="39" t="s">
        <v>305</v>
      </c>
      <c r="N151" s="39">
        <v>11</v>
      </c>
      <c r="O151" s="39" t="s">
        <v>82</v>
      </c>
      <c r="P151" s="39" t="s">
        <v>342</v>
      </c>
      <c r="Q151" s="39" t="s">
        <v>607</v>
      </c>
      <c r="R151" s="16" t="s">
        <v>341</v>
      </c>
      <c r="S151" s="160">
        <v>0</v>
      </c>
      <c r="T151" s="160">
        <v>0</v>
      </c>
      <c r="U151" s="160">
        <v>0</v>
      </c>
      <c r="V151" s="160">
        <v>0</v>
      </c>
      <c r="W151" s="160">
        <v>0</v>
      </c>
      <c r="X151" s="161">
        <v>0</v>
      </c>
      <c r="Y151" s="160"/>
      <c r="Z151" s="16">
        <v>0</v>
      </c>
      <c r="AA151" s="162">
        <v>0</v>
      </c>
      <c r="AB151" s="162">
        <v>0</v>
      </c>
      <c r="AC151" s="162">
        <v>0</v>
      </c>
      <c r="AD151" s="160"/>
      <c r="AE151" s="145">
        <v>0</v>
      </c>
      <c r="AF151" s="163">
        <v>1.0469999999999999</v>
      </c>
      <c r="AG151" s="164">
        <v>1.046</v>
      </c>
      <c r="AH151" s="164">
        <v>1.046</v>
      </c>
      <c r="AI151" s="164">
        <v>0</v>
      </c>
      <c r="AJ151" s="164">
        <f t="shared" si="19"/>
        <v>0</v>
      </c>
      <c r="AK151" s="165">
        <v>0</v>
      </c>
      <c r="AL151" s="165">
        <v>0</v>
      </c>
      <c r="AM151" s="165">
        <f t="shared" si="16"/>
        <v>0</v>
      </c>
      <c r="AN151" s="165">
        <f t="shared" si="17"/>
        <v>0</v>
      </c>
      <c r="AO151" s="16"/>
      <c r="AP151" s="231">
        <f t="shared" si="20"/>
        <v>0</v>
      </c>
      <c r="AR151" s="231"/>
      <c r="AS151" s="231"/>
      <c r="AU151" s="230">
        <v>0</v>
      </c>
      <c r="AV151" s="233">
        <v>0</v>
      </c>
      <c r="AW151" s="230">
        <f t="shared" si="18"/>
        <v>0</v>
      </c>
    </row>
    <row r="152" spans="1:49" hidden="1" x14ac:dyDescent="0.3">
      <c r="A152" s="16" t="s">
        <v>83</v>
      </c>
      <c r="B152" s="39" t="s">
        <v>608</v>
      </c>
      <c r="C152" s="39" t="s">
        <v>423</v>
      </c>
      <c r="D152" s="340" t="s">
        <v>3457</v>
      </c>
      <c r="E152" s="159" t="s">
        <v>373</v>
      </c>
      <c r="F152" s="159" t="s">
        <v>589</v>
      </c>
      <c r="G152" s="159" t="s">
        <v>309</v>
      </c>
      <c r="H152" s="159" t="s">
        <v>424</v>
      </c>
      <c r="I152" s="159" t="s">
        <v>425</v>
      </c>
      <c r="J152" s="159" t="s">
        <v>426</v>
      </c>
      <c r="K152" s="159" t="s">
        <v>1849</v>
      </c>
      <c r="L152" s="39" t="s">
        <v>304</v>
      </c>
      <c r="M152" s="39" t="s">
        <v>305</v>
      </c>
      <c r="N152" s="39">
        <v>11</v>
      </c>
      <c r="O152" s="39" t="s">
        <v>423</v>
      </c>
      <c r="P152" s="39" t="s">
        <v>423</v>
      </c>
      <c r="Q152" s="39" t="s">
        <v>608</v>
      </c>
      <c r="R152" s="16" t="s">
        <v>83</v>
      </c>
      <c r="S152" s="160">
        <v>50000</v>
      </c>
      <c r="T152" s="160">
        <v>964.65</v>
      </c>
      <c r="U152" s="160">
        <v>0</v>
      </c>
      <c r="V152" s="160">
        <v>964.65</v>
      </c>
      <c r="W152" s="160">
        <v>49035.35</v>
      </c>
      <c r="X152" s="161">
        <v>0</v>
      </c>
      <c r="Y152" s="160"/>
      <c r="Z152" s="16">
        <v>1.92</v>
      </c>
      <c r="AA152" s="162">
        <v>964.65</v>
      </c>
      <c r="AB152" s="162">
        <v>241.16249999999999</v>
      </c>
      <c r="AC152" s="162">
        <v>2893.95</v>
      </c>
      <c r="AD152" s="160"/>
      <c r="AE152" s="145">
        <v>50000</v>
      </c>
      <c r="AF152" s="163">
        <v>1.0469999999999999</v>
      </c>
      <c r="AG152" s="164">
        <v>1.046</v>
      </c>
      <c r="AH152" s="164">
        <v>1.046</v>
      </c>
      <c r="AI152" s="164">
        <v>50000</v>
      </c>
      <c r="AJ152" s="164">
        <f t="shared" si="19"/>
        <v>0</v>
      </c>
      <c r="AK152" s="165">
        <v>50000</v>
      </c>
      <c r="AL152" s="165">
        <f>AK152</f>
        <v>50000</v>
      </c>
      <c r="AM152" s="165">
        <f t="shared" si="16"/>
        <v>52300</v>
      </c>
      <c r="AN152" s="165">
        <f t="shared" si="17"/>
        <v>54705.8</v>
      </c>
      <c r="AO152" s="16"/>
      <c r="AP152" s="231">
        <f t="shared" si="20"/>
        <v>0</v>
      </c>
      <c r="AR152" s="231"/>
      <c r="AS152" s="231"/>
      <c r="AU152" s="230">
        <v>50000</v>
      </c>
      <c r="AV152" s="233">
        <v>50000</v>
      </c>
      <c r="AW152" s="230">
        <f t="shared" si="18"/>
        <v>0</v>
      </c>
    </row>
    <row r="153" spans="1:49" hidden="1" x14ac:dyDescent="0.3">
      <c r="A153" s="16" t="s">
        <v>537</v>
      </c>
      <c r="B153" s="39" t="s">
        <v>609</v>
      </c>
      <c r="C153" s="39" t="s">
        <v>423</v>
      </c>
      <c r="D153" s="340" t="s">
        <v>3457</v>
      </c>
      <c r="E153" s="159" t="s">
        <v>373</v>
      </c>
      <c r="F153" s="159" t="s">
        <v>589</v>
      </c>
      <c r="G153" s="159" t="s">
        <v>309</v>
      </c>
      <c r="H153" s="159" t="s">
        <v>424</v>
      </c>
      <c r="I153" s="159" t="s">
        <v>425</v>
      </c>
      <c r="J153" s="159" t="s">
        <v>538</v>
      </c>
      <c r="K153" s="159" t="s">
        <v>1849</v>
      </c>
      <c r="L153" s="39" t="s">
        <v>304</v>
      </c>
      <c r="M153" s="39" t="s">
        <v>305</v>
      </c>
      <c r="N153" s="39">
        <v>11</v>
      </c>
      <c r="O153" s="39" t="s">
        <v>423</v>
      </c>
      <c r="P153" s="39" t="s">
        <v>423</v>
      </c>
      <c r="Q153" s="39" t="s">
        <v>609</v>
      </c>
      <c r="R153" s="16" t="s">
        <v>537</v>
      </c>
      <c r="S153" s="160">
        <v>20000</v>
      </c>
      <c r="T153" s="160">
        <v>0</v>
      </c>
      <c r="U153" s="160">
        <v>0</v>
      </c>
      <c r="V153" s="160">
        <v>0</v>
      </c>
      <c r="W153" s="160">
        <v>20000</v>
      </c>
      <c r="X153" s="161">
        <v>0</v>
      </c>
      <c r="Y153" s="160"/>
      <c r="Z153" s="16">
        <v>0</v>
      </c>
      <c r="AA153" s="162">
        <v>0</v>
      </c>
      <c r="AB153" s="162">
        <v>0</v>
      </c>
      <c r="AC153" s="162">
        <v>0</v>
      </c>
      <c r="AD153" s="160"/>
      <c r="AE153" s="145">
        <v>20000</v>
      </c>
      <c r="AF153" s="163">
        <v>1.0469999999999999</v>
      </c>
      <c r="AG153" s="164">
        <v>1.046</v>
      </c>
      <c r="AH153" s="164">
        <v>1.046</v>
      </c>
      <c r="AI153" s="164">
        <v>20000</v>
      </c>
      <c r="AJ153" s="164">
        <f t="shared" si="19"/>
        <v>0</v>
      </c>
      <c r="AK153" s="165">
        <v>20000</v>
      </c>
      <c r="AL153" s="165">
        <f>AK153</f>
        <v>20000</v>
      </c>
      <c r="AM153" s="165">
        <f t="shared" si="16"/>
        <v>20920</v>
      </c>
      <c r="AN153" s="165">
        <f t="shared" si="17"/>
        <v>21882.32</v>
      </c>
      <c r="AO153" s="16"/>
      <c r="AP153" s="231">
        <f t="shared" si="20"/>
        <v>0</v>
      </c>
      <c r="AR153" s="231"/>
      <c r="AS153" s="231"/>
      <c r="AU153" s="230">
        <v>20000</v>
      </c>
      <c r="AV153" s="233">
        <v>20000</v>
      </c>
      <c r="AW153" s="230">
        <f t="shared" si="18"/>
        <v>0</v>
      </c>
    </row>
    <row r="154" spans="1:49" s="172" customFormat="1" x14ac:dyDescent="0.3">
      <c r="A154" s="166" t="s">
        <v>50</v>
      </c>
      <c r="B154" s="167" t="s">
        <v>610</v>
      </c>
      <c r="C154" s="167" t="s">
        <v>302</v>
      </c>
      <c r="D154" s="412" t="s">
        <v>3458</v>
      </c>
      <c r="E154" s="168" t="s">
        <v>373</v>
      </c>
      <c r="F154" s="168" t="s">
        <v>611</v>
      </c>
      <c r="G154" s="168" t="s">
        <v>309</v>
      </c>
      <c r="H154" s="168" t="s">
        <v>373</v>
      </c>
      <c r="I154" s="168" t="s">
        <v>374</v>
      </c>
      <c r="J154" s="168" t="s">
        <v>312</v>
      </c>
      <c r="K154" s="168" t="s">
        <v>1849</v>
      </c>
      <c r="L154" s="167" t="s">
        <v>304</v>
      </c>
      <c r="M154" s="167" t="s">
        <v>305</v>
      </c>
      <c r="N154" s="167">
        <v>11</v>
      </c>
      <c r="O154" s="167" t="s">
        <v>302</v>
      </c>
      <c r="P154" s="167" t="s">
        <v>302</v>
      </c>
      <c r="Q154" s="167" t="s">
        <v>610</v>
      </c>
      <c r="R154" s="166" t="s">
        <v>50</v>
      </c>
      <c r="S154" s="169">
        <v>3003275</v>
      </c>
      <c r="T154" s="160">
        <v>195984.95</v>
      </c>
      <c r="U154" s="160">
        <v>0</v>
      </c>
      <c r="V154" s="160">
        <v>743097.09</v>
      </c>
      <c r="W154" s="160">
        <v>2260177.91</v>
      </c>
      <c r="X154" s="161">
        <v>0</v>
      </c>
      <c r="Y154" s="160"/>
      <c r="Z154" s="16">
        <v>24.74</v>
      </c>
      <c r="AA154" s="162">
        <v>743097.09</v>
      </c>
      <c r="AB154" s="162">
        <v>185774.27249999999</v>
      </c>
      <c r="AC154" s="162">
        <v>2229291.27</v>
      </c>
      <c r="AD154" s="160"/>
      <c r="AE154" s="228">
        <v>3003275</v>
      </c>
      <c r="AF154" s="163">
        <v>1.0529999999999999</v>
      </c>
      <c r="AG154" s="163">
        <v>1.0489999999999999</v>
      </c>
      <c r="AH154" s="163">
        <v>1.0469999999999999</v>
      </c>
      <c r="AI154" s="164">
        <v>3003275</v>
      </c>
      <c r="AJ154" s="164">
        <f t="shared" si="19"/>
        <v>0</v>
      </c>
      <c r="AK154" s="229">
        <v>3003275</v>
      </c>
      <c r="AL154" s="229">
        <f ca="1">SUMIF('MS &amp; Vacancies combined'!A:J,D154,'MS &amp; Vacancies combined'!J:J)*105.3/100</f>
        <v>3076119.1672821431</v>
      </c>
      <c r="AM154" s="229">
        <f t="shared" ca="1" si="16"/>
        <v>3226849.0064789681</v>
      </c>
      <c r="AN154" s="229">
        <f t="shared" ca="1" si="17"/>
        <v>3378510.9097834793</v>
      </c>
      <c r="AO154" s="166"/>
      <c r="AP154" s="413">
        <f t="shared" ca="1" si="20"/>
        <v>-72844.167282143142</v>
      </c>
      <c r="AR154" s="231"/>
      <c r="AS154" s="231"/>
      <c r="AU154" s="414">
        <v>3003275</v>
      </c>
      <c r="AV154" s="415">
        <v>3003275</v>
      </c>
      <c r="AW154" s="414">
        <f t="shared" si="18"/>
        <v>0</v>
      </c>
    </row>
    <row r="155" spans="1:49" s="172" customFormat="1" x14ac:dyDescent="0.3">
      <c r="A155" s="166" t="s">
        <v>52</v>
      </c>
      <c r="B155" s="167" t="s">
        <v>612</v>
      </c>
      <c r="C155" s="167" t="s">
        <v>376</v>
      </c>
      <c r="D155" s="412" t="s">
        <v>3458</v>
      </c>
      <c r="E155" s="168" t="s">
        <v>373</v>
      </c>
      <c r="F155" s="168" t="s">
        <v>611</v>
      </c>
      <c r="G155" s="168" t="s">
        <v>309</v>
      </c>
      <c r="H155" s="168" t="s">
        <v>373</v>
      </c>
      <c r="I155" s="168" t="s">
        <v>377</v>
      </c>
      <c r="J155" s="168" t="s">
        <v>312</v>
      </c>
      <c r="K155" s="168" t="s">
        <v>1849</v>
      </c>
      <c r="L155" s="167" t="s">
        <v>304</v>
      </c>
      <c r="M155" s="167" t="s">
        <v>305</v>
      </c>
      <c r="N155" s="167">
        <v>11</v>
      </c>
      <c r="O155" s="167" t="s">
        <v>376</v>
      </c>
      <c r="P155" s="167" t="s">
        <v>376</v>
      </c>
      <c r="Q155" s="167" t="s">
        <v>612</v>
      </c>
      <c r="R155" s="166" t="s">
        <v>52</v>
      </c>
      <c r="S155" s="169">
        <v>9432</v>
      </c>
      <c r="T155" s="160">
        <v>750</v>
      </c>
      <c r="U155" s="160">
        <v>0</v>
      </c>
      <c r="V155" s="160">
        <v>3000</v>
      </c>
      <c r="W155" s="160">
        <v>6432</v>
      </c>
      <c r="X155" s="161">
        <v>0</v>
      </c>
      <c r="Y155" s="160"/>
      <c r="Z155" s="16">
        <v>31.8</v>
      </c>
      <c r="AA155" s="162">
        <v>3000</v>
      </c>
      <c r="AB155" s="162">
        <v>750</v>
      </c>
      <c r="AC155" s="162">
        <v>9000</v>
      </c>
      <c r="AD155" s="160"/>
      <c r="AE155" s="145">
        <v>9432</v>
      </c>
      <c r="AF155" s="163">
        <v>1.0529999999999999</v>
      </c>
      <c r="AG155" s="163">
        <v>1.0489999999999999</v>
      </c>
      <c r="AH155" s="163">
        <v>1.0469999999999999</v>
      </c>
      <c r="AI155" s="164">
        <v>9432</v>
      </c>
      <c r="AJ155" s="164">
        <f t="shared" si="19"/>
        <v>0</v>
      </c>
      <c r="AK155" s="229">
        <v>9432</v>
      </c>
      <c r="AL155" s="229">
        <f ca="1">SUMIF('MS &amp; Vacancies combined'!A:M,D155,'MS &amp; Vacancies combined'!M:M)*105.3/100</f>
        <v>8738.2136232889079</v>
      </c>
      <c r="AM155" s="229">
        <f t="shared" ca="1" si="16"/>
        <v>9166.386090830063</v>
      </c>
      <c r="AN155" s="229">
        <f t="shared" ca="1" si="17"/>
        <v>9597.2062370990752</v>
      </c>
      <c r="AO155" s="166"/>
      <c r="AP155" s="413">
        <f t="shared" ca="1" si="20"/>
        <v>693.78637671109209</v>
      </c>
      <c r="AR155" s="231"/>
      <c r="AS155" s="231"/>
      <c r="AU155" s="414">
        <v>9432</v>
      </c>
      <c r="AV155" s="415">
        <v>9432</v>
      </c>
      <c r="AW155" s="414">
        <f t="shared" si="18"/>
        <v>0</v>
      </c>
    </row>
    <row r="156" spans="1:49" s="172" customFormat="1" x14ac:dyDescent="0.3">
      <c r="A156" s="166" t="s">
        <v>54</v>
      </c>
      <c r="B156" s="167" t="s">
        <v>613</v>
      </c>
      <c r="C156" s="167" t="s">
        <v>379</v>
      </c>
      <c r="D156" s="412" t="s">
        <v>3458</v>
      </c>
      <c r="E156" s="168" t="s">
        <v>373</v>
      </c>
      <c r="F156" s="168" t="s">
        <v>611</v>
      </c>
      <c r="G156" s="168" t="s">
        <v>309</v>
      </c>
      <c r="H156" s="168" t="s">
        <v>373</v>
      </c>
      <c r="I156" s="168" t="s">
        <v>380</v>
      </c>
      <c r="J156" s="168" t="s">
        <v>312</v>
      </c>
      <c r="K156" s="168" t="s">
        <v>1849</v>
      </c>
      <c r="L156" s="167" t="s">
        <v>304</v>
      </c>
      <c r="M156" s="167" t="s">
        <v>305</v>
      </c>
      <c r="N156" s="167">
        <v>11</v>
      </c>
      <c r="O156" s="167" t="s">
        <v>379</v>
      </c>
      <c r="P156" s="167" t="s">
        <v>379</v>
      </c>
      <c r="Q156" s="167" t="s">
        <v>613</v>
      </c>
      <c r="R156" s="166" t="s">
        <v>54</v>
      </c>
      <c r="S156" s="169">
        <v>72778</v>
      </c>
      <c r="T156" s="160">
        <v>2023.54</v>
      </c>
      <c r="U156" s="160">
        <v>0</v>
      </c>
      <c r="V156" s="160">
        <v>8094.16</v>
      </c>
      <c r="W156" s="160">
        <v>64683.839999999997</v>
      </c>
      <c r="X156" s="161">
        <v>0</v>
      </c>
      <c r="Y156" s="160"/>
      <c r="Z156" s="16">
        <v>11.12</v>
      </c>
      <c r="AA156" s="162">
        <v>8094.16</v>
      </c>
      <c r="AB156" s="162">
        <v>2023.54</v>
      </c>
      <c r="AC156" s="162">
        <v>24282.48</v>
      </c>
      <c r="AD156" s="160"/>
      <c r="AE156" s="145">
        <v>72778</v>
      </c>
      <c r="AF156" s="163">
        <v>1.0529999999999999</v>
      </c>
      <c r="AG156" s="163">
        <v>1.0489999999999999</v>
      </c>
      <c r="AH156" s="163">
        <v>1.0469999999999999</v>
      </c>
      <c r="AI156" s="164">
        <v>72778</v>
      </c>
      <c r="AJ156" s="164">
        <f t="shared" si="19"/>
        <v>0</v>
      </c>
      <c r="AK156" s="229">
        <v>72778</v>
      </c>
      <c r="AL156" s="229">
        <f ca="1">SUMIF('MS &amp; Vacancies combined'!A:L,D156,'MS &amp; Vacancies combined'!L:L)*105.3/100</f>
        <v>70728.499181080129</v>
      </c>
      <c r="AM156" s="229">
        <f t="shared" ca="1" si="16"/>
        <v>74194.195640953054</v>
      </c>
      <c r="AN156" s="229">
        <f t="shared" ca="1" si="17"/>
        <v>77681.322836077845</v>
      </c>
      <c r="AO156" s="166"/>
      <c r="AP156" s="413">
        <f t="shared" ca="1" si="20"/>
        <v>2049.5008189198707</v>
      </c>
      <c r="AR156" s="231"/>
      <c r="AS156" s="231"/>
      <c r="AU156" s="414">
        <v>72778</v>
      </c>
      <c r="AV156" s="415">
        <v>72778</v>
      </c>
      <c r="AW156" s="414">
        <f t="shared" si="18"/>
        <v>0</v>
      </c>
    </row>
    <row r="157" spans="1:49" x14ac:dyDescent="0.3">
      <c r="A157" s="16" t="s">
        <v>55</v>
      </c>
      <c r="B157" s="39" t="s">
        <v>614</v>
      </c>
      <c r="C157" s="39" t="s">
        <v>382</v>
      </c>
      <c r="D157" s="340" t="s">
        <v>3458</v>
      </c>
      <c r="E157" s="159" t="s">
        <v>373</v>
      </c>
      <c r="F157" s="159" t="s">
        <v>611</v>
      </c>
      <c r="G157" s="159" t="s">
        <v>309</v>
      </c>
      <c r="H157" s="159" t="s">
        <v>373</v>
      </c>
      <c r="I157" s="159" t="s">
        <v>383</v>
      </c>
      <c r="J157" s="159" t="s">
        <v>312</v>
      </c>
      <c r="K157" s="159" t="s">
        <v>1849</v>
      </c>
      <c r="L157" s="39" t="s">
        <v>304</v>
      </c>
      <c r="M157" s="39" t="s">
        <v>305</v>
      </c>
      <c r="N157" s="39">
        <v>11</v>
      </c>
      <c r="O157" s="39" t="s">
        <v>382</v>
      </c>
      <c r="P157" s="39" t="s">
        <v>382</v>
      </c>
      <c r="Q157" s="39" t="s">
        <v>614</v>
      </c>
      <c r="R157" s="16" t="s">
        <v>55</v>
      </c>
      <c r="S157" s="169">
        <v>0</v>
      </c>
      <c r="T157" s="160">
        <v>0</v>
      </c>
      <c r="U157" s="160">
        <v>0</v>
      </c>
      <c r="V157" s="160">
        <v>0</v>
      </c>
      <c r="W157" s="160">
        <v>0</v>
      </c>
      <c r="X157" s="161">
        <v>0</v>
      </c>
      <c r="Y157" s="160"/>
      <c r="Z157" s="16">
        <v>0</v>
      </c>
      <c r="AA157" s="162">
        <v>0</v>
      </c>
      <c r="AB157" s="162">
        <v>0</v>
      </c>
      <c r="AC157" s="162">
        <v>0</v>
      </c>
      <c r="AD157" s="160"/>
      <c r="AE157" s="145">
        <v>0</v>
      </c>
      <c r="AF157" s="163">
        <v>1.0469999999999999</v>
      </c>
      <c r="AG157" s="164">
        <v>1.046</v>
      </c>
      <c r="AH157" s="164">
        <v>1.046</v>
      </c>
      <c r="AI157" s="164">
        <v>0</v>
      </c>
      <c r="AJ157" s="164">
        <f t="shared" si="19"/>
        <v>0</v>
      </c>
      <c r="AK157" s="165">
        <v>0</v>
      </c>
      <c r="AL157" s="165">
        <v>0</v>
      </c>
      <c r="AM157" s="165">
        <f t="shared" si="16"/>
        <v>0</v>
      </c>
      <c r="AN157" s="165">
        <f t="shared" si="17"/>
        <v>0</v>
      </c>
      <c r="AO157" s="16"/>
      <c r="AP157" s="231">
        <f t="shared" si="20"/>
        <v>0</v>
      </c>
      <c r="AR157" s="231"/>
      <c r="AS157" s="231"/>
      <c r="AU157" s="230">
        <v>0</v>
      </c>
      <c r="AV157" s="233">
        <v>0</v>
      </c>
      <c r="AW157" s="230">
        <f t="shared" si="18"/>
        <v>0</v>
      </c>
    </row>
    <row r="158" spans="1:49" x14ac:dyDescent="0.3">
      <c r="A158" s="16" t="s">
        <v>508</v>
      </c>
      <c r="B158" s="39" t="s">
        <v>615</v>
      </c>
      <c r="C158" s="39" t="s">
        <v>385</v>
      </c>
      <c r="D158" s="340" t="s">
        <v>3458</v>
      </c>
      <c r="E158" s="159" t="s">
        <v>373</v>
      </c>
      <c r="F158" s="159" t="s">
        <v>611</v>
      </c>
      <c r="G158" s="159" t="s">
        <v>309</v>
      </c>
      <c r="H158" s="159" t="s">
        <v>373</v>
      </c>
      <c r="I158" s="159" t="s">
        <v>386</v>
      </c>
      <c r="J158" s="159" t="s">
        <v>312</v>
      </c>
      <c r="K158" s="159" t="s">
        <v>1849</v>
      </c>
      <c r="L158" s="39" t="s">
        <v>304</v>
      </c>
      <c r="M158" s="39" t="s">
        <v>305</v>
      </c>
      <c r="N158" s="39">
        <v>11</v>
      </c>
      <c r="O158" s="39" t="s">
        <v>385</v>
      </c>
      <c r="P158" s="39" t="s">
        <v>385</v>
      </c>
      <c r="Q158" s="39" t="s">
        <v>615</v>
      </c>
      <c r="R158" s="16" t="s">
        <v>508</v>
      </c>
      <c r="S158" s="169">
        <v>0</v>
      </c>
      <c r="T158" s="160">
        <v>0</v>
      </c>
      <c r="U158" s="160">
        <v>0</v>
      </c>
      <c r="V158" s="160">
        <v>0</v>
      </c>
      <c r="W158" s="160">
        <v>0</v>
      </c>
      <c r="X158" s="161">
        <v>0</v>
      </c>
      <c r="Y158" s="160"/>
      <c r="Z158" s="16">
        <v>0</v>
      </c>
      <c r="AA158" s="162">
        <v>0</v>
      </c>
      <c r="AB158" s="162">
        <v>0</v>
      </c>
      <c r="AC158" s="162">
        <v>0</v>
      </c>
      <c r="AD158" s="160"/>
      <c r="AE158" s="145">
        <v>0</v>
      </c>
      <c r="AF158" s="163">
        <v>1.0469999999999999</v>
      </c>
      <c r="AG158" s="164">
        <v>1.046</v>
      </c>
      <c r="AH158" s="164">
        <v>1.046</v>
      </c>
      <c r="AI158" s="164">
        <v>0</v>
      </c>
      <c r="AJ158" s="164">
        <f t="shared" si="19"/>
        <v>0</v>
      </c>
      <c r="AK158" s="165">
        <v>0</v>
      </c>
      <c r="AL158" s="165">
        <v>0</v>
      </c>
      <c r="AM158" s="165">
        <f t="shared" si="16"/>
        <v>0</v>
      </c>
      <c r="AN158" s="165">
        <f t="shared" si="17"/>
        <v>0</v>
      </c>
      <c r="AO158" s="16"/>
      <c r="AP158" s="231">
        <f t="shared" si="20"/>
        <v>0</v>
      </c>
      <c r="AR158" s="231"/>
      <c r="AS158" s="231"/>
      <c r="AU158" s="230">
        <v>0</v>
      </c>
      <c r="AV158" s="233">
        <v>0</v>
      </c>
      <c r="AW158" s="230">
        <f t="shared" si="18"/>
        <v>0</v>
      </c>
    </row>
    <row r="159" spans="1:49" s="172" customFormat="1" x14ac:dyDescent="0.3">
      <c r="A159" s="166" t="s">
        <v>56</v>
      </c>
      <c r="B159" s="167" t="s">
        <v>616</v>
      </c>
      <c r="C159" s="167" t="s">
        <v>385</v>
      </c>
      <c r="D159" s="412" t="s">
        <v>3458</v>
      </c>
      <c r="E159" s="168" t="s">
        <v>373</v>
      </c>
      <c r="F159" s="168" t="s">
        <v>611</v>
      </c>
      <c r="G159" s="168" t="s">
        <v>309</v>
      </c>
      <c r="H159" s="168" t="s">
        <v>373</v>
      </c>
      <c r="I159" s="168" t="s">
        <v>386</v>
      </c>
      <c r="J159" s="168" t="s">
        <v>387</v>
      </c>
      <c r="K159" s="168" t="s">
        <v>1849</v>
      </c>
      <c r="L159" s="167" t="s">
        <v>304</v>
      </c>
      <c r="M159" s="167" t="s">
        <v>305</v>
      </c>
      <c r="N159" s="167">
        <v>11</v>
      </c>
      <c r="O159" s="167" t="s">
        <v>385</v>
      </c>
      <c r="P159" s="167" t="s">
        <v>385</v>
      </c>
      <c r="Q159" s="167" t="s">
        <v>616</v>
      </c>
      <c r="R159" s="166" t="s">
        <v>56</v>
      </c>
      <c r="S159" s="169">
        <v>36301</v>
      </c>
      <c r="T159" s="160">
        <v>37199.9</v>
      </c>
      <c r="U159" s="160">
        <v>0</v>
      </c>
      <c r="V159" s="160">
        <v>151419.70000000001</v>
      </c>
      <c r="W159" s="160">
        <v>-115118.7</v>
      </c>
      <c r="X159" s="161">
        <v>0</v>
      </c>
      <c r="Y159" s="160"/>
      <c r="Z159" s="16">
        <v>417.12</v>
      </c>
      <c r="AA159" s="162">
        <v>151419.70000000001</v>
      </c>
      <c r="AB159" s="162">
        <v>37854.925000000003</v>
      </c>
      <c r="AC159" s="162">
        <v>454259.10000000003</v>
      </c>
      <c r="AD159" s="160"/>
      <c r="AE159" s="145">
        <v>36301</v>
      </c>
      <c r="AF159" s="163">
        <v>1.0529999999999999</v>
      </c>
      <c r="AG159" s="163">
        <v>1.0489999999999999</v>
      </c>
      <c r="AH159" s="163">
        <v>1.0469999999999999</v>
      </c>
      <c r="AI159" s="164">
        <v>36301</v>
      </c>
      <c r="AJ159" s="164">
        <f t="shared" si="19"/>
        <v>0</v>
      </c>
      <c r="AK159" s="229">
        <v>36301</v>
      </c>
      <c r="AL159" s="229">
        <f ca="1">SUMIF('MS &amp; Vacancies combined'!A:O,D159,'MS &amp; Vacancies combined'!O:O)*105.3/100</f>
        <v>439794.29166013072</v>
      </c>
      <c r="AM159" s="229">
        <f ca="1">AL159*AG159</f>
        <v>461344.2119514771</v>
      </c>
      <c r="AN159" s="229">
        <f ca="1">AM159*AH159</f>
        <v>483027.3899131965</v>
      </c>
      <c r="AO159" s="166"/>
      <c r="AP159" s="413">
        <f t="shared" ca="1" si="20"/>
        <v>-403493.29166013072</v>
      </c>
      <c r="AR159" s="231"/>
      <c r="AS159" s="231"/>
      <c r="AU159" s="414">
        <v>36301</v>
      </c>
      <c r="AV159" s="415">
        <v>36301</v>
      </c>
      <c r="AW159" s="414">
        <f t="shared" si="18"/>
        <v>0</v>
      </c>
    </row>
    <row r="160" spans="1:49" x14ac:dyDescent="0.3">
      <c r="A160" s="16" t="s">
        <v>57</v>
      </c>
      <c r="B160" s="39" t="s">
        <v>617</v>
      </c>
      <c r="C160" s="39" t="s">
        <v>389</v>
      </c>
      <c r="D160" s="340" t="s">
        <v>3458</v>
      </c>
      <c r="E160" s="159" t="s">
        <v>373</v>
      </c>
      <c r="F160" s="159" t="s">
        <v>611</v>
      </c>
      <c r="G160" s="159" t="s">
        <v>309</v>
      </c>
      <c r="H160" s="159" t="s">
        <v>373</v>
      </c>
      <c r="I160" s="159" t="s">
        <v>390</v>
      </c>
      <c r="J160" s="159" t="s">
        <v>312</v>
      </c>
      <c r="K160" s="159" t="s">
        <v>1849</v>
      </c>
      <c r="L160" s="39" t="s">
        <v>304</v>
      </c>
      <c r="M160" s="39" t="s">
        <v>305</v>
      </c>
      <c r="N160" s="39">
        <v>11</v>
      </c>
      <c r="O160" s="39" t="s">
        <v>389</v>
      </c>
      <c r="P160" s="39" t="s">
        <v>389</v>
      </c>
      <c r="Q160" s="39" t="s">
        <v>617</v>
      </c>
      <c r="R160" s="16" t="s">
        <v>57</v>
      </c>
      <c r="S160" s="169">
        <v>18216</v>
      </c>
      <c r="T160" s="160">
        <v>0</v>
      </c>
      <c r="U160" s="160">
        <v>0</v>
      </c>
      <c r="V160" s="160">
        <v>38595.160000000003</v>
      </c>
      <c r="W160" s="160">
        <v>-20379.16</v>
      </c>
      <c r="X160" s="161">
        <v>0</v>
      </c>
      <c r="Y160" s="160"/>
      <c r="Z160" s="16">
        <v>211.87</v>
      </c>
      <c r="AA160" s="162">
        <v>38595.160000000003</v>
      </c>
      <c r="AB160" s="162">
        <v>9648.7900000000009</v>
      </c>
      <c r="AC160" s="162">
        <v>115785.48000000001</v>
      </c>
      <c r="AD160" s="160"/>
      <c r="AE160" s="145">
        <v>18216</v>
      </c>
      <c r="AF160" s="421">
        <v>1.0529999999999999</v>
      </c>
      <c r="AG160" s="421">
        <v>1.0489999999999999</v>
      </c>
      <c r="AH160" s="421">
        <v>1.0469999999999999</v>
      </c>
      <c r="AI160" s="164">
        <v>18216</v>
      </c>
      <c r="AJ160" s="164">
        <f t="shared" si="19"/>
        <v>0</v>
      </c>
      <c r="AK160" s="165">
        <v>18216</v>
      </c>
      <c r="AL160" s="165">
        <f>AK160*80%</f>
        <v>14572.800000000001</v>
      </c>
      <c r="AM160" s="165">
        <f t="shared" si="16"/>
        <v>15286.867200000001</v>
      </c>
      <c r="AN160" s="165">
        <f t="shared" si="17"/>
        <v>16005.3499584</v>
      </c>
      <c r="AO160" s="16"/>
      <c r="AP160" s="231">
        <f t="shared" si="20"/>
        <v>3643.1999999999989</v>
      </c>
      <c r="AR160" s="231"/>
      <c r="AS160" s="231"/>
      <c r="AU160" s="230">
        <v>18216</v>
      </c>
      <c r="AV160" s="233">
        <v>18216</v>
      </c>
      <c r="AW160" s="230">
        <f t="shared" si="18"/>
        <v>0</v>
      </c>
    </row>
    <row r="161" spans="1:49" x14ac:dyDescent="0.3">
      <c r="A161" s="16" t="s">
        <v>60</v>
      </c>
      <c r="B161" s="39" t="s">
        <v>618</v>
      </c>
      <c r="C161" s="39" t="s">
        <v>392</v>
      </c>
      <c r="D161" s="340" t="s">
        <v>3458</v>
      </c>
      <c r="E161" s="159" t="s">
        <v>373</v>
      </c>
      <c r="F161" s="159" t="s">
        <v>611</v>
      </c>
      <c r="G161" s="159" t="s">
        <v>309</v>
      </c>
      <c r="H161" s="159" t="s">
        <v>373</v>
      </c>
      <c r="I161" s="159" t="s">
        <v>393</v>
      </c>
      <c r="J161" s="159" t="s">
        <v>312</v>
      </c>
      <c r="K161" s="159" t="s">
        <v>1849</v>
      </c>
      <c r="L161" s="39" t="s">
        <v>304</v>
      </c>
      <c r="M161" s="39" t="s">
        <v>305</v>
      </c>
      <c r="N161" s="39">
        <v>11</v>
      </c>
      <c r="O161" s="39" t="s">
        <v>392</v>
      </c>
      <c r="P161" s="39" t="s">
        <v>392</v>
      </c>
      <c r="Q161" s="39" t="s">
        <v>618</v>
      </c>
      <c r="R161" s="16" t="s">
        <v>60</v>
      </c>
      <c r="S161" s="169">
        <v>1196</v>
      </c>
      <c r="T161" s="160">
        <v>0</v>
      </c>
      <c r="U161" s="160">
        <v>0</v>
      </c>
      <c r="V161" s="160">
        <v>578.89</v>
      </c>
      <c r="W161" s="160">
        <v>617.11</v>
      </c>
      <c r="X161" s="161">
        <v>0</v>
      </c>
      <c r="Y161" s="160"/>
      <c r="Z161" s="16">
        <v>48.4</v>
      </c>
      <c r="AA161" s="162">
        <v>578.89</v>
      </c>
      <c r="AB161" s="162">
        <v>144.7225</v>
      </c>
      <c r="AC161" s="162">
        <v>1736.67</v>
      </c>
      <c r="AD161" s="160"/>
      <c r="AE161" s="145">
        <v>1196</v>
      </c>
      <c r="AF161" s="421">
        <v>1.0529999999999999</v>
      </c>
      <c r="AG161" s="421">
        <v>1.0489999999999999</v>
      </c>
      <c r="AH161" s="421">
        <v>1.0469999999999999</v>
      </c>
      <c r="AI161" s="164">
        <v>1196</v>
      </c>
      <c r="AJ161" s="164">
        <f t="shared" si="19"/>
        <v>0</v>
      </c>
      <c r="AK161" s="165">
        <v>1196</v>
      </c>
      <c r="AL161" s="165">
        <f>AK161*AF161</f>
        <v>1259.3879999999999</v>
      </c>
      <c r="AM161" s="165">
        <f t="shared" si="16"/>
        <v>1321.0980119999999</v>
      </c>
      <c r="AN161" s="165">
        <f t="shared" si="17"/>
        <v>1383.1896185639998</v>
      </c>
      <c r="AO161" s="16"/>
      <c r="AP161" s="231">
        <f t="shared" si="20"/>
        <v>-63.38799999999992</v>
      </c>
      <c r="AR161" s="231"/>
      <c r="AS161" s="231"/>
      <c r="AU161" s="230">
        <v>1196</v>
      </c>
      <c r="AV161" s="233">
        <v>1196</v>
      </c>
      <c r="AW161" s="230">
        <f t="shared" si="18"/>
        <v>0</v>
      </c>
    </row>
    <row r="162" spans="1:49" s="172" customFormat="1" x14ac:dyDescent="0.3">
      <c r="A162" s="166" t="s">
        <v>62</v>
      </c>
      <c r="B162" s="167" t="s">
        <v>619</v>
      </c>
      <c r="C162" s="167" t="s">
        <v>395</v>
      </c>
      <c r="D162" s="412" t="s">
        <v>3458</v>
      </c>
      <c r="E162" s="168" t="s">
        <v>373</v>
      </c>
      <c r="F162" s="168" t="s">
        <v>611</v>
      </c>
      <c r="G162" s="168" t="s">
        <v>309</v>
      </c>
      <c r="H162" s="168" t="s">
        <v>373</v>
      </c>
      <c r="I162" s="168" t="s">
        <v>396</v>
      </c>
      <c r="J162" s="168" t="s">
        <v>312</v>
      </c>
      <c r="K162" s="168" t="s">
        <v>1849</v>
      </c>
      <c r="L162" s="167" t="s">
        <v>304</v>
      </c>
      <c r="M162" s="167" t="s">
        <v>305</v>
      </c>
      <c r="N162" s="167">
        <v>11</v>
      </c>
      <c r="O162" s="167" t="s">
        <v>395</v>
      </c>
      <c r="P162" s="167" t="s">
        <v>395</v>
      </c>
      <c r="Q162" s="167" t="s">
        <v>619</v>
      </c>
      <c r="R162" s="166" t="s">
        <v>62</v>
      </c>
      <c r="S162" s="169">
        <v>250273</v>
      </c>
      <c r="T162" s="160">
        <v>0</v>
      </c>
      <c r="U162" s="160">
        <v>0</v>
      </c>
      <c r="V162" s="160">
        <v>0</v>
      </c>
      <c r="W162" s="160">
        <v>250273</v>
      </c>
      <c r="X162" s="161">
        <v>0</v>
      </c>
      <c r="Y162" s="160"/>
      <c r="Z162" s="16">
        <v>0</v>
      </c>
      <c r="AA162" s="162">
        <v>0</v>
      </c>
      <c r="AB162" s="162">
        <v>0</v>
      </c>
      <c r="AC162" s="162">
        <v>0</v>
      </c>
      <c r="AD162" s="160"/>
      <c r="AE162" s="145">
        <v>250273</v>
      </c>
      <c r="AF162" s="163">
        <v>1.0529999999999999</v>
      </c>
      <c r="AG162" s="163">
        <v>1.0489999999999999</v>
      </c>
      <c r="AH162" s="163">
        <v>1.0469999999999999</v>
      </c>
      <c r="AI162" s="164">
        <v>250273</v>
      </c>
      <c r="AJ162" s="164">
        <f t="shared" si="19"/>
        <v>0</v>
      </c>
      <c r="AK162" s="229">
        <v>250273</v>
      </c>
      <c r="AL162" s="229">
        <f ca="1">SUMIF('MS &amp; Vacancies combined'!A:K,D162,'MS &amp; Vacancies combined'!K:K)*105.3/100</f>
        <v>256343.26394017861</v>
      </c>
      <c r="AM162" s="229">
        <f ca="1">AL162*AG162</f>
        <v>268904.08387324732</v>
      </c>
      <c r="AN162" s="229">
        <f ca="1">AM162*AH162</f>
        <v>281542.57581528992</v>
      </c>
      <c r="AO162" s="166"/>
      <c r="AP162" s="413">
        <f t="shared" ca="1" si="20"/>
        <v>-6070.2639401786146</v>
      </c>
      <c r="AR162" s="231"/>
      <c r="AS162" s="231"/>
      <c r="AU162" s="414">
        <v>250273</v>
      </c>
      <c r="AV162" s="415">
        <v>250273</v>
      </c>
      <c r="AW162" s="414">
        <f t="shared" si="18"/>
        <v>0</v>
      </c>
    </row>
    <row r="163" spans="1:49" x14ac:dyDescent="0.3">
      <c r="A163" s="16" t="s">
        <v>64</v>
      </c>
      <c r="B163" s="39" t="s">
        <v>620</v>
      </c>
      <c r="C163" s="39" t="s">
        <v>464</v>
      </c>
      <c r="D163" s="340" t="s">
        <v>3458</v>
      </c>
      <c r="E163" s="159" t="s">
        <v>373</v>
      </c>
      <c r="F163" s="159" t="s">
        <v>611</v>
      </c>
      <c r="G163" s="159" t="s">
        <v>309</v>
      </c>
      <c r="H163" s="159" t="s">
        <v>373</v>
      </c>
      <c r="I163" s="159" t="s">
        <v>465</v>
      </c>
      <c r="J163" s="159" t="s">
        <v>312</v>
      </c>
      <c r="K163" s="159" t="s">
        <v>1849</v>
      </c>
      <c r="L163" s="39" t="s">
        <v>304</v>
      </c>
      <c r="M163" s="39" t="s">
        <v>305</v>
      </c>
      <c r="N163" s="39">
        <v>11</v>
      </c>
      <c r="O163" s="39" t="s">
        <v>464</v>
      </c>
      <c r="P163" s="39" t="s">
        <v>464</v>
      </c>
      <c r="Q163" s="39" t="s">
        <v>620</v>
      </c>
      <c r="R163" s="16" t="s">
        <v>64</v>
      </c>
      <c r="S163" s="169">
        <v>31414</v>
      </c>
      <c r="T163" s="160">
        <v>0</v>
      </c>
      <c r="U163" s="160">
        <v>0</v>
      </c>
      <c r="V163" s="160">
        <v>4834.45</v>
      </c>
      <c r="W163" s="160">
        <v>26579.55</v>
      </c>
      <c r="X163" s="161">
        <v>0</v>
      </c>
      <c r="Y163" s="160"/>
      <c r="Z163" s="16">
        <v>15.38</v>
      </c>
      <c r="AA163" s="162">
        <v>4834.45</v>
      </c>
      <c r="AB163" s="162">
        <v>1208.6125</v>
      </c>
      <c r="AC163" s="162">
        <v>14503.349999999999</v>
      </c>
      <c r="AD163" s="160"/>
      <c r="AE163" s="145">
        <v>31414</v>
      </c>
      <c r="AF163" s="421">
        <v>1.0529999999999999</v>
      </c>
      <c r="AG163" s="421">
        <v>1.0489999999999999</v>
      </c>
      <c r="AH163" s="421">
        <v>1.0469999999999999</v>
      </c>
      <c r="AI163" s="164">
        <v>31414</v>
      </c>
      <c r="AJ163" s="164">
        <f t="shared" si="19"/>
        <v>0</v>
      </c>
      <c r="AK163" s="165">
        <v>31414</v>
      </c>
      <c r="AL163" s="165">
        <f>AK163*AF163</f>
        <v>33078.941999999995</v>
      </c>
      <c r="AM163" s="165">
        <f t="shared" si="16"/>
        <v>34699.810157999993</v>
      </c>
      <c r="AN163" s="165">
        <f t="shared" si="17"/>
        <v>36330.701235425993</v>
      </c>
      <c r="AO163" s="16"/>
      <c r="AP163" s="231">
        <f t="shared" si="20"/>
        <v>-1664.9419999999955</v>
      </c>
      <c r="AR163" s="231"/>
      <c r="AS163" s="231"/>
      <c r="AU163" s="230">
        <v>31414</v>
      </c>
      <c r="AV163" s="233">
        <v>31414</v>
      </c>
      <c r="AW163" s="230">
        <f t="shared" si="18"/>
        <v>0</v>
      </c>
    </row>
    <row r="164" spans="1:49" s="172" customFormat="1" x14ac:dyDescent="0.3">
      <c r="A164" s="166" t="s">
        <v>69</v>
      </c>
      <c r="B164" s="167" t="s">
        <v>621</v>
      </c>
      <c r="C164" s="167" t="s">
        <v>398</v>
      </c>
      <c r="D164" s="412" t="s">
        <v>3458</v>
      </c>
      <c r="E164" s="168" t="s">
        <v>373</v>
      </c>
      <c r="F164" s="168" t="s">
        <v>611</v>
      </c>
      <c r="G164" s="168" t="s">
        <v>309</v>
      </c>
      <c r="H164" s="168" t="s">
        <v>310</v>
      </c>
      <c r="I164" s="168" t="s">
        <v>374</v>
      </c>
      <c r="J164" s="168" t="s">
        <v>312</v>
      </c>
      <c r="K164" s="168" t="s">
        <v>1849</v>
      </c>
      <c r="L164" s="167" t="s">
        <v>304</v>
      </c>
      <c r="M164" s="167" t="s">
        <v>305</v>
      </c>
      <c r="N164" s="167">
        <v>11</v>
      </c>
      <c r="O164" s="167" t="s">
        <v>398</v>
      </c>
      <c r="P164" s="167" t="s">
        <v>398</v>
      </c>
      <c r="Q164" s="167" t="s">
        <v>621</v>
      </c>
      <c r="R164" s="166" t="s">
        <v>69</v>
      </c>
      <c r="S164" s="169">
        <v>777</v>
      </c>
      <c r="T164" s="160">
        <v>43.2</v>
      </c>
      <c r="U164" s="160">
        <v>0</v>
      </c>
      <c r="V164" s="160">
        <v>162</v>
      </c>
      <c r="W164" s="160">
        <v>615</v>
      </c>
      <c r="X164" s="161">
        <v>0</v>
      </c>
      <c r="Y164" s="160"/>
      <c r="Z164" s="16">
        <v>20.84</v>
      </c>
      <c r="AA164" s="162">
        <v>162</v>
      </c>
      <c r="AB164" s="162">
        <v>40.5</v>
      </c>
      <c r="AC164" s="162">
        <v>486</v>
      </c>
      <c r="AD164" s="160"/>
      <c r="AE164" s="145">
        <v>777</v>
      </c>
      <c r="AF164" s="163">
        <v>1.0529999999999999</v>
      </c>
      <c r="AG164" s="163">
        <v>1.0489999999999999</v>
      </c>
      <c r="AH164" s="163">
        <v>1.0469999999999999</v>
      </c>
      <c r="AI164" s="164">
        <v>777</v>
      </c>
      <c r="AJ164" s="164">
        <f t="shared" si="19"/>
        <v>0</v>
      </c>
      <c r="AK164" s="229">
        <v>777</v>
      </c>
      <c r="AL164" s="229">
        <f ca="1">SUMIF('MS &amp; Vacancies combined'!A:N,D164,'MS &amp; Vacancies combined'!N:N)*105.3/100</f>
        <v>754.98165705216172</v>
      </c>
      <c r="AM164" s="229">
        <f t="shared" ca="1" si="16"/>
        <v>791.97575824771764</v>
      </c>
      <c r="AN164" s="229">
        <f t="shared" ca="1" si="17"/>
        <v>829.19861888536036</v>
      </c>
      <c r="AO164" s="166"/>
      <c r="AP164" s="413">
        <f t="shared" ca="1" si="20"/>
        <v>22.018342947838278</v>
      </c>
      <c r="AR164" s="231"/>
      <c r="AS164" s="231"/>
      <c r="AU164" s="414">
        <v>777</v>
      </c>
      <c r="AV164" s="415">
        <v>777</v>
      </c>
      <c r="AW164" s="414">
        <f t="shared" si="18"/>
        <v>0</v>
      </c>
    </row>
    <row r="165" spans="1:49" s="172" customFormat="1" x14ac:dyDescent="0.3">
      <c r="A165" s="166" t="s">
        <v>70</v>
      </c>
      <c r="B165" s="167" t="s">
        <v>622</v>
      </c>
      <c r="C165" s="167" t="s">
        <v>400</v>
      </c>
      <c r="D165" s="412" t="s">
        <v>3458</v>
      </c>
      <c r="E165" s="168" t="s">
        <v>373</v>
      </c>
      <c r="F165" s="168" t="s">
        <v>611</v>
      </c>
      <c r="G165" s="168" t="s">
        <v>309</v>
      </c>
      <c r="H165" s="168" t="s">
        <v>310</v>
      </c>
      <c r="I165" s="168" t="s">
        <v>401</v>
      </c>
      <c r="J165" s="168" t="s">
        <v>312</v>
      </c>
      <c r="K165" s="168" t="s">
        <v>1849</v>
      </c>
      <c r="L165" s="167" t="s">
        <v>304</v>
      </c>
      <c r="M165" s="167" t="s">
        <v>305</v>
      </c>
      <c r="N165" s="167">
        <v>11</v>
      </c>
      <c r="O165" s="167" t="s">
        <v>400</v>
      </c>
      <c r="P165" s="167" t="s">
        <v>400</v>
      </c>
      <c r="Q165" s="167" t="s">
        <v>622</v>
      </c>
      <c r="R165" s="166" t="s">
        <v>70</v>
      </c>
      <c r="S165" s="169">
        <v>51056</v>
      </c>
      <c r="T165" s="160">
        <v>2063.1999999999998</v>
      </c>
      <c r="U165" s="160">
        <v>0</v>
      </c>
      <c r="V165" s="160">
        <v>7939.48</v>
      </c>
      <c r="W165" s="160">
        <v>43116.52</v>
      </c>
      <c r="X165" s="161">
        <v>0</v>
      </c>
      <c r="Y165" s="160"/>
      <c r="Z165" s="16">
        <v>15.55</v>
      </c>
      <c r="AA165" s="162">
        <v>7939.48</v>
      </c>
      <c r="AB165" s="162">
        <v>1984.87</v>
      </c>
      <c r="AC165" s="162">
        <v>23818.44</v>
      </c>
      <c r="AD165" s="160"/>
      <c r="AE165" s="145">
        <v>51056</v>
      </c>
      <c r="AF165" s="163">
        <v>1.0529999999999999</v>
      </c>
      <c r="AG165" s="163">
        <v>1.0489999999999999</v>
      </c>
      <c r="AH165" s="163">
        <v>1.0469999999999999</v>
      </c>
      <c r="AI165" s="164">
        <v>51056</v>
      </c>
      <c r="AJ165" s="164">
        <f t="shared" si="19"/>
        <v>0</v>
      </c>
      <c r="AK165" s="229">
        <v>51056</v>
      </c>
      <c r="AL165" s="229">
        <f ca="1">SUMIF('MS &amp; Vacancies combined'!A:P,D165,'MS &amp; Vacancies combined'!P:P)*105.3/100</f>
        <v>53832.085427437516</v>
      </c>
      <c r="AM165" s="229">
        <f t="shared" ca="1" si="16"/>
        <v>56469.857613381952</v>
      </c>
      <c r="AN165" s="229">
        <f t="shared" ca="1" si="17"/>
        <v>59123.940921210902</v>
      </c>
      <c r="AO165" s="166"/>
      <c r="AP165" s="413">
        <f t="shared" ca="1" si="20"/>
        <v>-2776.085427437516</v>
      </c>
      <c r="AR165" s="231"/>
      <c r="AS165" s="231"/>
      <c r="AU165" s="414">
        <v>51056</v>
      </c>
      <c r="AV165" s="415">
        <v>51056</v>
      </c>
      <c r="AW165" s="414">
        <f t="shared" si="18"/>
        <v>0</v>
      </c>
    </row>
    <row r="166" spans="1:49" s="172" customFormat="1" x14ac:dyDescent="0.3">
      <c r="A166" s="166" t="s">
        <v>71</v>
      </c>
      <c r="B166" s="167" t="s">
        <v>623</v>
      </c>
      <c r="C166" s="167" t="s">
        <v>403</v>
      </c>
      <c r="D166" s="412" t="s">
        <v>3458</v>
      </c>
      <c r="E166" s="168" t="s">
        <v>373</v>
      </c>
      <c r="F166" s="168" t="s">
        <v>611</v>
      </c>
      <c r="G166" s="168" t="s">
        <v>309</v>
      </c>
      <c r="H166" s="168" t="s">
        <v>310</v>
      </c>
      <c r="I166" s="168" t="s">
        <v>404</v>
      </c>
      <c r="J166" s="168" t="s">
        <v>312</v>
      </c>
      <c r="K166" s="168" t="s">
        <v>1849</v>
      </c>
      <c r="L166" s="167" t="s">
        <v>304</v>
      </c>
      <c r="M166" s="167" t="s">
        <v>305</v>
      </c>
      <c r="N166" s="167">
        <v>11</v>
      </c>
      <c r="O166" s="167" t="s">
        <v>403</v>
      </c>
      <c r="P166" s="167" t="s">
        <v>403</v>
      </c>
      <c r="Q166" s="167" t="s">
        <v>623</v>
      </c>
      <c r="R166" s="166" t="s">
        <v>71</v>
      </c>
      <c r="S166" s="169">
        <v>360161</v>
      </c>
      <c r="T166" s="160">
        <v>14653.2</v>
      </c>
      <c r="U166" s="160">
        <v>0</v>
      </c>
      <c r="V166" s="160">
        <v>55492.2</v>
      </c>
      <c r="W166" s="160">
        <v>304668.79999999999</v>
      </c>
      <c r="X166" s="161">
        <v>0</v>
      </c>
      <c r="Y166" s="160"/>
      <c r="Z166" s="16">
        <v>15.4</v>
      </c>
      <c r="AA166" s="162">
        <v>55492.2</v>
      </c>
      <c r="AB166" s="162">
        <v>13873.05</v>
      </c>
      <c r="AC166" s="162">
        <v>166476.59999999998</v>
      </c>
      <c r="AD166" s="160"/>
      <c r="AE166" s="145">
        <v>360161</v>
      </c>
      <c r="AF166" s="163">
        <v>1.0529999999999999</v>
      </c>
      <c r="AG166" s="163">
        <v>1.0489999999999999</v>
      </c>
      <c r="AH166" s="163">
        <v>1.0469999999999999</v>
      </c>
      <c r="AI166" s="164">
        <v>360161</v>
      </c>
      <c r="AJ166" s="164">
        <f t="shared" si="19"/>
        <v>0</v>
      </c>
      <c r="AK166" s="229">
        <v>360161</v>
      </c>
      <c r="AL166" s="229">
        <f ca="1">SUMIF('MS &amp; Vacancies combined'!A:Q,D166,'MS &amp; Vacancies combined'!Q:Q)*105.3/100</f>
        <v>350017.8848944605</v>
      </c>
      <c r="AM166" s="229">
        <f t="shared" ca="1" si="16"/>
        <v>367168.76125428901</v>
      </c>
      <c r="AN166" s="229">
        <f t="shared" ca="1" si="17"/>
        <v>384425.69303324056</v>
      </c>
      <c r="AO166" s="166"/>
      <c r="AP166" s="413">
        <f t="shared" ca="1" si="20"/>
        <v>10143.115105539502</v>
      </c>
      <c r="AR166" s="231"/>
      <c r="AS166" s="231"/>
      <c r="AU166" s="414">
        <v>360161</v>
      </c>
      <c r="AV166" s="415">
        <v>360161</v>
      </c>
      <c r="AW166" s="414">
        <f t="shared" si="18"/>
        <v>0</v>
      </c>
    </row>
    <row r="167" spans="1:49" s="172" customFormat="1" x14ac:dyDescent="0.3">
      <c r="A167" s="166" t="s">
        <v>72</v>
      </c>
      <c r="B167" s="167" t="s">
        <v>624</v>
      </c>
      <c r="C167" s="167" t="s">
        <v>406</v>
      </c>
      <c r="D167" s="412" t="s">
        <v>3458</v>
      </c>
      <c r="E167" s="168" t="s">
        <v>373</v>
      </c>
      <c r="F167" s="168" t="s">
        <v>611</v>
      </c>
      <c r="G167" s="168" t="s">
        <v>309</v>
      </c>
      <c r="H167" s="168" t="s">
        <v>310</v>
      </c>
      <c r="I167" s="168" t="s">
        <v>407</v>
      </c>
      <c r="J167" s="168" t="s">
        <v>312</v>
      </c>
      <c r="K167" s="168" t="s">
        <v>1849</v>
      </c>
      <c r="L167" s="167" t="s">
        <v>304</v>
      </c>
      <c r="M167" s="167" t="s">
        <v>305</v>
      </c>
      <c r="N167" s="167">
        <v>11</v>
      </c>
      <c r="O167" s="167" t="s">
        <v>406</v>
      </c>
      <c r="P167" s="167" t="s">
        <v>406</v>
      </c>
      <c r="Q167" s="167" t="s">
        <v>624</v>
      </c>
      <c r="R167" s="166" t="s">
        <v>72</v>
      </c>
      <c r="S167" s="169">
        <v>542692</v>
      </c>
      <c r="T167" s="160">
        <v>34944.5</v>
      </c>
      <c r="U167" s="160">
        <v>0</v>
      </c>
      <c r="V167" s="160">
        <v>132388.51999999999</v>
      </c>
      <c r="W167" s="160">
        <v>410303.48</v>
      </c>
      <c r="X167" s="161">
        <v>0</v>
      </c>
      <c r="Y167" s="160"/>
      <c r="Z167" s="16">
        <v>24.39</v>
      </c>
      <c r="AA167" s="162">
        <v>132388.51999999999</v>
      </c>
      <c r="AB167" s="162">
        <v>33097.129999999997</v>
      </c>
      <c r="AC167" s="162">
        <v>397165.55999999994</v>
      </c>
      <c r="AD167" s="160"/>
      <c r="AE167" s="145">
        <v>542692</v>
      </c>
      <c r="AF167" s="163">
        <v>1.0529999999999999</v>
      </c>
      <c r="AG167" s="163">
        <v>1.0489999999999999</v>
      </c>
      <c r="AH167" s="163">
        <v>1.0469999999999999</v>
      </c>
      <c r="AI167" s="164">
        <v>542692</v>
      </c>
      <c r="AJ167" s="164">
        <f t="shared" si="19"/>
        <v>0</v>
      </c>
      <c r="AK167" s="229">
        <v>542692</v>
      </c>
      <c r="AL167" s="229">
        <f ca="1">SUMIF('MS &amp; Vacancies combined'!A:R,D167,'MS &amp; Vacancies combined'!R:R)*105.3/100</f>
        <v>555854.73352788331</v>
      </c>
      <c r="AM167" s="229">
        <f t="shared" ca="1" si="16"/>
        <v>583091.61547074956</v>
      </c>
      <c r="AN167" s="229">
        <f t="shared" ca="1" si="17"/>
        <v>610496.92139787471</v>
      </c>
      <c r="AO167" s="166"/>
      <c r="AP167" s="413">
        <f t="shared" ca="1" si="20"/>
        <v>-13162.733527883305</v>
      </c>
      <c r="AR167" s="231"/>
      <c r="AS167" s="231"/>
      <c r="AU167" s="414">
        <v>542692</v>
      </c>
      <c r="AV167" s="415">
        <v>542692</v>
      </c>
      <c r="AW167" s="414">
        <f t="shared" si="18"/>
        <v>0</v>
      </c>
    </row>
    <row r="168" spans="1:49" s="172" customFormat="1" x14ac:dyDescent="0.3">
      <c r="A168" s="166" t="s">
        <v>73</v>
      </c>
      <c r="B168" s="167" t="s">
        <v>625</v>
      </c>
      <c r="C168" s="167" t="s">
        <v>307</v>
      </c>
      <c r="D168" s="412" t="s">
        <v>3458</v>
      </c>
      <c r="E168" s="168" t="s">
        <v>373</v>
      </c>
      <c r="F168" s="168" t="s">
        <v>611</v>
      </c>
      <c r="G168" s="168" t="s">
        <v>309</v>
      </c>
      <c r="H168" s="168" t="s">
        <v>310</v>
      </c>
      <c r="I168" s="168" t="s">
        <v>311</v>
      </c>
      <c r="J168" s="168" t="s">
        <v>312</v>
      </c>
      <c r="K168" s="168" t="s">
        <v>1849</v>
      </c>
      <c r="L168" s="167" t="s">
        <v>304</v>
      </c>
      <c r="M168" s="167" t="s">
        <v>305</v>
      </c>
      <c r="N168" s="167">
        <v>11</v>
      </c>
      <c r="O168" s="167" t="s">
        <v>307</v>
      </c>
      <c r="P168" s="167" t="s">
        <v>307</v>
      </c>
      <c r="Q168" s="167" t="s">
        <v>625</v>
      </c>
      <c r="R168" s="166" t="s">
        <v>73</v>
      </c>
      <c r="S168" s="169">
        <v>13365</v>
      </c>
      <c r="T168" s="160">
        <v>708.48</v>
      </c>
      <c r="U168" s="160">
        <v>0</v>
      </c>
      <c r="V168" s="160">
        <v>2656.8</v>
      </c>
      <c r="W168" s="160">
        <v>10708.2</v>
      </c>
      <c r="X168" s="161">
        <v>0</v>
      </c>
      <c r="Y168" s="160"/>
      <c r="Z168" s="16">
        <v>19.87</v>
      </c>
      <c r="AA168" s="162">
        <v>2656.8</v>
      </c>
      <c r="AB168" s="162">
        <v>664.2</v>
      </c>
      <c r="AC168" s="162">
        <v>7970.4000000000005</v>
      </c>
      <c r="AD168" s="160"/>
      <c r="AE168" s="145">
        <v>13365</v>
      </c>
      <c r="AF168" s="163">
        <v>1.0529999999999999</v>
      </c>
      <c r="AG168" s="163">
        <v>1.0489999999999999</v>
      </c>
      <c r="AH168" s="163">
        <v>1.0469999999999999</v>
      </c>
      <c r="AI168" s="164">
        <v>13365</v>
      </c>
      <c r="AJ168" s="164">
        <f t="shared" si="19"/>
        <v>0</v>
      </c>
      <c r="AK168" s="229">
        <v>13365</v>
      </c>
      <c r="AL168" s="229">
        <f ca="1">SUMIF('MS &amp; Vacancies combined'!A:S,D168,'MS &amp; Vacancies combined'!S:S)*105.3/100</f>
        <v>12381.699175655451</v>
      </c>
      <c r="AM168" s="229">
        <f t="shared" ca="1" si="16"/>
        <v>12988.402435262567</v>
      </c>
      <c r="AN168" s="229">
        <f t="shared" ca="1" si="17"/>
        <v>13598.857349719907</v>
      </c>
      <c r="AO168" s="166"/>
      <c r="AP168" s="413">
        <f t="shared" ca="1" si="20"/>
        <v>983.30082434454926</v>
      </c>
      <c r="AR168" s="231"/>
      <c r="AS168" s="231"/>
      <c r="AU168" s="414">
        <v>13365</v>
      </c>
      <c r="AV168" s="415">
        <v>13365</v>
      </c>
      <c r="AW168" s="414">
        <f t="shared" si="18"/>
        <v>0</v>
      </c>
    </row>
    <row r="169" spans="1:49" hidden="1" x14ac:dyDescent="0.3">
      <c r="A169" s="16" t="s">
        <v>627</v>
      </c>
      <c r="B169" s="39" t="s">
        <v>626</v>
      </c>
      <c r="C169" s="39" t="s">
        <v>82</v>
      </c>
      <c r="D169" s="340" t="s">
        <v>3458</v>
      </c>
      <c r="E169" s="159" t="s">
        <v>373</v>
      </c>
      <c r="F169" s="159" t="s">
        <v>611</v>
      </c>
      <c r="G169" s="159" t="s">
        <v>309</v>
      </c>
      <c r="H169" s="159" t="s">
        <v>334</v>
      </c>
      <c r="I169" s="159" t="s">
        <v>629</v>
      </c>
      <c r="J169" s="159" t="s">
        <v>312</v>
      </c>
      <c r="K169" s="159" t="s">
        <v>1849</v>
      </c>
      <c r="L169" s="39" t="s">
        <v>304</v>
      </c>
      <c r="M169" s="39" t="s">
        <v>305</v>
      </c>
      <c r="N169" s="39">
        <v>11</v>
      </c>
      <c r="O169" s="39" t="s">
        <v>82</v>
      </c>
      <c r="P169" s="39" t="s">
        <v>628</v>
      </c>
      <c r="Q169" s="39" t="s">
        <v>626</v>
      </c>
      <c r="R169" s="16" t="s">
        <v>627</v>
      </c>
      <c r="S169" s="160">
        <v>3491400</v>
      </c>
      <c r="T169" s="176">
        <v>542688.01</v>
      </c>
      <c r="U169" s="176">
        <v>0</v>
      </c>
      <c r="V169" s="176">
        <v>2136826.35</v>
      </c>
      <c r="W169" s="176">
        <v>1354573.65</v>
      </c>
      <c r="X169" s="177">
        <v>2320002.9500000002</v>
      </c>
      <c r="Y169" s="176"/>
      <c r="Z169" s="173">
        <v>61.2</v>
      </c>
      <c r="AA169" s="178">
        <v>2136826.35</v>
      </c>
      <c r="AB169" s="178">
        <v>534206.58750000002</v>
      </c>
      <c r="AC169" s="178">
        <v>6410479.0500000007</v>
      </c>
      <c r="AD169" s="176">
        <v>2338265</v>
      </c>
      <c r="AE169" s="145">
        <v>5829665</v>
      </c>
      <c r="AF169" s="179">
        <v>1.0469999999999999</v>
      </c>
      <c r="AG169" s="180">
        <v>1.046</v>
      </c>
      <c r="AH169" s="180">
        <v>1.046</v>
      </c>
      <c r="AI169" s="164">
        <v>5829665</v>
      </c>
      <c r="AJ169" s="164">
        <f t="shared" si="19"/>
        <v>0</v>
      </c>
      <c r="AK169" s="165">
        <f>VLOOKUP(Q169,[21]DATA!$A:$S,19,FALSE)</f>
        <v>3800000</v>
      </c>
      <c r="AL169" s="165">
        <f>AK169</f>
        <v>3800000</v>
      </c>
      <c r="AM169" s="165">
        <f t="shared" si="16"/>
        <v>3974800</v>
      </c>
      <c r="AN169" s="165">
        <f t="shared" si="17"/>
        <v>4157640.8000000003</v>
      </c>
      <c r="AO169" s="16" t="s">
        <v>1996</v>
      </c>
      <c r="AP169" s="231">
        <f t="shared" si="20"/>
        <v>0</v>
      </c>
      <c r="AR169" s="231"/>
      <c r="AS169" s="231"/>
      <c r="AU169" s="230">
        <v>3491400</v>
      </c>
      <c r="AV169" s="233">
        <v>5829665</v>
      </c>
      <c r="AW169" s="230">
        <f t="shared" si="18"/>
        <v>0</v>
      </c>
    </row>
    <row r="170" spans="1:49" hidden="1" x14ac:dyDescent="0.3">
      <c r="A170" s="16" t="s">
        <v>631</v>
      </c>
      <c r="B170" s="39" t="s">
        <v>630</v>
      </c>
      <c r="C170" s="39" t="s">
        <v>82</v>
      </c>
      <c r="D170" s="340" t="s">
        <v>3458</v>
      </c>
      <c r="E170" s="159" t="s">
        <v>373</v>
      </c>
      <c r="F170" s="159" t="s">
        <v>611</v>
      </c>
      <c r="G170" s="159" t="s">
        <v>309</v>
      </c>
      <c r="H170" s="159" t="s">
        <v>334</v>
      </c>
      <c r="I170" s="159" t="s">
        <v>633</v>
      </c>
      <c r="J170" s="159" t="s">
        <v>309</v>
      </c>
      <c r="K170" s="159" t="s">
        <v>1849</v>
      </c>
      <c r="L170" s="39" t="s">
        <v>304</v>
      </c>
      <c r="M170" s="39" t="s">
        <v>305</v>
      </c>
      <c r="N170" s="39">
        <v>11</v>
      </c>
      <c r="O170" s="39" t="s">
        <v>82</v>
      </c>
      <c r="P170" s="39" t="s">
        <v>632</v>
      </c>
      <c r="Q170" s="39" t="s">
        <v>630</v>
      </c>
      <c r="R170" s="16" t="s">
        <v>631</v>
      </c>
      <c r="S170" s="223">
        <v>7200000</v>
      </c>
      <c r="T170" s="160">
        <v>0</v>
      </c>
      <c r="U170" s="160">
        <v>0</v>
      </c>
      <c r="V170" s="160">
        <v>0</v>
      </c>
      <c r="W170" s="160">
        <v>7200000</v>
      </c>
      <c r="X170" s="161">
        <v>0</v>
      </c>
      <c r="Y170" s="160"/>
      <c r="Z170" s="16">
        <v>0</v>
      </c>
      <c r="AA170" s="162">
        <v>0</v>
      </c>
      <c r="AB170" s="224">
        <v>0</v>
      </c>
      <c r="AC170" s="224">
        <v>0</v>
      </c>
      <c r="AD170" s="223"/>
      <c r="AE170" s="145">
        <v>0</v>
      </c>
      <c r="AF170" s="163">
        <v>1.0469999999999999</v>
      </c>
      <c r="AG170" s="164">
        <v>1.046</v>
      </c>
      <c r="AH170" s="164">
        <v>1.046</v>
      </c>
      <c r="AI170" s="164">
        <v>7200000</v>
      </c>
      <c r="AJ170" s="164">
        <f t="shared" si="19"/>
        <v>-7200000</v>
      </c>
      <c r="AK170" s="165">
        <v>3500000</v>
      </c>
      <c r="AL170" s="165">
        <f>AK170</f>
        <v>3500000</v>
      </c>
      <c r="AM170" s="165">
        <f t="shared" si="16"/>
        <v>3661000</v>
      </c>
      <c r="AN170" s="165">
        <f t="shared" si="17"/>
        <v>3829406</v>
      </c>
      <c r="AO170" s="16"/>
      <c r="AP170" s="231">
        <f t="shared" si="20"/>
        <v>0</v>
      </c>
      <c r="AR170" s="231"/>
      <c r="AS170" s="231"/>
      <c r="AU170" s="230">
        <v>7200000</v>
      </c>
      <c r="AV170" s="233">
        <v>7200000</v>
      </c>
      <c r="AW170" s="230">
        <f t="shared" si="18"/>
        <v>0</v>
      </c>
    </row>
    <row r="171" spans="1:49" hidden="1" x14ac:dyDescent="0.3">
      <c r="A171" s="16" t="s">
        <v>635</v>
      </c>
      <c r="B171" s="39" t="s">
        <v>634</v>
      </c>
      <c r="C171" s="39" t="s">
        <v>82</v>
      </c>
      <c r="D171" s="340" t="s">
        <v>3458</v>
      </c>
      <c r="E171" s="159" t="s">
        <v>373</v>
      </c>
      <c r="F171" s="159" t="s">
        <v>611</v>
      </c>
      <c r="G171" s="159" t="s">
        <v>309</v>
      </c>
      <c r="H171" s="159" t="s">
        <v>334</v>
      </c>
      <c r="I171" s="159" t="s">
        <v>637</v>
      </c>
      <c r="J171" s="159" t="s">
        <v>312</v>
      </c>
      <c r="K171" s="159" t="s">
        <v>1849</v>
      </c>
      <c r="L171" s="39" t="s">
        <v>304</v>
      </c>
      <c r="M171" s="39" t="s">
        <v>305</v>
      </c>
      <c r="N171" s="39">
        <v>11</v>
      </c>
      <c r="O171" s="39" t="s">
        <v>82</v>
      </c>
      <c r="P171" s="39" t="s">
        <v>636</v>
      </c>
      <c r="Q171" s="39" t="s">
        <v>634</v>
      </c>
      <c r="R171" s="16" t="s">
        <v>635</v>
      </c>
      <c r="S171" s="223">
        <v>4966405</v>
      </c>
      <c r="T171" s="160">
        <v>0</v>
      </c>
      <c r="U171" s="160">
        <v>0</v>
      </c>
      <c r="V171" s="160">
        <v>0</v>
      </c>
      <c r="W171" s="160">
        <v>4966405</v>
      </c>
      <c r="X171" s="161">
        <v>0</v>
      </c>
      <c r="Y171" s="160"/>
      <c r="Z171" s="16">
        <v>0</v>
      </c>
      <c r="AA171" s="162">
        <v>0</v>
      </c>
      <c r="AB171" s="224">
        <v>0</v>
      </c>
      <c r="AC171" s="224">
        <v>0</v>
      </c>
      <c r="AD171" s="223"/>
      <c r="AE171" s="145">
        <v>0</v>
      </c>
      <c r="AF171" s="163">
        <v>1.0469999999999999</v>
      </c>
      <c r="AG171" s="164">
        <v>1.046</v>
      </c>
      <c r="AH171" s="164">
        <v>1.046</v>
      </c>
      <c r="AI171" s="164">
        <v>4966405</v>
      </c>
      <c r="AJ171" s="164">
        <f t="shared" si="19"/>
        <v>-4966405</v>
      </c>
      <c r="AK171" s="165">
        <v>0</v>
      </c>
      <c r="AL171" s="165">
        <v>0</v>
      </c>
      <c r="AM171" s="165">
        <f t="shared" si="16"/>
        <v>0</v>
      </c>
      <c r="AN171" s="165">
        <f t="shared" si="17"/>
        <v>0</v>
      </c>
      <c r="AO171" s="16"/>
      <c r="AP171" s="231">
        <f t="shared" si="20"/>
        <v>0</v>
      </c>
      <c r="AR171" s="231"/>
      <c r="AS171" s="231"/>
      <c r="AU171" s="230">
        <v>4966405</v>
      </c>
      <c r="AV171" s="233">
        <v>4966405</v>
      </c>
      <c r="AW171" s="230">
        <f t="shared" si="18"/>
        <v>0</v>
      </c>
    </row>
    <row r="172" spans="1:49" hidden="1" x14ac:dyDescent="0.3">
      <c r="A172" s="16" t="s">
        <v>635</v>
      </c>
      <c r="B172" s="39" t="s">
        <v>638</v>
      </c>
      <c r="C172" s="39" t="s">
        <v>82</v>
      </c>
      <c r="D172" s="340" t="s">
        <v>3458</v>
      </c>
      <c r="E172" s="159" t="s">
        <v>373</v>
      </c>
      <c r="F172" s="159" t="s">
        <v>611</v>
      </c>
      <c r="G172" s="159" t="s">
        <v>309</v>
      </c>
      <c r="H172" s="159" t="s">
        <v>334</v>
      </c>
      <c r="I172" s="159" t="s">
        <v>637</v>
      </c>
      <c r="J172" s="159" t="s">
        <v>387</v>
      </c>
      <c r="K172" s="159" t="s">
        <v>1849</v>
      </c>
      <c r="L172" s="39" t="s">
        <v>304</v>
      </c>
      <c r="M172" s="39" t="s">
        <v>305</v>
      </c>
      <c r="N172" s="39">
        <v>11</v>
      </c>
      <c r="O172" s="39" t="s">
        <v>82</v>
      </c>
      <c r="P172" s="39" t="s">
        <v>636</v>
      </c>
      <c r="Q172" s="39" t="s">
        <v>638</v>
      </c>
      <c r="R172" s="16" t="s">
        <v>635</v>
      </c>
      <c r="S172" s="160">
        <v>12580511</v>
      </c>
      <c r="T172" s="160">
        <v>1039341.31</v>
      </c>
      <c r="U172" s="160">
        <v>0</v>
      </c>
      <c r="V172" s="160">
        <v>2764377.72</v>
      </c>
      <c r="W172" s="160">
        <v>9816133.2799999993</v>
      </c>
      <c r="X172" s="161">
        <v>7259893.1000000006</v>
      </c>
      <c r="Y172" s="160"/>
      <c r="Z172" s="16">
        <v>21.97</v>
      </c>
      <c r="AA172" s="162">
        <v>2764377.72</v>
      </c>
      <c r="AB172" s="162">
        <v>691094.43</v>
      </c>
      <c r="AC172" s="162">
        <v>8293133.1600000001</v>
      </c>
      <c r="AD172" s="160"/>
      <c r="AE172" s="145">
        <v>12580511</v>
      </c>
      <c r="AF172" s="163">
        <v>1.0469999999999999</v>
      </c>
      <c r="AG172" s="164">
        <v>1.046</v>
      </c>
      <c r="AH172" s="164">
        <v>1.046</v>
      </c>
      <c r="AI172" s="164">
        <v>12580511</v>
      </c>
      <c r="AJ172" s="164">
        <f t="shared" si="19"/>
        <v>0</v>
      </c>
      <c r="AK172" s="165">
        <f>VLOOKUP(Q172,[21]DATA!$A:$S,19,FALSE)</f>
        <v>14000000</v>
      </c>
      <c r="AL172" s="165">
        <f>AK172</f>
        <v>14000000</v>
      </c>
      <c r="AM172" s="165">
        <f t="shared" si="16"/>
        <v>14644000</v>
      </c>
      <c r="AN172" s="165">
        <f t="shared" si="17"/>
        <v>15317624</v>
      </c>
      <c r="AO172" s="16"/>
      <c r="AP172" s="231">
        <f t="shared" si="20"/>
        <v>0</v>
      </c>
      <c r="AR172" s="231"/>
      <c r="AS172" s="231"/>
      <c r="AU172" s="230">
        <v>12580511</v>
      </c>
      <c r="AV172" s="233">
        <v>12580511</v>
      </c>
      <c r="AW172" s="230">
        <f t="shared" si="18"/>
        <v>0</v>
      </c>
    </row>
    <row r="173" spans="1:49" hidden="1" x14ac:dyDescent="0.3">
      <c r="A173" s="16" t="s">
        <v>341</v>
      </c>
      <c r="B173" s="39" t="s">
        <v>639</v>
      </c>
      <c r="C173" s="39" t="s">
        <v>82</v>
      </c>
      <c r="D173" s="340" t="s">
        <v>3458</v>
      </c>
      <c r="E173" s="159" t="s">
        <v>373</v>
      </c>
      <c r="F173" s="159" t="s">
        <v>611</v>
      </c>
      <c r="G173" s="159" t="s">
        <v>309</v>
      </c>
      <c r="H173" s="159" t="s">
        <v>334</v>
      </c>
      <c r="I173" s="159" t="s">
        <v>343</v>
      </c>
      <c r="J173" s="159" t="s">
        <v>312</v>
      </c>
      <c r="K173" s="159" t="s">
        <v>1849</v>
      </c>
      <c r="L173" s="39" t="s">
        <v>304</v>
      </c>
      <c r="M173" s="39" t="s">
        <v>305</v>
      </c>
      <c r="N173" s="39">
        <v>11</v>
      </c>
      <c r="O173" s="39" t="s">
        <v>82</v>
      </c>
      <c r="P173" s="39" t="s">
        <v>342</v>
      </c>
      <c r="Q173" s="39" t="s">
        <v>639</v>
      </c>
      <c r="R173" s="16" t="s">
        <v>341</v>
      </c>
      <c r="S173" s="160">
        <v>0</v>
      </c>
      <c r="T173" s="160">
        <v>0</v>
      </c>
      <c r="U173" s="160">
        <v>0</v>
      </c>
      <c r="V173" s="160">
        <v>0</v>
      </c>
      <c r="W173" s="160">
        <v>0</v>
      </c>
      <c r="X173" s="161">
        <v>0</v>
      </c>
      <c r="Y173" s="160"/>
      <c r="Z173" s="16">
        <v>0</v>
      </c>
      <c r="AA173" s="162">
        <v>0</v>
      </c>
      <c r="AB173" s="162">
        <v>0</v>
      </c>
      <c r="AC173" s="162">
        <v>0</v>
      </c>
      <c r="AD173" s="160"/>
      <c r="AE173" s="145">
        <v>0</v>
      </c>
      <c r="AF173" s="163">
        <v>1.0469999999999999</v>
      </c>
      <c r="AG173" s="164">
        <v>1.046</v>
      </c>
      <c r="AH173" s="164">
        <v>1.046</v>
      </c>
      <c r="AI173" s="164">
        <v>0</v>
      </c>
      <c r="AJ173" s="164">
        <f t="shared" si="19"/>
        <v>0</v>
      </c>
      <c r="AK173" s="165">
        <f>VLOOKUP(Q173,[21]DATA!$A:$S,19,FALSE)</f>
        <v>0</v>
      </c>
      <c r="AL173" s="165">
        <v>0</v>
      </c>
      <c r="AM173" s="165">
        <f t="shared" si="16"/>
        <v>0</v>
      </c>
      <c r="AN173" s="165">
        <f t="shared" si="17"/>
        <v>0</v>
      </c>
      <c r="AO173" s="16"/>
      <c r="AP173" s="231">
        <f t="shared" si="20"/>
        <v>0</v>
      </c>
      <c r="AR173" s="231"/>
      <c r="AS173" s="231"/>
      <c r="AU173" s="230">
        <v>0</v>
      </c>
      <c r="AV173" s="233">
        <v>0</v>
      </c>
      <c r="AW173" s="230">
        <f t="shared" si="18"/>
        <v>0</v>
      </c>
    </row>
    <row r="174" spans="1:49" hidden="1" x14ac:dyDescent="0.3">
      <c r="A174" s="16" t="s">
        <v>345</v>
      </c>
      <c r="B174" s="39" t="s">
        <v>640</v>
      </c>
      <c r="C174" s="39" t="s">
        <v>82</v>
      </c>
      <c r="D174" s="340" t="s">
        <v>3458</v>
      </c>
      <c r="E174" s="159" t="s">
        <v>373</v>
      </c>
      <c r="F174" s="159" t="s">
        <v>611</v>
      </c>
      <c r="G174" s="159" t="s">
        <v>309</v>
      </c>
      <c r="H174" s="159" t="s">
        <v>334</v>
      </c>
      <c r="I174" s="159" t="s">
        <v>347</v>
      </c>
      <c r="J174" s="159" t="s">
        <v>312</v>
      </c>
      <c r="K174" s="159" t="s">
        <v>1849</v>
      </c>
      <c r="L174" s="39" t="s">
        <v>304</v>
      </c>
      <c r="M174" s="39" t="s">
        <v>305</v>
      </c>
      <c r="N174" s="39">
        <v>11</v>
      </c>
      <c r="O174" s="39" t="s">
        <v>82</v>
      </c>
      <c r="P174" s="39" t="s">
        <v>346</v>
      </c>
      <c r="Q174" s="39" t="s">
        <v>640</v>
      </c>
      <c r="R174" s="16" t="s">
        <v>345</v>
      </c>
      <c r="S174" s="160">
        <v>0</v>
      </c>
      <c r="T174" s="176">
        <v>0</v>
      </c>
      <c r="U174" s="176">
        <v>0</v>
      </c>
      <c r="V174" s="176">
        <v>0</v>
      </c>
      <c r="W174" s="176">
        <v>0</v>
      </c>
      <c r="X174" s="177">
        <v>0</v>
      </c>
      <c r="Y174" s="176"/>
      <c r="Z174" s="173">
        <v>0</v>
      </c>
      <c r="AA174" s="178">
        <v>0</v>
      </c>
      <c r="AB174" s="178">
        <v>0</v>
      </c>
      <c r="AC174" s="178">
        <v>0</v>
      </c>
      <c r="AD174" s="176">
        <v>15000</v>
      </c>
      <c r="AE174" s="145">
        <v>15000</v>
      </c>
      <c r="AF174" s="179">
        <v>1.0469999999999999</v>
      </c>
      <c r="AG174" s="180">
        <v>1.046</v>
      </c>
      <c r="AH174" s="180">
        <v>1.046</v>
      </c>
      <c r="AI174" s="164">
        <v>15000</v>
      </c>
      <c r="AJ174" s="164">
        <f t="shared" si="19"/>
        <v>0</v>
      </c>
      <c r="AK174" s="165">
        <f>VLOOKUP(Q174,[21]DATA!$A:$S,19,FALSE)</f>
        <v>100000</v>
      </c>
      <c r="AL174" s="165">
        <f t="shared" ref="AL174:AL178" si="21">AK174</f>
        <v>100000</v>
      </c>
      <c r="AM174" s="165">
        <f t="shared" si="16"/>
        <v>104600</v>
      </c>
      <c r="AN174" s="165">
        <f t="shared" si="17"/>
        <v>109411.6</v>
      </c>
      <c r="AO174" s="16" t="s">
        <v>1996</v>
      </c>
      <c r="AP174" s="231">
        <f t="shared" si="20"/>
        <v>0</v>
      </c>
      <c r="AR174" s="231"/>
      <c r="AS174" s="231"/>
      <c r="AU174" s="230">
        <v>0</v>
      </c>
      <c r="AV174" s="233">
        <v>15000</v>
      </c>
      <c r="AW174" s="230">
        <f t="shared" si="18"/>
        <v>0</v>
      </c>
    </row>
    <row r="175" spans="1:49" hidden="1" x14ac:dyDescent="0.3">
      <c r="A175" s="16" t="s">
        <v>349</v>
      </c>
      <c r="B175" s="39" t="s">
        <v>641</v>
      </c>
      <c r="C175" s="39" t="s">
        <v>82</v>
      </c>
      <c r="D175" s="340" t="s">
        <v>3458</v>
      </c>
      <c r="E175" s="159" t="s">
        <v>373</v>
      </c>
      <c r="F175" s="159" t="s">
        <v>611</v>
      </c>
      <c r="G175" s="159" t="s">
        <v>309</v>
      </c>
      <c r="H175" s="159" t="s">
        <v>334</v>
      </c>
      <c r="I175" s="159" t="s">
        <v>351</v>
      </c>
      <c r="J175" s="159" t="s">
        <v>312</v>
      </c>
      <c r="K175" s="159" t="s">
        <v>1849</v>
      </c>
      <c r="L175" s="39" t="s">
        <v>304</v>
      </c>
      <c r="M175" s="39" t="s">
        <v>305</v>
      </c>
      <c r="N175" s="39">
        <v>11</v>
      </c>
      <c r="O175" s="39" t="s">
        <v>82</v>
      </c>
      <c r="P175" s="39" t="s">
        <v>350</v>
      </c>
      <c r="Q175" s="39" t="s">
        <v>641</v>
      </c>
      <c r="R175" s="16" t="s">
        <v>349</v>
      </c>
      <c r="S175" s="160">
        <v>0</v>
      </c>
      <c r="T175" s="160">
        <v>0</v>
      </c>
      <c r="U175" s="160">
        <v>0</v>
      </c>
      <c r="V175" s="160">
        <v>0</v>
      </c>
      <c r="W175" s="160">
        <v>0</v>
      </c>
      <c r="X175" s="161">
        <v>0</v>
      </c>
      <c r="Y175" s="160"/>
      <c r="Z175" s="16">
        <v>0</v>
      </c>
      <c r="AA175" s="162">
        <v>0</v>
      </c>
      <c r="AB175" s="162">
        <v>0</v>
      </c>
      <c r="AC175" s="162">
        <v>0</v>
      </c>
      <c r="AD175" s="160"/>
      <c r="AE175" s="145">
        <v>0</v>
      </c>
      <c r="AF175" s="163">
        <v>1.0469999999999999</v>
      </c>
      <c r="AG175" s="164">
        <v>1.046</v>
      </c>
      <c r="AH175" s="164">
        <v>1.046</v>
      </c>
      <c r="AI175" s="164">
        <v>0</v>
      </c>
      <c r="AJ175" s="164">
        <f t="shared" si="19"/>
        <v>0</v>
      </c>
      <c r="AK175" s="165">
        <f>VLOOKUP(Q175,[21]DATA!$A:$S,19,FALSE)</f>
        <v>0</v>
      </c>
      <c r="AL175" s="165">
        <f t="shared" si="21"/>
        <v>0</v>
      </c>
      <c r="AM175" s="165">
        <f t="shared" si="16"/>
        <v>0</v>
      </c>
      <c r="AN175" s="165">
        <f t="shared" si="17"/>
        <v>0</v>
      </c>
      <c r="AO175" s="16"/>
      <c r="AP175" s="231">
        <f t="shared" si="20"/>
        <v>0</v>
      </c>
      <c r="AR175" s="231"/>
      <c r="AS175" s="231"/>
      <c r="AU175" s="230">
        <v>0</v>
      </c>
      <c r="AV175" s="233">
        <v>0</v>
      </c>
      <c r="AW175" s="230">
        <f t="shared" si="18"/>
        <v>0</v>
      </c>
    </row>
    <row r="176" spans="1:49" hidden="1" x14ac:dyDescent="0.3">
      <c r="A176" s="16" t="s">
        <v>353</v>
      </c>
      <c r="B176" s="39" t="s">
        <v>642</v>
      </c>
      <c r="C176" s="39" t="s">
        <v>82</v>
      </c>
      <c r="D176" s="340" t="s">
        <v>3458</v>
      </c>
      <c r="E176" s="159" t="s">
        <v>373</v>
      </c>
      <c r="F176" s="159" t="s">
        <v>611</v>
      </c>
      <c r="G176" s="159" t="s">
        <v>309</v>
      </c>
      <c r="H176" s="159" t="s">
        <v>334</v>
      </c>
      <c r="I176" s="159" t="s">
        <v>355</v>
      </c>
      <c r="J176" s="159" t="s">
        <v>312</v>
      </c>
      <c r="K176" s="159" t="s">
        <v>1849</v>
      </c>
      <c r="L176" s="39" t="s">
        <v>304</v>
      </c>
      <c r="M176" s="39" t="s">
        <v>305</v>
      </c>
      <c r="N176" s="39">
        <v>11</v>
      </c>
      <c r="O176" s="39" t="s">
        <v>82</v>
      </c>
      <c r="P176" s="39" t="s">
        <v>354</v>
      </c>
      <c r="Q176" s="39" t="s">
        <v>642</v>
      </c>
      <c r="R176" s="16" t="s">
        <v>353</v>
      </c>
      <c r="S176" s="160">
        <v>0</v>
      </c>
      <c r="T176" s="176">
        <v>0</v>
      </c>
      <c r="U176" s="176">
        <v>0</v>
      </c>
      <c r="V176" s="176">
        <v>0</v>
      </c>
      <c r="W176" s="176">
        <v>0</v>
      </c>
      <c r="X176" s="177">
        <v>0</v>
      </c>
      <c r="Y176" s="176"/>
      <c r="Z176" s="173">
        <v>0</v>
      </c>
      <c r="AA176" s="178">
        <v>0</v>
      </c>
      <c r="AB176" s="178">
        <v>0</v>
      </c>
      <c r="AC176" s="178">
        <v>0</v>
      </c>
      <c r="AD176" s="176">
        <v>15000</v>
      </c>
      <c r="AE176" s="145">
        <v>15000</v>
      </c>
      <c r="AF176" s="179">
        <v>1.0469999999999999</v>
      </c>
      <c r="AG176" s="180">
        <v>1.046</v>
      </c>
      <c r="AH176" s="180">
        <v>1.046</v>
      </c>
      <c r="AI176" s="164">
        <v>15000</v>
      </c>
      <c r="AJ176" s="164">
        <f t="shared" si="19"/>
        <v>0</v>
      </c>
      <c r="AK176" s="165">
        <f>VLOOKUP(Q176,[21]DATA!$A:$S,19,FALSE)</f>
        <v>100000</v>
      </c>
      <c r="AL176" s="165">
        <f t="shared" si="21"/>
        <v>100000</v>
      </c>
      <c r="AM176" s="165">
        <f t="shared" si="16"/>
        <v>104600</v>
      </c>
      <c r="AN176" s="165">
        <f t="shared" si="17"/>
        <v>109411.6</v>
      </c>
      <c r="AO176" s="16" t="s">
        <v>1996</v>
      </c>
      <c r="AP176" s="231">
        <f t="shared" si="20"/>
        <v>0</v>
      </c>
      <c r="AR176" s="231"/>
      <c r="AS176" s="231"/>
      <c r="AU176" s="230">
        <v>0</v>
      </c>
      <c r="AV176" s="233">
        <v>15000</v>
      </c>
      <c r="AW176" s="230">
        <f t="shared" si="18"/>
        <v>0</v>
      </c>
    </row>
    <row r="177" spans="1:49" hidden="1" x14ac:dyDescent="0.3">
      <c r="A177" s="16" t="s">
        <v>357</v>
      </c>
      <c r="B177" s="39" t="s">
        <v>643</v>
      </c>
      <c r="C177" s="39" t="s">
        <v>82</v>
      </c>
      <c r="D177" s="340" t="s">
        <v>3458</v>
      </c>
      <c r="E177" s="159" t="s">
        <v>373</v>
      </c>
      <c r="F177" s="159" t="s">
        <v>611</v>
      </c>
      <c r="G177" s="159" t="s">
        <v>309</v>
      </c>
      <c r="H177" s="159" t="s">
        <v>334</v>
      </c>
      <c r="I177" s="159" t="s">
        <v>359</v>
      </c>
      <c r="J177" s="159" t="s">
        <v>312</v>
      </c>
      <c r="K177" s="159" t="s">
        <v>1849</v>
      </c>
      <c r="L177" s="39" t="s">
        <v>304</v>
      </c>
      <c r="M177" s="39" t="s">
        <v>305</v>
      </c>
      <c r="N177" s="39">
        <v>11</v>
      </c>
      <c r="O177" s="39" t="s">
        <v>82</v>
      </c>
      <c r="P177" s="39" t="s">
        <v>358</v>
      </c>
      <c r="Q177" s="39" t="s">
        <v>643</v>
      </c>
      <c r="R177" s="16" t="s">
        <v>357</v>
      </c>
      <c r="S177" s="160">
        <v>0</v>
      </c>
      <c r="T177" s="176">
        <v>0</v>
      </c>
      <c r="U177" s="176">
        <v>0</v>
      </c>
      <c r="V177" s="176">
        <v>0</v>
      </c>
      <c r="W177" s="176">
        <v>0</v>
      </c>
      <c r="X177" s="177">
        <v>0</v>
      </c>
      <c r="Y177" s="176"/>
      <c r="Z177" s="173">
        <v>0</v>
      </c>
      <c r="AA177" s="178">
        <v>0</v>
      </c>
      <c r="AB177" s="178">
        <v>0</v>
      </c>
      <c r="AC177" s="178">
        <v>0</v>
      </c>
      <c r="AD177" s="176">
        <v>15000</v>
      </c>
      <c r="AE177" s="145">
        <v>15000</v>
      </c>
      <c r="AF177" s="179">
        <v>1.0469999999999999</v>
      </c>
      <c r="AG177" s="180">
        <v>1.046</v>
      </c>
      <c r="AH177" s="180">
        <v>1.046</v>
      </c>
      <c r="AI177" s="164">
        <v>15000</v>
      </c>
      <c r="AJ177" s="164">
        <f t="shared" si="19"/>
        <v>0</v>
      </c>
      <c r="AK177" s="165">
        <f>VLOOKUP(Q177,[21]DATA!$A:$S,19,FALSE)</f>
        <v>100000</v>
      </c>
      <c r="AL177" s="165">
        <f t="shared" si="21"/>
        <v>100000</v>
      </c>
      <c r="AM177" s="165">
        <f t="shared" si="16"/>
        <v>104600</v>
      </c>
      <c r="AN177" s="165">
        <f t="shared" si="17"/>
        <v>109411.6</v>
      </c>
      <c r="AO177" s="16" t="s">
        <v>1996</v>
      </c>
      <c r="AP177" s="231">
        <f t="shared" si="20"/>
        <v>0</v>
      </c>
      <c r="AR177" s="231"/>
      <c r="AS177" s="231"/>
      <c r="AU177" s="230">
        <v>0</v>
      </c>
      <c r="AV177" s="233">
        <v>15000</v>
      </c>
      <c r="AW177" s="230">
        <f t="shared" si="18"/>
        <v>0</v>
      </c>
    </row>
    <row r="178" spans="1:49" hidden="1" x14ac:dyDescent="0.3">
      <c r="A178" s="16" t="s">
        <v>92</v>
      </c>
      <c r="B178" s="39" t="s">
        <v>644</v>
      </c>
      <c r="C178" s="39" t="s">
        <v>645</v>
      </c>
      <c r="D178" s="340" t="s">
        <v>3458</v>
      </c>
      <c r="E178" s="159" t="s">
        <v>373</v>
      </c>
      <c r="F178" s="159" t="s">
        <v>611</v>
      </c>
      <c r="G178" s="159" t="s">
        <v>309</v>
      </c>
      <c r="H178" s="159" t="s">
        <v>646</v>
      </c>
      <c r="I178" s="159" t="s">
        <v>425</v>
      </c>
      <c r="J178" s="159" t="s">
        <v>312</v>
      </c>
      <c r="K178" s="159" t="s">
        <v>1849</v>
      </c>
      <c r="L178" s="39" t="s">
        <v>304</v>
      </c>
      <c r="M178" s="39" t="s">
        <v>305</v>
      </c>
      <c r="N178" s="39">
        <v>11</v>
      </c>
      <c r="O178" s="39" t="s">
        <v>645</v>
      </c>
      <c r="P178" s="39" t="s">
        <v>645</v>
      </c>
      <c r="Q178" s="39" t="s">
        <v>644</v>
      </c>
      <c r="R178" s="16" t="s">
        <v>92</v>
      </c>
      <c r="S178" s="160">
        <v>2229052</v>
      </c>
      <c r="T178" s="176">
        <v>466730.57</v>
      </c>
      <c r="U178" s="176">
        <v>0</v>
      </c>
      <c r="V178" s="176">
        <v>1136585.1299999999</v>
      </c>
      <c r="W178" s="176">
        <v>1092466.8700000001</v>
      </c>
      <c r="X178" s="177">
        <v>1130054.0299999998</v>
      </c>
      <c r="Y178" s="176"/>
      <c r="Z178" s="173">
        <v>50.98</v>
      </c>
      <c r="AA178" s="178">
        <v>1136585.1299999999</v>
      </c>
      <c r="AB178" s="178">
        <v>284146.28249999997</v>
      </c>
      <c r="AC178" s="178">
        <v>3409755.3899999997</v>
      </c>
      <c r="AD178" s="176">
        <v>1800000</v>
      </c>
      <c r="AE178" s="145">
        <v>4029052</v>
      </c>
      <c r="AF178" s="179">
        <v>1.0469999999999999</v>
      </c>
      <c r="AG178" s="180">
        <v>1.046</v>
      </c>
      <c r="AH178" s="180">
        <v>1.046</v>
      </c>
      <c r="AI178" s="164">
        <v>4029052</v>
      </c>
      <c r="AJ178" s="164">
        <f t="shared" si="19"/>
        <v>0</v>
      </c>
      <c r="AK178" s="251">
        <v>3900000</v>
      </c>
      <c r="AL178" s="165">
        <f t="shared" si="21"/>
        <v>3900000</v>
      </c>
      <c r="AM178" s="165">
        <f t="shared" si="16"/>
        <v>4079400</v>
      </c>
      <c r="AN178" s="165">
        <f t="shared" si="17"/>
        <v>4267052.4000000004</v>
      </c>
      <c r="AO178" s="16" t="s">
        <v>1996</v>
      </c>
      <c r="AP178" s="231">
        <f t="shared" si="20"/>
        <v>0</v>
      </c>
      <c r="AR178" s="231"/>
      <c r="AS178" s="231"/>
      <c r="AU178" s="230">
        <v>2229052</v>
      </c>
      <c r="AV178" s="233">
        <v>4029052</v>
      </c>
      <c r="AW178" s="230">
        <f t="shared" si="18"/>
        <v>0</v>
      </c>
    </row>
    <row r="179" spans="1:49" s="172" customFormat="1" x14ac:dyDescent="0.3">
      <c r="A179" s="166" t="s">
        <v>50</v>
      </c>
      <c r="B179" s="167" t="s">
        <v>647</v>
      </c>
      <c r="C179" s="167" t="s">
        <v>302</v>
      </c>
      <c r="D179" s="412" t="s">
        <v>3459</v>
      </c>
      <c r="E179" s="168" t="s">
        <v>373</v>
      </c>
      <c r="F179" s="168" t="s">
        <v>648</v>
      </c>
      <c r="G179" s="168" t="s">
        <v>309</v>
      </c>
      <c r="H179" s="168" t="s">
        <v>373</v>
      </c>
      <c r="I179" s="168" t="s">
        <v>374</v>
      </c>
      <c r="J179" s="168" t="s">
        <v>312</v>
      </c>
      <c r="K179" s="168" t="s">
        <v>1849</v>
      </c>
      <c r="L179" s="167" t="s">
        <v>304</v>
      </c>
      <c r="M179" s="167" t="s">
        <v>305</v>
      </c>
      <c r="N179" s="167">
        <v>11</v>
      </c>
      <c r="O179" s="167" t="s">
        <v>302</v>
      </c>
      <c r="P179" s="167" t="s">
        <v>302</v>
      </c>
      <c r="Q179" s="167" t="s">
        <v>647</v>
      </c>
      <c r="R179" s="166" t="s">
        <v>50</v>
      </c>
      <c r="S179" s="169">
        <v>518609</v>
      </c>
      <c r="T179" s="160">
        <v>45355.48</v>
      </c>
      <c r="U179" s="160">
        <v>0</v>
      </c>
      <c r="V179" s="160">
        <v>180598.07</v>
      </c>
      <c r="W179" s="160">
        <v>338010.93</v>
      </c>
      <c r="X179" s="161">
        <v>0</v>
      </c>
      <c r="Y179" s="160"/>
      <c r="Z179" s="16">
        <v>34.82</v>
      </c>
      <c r="AA179" s="162">
        <v>180598.07</v>
      </c>
      <c r="AB179" s="162">
        <v>45149.517500000002</v>
      </c>
      <c r="AC179" s="162">
        <v>541794.21</v>
      </c>
      <c r="AD179" s="160"/>
      <c r="AE179" s="228">
        <v>518609</v>
      </c>
      <c r="AF179" s="163">
        <v>1.0529999999999999</v>
      </c>
      <c r="AG179" s="163">
        <v>1.0489999999999999</v>
      </c>
      <c r="AH179" s="163">
        <v>1.0469999999999999</v>
      </c>
      <c r="AI179" s="164">
        <v>518609</v>
      </c>
      <c r="AJ179" s="164">
        <f t="shared" si="19"/>
        <v>0</v>
      </c>
      <c r="AK179" s="229">
        <f>VLOOKUP(Q179,[21]DATA!$A:$S,19,FALSE)</f>
        <v>0</v>
      </c>
      <c r="AL179" s="229">
        <f ca="1">SUMIF('MS &amp; Vacancies combined'!A:J,D179,'MS &amp; Vacancies combined'!J:J)*105.3/100</f>
        <v>0</v>
      </c>
      <c r="AM179" s="229">
        <f t="shared" ca="1" si="16"/>
        <v>0</v>
      </c>
      <c r="AN179" s="229">
        <f t="shared" ca="1" si="17"/>
        <v>0</v>
      </c>
      <c r="AO179" s="166"/>
      <c r="AP179" s="413">
        <f t="shared" ca="1" si="20"/>
        <v>0</v>
      </c>
      <c r="AR179" s="231"/>
      <c r="AS179" s="231"/>
      <c r="AU179" s="414">
        <v>518609</v>
      </c>
      <c r="AV179" s="415">
        <v>518609</v>
      </c>
      <c r="AW179" s="414">
        <f t="shared" si="18"/>
        <v>0</v>
      </c>
    </row>
    <row r="180" spans="1:49" s="172" customFormat="1" x14ac:dyDescent="0.3">
      <c r="A180" s="166" t="s">
        <v>52</v>
      </c>
      <c r="B180" s="167" t="s">
        <v>649</v>
      </c>
      <c r="C180" s="167" t="s">
        <v>376</v>
      </c>
      <c r="D180" s="412" t="s">
        <v>3459</v>
      </c>
      <c r="E180" s="168" t="s">
        <v>373</v>
      </c>
      <c r="F180" s="168" t="s">
        <v>648</v>
      </c>
      <c r="G180" s="168" t="s">
        <v>309</v>
      </c>
      <c r="H180" s="168" t="s">
        <v>373</v>
      </c>
      <c r="I180" s="168" t="s">
        <v>377</v>
      </c>
      <c r="J180" s="168" t="s">
        <v>312</v>
      </c>
      <c r="K180" s="168" t="s">
        <v>1849</v>
      </c>
      <c r="L180" s="167" t="s">
        <v>304</v>
      </c>
      <c r="M180" s="167" t="s">
        <v>305</v>
      </c>
      <c r="N180" s="167">
        <v>11</v>
      </c>
      <c r="O180" s="167" t="s">
        <v>376</v>
      </c>
      <c r="P180" s="167" t="s">
        <v>376</v>
      </c>
      <c r="Q180" s="167" t="s">
        <v>649</v>
      </c>
      <c r="R180" s="166" t="s">
        <v>52</v>
      </c>
      <c r="S180" s="169">
        <v>0</v>
      </c>
      <c r="T180" s="160">
        <v>750</v>
      </c>
      <c r="U180" s="160">
        <v>0</v>
      </c>
      <c r="V180" s="160">
        <v>3000</v>
      </c>
      <c r="W180" s="160">
        <v>-3000</v>
      </c>
      <c r="X180" s="161">
        <v>0</v>
      </c>
      <c r="Y180" s="160"/>
      <c r="Z180" s="16">
        <v>0</v>
      </c>
      <c r="AA180" s="162">
        <v>3000</v>
      </c>
      <c r="AB180" s="162">
        <v>750</v>
      </c>
      <c r="AC180" s="162">
        <v>9000</v>
      </c>
      <c r="AD180" s="160"/>
      <c r="AE180" s="145">
        <v>0</v>
      </c>
      <c r="AF180" s="163">
        <v>1.0529999999999999</v>
      </c>
      <c r="AG180" s="163">
        <v>1.0489999999999999</v>
      </c>
      <c r="AH180" s="163">
        <v>1.0469999999999999</v>
      </c>
      <c r="AI180" s="164">
        <v>0</v>
      </c>
      <c r="AJ180" s="164">
        <f t="shared" si="19"/>
        <v>0</v>
      </c>
      <c r="AK180" s="229">
        <v>0</v>
      </c>
      <c r="AL180" s="229">
        <f ca="1">SUMIF('MS &amp; Vacancies combined'!A:M,D180,'MS &amp; Vacancies combined'!M:M)*105.3/100</f>
        <v>0</v>
      </c>
      <c r="AM180" s="229">
        <f t="shared" ca="1" si="16"/>
        <v>0</v>
      </c>
      <c r="AN180" s="229">
        <f t="shared" ca="1" si="17"/>
        <v>0</v>
      </c>
      <c r="AO180" s="166"/>
      <c r="AP180" s="413">
        <f t="shared" ca="1" si="20"/>
        <v>0</v>
      </c>
      <c r="AR180" s="231"/>
      <c r="AS180" s="231"/>
      <c r="AU180" s="414">
        <v>0</v>
      </c>
      <c r="AV180" s="415">
        <v>0</v>
      </c>
      <c r="AW180" s="414">
        <f t="shared" si="18"/>
        <v>0</v>
      </c>
    </row>
    <row r="181" spans="1:49" s="172" customFormat="1" x14ac:dyDescent="0.3">
      <c r="A181" s="166" t="s">
        <v>54</v>
      </c>
      <c r="B181" s="167" t="s">
        <v>650</v>
      </c>
      <c r="C181" s="167" t="s">
        <v>379</v>
      </c>
      <c r="D181" s="412" t="s">
        <v>3459</v>
      </c>
      <c r="E181" s="168" t="s">
        <v>373</v>
      </c>
      <c r="F181" s="168" t="s">
        <v>648</v>
      </c>
      <c r="G181" s="168" t="s">
        <v>309</v>
      </c>
      <c r="H181" s="168" t="s">
        <v>373</v>
      </c>
      <c r="I181" s="168" t="s">
        <v>380</v>
      </c>
      <c r="J181" s="168" t="s">
        <v>312</v>
      </c>
      <c r="K181" s="168" t="s">
        <v>1849</v>
      </c>
      <c r="L181" s="167" t="s">
        <v>304</v>
      </c>
      <c r="M181" s="167" t="s">
        <v>305</v>
      </c>
      <c r="N181" s="167">
        <v>11</v>
      </c>
      <c r="O181" s="167" t="s">
        <v>379</v>
      </c>
      <c r="P181" s="167" t="s">
        <v>379</v>
      </c>
      <c r="Q181" s="167" t="s">
        <v>650</v>
      </c>
      <c r="R181" s="166" t="s">
        <v>54</v>
      </c>
      <c r="S181" s="169">
        <v>12130</v>
      </c>
      <c r="T181" s="160">
        <v>1011.77</v>
      </c>
      <c r="U181" s="160">
        <v>0</v>
      </c>
      <c r="V181" s="160">
        <v>4047.08</v>
      </c>
      <c r="W181" s="160">
        <v>8082.92</v>
      </c>
      <c r="X181" s="161">
        <v>0</v>
      </c>
      <c r="Y181" s="160"/>
      <c r="Z181" s="16">
        <v>33.36</v>
      </c>
      <c r="AA181" s="162">
        <v>4047.08</v>
      </c>
      <c r="AB181" s="162">
        <v>1011.77</v>
      </c>
      <c r="AC181" s="162">
        <v>12141.24</v>
      </c>
      <c r="AD181" s="160"/>
      <c r="AE181" s="145">
        <v>12130</v>
      </c>
      <c r="AF181" s="163">
        <v>1.0529999999999999</v>
      </c>
      <c r="AG181" s="163">
        <v>1.0489999999999999</v>
      </c>
      <c r="AH181" s="163">
        <v>1.0469999999999999</v>
      </c>
      <c r="AI181" s="164">
        <v>12130</v>
      </c>
      <c r="AJ181" s="164">
        <f t="shared" si="19"/>
        <v>0</v>
      </c>
      <c r="AK181" s="229">
        <v>12130</v>
      </c>
      <c r="AL181" s="229">
        <f ca="1">SUMIF('MS &amp; Vacancies combined'!A:L,D181,'MS &amp; Vacancies combined'!L:L)*105.3/100</f>
        <v>0</v>
      </c>
      <c r="AM181" s="229">
        <f t="shared" ca="1" si="16"/>
        <v>0</v>
      </c>
      <c r="AN181" s="229">
        <f t="shared" ca="1" si="17"/>
        <v>0</v>
      </c>
      <c r="AO181" s="166"/>
      <c r="AP181" s="413">
        <f t="shared" ca="1" si="20"/>
        <v>12130</v>
      </c>
      <c r="AR181" s="231"/>
      <c r="AS181" s="231"/>
      <c r="AU181" s="414">
        <v>12130</v>
      </c>
      <c r="AV181" s="415">
        <v>12130</v>
      </c>
      <c r="AW181" s="414">
        <f t="shared" si="18"/>
        <v>0</v>
      </c>
    </row>
    <row r="182" spans="1:49" s="172" customFormat="1" x14ac:dyDescent="0.3">
      <c r="A182" s="166" t="s">
        <v>56</v>
      </c>
      <c r="B182" s="167" t="s">
        <v>651</v>
      </c>
      <c r="C182" s="167" t="s">
        <v>385</v>
      </c>
      <c r="D182" s="412" t="s">
        <v>3459</v>
      </c>
      <c r="E182" s="168" t="s">
        <v>373</v>
      </c>
      <c r="F182" s="168" t="s">
        <v>648</v>
      </c>
      <c r="G182" s="168" t="s">
        <v>309</v>
      </c>
      <c r="H182" s="168" t="s">
        <v>373</v>
      </c>
      <c r="I182" s="168" t="s">
        <v>386</v>
      </c>
      <c r="J182" s="168" t="s">
        <v>387</v>
      </c>
      <c r="K182" s="168" t="s">
        <v>1849</v>
      </c>
      <c r="L182" s="167" t="s">
        <v>304</v>
      </c>
      <c r="M182" s="167" t="s">
        <v>305</v>
      </c>
      <c r="N182" s="167">
        <v>11</v>
      </c>
      <c r="O182" s="167" t="s">
        <v>385</v>
      </c>
      <c r="P182" s="167" t="s">
        <v>385</v>
      </c>
      <c r="Q182" s="167" t="s">
        <v>651</v>
      </c>
      <c r="R182" s="166" t="s">
        <v>56</v>
      </c>
      <c r="S182" s="169">
        <v>16158</v>
      </c>
      <c r="T182" s="160">
        <v>21475.65</v>
      </c>
      <c r="U182" s="160">
        <v>0</v>
      </c>
      <c r="V182" s="160">
        <v>87103.65</v>
      </c>
      <c r="W182" s="160">
        <v>-70945.649999999994</v>
      </c>
      <c r="X182" s="161">
        <v>0</v>
      </c>
      <c r="Y182" s="160"/>
      <c r="Z182" s="16">
        <v>539.07000000000005</v>
      </c>
      <c r="AA182" s="162">
        <v>87103.65</v>
      </c>
      <c r="AB182" s="162">
        <v>21775.912499999999</v>
      </c>
      <c r="AC182" s="162">
        <v>261310.94999999998</v>
      </c>
      <c r="AD182" s="160"/>
      <c r="AE182" s="145">
        <v>16158</v>
      </c>
      <c r="AF182" s="163">
        <v>1.0529999999999999</v>
      </c>
      <c r="AG182" s="163">
        <v>1.0489999999999999</v>
      </c>
      <c r="AH182" s="163">
        <v>1.0469999999999999</v>
      </c>
      <c r="AI182" s="164">
        <v>16158</v>
      </c>
      <c r="AJ182" s="164">
        <f t="shared" si="19"/>
        <v>0</v>
      </c>
      <c r="AK182" s="229">
        <v>16158</v>
      </c>
      <c r="AL182" s="229">
        <f ca="1">SUMIF('MS &amp; Vacancies combined'!A:O,D182,'MS &amp; Vacancies combined'!O:O)*105.3/100</f>
        <v>0</v>
      </c>
      <c r="AM182" s="229">
        <f t="shared" ca="1" si="16"/>
        <v>0</v>
      </c>
      <c r="AN182" s="229">
        <f t="shared" ca="1" si="17"/>
        <v>0</v>
      </c>
      <c r="AO182" s="166"/>
      <c r="AP182" s="413">
        <f t="shared" ca="1" si="20"/>
        <v>16158</v>
      </c>
      <c r="AR182" s="231"/>
      <c r="AS182" s="231"/>
      <c r="AU182" s="414">
        <v>16158</v>
      </c>
      <c r="AV182" s="415">
        <v>16158</v>
      </c>
      <c r="AW182" s="414">
        <f t="shared" si="18"/>
        <v>0</v>
      </c>
    </row>
    <row r="183" spans="1:49" x14ac:dyDescent="0.3">
      <c r="A183" s="16" t="s">
        <v>61</v>
      </c>
      <c r="B183" s="39" t="s">
        <v>652</v>
      </c>
      <c r="C183" s="39" t="s">
        <v>460</v>
      </c>
      <c r="D183" s="340" t="s">
        <v>3459</v>
      </c>
      <c r="E183" s="159" t="s">
        <v>373</v>
      </c>
      <c r="F183" s="159" t="s">
        <v>648</v>
      </c>
      <c r="G183" s="159" t="s">
        <v>309</v>
      </c>
      <c r="H183" s="159" t="s">
        <v>373</v>
      </c>
      <c r="I183" s="159" t="s">
        <v>461</v>
      </c>
      <c r="J183" s="159" t="s">
        <v>312</v>
      </c>
      <c r="K183" s="159" t="s">
        <v>1849</v>
      </c>
      <c r="L183" s="39" t="s">
        <v>304</v>
      </c>
      <c r="M183" s="39" t="s">
        <v>305</v>
      </c>
      <c r="N183" s="39">
        <v>11</v>
      </c>
      <c r="O183" s="39" t="s">
        <v>460</v>
      </c>
      <c r="P183" s="39" t="s">
        <v>460</v>
      </c>
      <c r="Q183" s="39" t="s">
        <v>652</v>
      </c>
      <c r="R183" s="16" t="s">
        <v>61</v>
      </c>
      <c r="S183" s="169">
        <v>0</v>
      </c>
      <c r="T183" s="160">
        <v>17812</v>
      </c>
      <c r="U183" s="160">
        <v>0</v>
      </c>
      <c r="V183" s="160">
        <v>72515</v>
      </c>
      <c r="W183" s="160">
        <v>-72515</v>
      </c>
      <c r="X183" s="161">
        <v>0</v>
      </c>
      <c r="Y183" s="160"/>
      <c r="Z183" s="16">
        <v>0</v>
      </c>
      <c r="AA183" s="162">
        <v>72515</v>
      </c>
      <c r="AB183" s="162">
        <v>18128.75</v>
      </c>
      <c r="AC183" s="162">
        <v>217545</v>
      </c>
      <c r="AD183" s="160"/>
      <c r="AE183" s="145">
        <v>0</v>
      </c>
      <c r="AF183" s="163">
        <v>1.0469999999999999</v>
      </c>
      <c r="AG183" s="164">
        <v>1.046</v>
      </c>
      <c r="AH183" s="164">
        <v>1.046</v>
      </c>
      <c r="AI183" s="164">
        <v>0</v>
      </c>
      <c r="AJ183" s="164">
        <f t="shared" si="19"/>
        <v>0</v>
      </c>
      <c r="AK183" s="165">
        <v>0</v>
      </c>
      <c r="AL183" s="165">
        <v>0</v>
      </c>
      <c r="AM183" s="165">
        <f t="shared" ref="AM183:AM246" si="22">AL183*AG183</f>
        <v>0</v>
      </c>
      <c r="AN183" s="165">
        <f t="shared" ref="AN183:AN246" si="23">AM183*AH183</f>
        <v>0</v>
      </c>
      <c r="AO183" s="16"/>
      <c r="AP183" s="231">
        <f t="shared" si="20"/>
        <v>0</v>
      </c>
      <c r="AR183" s="231"/>
      <c r="AS183" s="231"/>
      <c r="AU183" s="230">
        <v>0</v>
      </c>
      <c r="AV183" s="233">
        <v>0</v>
      </c>
      <c r="AW183" s="230">
        <f t="shared" si="18"/>
        <v>0</v>
      </c>
    </row>
    <row r="184" spans="1:49" s="172" customFormat="1" x14ac:dyDescent="0.3">
      <c r="A184" s="166" t="s">
        <v>62</v>
      </c>
      <c r="B184" s="167" t="s">
        <v>653</v>
      </c>
      <c r="C184" s="167" t="s">
        <v>395</v>
      </c>
      <c r="D184" s="412" t="s">
        <v>3459</v>
      </c>
      <c r="E184" s="168" t="s">
        <v>373</v>
      </c>
      <c r="F184" s="168" t="s">
        <v>648</v>
      </c>
      <c r="G184" s="168" t="s">
        <v>309</v>
      </c>
      <c r="H184" s="168" t="s">
        <v>373</v>
      </c>
      <c r="I184" s="168" t="s">
        <v>396</v>
      </c>
      <c r="J184" s="168" t="s">
        <v>312</v>
      </c>
      <c r="K184" s="168" t="s">
        <v>1849</v>
      </c>
      <c r="L184" s="167" t="s">
        <v>304</v>
      </c>
      <c r="M184" s="167" t="s">
        <v>305</v>
      </c>
      <c r="N184" s="167">
        <v>11</v>
      </c>
      <c r="O184" s="167" t="s">
        <v>395</v>
      </c>
      <c r="P184" s="167" t="s">
        <v>395</v>
      </c>
      <c r="Q184" s="167" t="s">
        <v>653</v>
      </c>
      <c r="R184" s="166" t="s">
        <v>62</v>
      </c>
      <c r="S184" s="169">
        <v>43217</v>
      </c>
      <c r="T184" s="160">
        <v>0</v>
      </c>
      <c r="U184" s="160">
        <v>0</v>
      </c>
      <c r="V184" s="160">
        <v>43259</v>
      </c>
      <c r="W184" s="160">
        <v>-42</v>
      </c>
      <c r="X184" s="161">
        <v>0</v>
      </c>
      <c r="Y184" s="160"/>
      <c r="Z184" s="16">
        <v>100.09</v>
      </c>
      <c r="AA184" s="162">
        <v>43259</v>
      </c>
      <c r="AB184" s="162">
        <v>10814.75</v>
      </c>
      <c r="AC184" s="162">
        <v>129777</v>
      </c>
      <c r="AD184" s="160"/>
      <c r="AE184" s="145">
        <v>43217</v>
      </c>
      <c r="AF184" s="163">
        <v>1.0529999999999999</v>
      </c>
      <c r="AG184" s="163">
        <v>1.0489999999999999</v>
      </c>
      <c r="AH184" s="163">
        <v>1.0469999999999999</v>
      </c>
      <c r="AI184" s="164">
        <v>43217</v>
      </c>
      <c r="AJ184" s="164">
        <f t="shared" si="19"/>
        <v>0</v>
      </c>
      <c r="AK184" s="229">
        <v>43217</v>
      </c>
      <c r="AL184" s="229">
        <f ca="1">SUMIF('MS &amp; Vacancies combined'!A:K,D184,'MS &amp; Vacancies combined'!K:K)*105.3/100</f>
        <v>0</v>
      </c>
      <c r="AM184" s="229">
        <f t="shared" ca="1" si="22"/>
        <v>0</v>
      </c>
      <c r="AN184" s="229">
        <f t="shared" ca="1" si="23"/>
        <v>0</v>
      </c>
      <c r="AO184" s="166"/>
      <c r="AP184" s="413">
        <f t="shared" ca="1" si="20"/>
        <v>43217</v>
      </c>
      <c r="AR184" s="231"/>
      <c r="AS184" s="231"/>
      <c r="AU184" s="414">
        <v>43217</v>
      </c>
      <c r="AV184" s="415">
        <v>43217</v>
      </c>
      <c r="AW184" s="414">
        <f t="shared" si="18"/>
        <v>0</v>
      </c>
    </row>
    <row r="185" spans="1:49" s="172" customFormat="1" x14ac:dyDescent="0.3">
      <c r="A185" s="166" t="s">
        <v>69</v>
      </c>
      <c r="B185" s="167" t="s">
        <v>654</v>
      </c>
      <c r="C185" s="167" t="s">
        <v>398</v>
      </c>
      <c r="D185" s="412" t="s">
        <v>3459</v>
      </c>
      <c r="E185" s="168" t="s">
        <v>373</v>
      </c>
      <c r="F185" s="168" t="s">
        <v>648</v>
      </c>
      <c r="G185" s="168" t="s">
        <v>309</v>
      </c>
      <c r="H185" s="168" t="s">
        <v>310</v>
      </c>
      <c r="I185" s="168" t="s">
        <v>374</v>
      </c>
      <c r="J185" s="168" t="s">
        <v>312</v>
      </c>
      <c r="K185" s="168" t="s">
        <v>1849</v>
      </c>
      <c r="L185" s="167" t="s">
        <v>304</v>
      </c>
      <c r="M185" s="167" t="s">
        <v>305</v>
      </c>
      <c r="N185" s="167">
        <v>11</v>
      </c>
      <c r="O185" s="167" t="s">
        <v>398</v>
      </c>
      <c r="P185" s="167" t="s">
        <v>398</v>
      </c>
      <c r="Q185" s="167" t="s">
        <v>654</v>
      </c>
      <c r="R185" s="166" t="s">
        <v>69</v>
      </c>
      <c r="S185" s="169">
        <v>130</v>
      </c>
      <c r="T185" s="160">
        <v>10.8</v>
      </c>
      <c r="U185" s="160">
        <v>0</v>
      </c>
      <c r="V185" s="160">
        <v>43.2</v>
      </c>
      <c r="W185" s="160">
        <v>86.8</v>
      </c>
      <c r="X185" s="161">
        <v>0</v>
      </c>
      <c r="Y185" s="160"/>
      <c r="Z185" s="16">
        <v>33.229999999999997</v>
      </c>
      <c r="AA185" s="162">
        <v>43.2</v>
      </c>
      <c r="AB185" s="162">
        <v>10.8</v>
      </c>
      <c r="AC185" s="162">
        <v>129.60000000000002</v>
      </c>
      <c r="AD185" s="160"/>
      <c r="AE185" s="145">
        <v>130</v>
      </c>
      <c r="AF185" s="163">
        <v>1.0529999999999999</v>
      </c>
      <c r="AG185" s="163">
        <v>1.0489999999999999</v>
      </c>
      <c r="AH185" s="163">
        <v>1.0469999999999999</v>
      </c>
      <c r="AI185" s="164">
        <v>130</v>
      </c>
      <c r="AJ185" s="164">
        <f t="shared" si="19"/>
        <v>0</v>
      </c>
      <c r="AK185" s="229">
        <v>130</v>
      </c>
      <c r="AL185" s="229">
        <f ca="1">SUMIF('MS &amp; Vacancies combined'!A:N,D185,'MS &amp; Vacancies combined'!N:N)*105.3/100</f>
        <v>0</v>
      </c>
      <c r="AM185" s="229">
        <f t="shared" ca="1" si="22"/>
        <v>0</v>
      </c>
      <c r="AN185" s="229">
        <f t="shared" ca="1" si="23"/>
        <v>0</v>
      </c>
      <c r="AO185" s="166"/>
      <c r="AP185" s="413">
        <f t="shared" ca="1" si="20"/>
        <v>130</v>
      </c>
      <c r="AR185" s="231"/>
      <c r="AS185" s="231"/>
      <c r="AU185" s="414">
        <v>130</v>
      </c>
      <c r="AV185" s="415">
        <v>130</v>
      </c>
      <c r="AW185" s="414">
        <f t="shared" si="18"/>
        <v>0</v>
      </c>
    </row>
    <row r="186" spans="1:49" s="172" customFormat="1" x14ac:dyDescent="0.3">
      <c r="A186" s="166" t="s">
        <v>70</v>
      </c>
      <c r="B186" s="167" t="s">
        <v>655</v>
      </c>
      <c r="C186" s="167" t="s">
        <v>400</v>
      </c>
      <c r="D186" s="412" t="s">
        <v>3459</v>
      </c>
      <c r="E186" s="168" t="s">
        <v>373</v>
      </c>
      <c r="F186" s="168" t="s">
        <v>648</v>
      </c>
      <c r="G186" s="168" t="s">
        <v>309</v>
      </c>
      <c r="H186" s="168" t="s">
        <v>310</v>
      </c>
      <c r="I186" s="168" t="s">
        <v>401</v>
      </c>
      <c r="J186" s="168" t="s">
        <v>312</v>
      </c>
      <c r="K186" s="168" t="s">
        <v>1849</v>
      </c>
      <c r="L186" s="167" t="s">
        <v>304</v>
      </c>
      <c r="M186" s="167" t="s">
        <v>305</v>
      </c>
      <c r="N186" s="167">
        <v>11</v>
      </c>
      <c r="O186" s="167" t="s">
        <v>400</v>
      </c>
      <c r="P186" s="167" t="s">
        <v>400</v>
      </c>
      <c r="Q186" s="167" t="s">
        <v>655</v>
      </c>
      <c r="R186" s="166" t="s">
        <v>70</v>
      </c>
      <c r="S186" s="169">
        <v>8816</v>
      </c>
      <c r="T186" s="160">
        <v>0</v>
      </c>
      <c r="U186" s="160">
        <v>0</v>
      </c>
      <c r="V186" s="160">
        <v>0</v>
      </c>
      <c r="W186" s="160">
        <v>8816</v>
      </c>
      <c r="X186" s="161">
        <v>0</v>
      </c>
      <c r="Y186" s="160"/>
      <c r="Z186" s="16">
        <v>0</v>
      </c>
      <c r="AA186" s="162">
        <v>0</v>
      </c>
      <c r="AB186" s="162">
        <v>0</v>
      </c>
      <c r="AC186" s="162">
        <v>0</v>
      </c>
      <c r="AD186" s="160"/>
      <c r="AE186" s="145">
        <v>8816</v>
      </c>
      <c r="AF186" s="163">
        <v>1.0529999999999999</v>
      </c>
      <c r="AG186" s="163">
        <v>1.0489999999999999</v>
      </c>
      <c r="AH186" s="163">
        <v>1.0469999999999999</v>
      </c>
      <c r="AI186" s="164">
        <v>8816</v>
      </c>
      <c r="AJ186" s="164">
        <f t="shared" si="19"/>
        <v>0</v>
      </c>
      <c r="AK186" s="229">
        <v>8816</v>
      </c>
      <c r="AL186" s="229">
        <f ca="1">SUMIF('MS &amp; Vacancies combined'!A:P,D186,'MS &amp; Vacancies combined'!P:P)*105.3/100</f>
        <v>0</v>
      </c>
      <c r="AM186" s="229">
        <f t="shared" ca="1" si="22"/>
        <v>0</v>
      </c>
      <c r="AN186" s="229">
        <f t="shared" ca="1" si="23"/>
        <v>0</v>
      </c>
      <c r="AO186" s="166"/>
      <c r="AP186" s="413">
        <f t="shared" ca="1" si="20"/>
        <v>8816</v>
      </c>
      <c r="AR186" s="231"/>
      <c r="AS186" s="231"/>
      <c r="AU186" s="414">
        <v>8816</v>
      </c>
      <c r="AV186" s="415">
        <v>8816</v>
      </c>
      <c r="AW186" s="414">
        <f t="shared" si="18"/>
        <v>0</v>
      </c>
    </row>
    <row r="187" spans="1:49" s="172" customFormat="1" x14ac:dyDescent="0.3">
      <c r="A187" s="166" t="s">
        <v>71</v>
      </c>
      <c r="B187" s="167" t="s">
        <v>656</v>
      </c>
      <c r="C187" s="167" t="s">
        <v>403</v>
      </c>
      <c r="D187" s="412" t="s">
        <v>3459</v>
      </c>
      <c r="E187" s="168" t="s">
        <v>373</v>
      </c>
      <c r="F187" s="168" t="s">
        <v>648</v>
      </c>
      <c r="G187" s="168" t="s">
        <v>309</v>
      </c>
      <c r="H187" s="168" t="s">
        <v>310</v>
      </c>
      <c r="I187" s="168" t="s">
        <v>404</v>
      </c>
      <c r="J187" s="168" t="s">
        <v>312</v>
      </c>
      <c r="K187" s="168" t="s">
        <v>1849</v>
      </c>
      <c r="L187" s="167" t="s">
        <v>304</v>
      </c>
      <c r="M187" s="167" t="s">
        <v>305</v>
      </c>
      <c r="N187" s="167">
        <v>11</v>
      </c>
      <c r="O187" s="167" t="s">
        <v>403</v>
      </c>
      <c r="P187" s="167" t="s">
        <v>403</v>
      </c>
      <c r="Q187" s="167" t="s">
        <v>656</v>
      </c>
      <c r="R187" s="166" t="s">
        <v>71</v>
      </c>
      <c r="S187" s="169">
        <v>60027</v>
      </c>
      <c r="T187" s="160">
        <v>5007</v>
      </c>
      <c r="U187" s="160">
        <v>0</v>
      </c>
      <c r="V187" s="160">
        <v>20028</v>
      </c>
      <c r="W187" s="160">
        <v>39999</v>
      </c>
      <c r="X187" s="161">
        <v>0</v>
      </c>
      <c r="Y187" s="160"/>
      <c r="Z187" s="16">
        <v>33.36</v>
      </c>
      <c r="AA187" s="162">
        <v>20028</v>
      </c>
      <c r="AB187" s="162">
        <v>5007</v>
      </c>
      <c r="AC187" s="162">
        <v>60084</v>
      </c>
      <c r="AD187" s="160"/>
      <c r="AE187" s="145">
        <v>60027</v>
      </c>
      <c r="AF187" s="163">
        <v>1.0529999999999999</v>
      </c>
      <c r="AG187" s="163">
        <v>1.0489999999999999</v>
      </c>
      <c r="AH187" s="163">
        <v>1.0469999999999999</v>
      </c>
      <c r="AI187" s="164">
        <v>60027</v>
      </c>
      <c r="AJ187" s="164">
        <f t="shared" si="19"/>
        <v>0</v>
      </c>
      <c r="AK187" s="229">
        <v>60027</v>
      </c>
      <c r="AL187" s="229">
        <f ca="1">SUMIF('MS &amp; Vacancies combined'!A:Q,D187,'MS &amp; Vacancies combined'!Q:Q)*105.3/100</f>
        <v>0</v>
      </c>
      <c r="AM187" s="229">
        <f t="shared" ca="1" si="22"/>
        <v>0</v>
      </c>
      <c r="AN187" s="229">
        <f t="shared" ca="1" si="23"/>
        <v>0</v>
      </c>
      <c r="AO187" s="166"/>
      <c r="AP187" s="413">
        <f t="shared" ca="1" si="20"/>
        <v>60027</v>
      </c>
      <c r="AR187" s="231"/>
      <c r="AS187" s="231"/>
      <c r="AU187" s="414">
        <v>60027</v>
      </c>
      <c r="AV187" s="415">
        <v>60027</v>
      </c>
      <c r="AW187" s="414">
        <f t="shared" si="18"/>
        <v>0</v>
      </c>
    </row>
    <row r="188" spans="1:49" s="172" customFormat="1" x14ac:dyDescent="0.3">
      <c r="A188" s="166" t="s">
        <v>72</v>
      </c>
      <c r="B188" s="167" t="s">
        <v>657</v>
      </c>
      <c r="C188" s="167" t="s">
        <v>406</v>
      </c>
      <c r="D188" s="412" t="s">
        <v>3459</v>
      </c>
      <c r="E188" s="168" t="s">
        <v>373</v>
      </c>
      <c r="F188" s="168" t="s">
        <v>648</v>
      </c>
      <c r="G188" s="168" t="s">
        <v>309</v>
      </c>
      <c r="H188" s="168" t="s">
        <v>310</v>
      </c>
      <c r="I188" s="168" t="s">
        <v>407</v>
      </c>
      <c r="J188" s="168" t="s">
        <v>312</v>
      </c>
      <c r="K188" s="168" t="s">
        <v>1849</v>
      </c>
      <c r="L188" s="167" t="s">
        <v>304</v>
      </c>
      <c r="M188" s="167" t="s">
        <v>305</v>
      </c>
      <c r="N188" s="167">
        <v>11</v>
      </c>
      <c r="O188" s="167" t="s">
        <v>406</v>
      </c>
      <c r="P188" s="167" t="s">
        <v>406</v>
      </c>
      <c r="Q188" s="167" t="s">
        <v>657</v>
      </c>
      <c r="R188" s="166" t="s">
        <v>72</v>
      </c>
      <c r="S188" s="169">
        <v>93713</v>
      </c>
      <c r="T188" s="160">
        <v>8014.68</v>
      </c>
      <c r="U188" s="160">
        <v>0</v>
      </c>
      <c r="V188" s="160">
        <v>31830.66</v>
      </c>
      <c r="W188" s="160">
        <v>61882.34</v>
      </c>
      <c r="X188" s="161">
        <v>0</v>
      </c>
      <c r="Y188" s="160"/>
      <c r="Z188" s="16">
        <v>33.96</v>
      </c>
      <c r="AA188" s="162">
        <v>31830.66</v>
      </c>
      <c r="AB188" s="162">
        <v>7957.665</v>
      </c>
      <c r="AC188" s="162">
        <v>95491.98</v>
      </c>
      <c r="AD188" s="160"/>
      <c r="AE188" s="145">
        <v>93713</v>
      </c>
      <c r="AF188" s="163">
        <v>1.0529999999999999</v>
      </c>
      <c r="AG188" s="163">
        <v>1.0489999999999999</v>
      </c>
      <c r="AH188" s="163">
        <v>1.0469999999999999</v>
      </c>
      <c r="AI188" s="164">
        <v>93713</v>
      </c>
      <c r="AJ188" s="164">
        <f t="shared" si="19"/>
        <v>0</v>
      </c>
      <c r="AK188" s="229">
        <v>93713</v>
      </c>
      <c r="AL188" s="229">
        <f ca="1">SUMIF('MS &amp; Vacancies combined'!A:R,D188,'MS &amp; Vacancies combined'!R:R)*105.3/100</f>
        <v>0</v>
      </c>
      <c r="AM188" s="229">
        <f t="shared" ca="1" si="22"/>
        <v>0</v>
      </c>
      <c r="AN188" s="229">
        <f t="shared" ca="1" si="23"/>
        <v>0</v>
      </c>
      <c r="AO188" s="166"/>
      <c r="AP188" s="413">
        <f t="shared" ca="1" si="20"/>
        <v>93713</v>
      </c>
      <c r="AR188" s="231"/>
      <c r="AS188" s="231"/>
      <c r="AU188" s="414">
        <v>93713</v>
      </c>
      <c r="AV188" s="415">
        <v>93713</v>
      </c>
      <c r="AW188" s="414">
        <f t="shared" si="18"/>
        <v>0</v>
      </c>
    </row>
    <row r="189" spans="1:49" s="172" customFormat="1" x14ac:dyDescent="0.3">
      <c r="A189" s="166" t="s">
        <v>73</v>
      </c>
      <c r="B189" s="167" t="s">
        <v>658</v>
      </c>
      <c r="C189" s="167" t="s">
        <v>307</v>
      </c>
      <c r="D189" s="412" t="s">
        <v>3459</v>
      </c>
      <c r="E189" s="168" t="s">
        <v>373</v>
      </c>
      <c r="F189" s="168" t="s">
        <v>648</v>
      </c>
      <c r="G189" s="168" t="s">
        <v>309</v>
      </c>
      <c r="H189" s="168" t="s">
        <v>310</v>
      </c>
      <c r="I189" s="168" t="s">
        <v>311</v>
      </c>
      <c r="J189" s="168" t="s">
        <v>312</v>
      </c>
      <c r="K189" s="168" t="s">
        <v>1849</v>
      </c>
      <c r="L189" s="167" t="s">
        <v>304</v>
      </c>
      <c r="M189" s="167" t="s">
        <v>305</v>
      </c>
      <c r="N189" s="167">
        <v>11</v>
      </c>
      <c r="O189" s="167" t="s">
        <v>307</v>
      </c>
      <c r="P189" s="167" t="s">
        <v>307</v>
      </c>
      <c r="Q189" s="167" t="s">
        <v>658</v>
      </c>
      <c r="R189" s="166" t="s">
        <v>73</v>
      </c>
      <c r="S189" s="169">
        <v>2227</v>
      </c>
      <c r="T189" s="160">
        <v>177.12</v>
      </c>
      <c r="U189" s="160">
        <v>0</v>
      </c>
      <c r="V189" s="160">
        <v>708.48</v>
      </c>
      <c r="W189" s="160">
        <v>1518.52</v>
      </c>
      <c r="X189" s="161">
        <v>0</v>
      </c>
      <c r="Y189" s="160"/>
      <c r="Z189" s="16">
        <v>31.81</v>
      </c>
      <c r="AA189" s="162">
        <v>708.48</v>
      </c>
      <c r="AB189" s="162">
        <v>177.12</v>
      </c>
      <c r="AC189" s="162">
        <v>2125.44</v>
      </c>
      <c r="AD189" s="160"/>
      <c r="AE189" s="145">
        <v>2227</v>
      </c>
      <c r="AF189" s="163">
        <v>1.0529999999999999</v>
      </c>
      <c r="AG189" s="163">
        <v>1.0489999999999999</v>
      </c>
      <c r="AH189" s="163">
        <v>1.0469999999999999</v>
      </c>
      <c r="AI189" s="164">
        <v>2227</v>
      </c>
      <c r="AJ189" s="164">
        <f t="shared" si="19"/>
        <v>0</v>
      </c>
      <c r="AK189" s="229">
        <v>2227</v>
      </c>
      <c r="AL189" s="229">
        <f ca="1">SUMIF('MS &amp; Vacancies combined'!A:S,D189,'MS &amp; Vacancies combined'!S:S)*105.3/100</f>
        <v>0</v>
      </c>
      <c r="AM189" s="229">
        <f t="shared" ca="1" si="22"/>
        <v>0</v>
      </c>
      <c r="AN189" s="229">
        <f t="shared" ca="1" si="23"/>
        <v>0</v>
      </c>
      <c r="AO189" s="166"/>
      <c r="AP189" s="413">
        <f t="shared" ca="1" si="20"/>
        <v>2227</v>
      </c>
      <c r="AR189" s="231"/>
      <c r="AS189" s="231"/>
      <c r="AU189" s="414">
        <v>2227</v>
      </c>
      <c r="AV189" s="415">
        <v>2227</v>
      </c>
      <c r="AW189" s="414">
        <f t="shared" si="18"/>
        <v>0</v>
      </c>
    </row>
    <row r="190" spans="1:49" hidden="1" x14ac:dyDescent="0.3">
      <c r="A190" s="16" t="s">
        <v>329</v>
      </c>
      <c r="B190" s="39" t="s">
        <v>659</v>
      </c>
      <c r="C190" s="39" t="s">
        <v>78</v>
      </c>
      <c r="D190" s="340" t="s">
        <v>3459</v>
      </c>
      <c r="E190" s="159" t="s">
        <v>373</v>
      </c>
      <c r="F190" s="159" t="s">
        <v>648</v>
      </c>
      <c r="G190" s="159" t="s">
        <v>309</v>
      </c>
      <c r="H190" s="159" t="s">
        <v>330</v>
      </c>
      <c r="I190" s="159" t="s">
        <v>331</v>
      </c>
      <c r="J190" s="159" t="s">
        <v>312</v>
      </c>
      <c r="K190" s="159" t="s">
        <v>1849</v>
      </c>
      <c r="L190" s="39" t="s">
        <v>304</v>
      </c>
      <c r="M190" s="39" t="s">
        <v>305</v>
      </c>
      <c r="N190" s="39">
        <v>11</v>
      </c>
      <c r="O190" s="39" t="s">
        <v>78</v>
      </c>
      <c r="P190" s="39" t="s">
        <v>78</v>
      </c>
      <c r="Q190" s="39" t="s">
        <v>659</v>
      </c>
      <c r="R190" s="16" t="s">
        <v>329</v>
      </c>
      <c r="S190" s="218">
        <v>1500000</v>
      </c>
      <c r="T190" s="160">
        <v>0</v>
      </c>
      <c r="U190" s="160">
        <v>0</v>
      </c>
      <c r="V190" s="160">
        <v>1225984.74</v>
      </c>
      <c r="W190" s="160">
        <v>274015.26</v>
      </c>
      <c r="X190" s="161">
        <v>338656.98</v>
      </c>
      <c r="Y190" s="160"/>
      <c r="Z190" s="16">
        <v>81.73</v>
      </c>
      <c r="AA190" s="162">
        <v>1225984.74</v>
      </c>
      <c r="AB190" s="162">
        <v>306496.185</v>
      </c>
      <c r="AC190" s="162">
        <v>3677954.2199999997</v>
      </c>
      <c r="AD190" s="218">
        <v>0</v>
      </c>
      <c r="AE190" s="145">
        <v>1500000</v>
      </c>
      <c r="AF190" s="220">
        <v>1.0469999999999999</v>
      </c>
      <c r="AG190" s="221">
        <v>1.046</v>
      </c>
      <c r="AH190" s="221">
        <v>1.046</v>
      </c>
      <c r="AI190" s="164">
        <v>1500000</v>
      </c>
      <c r="AJ190" s="164">
        <f t="shared" si="19"/>
        <v>0</v>
      </c>
      <c r="AK190" s="165">
        <v>7000000</v>
      </c>
      <c r="AL190" s="165">
        <f>AK190</f>
        <v>7000000</v>
      </c>
      <c r="AM190" s="165">
        <f t="shared" si="22"/>
        <v>7322000</v>
      </c>
      <c r="AN190" s="165">
        <f t="shared" si="23"/>
        <v>7658812</v>
      </c>
      <c r="AO190" s="16"/>
      <c r="AP190" s="231">
        <f t="shared" si="20"/>
        <v>0</v>
      </c>
      <c r="AR190" s="231"/>
      <c r="AS190" s="231"/>
      <c r="AU190" s="230">
        <v>1500000</v>
      </c>
      <c r="AV190" s="233">
        <v>1500000</v>
      </c>
      <c r="AW190" s="230">
        <f t="shared" si="18"/>
        <v>0</v>
      </c>
    </row>
    <row r="191" spans="1:49" hidden="1" x14ac:dyDescent="0.3">
      <c r="A191" s="16" t="s">
        <v>661</v>
      </c>
      <c r="B191" s="39" t="s">
        <v>660</v>
      </c>
      <c r="C191" s="39" t="s">
        <v>78</v>
      </c>
      <c r="D191" s="340" t="s">
        <v>3459</v>
      </c>
      <c r="E191" s="159" t="s">
        <v>373</v>
      </c>
      <c r="F191" s="159" t="s">
        <v>648</v>
      </c>
      <c r="G191" s="159" t="s">
        <v>309</v>
      </c>
      <c r="H191" s="159" t="s">
        <v>330</v>
      </c>
      <c r="I191" s="159" t="s">
        <v>331</v>
      </c>
      <c r="J191" s="159" t="s">
        <v>387</v>
      </c>
      <c r="K191" s="159" t="s">
        <v>1849</v>
      </c>
      <c r="L191" s="39" t="s">
        <v>304</v>
      </c>
      <c r="M191" s="39" t="s">
        <v>305</v>
      </c>
      <c r="N191" s="39">
        <v>11</v>
      </c>
      <c r="O191" s="39" t="s">
        <v>78</v>
      </c>
      <c r="P191" s="39" t="s">
        <v>78</v>
      </c>
      <c r="Q191" s="39" t="s">
        <v>660</v>
      </c>
      <c r="R191" s="16" t="s">
        <v>661</v>
      </c>
      <c r="S191" s="160">
        <v>0</v>
      </c>
      <c r="T191" s="160">
        <v>0</v>
      </c>
      <c r="U191" s="160">
        <v>0</v>
      </c>
      <c r="V191" s="160">
        <v>0</v>
      </c>
      <c r="W191" s="160">
        <v>0</v>
      </c>
      <c r="X191" s="161">
        <v>0</v>
      </c>
      <c r="Y191" s="160"/>
      <c r="Z191" s="16">
        <v>0</v>
      </c>
      <c r="AA191" s="162">
        <v>0</v>
      </c>
      <c r="AB191" s="162">
        <v>0</v>
      </c>
      <c r="AC191" s="162">
        <v>0</v>
      </c>
      <c r="AD191" s="160"/>
      <c r="AE191" s="145">
        <v>0</v>
      </c>
      <c r="AF191" s="163">
        <v>1.0469999999999999</v>
      </c>
      <c r="AG191" s="164">
        <v>1.046</v>
      </c>
      <c r="AH191" s="164">
        <v>1.046</v>
      </c>
      <c r="AI191" s="164">
        <v>0</v>
      </c>
      <c r="AJ191" s="164">
        <f t="shared" si="19"/>
        <v>0</v>
      </c>
      <c r="AK191" s="165">
        <v>0</v>
      </c>
      <c r="AL191" s="165">
        <v>0</v>
      </c>
      <c r="AM191" s="165">
        <f t="shared" si="22"/>
        <v>0</v>
      </c>
      <c r="AN191" s="165">
        <f t="shared" si="23"/>
        <v>0</v>
      </c>
      <c r="AO191" s="16"/>
      <c r="AP191" s="231">
        <f t="shared" si="20"/>
        <v>0</v>
      </c>
      <c r="AR191" s="231"/>
      <c r="AS191" s="231"/>
      <c r="AU191" s="230">
        <v>0</v>
      </c>
      <c r="AV191" s="233">
        <v>0</v>
      </c>
      <c r="AW191" s="230">
        <f t="shared" si="18"/>
        <v>0</v>
      </c>
    </row>
    <row r="192" spans="1:49" hidden="1" x14ac:dyDescent="0.3">
      <c r="A192" s="16" t="s">
        <v>341</v>
      </c>
      <c r="B192" s="39" t="s">
        <v>662</v>
      </c>
      <c r="C192" s="39" t="s">
        <v>82</v>
      </c>
      <c r="D192" s="340" t="s">
        <v>3459</v>
      </c>
      <c r="E192" s="159" t="s">
        <v>373</v>
      </c>
      <c r="F192" s="159" t="s">
        <v>648</v>
      </c>
      <c r="G192" s="159" t="s">
        <v>309</v>
      </c>
      <c r="H192" s="159" t="s">
        <v>334</v>
      </c>
      <c r="I192" s="159" t="s">
        <v>343</v>
      </c>
      <c r="J192" s="159" t="s">
        <v>312</v>
      </c>
      <c r="K192" s="159" t="s">
        <v>1849</v>
      </c>
      <c r="L192" s="39" t="s">
        <v>304</v>
      </c>
      <c r="M192" s="39" t="s">
        <v>305</v>
      </c>
      <c r="N192" s="39">
        <v>11</v>
      </c>
      <c r="O192" s="39" t="s">
        <v>82</v>
      </c>
      <c r="P192" s="39" t="s">
        <v>342</v>
      </c>
      <c r="Q192" s="39" t="s">
        <v>662</v>
      </c>
      <c r="R192" s="16" t="s">
        <v>341</v>
      </c>
      <c r="S192" s="160">
        <v>0</v>
      </c>
      <c r="T192" s="160">
        <v>0</v>
      </c>
      <c r="U192" s="160">
        <v>0</v>
      </c>
      <c r="V192" s="160">
        <v>0</v>
      </c>
      <c r="W192" s="160">
        <v>0</v>
      </c>
      <c r="X192" s="161">
        <v>0</v>
      </c>
      <c r="Y192" s="160"/>
      <c r="Z192" s="16">
        <v>0</v>
      </c>
      <c r="AA192" s="162">
        <v>0</v>
      </c>
      <c r="AB192" s="162">
        <v>0</v>
      </c>
      <c r="AC192" s="162">
        <v>0</v>
      </c>
      <c r="AD192" s="160"/>
      <c r="AE192" s="145">
        <v>0</v>
      </c>
      <c r="AF192" s="163">
        <v>1.0469999999999999</v>
      </c>
      <c r="AG192" s="164">
        <v>1.046</v>
      </c>
      <c r="AH192" s="164">
        <v>1.046</v>
      </c>
      <c r="AI192" s="164">
        <v>0</v>
      </c>
      <c r="AJ192" s="164">
        <f t="shared" si="19"/>
        <v>0</v>
      </c>
      <c r="AK192" s="165">
        <v>0</v>
      </c>
      <c r="AL192" s="165">
        <v>0</v>
      </c>
      <c r="AM192" s="165">
        <f t="shared" si="22"/>
        <v>0</v>
      </c>
      <c r="AN192" s="165">
        <f t="shared" si="23"/>
        <v>0</v>
      </c>
      <c r="AO192" s="16"/>
      <c r="AP192" s="231">
        <f t="shared" si="20"/>
        <v>0</v>
      </c>
      <c r="AR192" s="231"/>
      <c r="AS192" s="231"/>
      <c r="AU192" s="230">
        <v>0</v>
      </c>
      <c r="AV192" s="233">
        <v>0</v>
      </c>
      <c r="AW192" s="230">
        <f t="shared" si="18"/>
        <v>0</v>
      </c>
    </row>
    <row r="193" spans="1:49" hidden="1" x14ac:dyDescent="0.3">
      <c r="A193" s="16" t="s">
        <v>83</v>
      </c>
      <c r="B193" s="39" t="s">
        <v>663</v>
      </c>
      <c r="C193" s="39" t="s">
        <v>423</v>
      </c>
      <c r="D193" s="340" t="s">
        <v>3459</v>
      </c>
      <c r="E193" s="159" t="s">
        <v>373</v>
      </c>
      <c r="F193" s="159" t="s">
        <v>648</v>
      </c>
      <c r="G193" s="159" t="s">
        <v>309</v>
      </c>
      <c r="H193" s="159" t="s">
        <v>424</v>
      </c>
      <c r="I193" s="159" t="s">
        <v>425</v>
      </c>
      <c r="J193" s="159" t="s">
        <v>426</v>
      </c>
      <c r="K193" s="159" t="s">
        <v>1849</v>
      </c>
      <c r="L193" s="39" t="s">
        <v>304</v>
      </c>
      <c r="M193" s="39" t="s">
        <v>305</v>
      </c>
      <c r="N193" s="39">
        <v>11</v>
      </c>
      <c r="O193" s="39" t="s">
        <v>423</v>
      </c>
      <c r="P193" s="39" t="s">
        <v>423</v>
      </c>
      <c r="Q193" s="39" t="s">
        <v>663</v>
      </c>
      <c r="R193" s="16" t="s">
        <v>83</v>
      </c>
      <c r="S193" s="160">
        <v>0</v>
      </c>
      <c r="T193" s="160">
        <v>0</v>
      </c>
      <c r="U193" s="160">
        <v>0</v>
      </c>
      <c r="V193" s="160">
        <v>0</v>
      </c>
      <c r="W193" s="160">
        <v>0</v>
      </c>
      <c r="X193" s="161">
        <v>0</v>
      </c>
      <c r="Y193" s="160"/>
      <c r="Z193" s="16">
        <v>0</v>
      </c>
      <c r="AA193" s="162">
        <v>0</v>
      </c>
      <c r="AB193" s="162">
        <v>0</v>
      </c>
      <c r="AC193" s="162">
        <v>0</v>
      </c>
      <c r="AD193" s="160"/>
      <c r="AE193" s="145">
        <v>0</v>
      </c>
      <c r="AF193" s="163">
        <v>1.0469999999999999</v>
      </c>
      <c r="AG193" s="164">
        <v>1.046</v>
      </c>
      <c r="AH193" s="164">
        <v>1.046</v>
      </c>
      <c r="AI193" s="164">
        <v>0</v>
      </c>
      <c r="AJ193" s="164">
        <f t="shared" si="19"/>
        <v>0</v>
      </c>
      <c r="AK193" s="165">
        <v>0</v>
      </c>
      <c r="AL193" s="165">
        <v>0</v>
      </c>
      <c r="AM193" s="165">
        <f t="shared" si="22"/>
        <v>0</v>
      </c>
      <c r="AN193" s="165">
        <f t="shared" si="23"/>
        <v>0</v>
      </c>
      <c r="AO193" s="16"/>
      <c r="AP193" s="231">
        <f t="shared" si="20"/>
        <v>0</v>
      </c>
      <c r="AR193" s="231"/>
      <c r="AS193" s="231"/>
      <c r="AU193" s="230">
        <v>0</v>
      </c>
      <c r="AV193" s="233">
        <v>0</v>
      </c>
      <c r="AW193" s="230">
        <f t="shared" si="18"/>
        <v>0</v>
      </c>
    </row>
    <row r="194" spans="1:49" s="172" customFormat="1" x14ac:dyDescent="0.3">
      <c r="A194" s="166" t="s">
        <v>22</v>
      </c>
      <c r="B194" s="167" t="s">
        <v>664</v>
      </c>
      <c r="C194" s="167" t="s">
        <v>665</v>
      </c>
      <c r="D194" s="412" t="s">
        <v>3460</v>
      </c>
      <c r="E194" s="168" t="s">
        <v>666</v>
      </c>
      <c r="F194" s="168" t="s">
        <v>362</v>
      </c>
      <c r="G194" s="168" t="s">
        <v>309</v>
      </c>
      <c r="H194" s="168" t="s">
        <v>363</v>
      </c>
      <c r="I194" s="168" t="s">
        <v>319</v>
      </c>
      <c r="J194" s="168" t="s">
        <v>312</v>
      </c>
      <c r="K194" s="168" t="s">
        <v>1849</v>
      </c>
      <c r="L194" s="167" t="s">
        <v>304</v>
      </c>
      <c r="M194" s="167" t="s">
        <v>305</v>
      </c>
      <c r="N194" s="167">
        <v>11</v>
      </c>
      <c r="O194" s="167" t="s">
        <v>665</v>
      </c>
      <c r="P194" s="167" t="s">
        <v>665</v>
      </c>
      <c r="Q194" s="167" t="s">
        <v>664</v>
      </c>
      <c r="R194" s="166" t="s">
        <v>22</v>
      </c>
      <c r="S194" s="169">
        <v>1751036</v>
      </c>
      <c r="T194" s="160">
        <v>0</v>
      </c>
      <c r="U194" s="160">
        <v>0</v>
      </c>
      <c r="V194" s="160">
        <v>0</v>
      </c>
      <c r="W194" s="160">
        <v>1751036</v>
      </c>
      <c r="X194" s="161">
        <v>0</v>
      </c>
      <c r="Y194" s="160"/>
      <c r="Z194" s="16">
        <v>0</v>
      </c>
      <c r="AA194" s="162">
        <v>0</v>
      </c>
      <c r="AB194" s="162">
        <v>0</v>
      </c>
      <c r="AC194" s="162">
        <v>0</v>
      </c>
      <c r="AD194" s="160"/>
      <c r="AE194" s="228">
        <v>1751036</v>
      </c>
      <c r="AF194" s="163">
        <v>1.0529999999999999</v>
      </c>
      <c r="AG194" s="163">
        <v>1.0489999999999999</v>
      </c>
      <c r="AH194" s="163">
        <v>1.0469999999999999</v>
      </c>
      <c r="AI194" s="164">
        <v>1751036</v>
      </c>
      <c r="AJ194" s="164">
        <f t="shared" si="19"/>
        <v>0</v>
      </c>
      <c r="AK194" s="229">
        <v>1751036</v>
      </c>
      <c r="AL194" s="229">
        <f ca="1">SUMIF('SM &amp; Vacancies'!A:K,D194,'SM &amp; Vacancies'!J:J)*105.3/100</f>
        <v>1681374.591</v>
      </c>
      <c r="AM194" s="229">
        <f t="shared" ca="1" si="22"/>
        <v>1763761.9459589999</v>
      </c>
      <c r="AN194" s="229">
        <f t="shared" ca="1" si="23"/>
        <v>1846658.7574190728</v>
      </c>
      <c r="AO194" s="166"/>
      <c r="AP194" s="413">
        <f t="shared" ca="1" si="20"/>
        <v>69661.408999999985</v>
      </c>
      <c r="AR194" s="231"/>
      <c r="AS194" s="231"/>
      <c r="AU194" s="414">
        <v>1751036</v>
      </c>
      <c r="AV194" s="415">
        <v>1751036</v>
      </c>
      <c r="AW194" s="414">
        <f t="shared" ref="AW194:AW257" si="24">AU194-S194</f>
        <v>0</v>
      </c>
    </row>
    <row r="195" spans="1:49" s="172" customFormat="1" x14ac:dyDescent="0.3">
      <c r="A195" s="166" t="s">
        <v>23</v>
      </c>
      <c r="B195" s="167" t="s">
        <v>667</v>
      </c>
      <c r="C195" s="167" t="s">
        <v>668</v>
      </c>
      <c r="D195" s="412" t="s">
        <v>3460</v>
      </c>
      <c r="E195" s="168" t="s">
        <v>666</v>
      </c>
      <c r="F195" s="168" t="s">
        <v>362</v>
      </c>
      <c r="G195" s="168" t="s">
        <v>309</v>
      </c>
      <c r="H195" s="168" t="s">
        <v>363</v>
      </c>
      <c r="I195" s="168" t="s">
        <v>669</v>
      </c>
      <c r="J195" s="168" t="s">
        <v>312</v>
      </c>
      <c r="K195" s="168" t="s">
        <v>1849</v>
      </c>
      <c r="L195" s="167" t="s">
        <v>304</v>
      </c>
      <c r="M195" s="167" t="s">
        <v>305</v>
      </c>
      <c r="N195" s="167">
        <v>11</v>
      </c>
      <c r="O195" s="167" t="s">
        <v>668</v>
      </c>
      <c r="P195" s="167" t="s">
        <v>668</v>
      </c>
      <c r="Q195" s="167" t="s">
        <v>667</v>
      </c>
      <c r="R195" s="166" t="s">
        <v>23</v>
      </c>
      <c r="S195" s="169">
        <v>15091</v>
      </c>
      <c r="T195" s="160">
        <v>1000</v>
      </c>
      <c r="U195" s="160">
        <v>0</v>
      </c>
      <c r="V195" s="160">
        <v>4700</v>
      </c>
      <c r="W195" s="160">
        <v>10391</v>
      </c>
      <c r="X195" s="161">
        <v>0</v>
      </c>
      <c r="Y195" s="160"/>
      <c r="Z195" s="16">
        <v>31.14</v>
      </c>
      <c r="AA195" s="162">
        <v>4700</v>
      </c>
      <c r="AB195" s="162">
        <v>1175</v>
      </c>
      <c r="AC195" s="162">
        <v>14100</v>
      </c>
      <c r="AD195" s="160"/>
      <c r="AE195" s="228">
        <v>15091</v>
      </c>
      <c r="AF195" s="163">
        <v>1.0529999999999999</v>
      </c>
      <c r="AG195" s="163">
        <v>1.0489999999999999</v>
      </c>
      <c r="AH195" s="163">
        <v>1.0469999999999999</v>
      </c>
      <c r="AI195" s="164">
        <v>15091</v>
      </c>
      <c r="AJ195" s="164">
        <f t="shared" si="19"/>
        <v>0</v>
      </c>
      <c r="AK195" s="229">
        <v>15091</v>
      </c>
      <c r="AL195" s="229">
        <f ca="1">SUMIF('SM &amp; Vacancies'!A:N,D195,'SM &amp; Vacancies'!N:N)*105.3/100</f>
        <v>15163.2</v>
      </c>
      <c r="AM195" s="229">
        <f t="shared" ca="1" si="22"/>
        <v>15906.1968</v>
      </c>
      <c r="AN195" s="229">
        <f t="shared" ca="1" si="23"/>
        <v>16653.7880496</v>
      </c>
      <c r="AO195" s="166"/>
      <c r="AP195" s="413">
        <f t="shared" ca="1" si="20"/>
        <v>-72.200000000000728</v>
      </c>
      <c r="AR195" s="231"/>
      <c r="AS195" s="231"/>
      <c r="AU195" s="414">
        <v>15091</v>
      </c>
      <c r="AV195" s="415">
        <v>15091</v>
      </c>
      <c r="AW195" s="414">
        <f t="shared" si="24"/>
        <v>0</v>
      </c>
    </row>
    <row r="196" spans="1:49" s="172" customFormat="1" x14ac:dyDescent="0.3">
      <c r="A196" s="166" t="s">
        <v>24</v>
      </c>
      <c r="B196" s="167" t="s">
        <v>670</v>
      </c>
      <c r="C196" s="167" t="s">
        <v>671</v>
      </c>
      <c r="D196" s="412" t="s">
        <v>3460</v>
      </c>
      <c r="E196" s="168" t="s">
        <v>666</v>
      </c>
      <c r="F196" s="168" t="s">
        <v>362</v>
      </c>
      <c r="G196" s="168" t="s">
        <v>309</v>
      </c>
      <c r="H196" s="168" t="s">
        <v>363</v>
      </c>
      <c r="I196" s="168" t="s">
        <v>672</v>
      </c>
      <c r="J196" s="168" t="s">
        <v>312</v>
      </c>
      <c r="K196" s="168" t="s">
        <v>1849</v>
      </c>
      <c r="L196" s="167" t="s">
        <v>304</v>
      </c>
      <c r="M196" s="167" t="s">
        <v>305</v>
      </c>
      <c r="N196" s="167">
        <v>11</v>
      </c>
      <c r="O196" s="167" t="s">
        <v>671</v>
      </c>
      <c r="P196" s="167" t="s">
        <v>671</v>
      </c>
      <c r="Q196" s="167" t="s">
        <v>670</v>
      </c>
      <c r="R196" s="166" t="s">
        <v>24</v>
      </c>
      <c r="S196" s="169">
        <v>0</v>
      </c>
      <c r="T196" s="160">
        <v>131120.66</v>
      </c>
      <c r="U196" s="160">
        <v>0</v>
      </c>
      <c r="V196" s="160">
        <v>524482.64</v>
      </c>
      <c r="W196" s="160">
        <v>-524482.64</v>
      </c>
      <c r="X196" s="161">
        <v>0</v>
      </c>
      <c r="Y196" s="160"/>
      <c r="Z196" s="16">
        <v>0</v>
      </c>
      <c r="AA196" s="162">
        <v>524482.64</v>
      </c>
      <c r="AB196" s="162">
        <v>131120.66</v>
      </c>
      <c r="AC196" s="162">
        <v>1573447.92</v>
      </c>
      <c r="AD196" s="160"/>
      <c r="AE196" s="228">
        <v>0</v>
      </c>
      <c r="AF196" s="163">
        <v>1.0529999999999999</v>
      </c>
      <c r="AG196" s="163">
        <v>1.0489999999999999</v>
      </c>
      <c r="AH196" s="163">
        <v>1.0469999999999999</v>
      </c>
      <c r="AI196" s="164">
        <v>0</v>
      </c>
      <c r="AJ196" s="164">
        <f t="shared" si="19"/>
        <v>0</v>
      </c>
      <c r="AK196" s="229">
        <v>0</v>
      </c>
      <c r="AL196" s="229">
        <f ca="1">(SUMIF('SM &amp; Vacancies'!A:P,D196,'SM &amp; Vacancies'!P:P)+'SM &amp; Vacancies'!P2+'SM &amp; Vacancies'!P3+'SM &amp; Vacancies'!P4+'SM &amp; Vacancies'!P5)*105.3/100</f>
        <v>726570</v>
      </c>
      <c r="AM196" s="229">
        <f t="shared" ca="1" si="22"/>
        <v>762171.92999999993</v>
      </c>
      <c r="AN196" s="229">
        <f t="shared" ca="1" si="23"/>
        <v>797994.01070999983</v>
      </c>
      <c r="AO196" s="166"/>
      <c r="AP196" s="413">
        <f t="shared" ca="1" si="20"/>
        <v>-726570</v>
      </c>
      <c r="AR196" s="231"/>
      <c r="AS196" s="231"/>
      <c r="AU196" s="414">
        <v>0</v>
      </c>
      <c r="AV196" s="415">
        <v>0</v>
      </c>
      <c r="AW196" s="414">
        <f t="shared" si="24"/>
        <v>0</v>
      </c>
    </row>
    <row r="197" spans="1:49" s="172" customFormat="1" x14ac:dyDescent="0.3">
      <c r="A197" s="166" t="s">
        <v>25</v>
      </c>
      <c r="B197" s="167" t="s">
        <v>673</v>
      </c>
      <c r="C197" s="167" t="s">
        <v>674</v>
      </c>
      <c r="D197" s="412" t="s">
        <v>3460</v>
      </c>
      <c r="E197" s="168" t="s">
        <v>666</v>
      </c>
      <c r="F197" s="168" t="s">
        <v>362</v>
      </c>
      <c r="G197" s="168" t="s">
        <v>309</v>
      </c>
      <c r="H197" s="168" t="s">
        <v>370</v>
      </c>
      <c r="I197" s="168" t="s">
        <v>448</v>
      </c>
      <c r="J197" s="168" t="s">
        <v>312</v>
      </c>
      <c r="K197" s="168" t="s">
        <v>1849</v>
      </c>
      <c r="L197" s="167" t="s">
        <v>304</v>
      </c>
      <c r="M197" s="167" t="s">
        <v>305</v>
      </c>
      <c r="N197" s="167">
        <v>11</v>
      </c>
      <c r="O197" s="167" t="s">
        <v>674</v>
      </c>
      <c r="P197" s="167" t="s">
        <v>674</v>
      </c>
      <c r="Q197" s="167" t="s">
        <v>673</v>
      </c>
      <c r="R197" s="166" t="s">
        <v>25</v>
      </c>
      <c r="S197" s="169">
        <v>0</v>
      </c>
      <c r="T197" s="160">
        <v>177.12</v>
      </c>
      <c r="U197" s="160">
        <v>0</v>
      </c>
      <c r="V197" s="160">
        <v>708.48</v>
      </c>
      <c r="W197" s="160">
        <v>-708.48</v>
      </c>
      <c r="X197" s="161">
        <v>0</v>
      </c>
      <c r="Y197" s="160"/>
      <c r="Z197" s="16">
        <v>0</v>
      </c>
      <c r="AA197" s="162">
        <v>708.48</v>
      </c>
      <c r="AB197" s="162">
        <v>177.12</v>
      </c>
      <c r="AC197" s="162">
        <v>2125.44</v>
      </c>
      <c r="AD197" s="160"/>
      <c r="AE197" s="228">
        <v>0</v>
      </c>
      <c r="AF197" s="163">
        <v>1.0529999999999999</v>
      </c>
      <c r="AG197" s="163">
        <v>1.0489999999999999</v>
      </c>
      <c r="AH197" s="163">
        <v>1.0469999999999999</v>
      </c>
      <c r="AI197" s="164">
        <v>0</v>
      </c>
      <c r="AJ197" s="164">
        <f t="shared" si="19"/>
        <v>0</v>
      </c>
      <c r="AK197" s="229">
        <v>0</v>
      </c>
      <c r="AL197" s="229">
        <f ca="1">(SUMIF('SM &amp; Vacancies'!A:T,D197,'SM &amp; Vacancies'!T:T)+'SM &amp; Vacancies'!T2+'SM &amp; Vacancies'!T5)*105.3/100</f>
        <v>6714.2649599999995</v>
      </c>
      <c r="AM197" s="229">
        <f t="shared" ca="1" si="22"/>
        <v>7043.2639430399986</v>
      </c>
      <c r="AN197" s="229">
        <f t="shared" ca="1" si="23"/>
        <v>7374.2973483628784</v>
      </c>
      <c r="AO197" s="166"/>
      <c r="AP197" s="413">
        <f t="shared" ca="1" si="20"/>
        <v>-6714.2649599999995</v>
      </c>
      <c r="AR197" s="231"/>
      <c r="AS197" s="231"/>
      <c r="AU197" s="414">
        <v>0</v>
      </c>
      <c r="AV197" s="415">
        <v>0</v>
      </c>
      <c r="AW197" s="414">
        <f t="shared" si="24"/>
        <v>0</v>
      </c>
    </row>
    <row r="198" spans="1:49" x14ac:dyDescent="0.3">
      <c r="A198" s="16" t="s">
        <v>26</v>
      </c>
      <c r="B198" s="39" t="s">
        <v>675</v>
      </c>
      <c r="C198" s="39" t="s">
        <v>676</v>
      </c>
      <c r="D198" s="340" t="s">
        <v>3460</v>
      </c>
      <c r="E198" s="159" t="s">
        <v>666</v>
      </c>
      <c r="F198" s="159" t="s">
        <v>362</v>
      </c>
      <c r="G198" s="159" t="s">
        <v>309</v>
      </c>
      <c r="H198" s="159" t="s">
        <v>370</v>
      </c>
      <c r="I198" s="159" t="s">
        <v>677</v>
      </c>
      <c r="J198" s="159" t="s">
        <v>312</v>
      </c>
      <c r="K198" s="159" t="s">
        <v>1849</v>
      </c>
      <c r="L198" s="39" t="s">
        <v>304</v>
      </c>
      <c r="M198" s="39" t="s">
        <v>305</v>
      </c>
      <c r="N198" s="39">
        <v>11</v>
      </c>
      <c r="O198" s="39" t="s">
        <v>676</v>
      </c>
      <c r="P198" s="39" t="s">
        <v>676</v>
      </c>
      <c r="Q198" s="39" t="s">
        <v>675</v>
      </c>
      <c r="R198" s="16" t="s">
        <v>26</v>
      </c>
      <c r="S198" s="169">
        <v>0</v>
      </c>
      <c r="T198" s="160">
        <v>0</v>
      </c>
      <c r="U198" s="160">
        <v>0</v>
      </c>
      <c r="V198" s="160">
        <v>0</v>
      </c>
      <c r="W198" s="160">
        <v>0</v>
      </c>
      <c r="X198" s="161">
        <v>0</v>
      </c>
      <c r="Y198" s="160"/>
      <c r="Z198" s="16">
        <v>0</v>
      </c>
      <c r="AA198" s="162">
        <v>0</v>
      </c>
      <c r="AB198" s="162">
        <v>0</v>
      </c>
      <c r="AC198" s="162">
        <v>0</v>
      </c>
      <c r="AD198" s="160"/>
      <c r="AE198" s="145">
        <v>0</v>
      </c>
      <c r="AF198" s="163">
        <v>1.0469999999999999</v>
      </c>
      <c r="AG198" s="164">
        <v>1.046</v>
      </c>
      <c r="AH198" s="164">
        <v>1.046</v>
      </c>
      <c r="AI198" s="164">
        <v>0</v>
      </c>
      <c r="AJ198" s="164">
        <f t="shared" si="19"/>
        <v>0</v>
      </c>
      <c r="AK198" s="165">
        <v>0</v>
      </c>
      <c r="AL198" s="165">
        <v>0</v>
      </c>
      <c r="AM198" s="165">
        <f t="shared" si="22"/>
        <v>0</v>
      </c>
      <c r="AN198" s="165">
        <f t="shared" si="23"/>
        <v>0</v>
      </c>
      <c r="AO198" s="16"/>
      <c r="AP198" s="231">
        <f t="shared" si="20"/>
        <v>0</v>
      </c>
      <c r="AR198" s="231"/>
      <c r="AS198" s="231"/>
      <c r="AU198" s="230">
        <v>0</v>
      </c>
      <c r="AV198" s="233">
        <v>0</v>
      </c>
      <c r="AW198" s="230">
        <f t="shared" si="24"/>
        <v>0</v>
      </c>
    </row>
    <row r="199" spans="1:49" x14ac:dyDescent="0.3">
      <c r="A199" s="16" t="s">
        <v>27</v>
      </c>
      <c r="B199" s="39" t="s">
        <v>678</v>
      </c>
      <c r="C199" s="39" t="s">
        <v>679</v>
      </c>
      <c r="D199" s="340" t="s">
        <v>3460</v>
      </c>
      <c r="E199" s="159" t="s">
        <v>666</v>
      </c>
      <c r="F199" s="159" t="s">
        <v>362</v>
      </c>
      <c r="G199" s="159" t="s">
        <v>309</v>
      </c>
      <c r="H199" s="159" t="s">
        <v>370</v>
      </c>
      <c r="I199" s="159" t="s">
        <v>680</v>
      </c>
      <c r="J199" s="159" t="s">
        <v>312</v>
      </c>
      <c r="K199" s="159" t="s">
        <v>1849</v>
      </c>
      <c r="L199" s="39" t="s">
        <v>304</v>
      </c>
      <c r="M199" s="39" t="s">
        <v>305</v>
      </c>
      <c r="N199" s="39">
        <v>11</v>
      </c>
      <c r="O199" s="39" t="s">
        <v>679</v>
      </c>
      <c r="P199" s="39" t="s">
        <v>679</v>
      </c>
      <c r="Q199" s="39" t="s">
        <v>678</v>
      </c>
      <c r="R199" s="16" t="s">
        <v>27</v>
      </c>
      <c r="S199" s="169">
        <v>0</v>
      </c>
      <c r="T199" s="160">
        <v>0</v>
      </c>
      <c r="U199" s="160">
        <v>0</v>
      </c>
      <c r="V199" s="160">
        <v>0</v>
      </c>
      <c r="W199" s="160">
        <v>0</v>
      </c>
      <c r="X199" s="161">
        <v>0</v>
      </c>
      <c r="Y199" s="160"/>
      <c r="Z199" s="16">
        <v>0</v>
      </c>
      <c r="AA199" s="162">
        <v>0</v>
      </c>
      <c r="AB199" s="162">
        <v>0</v>
      </c>
      <c r="AC199" s="162">
        <v>0</v>
      </c>
      <c r="AD199" s="160"/>
      <c r="AE199" s="145">
        <v>0</v>
      </c>
      <c r="AF199" s="163">
        <v>1.0469999999999999</v>
      </c>
      <c r="AG199" s="164">
        <v>1.046</v>
      </c>
      <c r="AH199" s="164">
        <v>1.046</v>
      </c>
      <c r="AI199" s="164">
        <v>0</v>
      </c>
      <c r="AJ199" s="164">
        <f t="shared" ref="AJ199:AJ262" si="25">AE199-AI199</f>
        <v>0</v>
      </c>
      <c r="AK199" s="165">
        <v>0</v>
      </c>
      <c r="AL199" s="165">
        <v>0</v>
      </c>
      <c r="AM199" s="165">
        <f t="shared" si="22"/>
        <v>0</v>
      </c>
      <c r="AN199" s="165">
        <f t="shared" si="23"/>
        <v>0</v>
      </c>
      <c r="AO199" s="16"/>
      <c r="AP199" s="231">
        <f t="shared" ref="AP199:AP262" si="26">AK199-AL199</f>
        <v>0</v>
      </c>
      <c r="AR199" s="231"/>
      <c r="AS199" s="231"/>
      <c r="AU199" s="230">
        <v>0</v>
      </c>
      <c r="AV199" s="233">
        <v>0</v>
      </c>
      <c r="AW199" s="230">
        <f t="shared" si="24"/>
        <v>0</v>
      </c>
    </row>
    <row r="200" spans="1:49" s="172" customFormat="1" x14ac:dyDescent="0.3">
      <c r="A200" s="166" t="s">
        <v>50</v>
      </c>
      <c r="B200" s="167" t="s">
        <v>681</v>
      </c>
      <c r="C200" s="167" t="s">
        <v>302</v>
      </c>
      <c r="D200" s="412" t="s">
        <v>3460</v>
      </c>
      <c r="E200" s="168" t="s">
        <v>666</v>
      </c>
      <c r="F200" s="168" t="s">
        <v>362</v>
      </c>
      <c r="G200" s="168" t="s">
        <v>309</v>
      </c>
      <c r="H200" s="168" t="s">
        <v>373</v>
      </c>
      <c r="I200" s="168" t="s">
        <v>374</v>
      </c>
      <c r="J200" s="168" t="s">
        <v>312</v>
      </c>
      <c r="K200" s="168" t="s">
        <v>1849</v>
      </c>
      <c r="L200" s="167" t="s">
        <v>304</v>
      </c>
      <c r="M200" s="167" t="s">
        <v>305</v>
      </c>
      <c r="N200" s="167">
        <v>11</v>
      </c>
      <c r="O200" s="167" t="s">
        <v>302</v>
      </c>
      <c r="P200" s="167" t="s">
        <v>302</v>
      </c>
      <c r="Q200" s="167" t="s">
        <v>681</v>
      </c>
      <c r="R200" s="166" t="s">
        <v>50</v>
      </c>
      <c r="S200" s="169">
        <v>634132</v>
      </c>
      <c r="T200" s="160">
        <v>54877.53</v>
      </c>
      <c r="U200" s="160">
        <v>0</v>
      </c>
      <c r="V200" s="160">
        <v>219575.75</v>
      </c>
      <c r="W200" s="160">
        <v>414556.25</v>
      </c>
      <c r="X200" s="161">
        <v>0</v>
      </c>
      <c r="Y200" s="160"/>
      <c r="Z200" s="16">
        <v>34.619999999999997</v>
      </c>
      <c r="AA200" s="162">
        <v>219575.75</v>
      </c>
      <c r="AB200" s="162">
        <v>54893.9375</v>
      </c>
      <c r="AC200" s="162">
        <v>658727.25</v>
      </c>
      <c r="AD200" s="160"/>
      <c r="AE200" s="228">
        <v>634132</v>
      </c>
      <c r="AF200" s="163">
        <v>1.0529999999999999</v>
      </c>
      <c r="AG200" s="163">
        <v>1.0489999999999999</v>
      </c>
      <c r="AH200" s="163">
        <v>1.0469999999999999</v>
      </c>
      <c r="AI200" s="164">
        <v>634132</v>
      </c>
      <c r="AJ200" s="164">
        <f t="shared" si="25"/>
        <v>0</v>
      </c>
      <c r="AK200" s="229">
        <v>634132</v>
      </c>
      <c r="AL200" s="229">
        <f ca="1">SUMIF('MS &amp; Vacancies combined'!A:J,D200,'MS &amp; Vacancies combined'!J:J)*105.3/100</f>
        <v>616277.07947182236</v>
      </c>
      <c r="AM200" s="229">
        <f t="shared" ca="1" si="22"/>
        <v>646474.65636594163</v>
      </c>
      <c r="AN200" s="229">
        <f t="shared" ca="1" si="23"/>
        <v>676858.96521514084</v>
      </c>
      <c r="AO200" s="166"/>
      <c r="AP200" s="413">
        <f t="shared" ca="1" si="26"/>
        <v>17854.920528177638</v>
      </c>
      <c r="AR200" s="231"/>
      <c r="AS200" s="231"/>
      <c r="AU200" s="414">
        <v>634132</v>
      </c>
      <c r="AV200" s="415">
        <v>634132</v>
      </c>
      <c r="AW200" s="414">
        <f t="shared" si="24"/>
        <v>0</v>
      </c>
    </row>
    <row r="201" spans="1:49" s="172" customFormat="1" x14ac:dyDescent="0.3">
      <c r="A201" s="166" t="s">
        <v>52</v>
      </c>
      <c r="B201" s="167" t="s">
        <v>682</v>
      </c>
      <c r="C201" s="167" t="s">
        <v>376</v>
      </c>
      <c r="D201" s="412" t="s">
        <v>3460</v>
      </c>
      <c r="E201" s="168" t="s">
        <v>666</v>
      </c>
      <c r="F201" s="168" t="s">
        <v>362</v>
      </c>
      <c r="G201" s="168" t="s">
        <v>309</v>
      </c>
      <c r="H201" s="168" t="s">
        <v>373</v>
      </c>
      <c r="I201" s="168" t="s">
        <v>377</v>
      </c>
      <c r="J201" s="168" t="s">
        <v>312</v>
      </c>
      <c r="K201" s="168" t="s">
        <v>1849</v>
      </c>
      <c r="L201" s="167" t="s">
        <v>304</v>
      </c>
      <c r="M201" s="167" t="s">
        <v>305</v>
      </c>
      <c r="N201" s="167">
        <v>11</v>
      </c>
      <c r="O201" s="167" t="s">
        <v>376</v>
      </c>
      <c r="P201" s="167" t="s">
        <v>376</v>
      </c>
      <c r="Q201" s="167" t="s">
        <v>682</v>
      </c>
      <c r="R201" s="166" t="s">
        <v>52</v>
      </c>
      <c r="S201" s="169">
        <v>9432</v>
      </c>
      <c r="T201" s="160">
        <v>750</v>
      </c>
      <c r="U201" s="160">
        <v>0</v>
      </c>
      <c r="V201" s="160">
        <v>3000</v>
      </c>
      <c r="W201" s="160">
        <v>6432</v>
      </c>
      <c r="X201" s="161">
        <v>0</v>
      </c>
      <c r="Y201" s="160"/>
      <c r="Z201" s="16">
        <v>31.8</v>
      </c>
      <c r="AA201" s="162">
        <v>3000</v>
      </c>
      <c r="AB201" s="162">
        <v>750</v>
      </c>
      <c r="AC201" s="162">
        <v>9000</v>
      </c>
      <c r="AD201" s="160"/>
      <c r="AE201" s="145">
        <v>9432</v>
      </c>
      <c r="AF201" s="163">
        <v>1.0529999999999999</v>
      </c>
      <c r="AG201" s="163">
        <v>1.0489999999999999</v>
      </c>
      <c r="AH201" s="163">
        <v>1.0469999999999999</v>
      </c>
      <c r="AI201" s="164">
        <v>9432</v>
      </c>
      <c r="AJ201" s="164">
        <f t="shared" si="25"/>
        <v>0</v>
      </c>
      <c r="AK201" s="229">
        <v>9432</v>
      </c>
      <c r="AL201" s="229">
        <f ca="1">SUMIF('MS &amp; Vacancies combined'!A:M,D201,'MS &amp; Vacancies combined'!M:M)*105.3/100</f>
        <v>8738.2136232889079</v>
      </c>
      <c r="AM201" s="229">
        <f t="shared" ca="1" si="22"/>
        <v>9166.386090830063</v>
      </c>
      <c r="AN201" s="229">
        <f t="shared" ca="1" si="23"/>
        <v>9597.2062370990752</v>
      </c>
      <c r="AO201" s="166"/>
      <c r="AP201" s="413">
        <f t="shared" ca="1" si="26"/>
        <v>693.78637671109209</v>
      </c>
      <c r="AR201" s="231"/>
      <c r="AS201" s="231"/>
      <c r="AU201" s="414">
        <v>9432</v>
      </c>
      <c r="AV201" s="415">
        <v>9432</v>
      </c>
      <c r="AW201" s="414">
        <f t="shared" si="24"/>
        <v>0</v>
      </c>
    </row>
    <row r="202" spans="1:49" s="172" customFormat="1" x14ac:dyDescent="0.3">
      <c r="A202" s="166" t="s">
        <v>54</v>
      </c>
      <c r="B202" s="167" t="s">
        <v>683</v>
      </c>
      <c r="C202" s="167" t="s">
        <v>379</v>
      </c>
      <c r="D202" s="412" t="s">
        <v>3460</v>
      </c>
      <c r="E202" s="168" t="s">
        <v>666</v>
      </c>
      <c r="F202" s="168" t="s">
        <v>362</v>
      </c>
      <c r="G202" s="168" t="s">
        <v>309</v>
      </c>
      <c r="H202" s="168" t="s">
        <v>373</v>
      </c>
      <c r="I202" s="168" t="s">
        <v>380</v>
      </c>
      <c r="J202" s="168" t="s">
        <v>312</v>
      </c>
      <c r="K202" s="168" t="s">
        <v>1849</v>
      </c>
      <c r="L202" s="167" t="s">
        <v>304</v>
      </c>
      <c r="M202" s="167" t="s">
        <v>305</v>
      </c>
      <c r="N202" s="167">
        <v>11</v>
      </c>
      <c r="O202" s="167" t="s">
        <v>379</v>
      </c>
      <c r="P202" s="167" t="s">
        <v>379</v>
      </c>
      <c r="Q202" s="167" t="s">
        <v>683</v>
      </c>
      <c r="R202" s="166" t="s">
        <v>54</v>
      </c>
      <c r="S202" s="169">
        <v>12130</v>
      </c>
      <c r="T202" s="160">
        <v>0</v>
      </c>
      <c r="U202" s="160">
        <v>0</v>
      </c>
      <c r="V202" s="160">
        <v>0</v>
      </c>
      <c r="W202" s="160">
        <v>12130</v>
      </c>
      <c r="X202" s="161">
        <v>0</v>
      </c>
      <c r="Y202" s="160"/>
      <c r="Z202" s="16">
        <v>0</v>
      </c>
      <c r="AA202" s="162">
        <v>0</v>
      </c>
      <c r="AB202" s="162">
        <v>0</v>
      </c>
      <c r="AC202" s="162">
        <v>0</v>
      </c>
      <c r="AD202" s="160"/>
      <c r="AE202" s="145">
        <v>12130</v>
      </c>
      <c r="AF202" s="163">
        <v>1.0529999999999999</v>
      </c>
      <c r="AG202" s="163">
        <v>1.0489999999999999</v>
      </c>
      <c r="AH202" s="163">
        <v>1.0469999999999999</v>
      </c>
      <c r="AI202" s="164">
        <v>12130</v>
      </c>
      <c r="AJ202" s="164">
        <f t="shared" si="25"/>
        <v>0</v>
      </c>
      <c r="AK202" s="229">
        <v>12130</v>
      </c>
      <c r="AL202" s="229">
        <f ca="1">SUMIF('MS &amp; Vacancies combined'!A:L,D202,'MS &amp; Vacancies combined'!L:L)*105.3/100</f>
        <v>11788.083196846688</v>
      </c>
      <c r="AM202" s="229">
        <f t="shared" ca="1" si="22"/>
        <v>12365.699273492175</v>
      </c>
      <c r="AN202" s="229">
        <f t="shared" ca="1" si="23"/>
        <v>12946.887139346307</v>
      </c>
      <c r="AO202" s="166"/>
      <c r="AP202" s="413">
        <f t="shared" ca="1" si="26"/>
        <v>341.91680315331178</v>
      </c>
      <c r="AR202" s="231"/>
      <c r="AS202" s="231"/>
      <c r="AU202" s="414">
        <v>12130</v>
      </c>
      <c r="AV202" s="415">
        <v>12130</v>
      </c>
      <c r="AW202" s="414">
        <f t="shared" si="24"/>
        <v>0</v>
      </c>
    </row>
    <row r="203" spans="1:49" s="172" customFormat="1" x14ac:dyDescent="0.3">
      <c r="A203" s="166" t="s">
        <v>56</v>
      </c>
      <c r="B203" s="167" t="s">
        <v>684</v>
      </c>
      <c r="C203" s="167" t="s">
        <v>385</v>
      </c>
      <c r="D203" s="412" t="s">
        <v>3460</v>
      </c>
      <c r="E203" s="168" t="s">
        <v>666</v>
      </c>
      <c r="F203" s="168" t="s">
        <v>362</v>
      </c>
      <c r="G203" s="168" t="s">
        <v>309</v>
      </c>
      <c r="H203" s="168" t="s">
        <v>373</v>
      </c>
      <c r="I203" s="168" t="s">
        <v>386</v>
      </c>
      <c r="J203" s="168" t="s">
        <v>387</v>
      </c>
      <c r="K203" s="168" t="s">
        <v>1849</v>
      </c>
      <c r="L203" s="167" t="s">
        <v>304</v>
      </c>
      <c r="M203" s="167" t="s">
        <v>305</v>
      </c>
      <c r="N203" s="167">
        <v>11</v>
      </c>
      <c r="O203" s="167" t="s">
        <v>385</v>
      </c>
      <c r="P203" s="167" t="s">
        <v>385</v>
      </c>
      <c r="Q203" s="167" t="s">
        <v>684</v>
      </c>
      <c r="R203" s="166" t="s">
        <v>56</v>
      </c>
      <c r="S203" s="169">
        <v>14995</v>
      </c>
      <c r="T203" s="160">
        <v>20367.86</v>
      </c>
      <c r="U203" s="160">
        <v>0</v>
      </c>
      <c r="V203" s="160">
        <v>75190.210000000006</v>
      </c>
      <c r="W203" s="160">
        <v>-60195.21</v>
      </c>
      <c r="X203" s="161">
        <v>0</v>
      </c>
      <c r="Y203" s="160"/>
      <c r="Z203" s="16">
        <v>501.43</v>
      </c>
      <c r="AA203" s="162">
        <v>75190.210000000006</v>
      </c>
      <c r="AB203" s="162">
        <v>18797.552500000002</v>
      </c>
      <c r="AC203" s="162">
        <v>225570.63</v>
      </c>
      <c r="AD203" s="160"/>
      <c r="AE203" s="145">
        <v>14995</v>
      </c>
      <c r="AF203" s="163">
        <v>1.0529999999999999</v>
      </c>
      <c r="AG203" s="163">
        <v>1.0489999999999999</v>
      </c>
      <c r="AH203" s="163">
        <v>1.0469999999999999</v>
      </c>
      <c r="AI203" s="164">
        <v>14995</v>
      </c>
      <c r="AJ203" s="164">
        <f t="shared" si="25"/>
        <v>0</v>
      </c>
      <c r="AK203" s="229">
        <v>14995</v>
      </c>
      <c r="AL203" s="229">
        <f ca="1">SUMIF('MS &amp; Vacancies combined'!A:O,D203,'MS &amp; Vacancies combined'!O:O)*105.3/100</f>
        <v>176849.79278386978</v>
      </c>
      <c r="AM203" s="229">
        <f t="shared" ca="1" si="22"/>
        <v>185515.43263027939</v>
      </c>
      <c r="AN203" s="229">
        <f t="shared" ca="1" si="23"/>
        <v>194234.65796390251</v>
      </c>
      <c r="AO203" s="166"/>
      <c r="AP203" s="413">
        <f t="shared" ca="1" si="26"/>
        <v>-161854.79278386978</v>
      </c>
      <c r="AR203" s="231"/>
      <c r="AS203" s="231"/>
      <c r="AU203" s="414">
        <v>14995</v>
      </c>
      <c r="AV203" s="415">
        <v>14995</v>
      </c>
      <c r="AW203" s="414">
        <f t="shared" si="24"/>
        <v>0</v>
      </c>
    </row>
    <row r="204" spans="1:49" x14ac:dyDescent="0.3">
      <c r="A204" s="16" t="s">
        <v>61</v>
      </c>
      <c r="B204" s="39" t="s">
        <v>685</v>
      </c>
      <c r="C204" s="39" t="s">
        <v>460</v>
      </c>
      <c r="D204" s="340" t="s">
        <v>3460</v>
      </c>
      <c r="E204" s="159" t="s">
        <v>666</v>
      </c>
      <c r="F204" s="159" t="s">
        <v>362</v>
      </c>
      <c r="G204" s="159" t="s">
        <v>309</v>
      </c>
      <c r="H204" s="159" t="s">
        <v>373</v>
      </c>
      <c r="I204" s="159" t="s">
        <v>461</v>
      </c>
      <c r="J204" s="159" t="s">
        <v>312</v>
      </c>
      <c r="K204" s="159" t="s">
        <v>1849</v>
      </c>
      <c r="L204" s="39" t="s">
        <v>304</v>
      </c>
      <c r="M204" s="39" t="s">
        <v>305</v>
      </c>
      <c r="N204" s="39">
        <v>11</v>
      </c>
      <c r="O204" s="39" t="s">
        <v>460</v>
      </c>
      <c r="P204" s="39" t="s">
        <v>460</v>
      </c>
      <c r="Q204" s="39" t="s">
        <v>685</v>
      </c>
      <c r="R204" s="16" t="s">
        <v>61</v>
      </c>
      <c r="S204" s="169">
        <v>0</v>
      </c>
      <c r="T204" s="160">
        <v>0</v>
      </c>
      <c r="U204" s="160">
        <v>0</v>
      </c>
      <c r="V204" s="160">
        <v>5260.98</v>
      </c>
      <c r="W204" s="160">
        <v>-5260.98</v>
      </c>
      <c r="X204" s="161">
        <v>0</v>
      </c>
      <c r="Y204" s="160"/>
      <c r="Z204" s="16">
        <v>0</v>
      </c>
      <c r="AA204" s="162">
        <v>5260.98</v>
      </c>
      <c r="AB204" s="162">
        <v>1315.2449999999999</v>
      </c>
      <c r="AC204" s="162">
        <v>15782.939999999999</v>
      </c>
      <c r="AD204" s="160"/>
      <c r="AE204" s="145">
        <v>0</v>
      </c>
      <c r="AF204" s="163">
        <v>1.0469999999999999</v>
      </c>
      <c r="AG204" s="164">
        <v>1.046</v>
      </c>
      <c r="AH204" s="164">
        <v>1.046</v>
      </c>
      <c r="AI204" s="164">
        <v>0</v>
      </c>
      <c r="AJ204" s="164">
        <f t="shared" si="25"/>
        <v>0</v>
      </c>
      <c r="AK204" s="165">
        <v>0</v>
      </c>
      <c r="AL204" s="165">
        <v>0</v>
      </c>
      <c r="AM204" s="165">
        <f t="shared" si="22"/>
        <v>0</v>
      </c>
      <c r="AN204" s="165">
        <f t="shared" si="23"/>
        <v>0</v>
      </c>
      <c r="AO204" s="16"/>
      <c r="AP204" s="231">
        <f t="shared" si="26"/>
        <v>0</v>
      </c>
      <c r="AR204" s="231"/>
      <c r="AS204" s="231"/>
      <c r="AU204" s="230">
        <v>0</v>
      </c>
      <c r="AV204" s="233">
        <v>0</v>
      </c>
      <c r="AW204" s="230">
        <f t="shared" si="24"/>
        <v>0</v>
      </c>
    </row>
    <row r="205" spans="1:49" s="172" customFormat="1" x14ac:dyDescent="0.3">
      <c r="A205" s="166" t="s">
        <v>62</v>
      </c>
      <c r="B205" s="167" t="s">
        <v>686</v>
      </c>
      <c r="C205" s="167" t="s">
        <v>395</v>
      </c>
      <c r="D205" s="412" t="s">
        <v>3460</v>
      </c>
      <c r="E205" s="168" t="s">
        <v>666</v>
      </c>
      <c r="F205" s="168" t="s">
        <v>362</v>
      </c>
      <c r="G205" s="168" t="s">
        <v>309</v>
      </c>
      <c r="H205" s="168" t="s">
        <v>373</v>
      </c>
      <c r="I205" s="168" t="s">
        <v>396</v>
      </c>
      <c r="J205" s="168" t="s">
        <v>312</v>
      </c>
      <c r="K205" s="168" t="s">
        <v>1849</v>
      </c>
      <c r="L205" s="167" t="s">
        <v>304</v>
      </c>
      <c r="M205" s="167" t="s">
        <v>305</v>
      </c>
      <c r="N205" s="167">
        <v>11</v>
      </c>
      <c r="O205" s="167" t="s">
        <v>395</v>
      </c>
      <c r="P205" s="167" t="s">
        <v>395</v>
      </c>
      <c r="Q205" s="167" t="s">
        <v>686</v>
      </c>
      <c r="R205" s="166" t="s">
        <v>62</v>
      </c>
      <c r="S205" s="169">
        <v>52844</v>
      </c>
      <c r="T205" s="160">
        <v>0</v>
      </c>
      <c r="U205" s="160">
        <v>0</v>
      </c>
      <c r="V205" s="160">
        <v>0</v>
      </c>
      <c r="W205" s="160">
        <v>52844</v>
      </c>
      <c r="X205" s="161">
        <v>0</v>
      </c>
      <c r="Y205" s="160"/>
      <c r="Z205" s="16">
        <v>0</v>
      </c>
      <c r="AA205" s="162">
        <v>0</v>
      </c>
      <c r="AB205" s="162">
        <v>0</v>
      </c>
      <c r="AC205" s="162">
        <v>0</v>
      </c>
      <c r="AD205" s="160"/>
      <c r="AE205" s="145">
        <v>52844</v>
      </c>
      <c r="AF205" s="163">
        <v>1.0529999999999999</v>
      </c>
      <c r="AG205" s="163">
        <v>1.0489999999999999</v>
      </c>
      <c r="AH205" s="163">
        <v>1.0469999999999999</v>
      </c>
      <c r="AI205" s="164">
        <v>52844</v>
      </c>
      <c r="AJ205" s="164">
        <f t="shared" si="25"/>
        <v>0</v>
      </c>
      <c r="AK205" s="229">
        <v>52844</v>
      </c>
      <c r="AL205" s="229">
        <f ca="1">SUMIF('MS &amp; Vacancies combined'!A:K,D205,'MS &amp; Vacancies combined'!K:K)*105.3/100</f>
        <v>51356.423289318533</v>
      </c>
      <c r="AM205" s="229">
        <f t="shared" ca="1" si="22"/>
        <v>53872.888030495138</v>
      </c>
      <c r="AN205" s="229">
        <f t="shared" ca="1" si="23"/>
        <v>56404.913767928403</v>
      </c>
      <c r="AO205" s="166"/>
      <c r="AP205" s="413">
        <f t="shared" ca="1" si="26"/>
        <v>1487.5767106814674</v>
      </c>
      <c r="AR205" s="231"/>
      <c r="AS205" s="231"/>
      <c r="AU205" s="414">
        <v>52844</v>
      </c>
      <c r="AV205" s="415">
        <v>52844</v>
      </c>
      <c r="AW205" s="414">
        <f t="shared" si="24"/>
        <v>0</v>
      </c>
    </row>
    <row r="206" spans="1:49" s="172" customFormat="1" x14ac:dyDescent="0.3">
      <c r="A206" s="166" t="s">
        <v>69</v>
      </c>
      <c r="B206" s="167" t="s">
        <v>687</v>
      </c>
      <c r="C206" s="167" t="s">
        <v>398</v>
      </c>
      <c r="D206" s="412" t="s">
        <v>3460</v>
      </c>
      <c r="E206" s="168" t="s">
        <v>666</v>
      </c>
      <c r="F206" s="168" t="s">
        <v>362</v>
      </c>
      <c r="G206" s="168" t="s">
        <v>309</v>
      </c>
      <c r="H206" s="168" t="s">
        <v>310</v>
      </c>
      <c r="I206" s="168" t="s">
        <v>374</v>
      </c>
      <c r="J206" s="168" t="s">
        <v>312</v>
      </c>
      <c r="K206" s="168" t="s">
        <v>1849</v>
      </c>
      <c r="L206" s="167" t="s">
        <v>304</v>
      </c>
      <c r="M206" s="167" t="s">
        <v>305</v>
      </c>
      <c r="N206" s="167">
        <v>11</v>
      </c>
      <c r="O206" s="167" t="s">
        <v>398</v>
      </c>
      <c r="P206" s="167" t="s">
        <v>398</v>
      </c>
      <c r="Q206" s="167" t="s">
        <v>687</v>
      </c>
      <c r="R206" s="166" t="s">
        <v>69</v>
      </c>
      <c r="S206" s="169">
        <v>130</v>
      </c>
      <c r="T206" s="160">
        <v>21.6</v>
      </c>
      <c r="U206" s="160">
        <v>0</v>
      </c>
      <c r="V206" s="160">
        <v>86.4</v>
      </c>
      <c r="W206" s="160">
        <v>43.6</v>
      </c>
      <c r="X206" s="161">
        <v>0</v>
      </c>
      <c r="Y206" s="160"/>
      <c r="Z206" s="16">
        <v>66.459999999999994</v>
      </c>
      <c r="AA206" s="162">
        <v>86.4</v>
      </c>
      <c r="AB206" s="162">
        <v>21.6</v>
      </c>
      <c r="AC206" s="162">
        <v>259.20000000000005</v>
      </c>
      <c r="AD206" s="160"/>
      <c r="AE206" s="145">
        <v>130</v>
      </c>
      <c r="AF206" s="163">
        <v>1.0529999999999999</v>
      </c>
      <c r="AG206" s="163">
        <v>1.0489999999999999</v>
      </c>
      <c r="AH206" s="163">
        <v>1.0469999999999999</v>
      </c>
      <c r="AI206" s="164">
        <v>130</v>
      </c>
      <c r="AJ206" s="164">
        <f t="shared" si="25"/>
        <v>0</v>
      </c>
      <c r="AK206" s="229">
        <v>130</v>
      </c>
      <c r="AL206" s="229">
        <f ca="1">SUMIF('MS &amp; Vacancies combined'!A:N,D206,'MS &amp; Vacancies combined'!N:N)*105.3/100</f>
        <v>125.83027617536028</v>
      </c>
      <c r="AM206" s="229">
        <f t="shared" ca="1" si="22"/>
        <v>131.99595970795292</v>
      </c>
      <c r="AN206" s="229">
        <f t="shared" ca="1" si="23"/>
        <v>138.1997698142267</v>
      </c>
      <c r="AO206" s="166"/>
      <c r="AP206" s="413">
        <f t="shared" ca="1" si="26"/>
        <v>4.1697238246397177</v>
      </c>
      <c r="AR206" s="231"/>
      <c r="AS206" s="231"/>
      <c r="AU206" s="414">
        <v>130</v>
      </c>
      <c r="AV206" s="415">
        <v>130</v>
      </c>
      <c r="AW206" s="414">
        <f t="shared" si="24"/>
        <v>0</v>
      </c>
    </row>
    <row r="207" spans="1:49" s="172" customFormat="1" x14ac:dyDescent="0.3">
      <c r="A207" s="166" t="s">
        <v>70</v>
      </c>
      <c r="B207" s="167" t="s">
        <v>688</v>
      </c>
      <c r="C207" s="167" t="s">
        <v>400</v>
      </c>
      <c r="D207" s="412" t="s">
        <v>3460</v>
      </c>
      <c r="E207" s="168" t="s">
        <v>666</v>
      </c>
      <c r="F207" s="168" t="s">
        <v>362</v>
      </c>
      <c r="G207" s="168" t="s">
        <v>309</v>
      </c>
      <c r="H207" s="168" t="s">
        <v>310</v>
      </c>
      <c r="I207" s="168" t="s">
        <v>401</v>
      </c>
      <c r="J207" s="168" t="s">
        <v>312</v>
      </c>
      <c r="K207" s="168" t="s">
        <v>1849</v>
      </c>
      <c r="L207" s="167" t="s">
        <v>304</v>
      </c>
      <c r="M207" s="167" t="s">
        <v>305</v>
      </c>
      <c r="N207" s="167">
        <v>11</v>
      </c>
      <c r="O207" s="167" t="s">
        <v>400</v>
      </c>
      <c r="P207" s="167" t="s">
        <v>400</v>
      </c>
      <c r="Q207" s="167" t="s">
        <v>688</v>
      </c>
      <c r="R207" s="166" t="s">
        <v>70</v>
      </c>
      <c r="S207" s="169">
        <v>10780</v>
      </c>
      <c r="T207" s="160">
        <v>218.36</v>
      </c>
      <c r="U207" s="160">
        <v>0</v>
      </c>
      <c r="V207" s="160">
        <v>873.44</v>
      </c>
      <c r="W207" s="160">
        <v>9906.56</v>
      </c>
      <c r="X207" s="161">
        <v>0</v>
      </c>
      <c r="Y207" s="160"/>
      <c r="Z207" s="16">
        <v>8.1</v>
      </c>
      <c r="AA207" s="162">
        <v>873.44</v>
      </c>
      <c r="AB207" s="162">
        <v>218.36</v>
      </c>
      <c r="AC207" s="162">
        <v>2620.3200000000002</v>
      </c>
      <c r="AD207" s="160"/>
      <c r="AE207" s="145">
        <v>10780</v>
      </c>
      <c r="AF207" s="163">
        <v>1.0529999999999999</v>
      </c>
      <c r="AG207" s="163">
        <v>1.0489999999999999</v>
      </c>
      <c r="AH207" s="163">
        <v>1.0469999999999999</v>
      </c>
      <c r="AI207" s="164">
        <v>10780</v>
      </c>
      <c r="AJ207" s="164">
        <f t="shared" si="25"/>
        <v>0</v>
      </c>
      <c r="AK207" s="229">
        <v>10780</v>
      </c>
      <c r="AL207" s="229">
        <f ca="1">SUMIF('MS &amp; Vacancies combined'!A:P,D207,'MS &amp; Vacancies combined'!P:P)*105.3/100</f>
        <v>10784.848890756892</v>
      </c>
      <c r="AM207" s="229">
        <f t="shared" ca="1" si="22"/>
        <v>11313.306486403979</v>
      </c>
      <c r="AN207" s="229">
        <f t="shared" ca="1" si="23"/>
        <v>11845.031891264965</v>
      </c>
      <c r="AO207" s="166"/>
      <c r="AP207" s="413">
        <f t="shared" ca="1" si="26"/>
        <v>-4.8488907568917057</v>
      </c>
      <c r="AR207" s="231"/>
      <c r="AS207" s="231"/>
      <c r="AU207" s="414">
        <v>10780</v>
      </c>
      <c r="AV207" s="415">
        <v>10780</v>
      </c>
      <c r="AW207" s="414">
        <f t="shared" si="24"/>
        <v>0</v>
      </c>
    </row>
    <row r="208" spans="1:49" s="172" customFormat="1" x14ac:dyDescent="0.3">
      <c r="A208" s="166" t="s">
        <v>71</v>
      </c>
      <c r="B208" s="167" t="s">
        <v>689</v>
      </c>
      <c r="C208" s="167" t="s">
        <v>403</v>
      </c>
      <c r="D208" s="412" t="s">
        <v>3460</v>
      </c>
      <c r="E208" s="168" t="s">
        <v>666</v>
      </c>
      <c r="F208" s="168" t="s">
        <v>362</v>
      </c>
      <c r="G208" s="168" t="s">
        <v>309</v>
      </c>
      <c r="H208" s="168" t="s">
        <v>310</v>
      </c>
      <c r="I208" s="168" t="s">
        <v>404</v>
      </c>
      <c r="J208" s="168" t="s">
        <v>312</v>
      </c>
      <c r="K208" s="168" t="s">
        <v>1849</v>
      </c>
      <c r="L208" s="167" t="s">
        <v>304</v>
      </c>
      <c r="M208" s="167" t="s">
        <v>305</v>
      </c>
      <c r="N208" s="167">
        <v>11</v>
      </c>
      <c r="O208" s="167" t="s">
        <v>403</v>
      </c>
      <c r="P208" s="167" t="s">
        <v>403</v>
      </c>
      <c r="Q208" s="167" t="s">
        <v>689</v>
      </c>
      <c r="R208" s="166" t="s">
        <v>71</v>
      </c>
      <c r="S208" s="169">
        <v>60027</v>
      </c>
      <c r="T208" s="160">
        <v>4218</v>
      </c>
      <c r="U208" s="160">
        <v>0</v>
      </c>
      <c r="V208" s="160">
        <v>16872</v>
      </c>
      <c r="W208" s="160">
        <v>43155</v>
      </c>
      <c r="X208" s="161">
        <v>0</v>
      </c>
      <c r="Y208" s="160"/>
      <c r="Z208" s="16">
        <v>28.1</v>
      </c>
      <c r="AA208" s="162">
        <v>16872</v>
      </c>
      <c r="AB208" s="162">
        <v>4218</v>
      </c>
      <c r="AC208" s="162">
        <v>50616</v>
      </c>
      <c r="AD208" s="160"/>
      <c r="AE208" s="145">
        <v>60027</v>
      </c>
      <c r="AF208" s="163">
        <v>1.0529999999999999</v>
      </c>
      <c r="AG208" s="163">
        <v>1.0489999999999999</v>
      </c>
      <c r="AH208" s="163">
        <v>1.0469999999999999</v>
      </c>
      <c r="AI208" s="164">
        <v>60027</v>
      </c>
      <c r="AJ208" s="164">
        <f t="shared" si="25"/>
        <v>0</v>
      </c>
      <c r="AK208" s="229">
        <v>60027</v>
      </c>
      <c r="AL208" s="229">
        <f ca="1">SUMIF('MS &amp; Vacancies combined'!A:Q,D208,'MS &amp; Vacancies combined'!Q:Q)*105.3/100</f>
        <v>58336.314149076752</v>
      </c>
      <c r="AM208" s="229">
        <f t="shared" ca="1" si="22"/>
        <v>61194.793542381507</v>
      </c>
      <c r="AN208" s="229">
        <f t="shared" ca="1" si="23"/>
        <v>64070.948838873432</v>
      </c>
      <c r="AO208" s="166"/>
      <c r="AP208" s="413">
        <f t="shared" ca="1" si="26"/>
        <v>1690.6858509232479</v>
      </c>
      <c r="AR208" s="231"/>
      <c r="AS208" s="231"/>
      <c r="AU208" s="414">
        <v>60027</v>
      </c>
      <c r="AV208" s="415">
        <v>60027</v>
      </c>
      <c r="AW208" s="414">
        <f t="shared" si="24"/>
        <v>0</v>
      </c>
    </row>
    <row r="209" spans="1:49" s="172" customFormat="1" x14ac:dyDescent="0.3">
      <c r="A209" s="166" t="s">
        <v>72</v>
      </c>
      <c r="B209" s="167" t="s">
        <v>690</v>
      </c>
      <c r="C209" s="167" t="s">
        <v>406</v>
      </c>
      <c r="D209" s="412" t="s">
        <v>3460</v>
      </c>
      <c r="E209" s="168" t="s">
        <v>666</v>
      </c>
      <c r="F209" s="168" t="s">
        <v>362</v>
      </c>
      <c r="G209" s="168" t="s">
        <v>309</v>
      </c>
      <c r="H209" s="168" t="s">
        <v>310</v>
      </c>
      <c r="I209" s="168" t="s">
        <v>407</v>
      </c>
      <c r="J209" s="168" t="s">
        <v>312</v>
      </c>
      <c r="K209" s="168" t="s">
        <v>1849</v>
      </c>
      <c r="L209" s="167" t="s">
        <v>304</v>
      </c>
      <c r="M209" s="167" t="s">
        <v>305</v>
      </c>
      <c r="N209" s="167">
        <v>11</v>
      </c>
      <c r="O209" s="167" t="s">
        <v>406</v>
      </c>
      <c r="P209" s="167" t="s">
        <v>406</v>
      </c>
      <c r="Q209" s="167" t="s">
        <v>690</v>
      </c>
      <c r="R209" s="166" t="s">
        <v>72</v>
      </c>
      <c r="S209" s="169">
        <v>114588</v>
      </c>
      <c r="T209" s="160">
        <v>12049.48</v>
      </c>
      <c r="U209" s="160">
        <v>0</v>
      </c>
      <c r="V209" s="160">
        <v>48197.919999999998</v>
      </c>
      <c r="W209" s="160">
        <v>66390.080000000002</v>
      </c>
      <c r="X209" s="161">
        <v>0</v>
      </c>
      <c r="Y209" s="160"/>
      <c r="Z209" s="16">
        <v>42.06</v>
      </c>
      <c r="AA209" s="162">
        <v>48197.919999999998</v>
      </c>
      <c r="AB209" s="162">
        <v>12049.48</v>
      </c>
      <c r="AC209" s="162">
        <v>144593.76</v>
      </c>
      <c r="AD209" s="160"/>
      <c r="AE209" s="145">
        <v>114588</v>
      </c>
      <c r="AF209" s="163">
        <v>1.0529999999999999</v>
      </c>
      <c r="AG209" s="163">
        <v>1.0489999999999999</v>
      </c>
      <c r="AH209" s="163">
        <v>1.0469999999999999</v>
      </c>
      <c r="AI209" s="164">
        <v>114588</v>
      </c>
      <c r="AJ209" s="164">
        <f t="shared" si="25"/>
        <v>0</v>
      </c>
      <c r="AK209" s="229">
        <v>114588</v>
      </c>
      <c r="AL209" s="229">
        <f ca="1">SUMIF('MS &amp; Vacancies combined'!A:R,D209,'MS &amp; Vacancies combined'!R:R)*105.3/100</f>
        <v>111361.26826055828</v>
      </c>
      <c r="AM209" s="229">
        <f t="shared" ca="1" si="22"/>
        <v>116817.97040532563</v>
      </c>
      <c r="AN209" s="229">
        <f t="shared" ca="1" si="23"/>
        <v>122308.41501437592</v>
      </c>
      <c r="AO209" s="166"/>
      <c r="AP209" s="413">
        <f t="shared" ca="1" si="26"/>
        <v>3226.7317394417187</v>
      </c>
      <c r="AR209" s="231"/>
      <c r="AS209" s="231"/>
      <c r="AU209" s="414">
        <v>114588</v>
      </c>
      <c r="AV209" s="415">
        <v>114588</v>
      </c>
      <c r="AW209" s="414">
        <f t="shared" si="24"/>
        <v>0</v>
      </c>
    </row>
    <row r="210" spans="1:49" s="172" customFormat="1" x14ac:dyDescent="0.3">
      <c r="A210" s="166" t="s">
        <v>73</v>
      </c>
      <c r="B210" s="167" t="s">
        <v>691</v>
      </c>
      <c r="C210" s="167" t="s">
        <v>307</v>
      </c>
      <c r="D210" s="412" t="s">
        <v>3460</v>
      </c>
      <c r="E210" s="168" t="s">
        <v>666</v>
      </c>
      <c r="F210" s="168" t="s">
        <v>362</v>
      </c>
      <c r="G210" s="168" t="s">
        <v>309</v>
      </c>
      <c r="H210" s="168" t="s">
        <v>310</v>
      </c>
      <c r="I210" s="168" t="s">
        <v>311</v>
      </c>
      <c r="J210" s="168" t="s">
        <v>312</v>
      </c>
      <c r="K210" s="168" t="s">
        <v>1849</v>
      </c>
      <c r="L210" s="167" t="s">
        <v>304</v>
      </c>
      <c r="M210" s="167" t="s">
        <v>305</v>
      </c>
      <c r="N210" s="167">
        <v>11</v>
      </c>
      <c r="O210" s="167" t="s">
        <v>307</v>
      </c>
      <c r="P210" s="167" t="s">
        <v>307</v>
      </c>
      <c r="Q210" s="167" t="s">
        <v>691</v>
      </c>
      <c r="R210" s="166" t="s">
        <v>73</v>
      </c>
      <c r="S210" s="169">
        <v>2227</v>
      </c>
      <c r="T210" s="160">
        <v>177.12</v>
      </c>
      <c r="U210" s="160">
        <v>0</v>
      </c>
      <c r="V210" s="160">
        <v>708.48</v>
      </c>
      <c r="W210" s="160">
        <v>1518.52</v>
      </c>
      <c r="X210" s="161">
        <v>0</v>
      </c>
      <c r="Y210" s="160"/>
      <c r="Z210" s="16">
        <v>31.81</v>
      </c>
      <c r="AA210" s="162">
        <v>708.48</v>
      </c>
      <c r="AB210" s="162">
        <v>177.12</v>
      </c>
      <c r="AC210" s="162">
        <v>2125.44</v>
      </c>
      <c r="AD210" s="160"/>
      <c r="AE210" s="145">
        <v>2227</v>
      </c>
      <c r="AF210" s="163">
        <v>1.0529999999999999</v>
      </c>
      <c r="AG210" s="163">
        <v>1.0489999999999999</v>
      </c>
      <c r="AH210" s="163">
        <v>1.0469999999999999</v>
      </c>
      <c r="AI210" s="164">
        <v>2227</v>
      </c>
      <c r="AJ210" s="164">
        <f t="shared" si="25"/>
        <v>0</v>
      </c>
      <c r="AK210" s="229">
        <v>2227</v>
      </c>
      <c r="AL210" s="229">
        <f ca="1">SUMIF('MS &amp; Vacancies combined'!A:S,D210,'MS &amp; Vacancies combined'!S:S)*105.3/100</f>
        <v>2063.6165292759088</v>
      </c>
      <c r="AM210" s="229">
        <f t="shared" ca="1" si="22"/>
        <v>2164.7337392104282</v>
      </c>
      <c r="AN210" s="229">
        <f t="shared" ca="1" si="23"/>
        <v>2266.4762249533183</v>
      </c>
      <c r="AO210" s="166"/>
      <c r="AP210" s="413">
        <f t="shared" ca="1" si="26"/>
        <v>163.38347072409124</v>
      </c>
      <c r="AR210" s="231"/>
      <c r="AS210" s="231"/>
      <c r="AU210" s="414">
        <v>2227</v>
      </c>
      <c r="AV210" s="415">
        <v>2227</v>
      </c>
      <c r="AW210" s="414">
        <f t="shared" si="24"/>
        <v>0</v>
      </c>
    </row>
    <row r="211" spans="1:49" hidden="1" x14ac:dyDescent="0.3">
      <c r="A211" s="16" t="s">
        <v>324</v>
      </c>
      <c r="B211" s="39" t="s">
        <v>692</v>
      </c>
      <c r="C211" s="39" t="s">
        <v>76</v>
      </c>
      <c r="D211" s="340" t="s">
        <v>3460</v>
      </c>
      <c r="E211" s="159" t="s">
        <v>666</v>
      </c>
      <c r="F211" s="159" t="s">
        <v>362</v>
      </c>
      <c r="G211" s="159" t="s">
        <v>309</v>
      </c>
      <c r="H211" s="159" t="s">
        <v>325</v>
      </c>
      <c r="I211" s="159" t="s">
        <v>326</v>
      </c>
      <c r="J211" s="159" t="s">
        <v>327</v>
      </c>
      <c r="K211" s="159" t="s">
        <v>1849</v>
      </c>
      <c r="L211" s="39" t="s">
        <v>304</v>
      </c>
      <c r="M211" s="39" t="s">
        <v>305</v>
      </c>
      <c r="N211" s="39">
        <v>11</v>
      </c>
      <c r="O211" s="39" t="s">
        <v>76</v>
      </c>
      <c r="P211" s="39" t="s">
        <v>76</v>
      </c>
      <c r="Q211" s="39" t="s">
        <v>692</v>
      </c>
      <c r="R211" s="16" t="s">
        <v>324</v>
      </c>
      <c r="S211" s="160">
        <v>38000</v>
      </c>
      <c r="T211" s="160">
        <v>0</v>
      </c>
      <c r="U211" s="160">
        <v>4827.13</v>
      </c>
      <c r="V211" s="160">
        <v>29914.75</v>
      </c>
      <c r="W211" s="160">
        <v>8085.25</v>
      </c>
      <c r="X211" s="161">
        <v>36352.630000000005</v>
      </c>
      <c r="Y211" s="160"/>
      <c r="Z211" s="16">
        <v>78.72</v>
      </c>
      <c r="AA211" s="162">
        <v>34741.879999999997</v>
      </c>
      <c r="AB211" s="162">
        <v>8685.4699999999993</v>
      </c>
      <c r="AC211" s="162">
        <v>104225.63999999998</v>
      </c>
      <c r="AD211" s="160">
        <v>10000</v>
      </c>
      <c r="AE211" s="145">
        <v>48000</v>
      </c>
      <c r="AF211" s="163">
        <v>1.0469999999999999</v>
      </c>
      <c r="AG211" s="164">
        <v>1.046</v>
      </c>
      <c r="AH211" s="164">
        <v>1.046</v>
      </c>
      <c r="AI211" s="164">
        <v>48000</v>
      </c>
      <c r="AJ211" s="164">
        <f t="shared" si="25"/>
        <v>0</v>
      </c>
      <c r="AK211" s="165">
        <v>25000</v>
      </c>
      <c r="AL211" s="165">
        <f t="shared" ref="AL211:AL216" si="27">AK211</f>
        <v>25000</v>
      </c>
      <c r="AM211" s="165">
        <f t="shared" si="22"/>
        <v>26150</v>
      </c>
      <c r="AN211" s="165">
        <f t="shared" si="23"/>
        <v>27352.9</v>
      </c>
      <c r="AO211" s="16"/>
      <c r="AP211" s="231">
        <f t="shared" si="26"/>
        <v>0</v>
      </c>
      <c r="AR211" s="231"/>
      <c r="AS211" s="231"/>
      <c r="AU211" s="230">
        <v>38000</v>
      </c>
      <c r="AV211" s="233">
        <v>48000</v>
      </c>
      <c r="AW211" s="230">
        <f t="shared" si="24"/>
        <v>0</v>
      </c>
    </row>
    <row r="212" spans="1:49" hidden="1" x14ac:dyDescent="0.3">
      <c r="A212" s="16" t="s">
        <v>694</v>
      </c>
      <c r="B212" s="39" t="s">
        <v>693</v>
      </c>
      <c r="C212" s="39" t="s">
        <v>78</v>
      </c>
      <c r="D212" s="340" t="s">
        <v>3460</v>
      </c>
      <c r="E212" s="159" t="s">
        <v>666</v>
      </c>
      <c r="F212" s="159" t="s">
        <v>362</v>
      </c>
      <c r="G212" s="159" t="s">
        <v>309</v>
      </c>
      <c r="H212" s="159" t="s">
        <v>330</v>
      </c>
      <c r="I212" s="159" t="s">
        <v>407</v>
      </c>
      <c r="J212" s="159" t="s">
        <v>312</v>
      </c>
      <c r="K212" s="159" t="s">
        <v>1849</v>
      </c>
      <c r="L212" s="39" t="s">
        <v>304</v>
      </c>
      <c r="M212" s="39" t="s">
        <v>305</v>
      </c>
      <c r="N212" s="39">
        <v>11</v>
      </c>
      <c r="O212" s="39" t="s">
        <v>78</v>
      </c>
      <c r="P212" s="39" t="s">
        <v>695</v>
      </c>
      <c r="Q212" s="39" t="s">
        <v>693</v>
      </c>
      <c r="R212" s="16" t="s">
        <v>694</v>
      </c>
      <c r="S212" s="223">
        <v>12282234</v>
      </c>
      <c r="T212" s="160">
        <v>0</v>
      </c>
      <c r="U212" s="160">
        <v>0</v>
      </c>
      <c r="V212" s="160">
        <v>2945380.86</v>
      </c>
      <c r="W212" s="160">
        <v>9336853.1400000006</v>
      </c>
      <c r="X212" s="161">
        <v>279266.76</v>
      </c>
      <c r="Y212" s="160"/>
      <c r="Z212" s="16">
        <v>23.98</v>
      </c>
      <c r="AA212" s="162">
        <v>2945380.86</v>
      </c>
      <c r="AB212" s="224">
        <v>736345.21499999997</v>
      </c>
      <c r="AC212" s="224">
        <v>8836142.5800000001</v>
      </c>
      <c r="AD212" s="223"/>
      <c r="AE212" s="145">
        <v>9282234</v>
      </c>
      <c r="AF212" s="163">
        <v>1.0469999999999999</v>
      </c>
      <c r="AG212" s="164">
        <v>1.046</v>
      </c>
      <c r="AH212" s="164">
        <v>1.046</v>
      </c>
      <c r="AI212" s="164">
        <v>12282234</v>
      </c>
      <c r="AJ212" s="164">
        <f t="shared" si="25"/>
        <v>-3000000</v>
      </c>
      <c r="AK212" s="165">
        <v>15000000</v>
      </c>
      <c r="AL212" s="165">
        <f t="shared" si="27"/>
        <v>15000000</v>
      </c>
      <c r="AM212" s="165">
        <f t="shared" si="22"/>
        <v>15690000</v>
      </c>
      <c r="AN212" s="165">
        <f t="shared" si="23"/>
        <v>16411740</v>
      </c>
      <c r="AO212" s="16"/>
      <c r="AP212" s="231">
        <f t="shared" si="26"/>
        <v>0</v>
      </c>
      <c r="AQ212" t="s">
        <v>2168</v>
      </c>
      <c r="AR212" s="231"/>
      <c r="AS212" s="231"/>
      <c r="AU212" s="230">
        <v>12282234</v>
      </c>
      <c r="AV212" s="233">
        <v>12282234</v>
      </c>
      <c r="AW212" s="230">
        <f t="shared" si="24"/>
        <v>0</v>
      </c>
    </row>
    <row r="213" spans="1:49" hidden="1" x14ac:dyDescent="0.3">
      <c r="A213" s="16" t="s">
        <v>697</v>
      </c>
      <c r="B213" s="39" t="s">
        <v>696</v>
      </c>
      <c r="C213" s="39" t="s">
        <v>78</v>
      </c>
      <c r="D213" s="340" t="s">
        <v>3460</v>
      </c>
      <c r="E213" s="159" t="s">
        <v>666</v>
      </c>
      <c r="F213" s="159" t="s">
        <v>362</v>
      </c>
      <c r="G213" s="159" t="s">
        <v>309</v>
      </c>
      <c r="H213" s="159" t="s">
        <v>330</v>
      </c>
      <c r="I213" s="159" t="s">
        <v>407</v>
      </c>
      <c r="J213" s="159" t="s">
        <v>387</v>
      </c>
      <c r="K213" s="159" t="s">
        <v>1849</v>
      </c>
      <c r="L213" s="39" t="s">
        <v>304</v>
      </c>
      <c r="M213" s="39" t="s">
        <v>305</v>
      </c>
      <c r="N213" s="39">
        <v>11</v>
      </c>
      <c r="O213" s="39" t="s">
        <v>78</v>
      </c>
      <c r="P213" s="39" t="s">
        <v>695</v>
      </c>
      <c r="Q213" s="39" t="s">
        <v>696</v>
      </c>
      <c r="R213" s="16" t="s">
        <v>697</v>
      </c>
      <c r="S213" s="160">
        <v>7792198</v>
      </c>
      <c r="T213" s="160">
        <v>1355135.75</v>
      </c>
      <c r="U213" s="160">
        <v>0</v>
      </c>
      <c r="V213" s="160">
        <v>2151311.25</v>
      </c>
      <c r="W213" s="160">
        <v>5640886.75</v>
      </c>
      <c r="X213" s="161">
        <v>2151311.25</v>
      </c>
      <c r="Y213" s="160"/>
      <c r="Z213" s="16">
        <v>27.6</v>
      </c>
      <c r="AA213" s="162">
        <v>2151311.25</v>
      </c>
      <c r="AB213" s="162">
        <v>537827.8125</v>
      </c>
      <c r="AC213" s="162">
        <v>6453933.75</v>
      </c>
      <c r="AD213" s="160"/>
      <c r="AE213" s="145">
        <v>7792198</v>
      </c>
      <c r="AF213" s="163">
        <v>1.0469999999999999</v>
      </c>
      <c r="AG213" s="164">
        <v>1.046</v>
      </c>
      <c r="AH213" s="164">
        <v>1.046</v>
      </c>
      <c r="AI213" s="164">
        <v>7792198</v>
      </c>
      <c r="AJ213" s="164">
        <f t="shared" si="25"/>
        <v>0</v>
      </c>
      <c r="AK213" s="165">
        <v>7792198</v>
      </c>
      <c r="AL213" s="165">
        <f t="shared" si="27"/>
        <v>7792198</v>
      </c>
      <c r="AM213" s="165">
        <f t="shared" si="22"/>
        <v>8150639.108</v>
      </c>
      <c r="AN213" s="165">
        <f t="shared" si="23"/>
        <v>8525568.5069680009</v>
      </c>
      <c r="AO213" s="16"/>
      <c r="AP213" s="231">
        <f t="shared" si="26"/>
        <v>0</v>
      </c>
      <c r="AR213" s="231"/>
      <c r="AS213" s="231"/>
      <c r="AU213" s="230">
        <v>7792198</v>
      </c>
      <c r="AV213" s="233">
        <v>7792198</v>
      </c>
      <c r="AW213" s="230">
        <f t="shared" si="24"/>
        <v>0</v>
      </c>
    </row>
    <row r="214" spans="1:49" hidden="1" x14ac:dyDescent="0.3">
      <c r="A214" s="16" t="s">
        <v>477</v>
      </c>
      <c r="B214" s="39" t="s">
        <v>698</v>
      </c>
      <c r="C214" s="39" t="s">
        <v>78</v>
      </c>
      <c r="D214" s="340" t="s">
        <v>3460</v>
      </c>
      <c r="E214" s="159" t="s">
        <v>666</v>
      </c>
      <c r="F214" s="159" t="s">
        <v>362</v>
      </c>
      <c r="G214" s="159" t="s">
        <v>309</v>
      </c>
      <c r="H214" s="159" t="s">
        <v>330</v>
      </c>
      <c r="I214" s="159" t="s">
        <v>479</v>
      </c>
      <c r="J214" s="159" t="s">
        <v>312</v>
      </c>
      <c r="K214" s="159" t="s">
        <v>1849</v>
      </c>
      <c r="L214" s="39" t="s">
        <v>304</v>
      </c>
      <c r="M214" s="39" t="s">
        <v>305</v>
      </c>
      <c r="N214" s="39">
        <v>11</v>
      </c>
      <c r="O214" s="39" t="s">
        <v>78</v>
      </c>
      <c r="P214" s="39" t="s">
        <v>699</v>
      </c>
      <c r="Q214" s="39" t="s">
        <v>698</v>
      </c>
      <c r="R214" s="16" t="s">
        <v>477</v>
      </c>
      <c r="S214" s="160">
        <v>30000</v>
      </c>
      <c r="T214" s="160">
        <v>0</v>
      </c>
      <c r="U214" s="160">
        <v>0</v>
      </c>
      <c r="V214" s="160">
        <v>0</v>
      </c>
      <c r="W214" s="160">
        <v>30000</v>
      </c>
      <c r="X214" s="161">
        <v>0</v>
      </c>
      <c r="Y214" s="160"/>
      <c r="Z214" s="16">
        <v>0</v>
      </c>
      <c r="AA214" s="162">
        <v>0</v>
      </c>
      <c r="AB214" s="162">
        <v>0</v>
      </c>
      <c r="AC214" s="162">
        <v>0</v>
      </c>
      <c r="AD214" s="160"/>
      <c r="AE214" s="145">
        <v>30000</v>
      </c>
      <c r="AF214" s="163">
        <v>1.0469999999999999</v>
      </c>
      <c r="AG214" s="164">
        <v>1.046</v>
      </c>
      <c r="AH214" s="164">
        <v>1.046</v>
      </c>
      <c r="AI214" s="164">
        <v>30000</v>
      </c>
      <c r="AJ214" s="164">
        <f t="shared" si="25"/>
        <v>0</v>
      </c>
      <c r="AK214" s="165">
        <v>30000</v>
      </c>
      <c r="AL214" s="165">
        <f t="shared" si="27"/>
        <v>30000</v>
      </c>
      <c r="AM214" s="165">
        <f t="shared" si="22"/>
        <v>31380</v>
      </c>
      <c r="AN214" s="165">
        <f t="shared" si="23"/>
        <v>32823.480000000003</v>
      </c>
      <c r="AO214" s="16"/>
      <c r="AP214" s="231">
        <f t="shared" si="26"/>
        <v>0</v>
      </c>
      <c r="AR214" s="231"/>
      <c r="AS214" s="231"/>
      <c r="AU214" s="230">
        <v>30000</v>
      </c>
      <c r="AV214" s="233">
        <v>30000</v>
      </c>
      <c r="AW214" s="230">
        <f t="shared" si="24"/>
        <v>0</v>
      </c>
    </row>
    <row r="215" spans="1:49" hidden="1" x14ac:dyDescent="0.3">
      <c r="A215" s="16" t="s">
        <v>477</v>
      </c>
      <c r="B215" s="39" t="s">
        <v>700</v>
      </c>
      <c r="C215" s="39" t="s">
        <v>78</v>
      </c>
      <c r="D215" s="340" t="s">
        <v>3460</v>
      </c>
      <c r="E215" s="159" t="s">
        <v>666</v>
      </c>
      <c r="F215" s="159" t="s">
        <v>362</v>
      </c>
      <c r="G215" s="159" t="s">
        <v>309</v>
      </c>
      <c r="H215" s="159" t="s">
        <v>330</v>
      </c>
      <c r="I215" s="159" t="s">
        <v>479</v>
      </c>
      <c r="J215" s="159" t="s">
        <v>387</v>
      </c>
      <c r="K215" s="159" t="s">
        <v>1849</v>
      </c>
      <c r="L215" s="39" t="s">
        <v>304</v>
      </c>
      <c r="M215" s="39" t="s">
        <v>305</v>
      </c>
      <c r="N215" s="39">
        <v>11</v>
      </c>
      <c r="O215" s="39" t="s">
        <v>78</v>
      </c>
      <c r="P215" s="39" t="s">
        <v>699</v>
      </c>
      <c r="Q215" s="39" t="s">
        <v>700</v>
      </c>
      <c r="R215" s="16" t="s">
        <v>477</v>
      </c>
      <c r="S215" s="160">
        <v>226744</v>
      </c>
      <c r="T215" s="160">
        <v>0</v>
      </c>
      <c r="U215" s="160">
        <v>82040</v>
      </c>
      <c r="V215" s="160">
        <v>100452.5</v>
      </c>
      <c r="W215" s="160">
        <v>126291.5</v>
      </c>
      <c r="X215" s="161">
        <v>182492.5</v>
      </c>
      <c r="Y215" s="160"/>
      <c r="Z215" s="16">
        <v>44.3</v>
      </c>
      <c r="AA215" s="162">
        <v>182492.5</v>
      </c>
      <c r="AB215" s="162">
        <v>45623.125</v>
      </c>
      <c r="AC215" s="162">
        <v>547477.5</v>
      </c>
      <c r="AD215" s="160"/>
      <c r="AE215" s="145">
        <v>226744</v>
      </c>
      <c r="AF215" s="163">
        <v>1.0469999999999999</v>
      </c>
      <c r="AG215" s="164">
        <v>1.046</v>
      </c>
      <c r="AH215" s="164">
        <v>1.046</v>
      </c>
      <c r="AI215" s="164">
        <v>226744</v>
      </c>
      <c r="AJ215" s="164">
        <f t="shared" si="25"/>
        <v>0</v>
      </c>
      <c r="AK215" s="165">
        <v>226744</v>
      </c>
      <c r="AL215" s="165">
        <f t="shared" si="27"/>
        <v>226744</v>
      </c>
      <c r="AM215" s="165">
        <f t="shared" si="22"/>
        <v>237174.22400000002</v>
      </c>
      <c r="AN215" s="165">
        <f t="shared" si="23"/>
        <v>248084.23830400003</v>
      </c>
      <c r="AO215" s="16"/>
      <c r="AP215" s="231">
        <f t="shared" si="26"/>
        <v>0</v>
      </c>
      <c r="AR215" s="231"/>
      <c r="AS215" s="231"/>
      <c r="AU215" s="230">
        <v>226744</v>
      </c>
      <c r="AV215" s="233">
        <v>226744</v>
      </c>
      <c r="AW215" s="230">
        <f t="shared" si="24"/>
        <v>0</v>
      </c>
    </row>
    <row r="216" spans="1:49" hidden="1" x14ac:dyDescent="0.3">
      <c r="A216" s="16" t="s">
        <v>337</v>
      </c>
      <c r="B216" s="39" t="s">
        <v>701</v>
      </c>
      <c r="C216" s="39" t="s">
        <v>82</v>
      </c>
      <c r="D216" s="340" t="s">
        <v>3460</v>
      </c>
      <c r="E216" s="159" t="s">
        <v>666</v>
      </c>
      <c r="F216" s="159" t="s">
        <v>362</v>
      </c>
      <c r="G216" s="159" t="s">
        <v>309</v>
      </c>
      <c r="H216" s="159" t="s">
        <v>334</v>
      </c>
      <c r="I216" s="159" t="s">
        <v>339</v>
      </c>
      <c r="J216" s="159" t="s">
        <v>312</v>
      </c>
      <c r="K216" s="159" t="s">
        <v>1849</v>
      </c>
      <c r="L216" s="39" t="s">
        <v>304</v>
      </c>
      <c r="M216" s="39" t="s">
        <v>305</v>
      </c>
      <c r="N216" s="39">
        <v>11</v>
      </c>
      <c r="O216" s="39" t="s">
        <v>82</v>
      </c>
      <c r="P216" s="39" t="s">
        <v>338</v>
      </c>
      <c r="Q216" s="39" t="s">
        <v>701</v>
      </c>
      <c r="R216" s="16" t="s">
        <v>337</v>
      </c>
      <c r="S216" s="160">
        <v>4639</v>
      </c>
      <c r="T216" s="160">
        <v>0</v>
      </c>
      <c r="U216" s="160">
        <v>0</v>
      </c>
      <c r="V216" s="160">
        <v>0</v>
      </c>
      <c r="W216" s="160">
        <v>4639</v>
      </c>
      <c r="X216" s="161">
        <v>0</v>
      </c>
      <c r="Y216" s="160"/>
      <c r="Z216" s="16">
        <v>0</v>
      </c>
      <c r="AA216" s="162">
        <v>0</v>
      </c>
      <c r="AB216" s="162">
        <v>0</v>
      </c>
      <c r="AC216" s="162">
        <v>0</v>
      </c>
      <c r="AD216" s="160"/>
      <c r="AE216" s="145">
        <v>4639</v>
      </c>
      <c r="AF216" s="163">
        <v>1.0469999999999999</v>
      </c>
      <c r="AG216" s="164">
        <v>1.046</v>
      </c>
      <c r="AH216" s="164">
        <v>1.046</v>
      </c>
      <c r="AI216" s="164">
        <v>4639</v>
      </c>
      <c r="AJ216" s="164">
        <f t="shared" si="25"/>
        <v>0</v>
      </c>
      <c r="AK216" s="165">
        <v>4639</v>
      </c>
      <c r="AL216" s="165">
        <f t="shared" si="27"/>
        <v>4639</v>
      </c>
      <c r="AM216" s="165">
        <f t="shared" si="22"/>
        <v>4852.3940000000002</v>
      </c>
      <c r="AN216" s="165">
        <f t="shared" si="23"/>
        <v>5075.6041240000004</v>
      </c>
      <c r="AO216" s="16"/>
      <c r="AP216" s="231">
        <f t="shared" si="26"/>
        <v>0</v>
      </c>
      <c r="AR216" s="231"/>
      <c r="AS216" s="231"/>
      <c r="AU216" s="230">
        <v>4639</v>
      </c>
      <c r="AV216" s="233">
        <v>4639</v>
      </c>
      <c r="AW216" s="230">
        <f t="shared" si="24"/>
        <v>0</v>
      </c>
    </row>
    <row r="217" spans="1:49" hidden="1" x14ac:dyDescent="0.3">
      <c r="A217" s="16" t="s">
        <v>341</v>
      </c>
      <c r="B217" s="39" t="s">
        <v>702</v>
      </c>
      <c r="C217" s="39" t="s">
        <v>82</v>
      </c>
      <c r="D217" s="340" t="s">
        <v>3460</v>
      </c>
      <c r="E217" s="159" t="s">
        <v>666</v>
      </c>
      <c r="F217" s="159" t="s">
        <v>362</v>
      </c>
      <c r="G217" s="159" t="s">
        <v>309</v>
      </c>
      <c r="H217" s="159" t="s">
        <v>334</v>
      </c>
      <c r="I217" s="159" t="s">
        <v>343</v>
      </c>
      <c r="J217" s="159" t="s">
        <v>312</v>
      </c>
      <c r="K217" s="159" t="s">
        <v>1849</v>
      </c>
      <c r="L217" s="39" t="s">
        <v>304</v>
      </c>
      <c r="M217" s="39" t="s">
        <v>305</v>
      </c>
      <c r="N217" s="39">
        <v>11</v>
      </c>
      <c r="O217" s="39" t="s">
        <v>82</v>
      </c>
      <c r="P217" s="39" t="s">
        <v>342</v>
      </c>
      <c r="Q217" s="39" t="s">
        <v>702</v>
      </c>
      <c r="R217" s="16" t="s">
        <v>341</v>
      </c>
      <c r="S217" s="160">
        <v>0</v>
      </c>
      <c r="T217" s="160">
        <v>0</v>
      </c>
      <c r="U217" s="160">
        <v>0</v>
      </c>
      <c r="V217" s="160">
        <v>0</v>
      </c>
      <c r="W217" s="160">
        <v>0</v>
      </c>
      <c r="X217" s="161">
        <v>0</v>
      </c>
      <c r="Y217" s="160"/>
      <c r="Z217" s="16">
        <v>0</v>
      </c>
      <c r="AA217" s="162">
        <v>0</v>
      </c>
      <c r="AB217" s="162">
        <v>0</v>
      </c>
      <c r="AC217" s="162">
        <v>0</v>
      </c>
      <c r="AD217" s="160"/>
      <c r="AE217" s="145">
        <v>0</v>
      </c>
      <c r="AF217" s="163">
        <v>1.0469999999999999</v>
      </c>
      <c r="AG217" s="164">
        <v>1.046</v>
      </c>
      <c r="AH217" s="164">
        <v>1.046</v>
      </c>
      <c r="AI217" s="164">
        <v>0</v>
      </c>
      <c r="AJ217" s="164">
        <f t="shared" si="25"/>
        <v>0</v>
      </c>
      <c r="AK217" s="165">
        <v>0</v>
      </c>
      <c r="AL217" s="165">
        <v>0</v>
      </c>
      <c r="AM217" s="165">
        <f t="shared" si="22"/>
        <v>0</v>
      </c>
      <c r="AN217" s="165">
        <f t="shared" si="23"/>
        <v>0</v>
      </c>
      <c r="AO217" s="16"/>
      <c r="AP217" s="231">
        <f t="shared" si="26"/>
        <v>0</v>
      </c>
      <c r="AR217" s="231"/>
      <c r="AS217" s="231"/>
      <c r="AU217" s="230">
        <v>0</v>
      </c>
      <c r="AV217" s="233">
        <v>0</v>
      </c>
      <c r="AW217" s="230">
        <f t="shared" si="24"/>
        <v>0</v>
      </c>
    </row>
    <row r="218" spans="1:49" hidden="1" x14ac:dyDescent="0.3">
      <c r="A218" s="16" t="s">
        <v>345</v>
      </c>
      <c r="B218" s="39" t="s">
        <v>703</v>
      </c>
      <c r="C218" s="39" t="s">
        <v>82</v>
      </c>
      <c r="D218" s="340" t="s">
        <v>3460</v>
      </c>
      <c r="E218" s="159" t="s">
        <v>666</v>
      </c>
      <c r="F218" s="159" t="s">
        <v>362</v>
      </c>
      <c r="G218" s="159" t="s">
        <v>309</v>
      </c>
      <c r="H218" s="159" t="s">
        <v>334</v>
      </c>
      <c r="I218" s="159" t="s">
        <v>347</v>
      </c>
      <c r="J218" s="159" t="s">
        <v>312</v>
      </c>
      <c r="K218" s="159" t="s">
        <v>1849</v>
      </c>
      <c r="L218" s="39" t="s">
        <v>304</v>
      </c>
      <c r="M218" s="39" t="s">
        <v>305</v>
      </c>
      <c r="N218" s="39">
        <v>11</v>
      </c>
      <c r="O218" s="39" t="s">
        <v>82</v>
      </c>
      <c r="P218" s="39" t="s">
        <v>346</v>
      </c>
      <c r="Q218" s="39" t="s">
        <v>703</v>
      </c>
      <c r="R218" s="16" t="s">
        <v>345</v>
      </c>
      <c r="S218" s="160">
        <v>0</v>
      </c>
      <c r="T218" s="160">
        <v>0</v>
      </c>
      <c r="U218" s="160">
        <v>0</v>
      </c>
      <c r="V218" s="160">
        <v>0</v>
      </c>
      <c r="W218" s="160">
        <v>0</v>
      </c>
      <c r="X218" s="161">
        <v>0</v>
      </c>
      <c r="Y218" s="160"/>
      <c r="Z218" s="16">
        <v>0</v>
      </c>
      <c r="AA218" s="162">
        <v>0</v>
      </c>
      <c r="AB218" s="162">
        <v>0</v>
      </c>
      <c r="AC218" s="162">
        <v>0</v>
      </c>
      <c r="AD218" s="160"/>
      <c r="AE218" s="145">
        <v>0</v>
      </c>
      <c r="AF218" s="163">
        <v>1.0469999999999999</v>
      </c>
      <c r="AG218" s="164">
        <v>1.046</v>
      </c>
      <c r="AH218" s="164">
        <v>1.046</v>
      </c>
      <c r="AI218" s="164">
        <v>0</v>
      </c>
      <c r="AJ218" s="164">
        <f t="shared" si="25"/>
        <v>0</v>
      </c>
      <c r="AK218" s="165">
        <v>0</v>
      </c>
      <c r="AL218" s="165">
        <v>0</v>
      </c>
      <c r="AM218" s="165">
        <f t="shared" si="22"/>
        <v>0</v>
      </c>
      <c r="AN218" s="165">
        <f t="shared" si="23"/>
        <v>0</v>
      </c>
      <c r="AO218" s="16"/>
      <c r="AP218" s="231">
        <f t="shared" si="26"/>
        <v>0</v>
      </c>
      <c r="AR218" s="231"/>
      <c r="AS218" s="231"/>
      <c r="AU218" s="230">
        <v>0</v>
      </c>
      <c r="AV218" s="233">
        <v>0</v>
      </c>
      <c r="AW218" s="230">
        <f t="shared" si="24"/>
        <v>0</v>
      </c>
    </row>
    <row r="219" spans="1:49" hidden="1" x14ac:dyDescent="0.3">
      <c r="A219" s="16" t="s">
        <v>349</v>
      </c>
      <c r="B219" s="39" t="s">
        <v>704</v>
      </c>
      <c r="C219" s="39" t="s">
        <v>82</v>
      </c>
      <c r="D219" s="340" t="s">
        <v>3460</v>
      </c>
      <c r="E219" s="159" t="s">
        <v>666</v>
      </c>
      <c r="F219" s="159" t="s">
        <v>362</v>
      </c>
      <c r="G219" s="159" t="s">
        <v>309</v>
      </c>
      <c r="H219" s="159" t="s">
        <v>334</v>
      </c>
      <c r="I219" s="159" t="s">
        <v>351</v>
      </c>
      <c r="J219" s="159" t="s">
        <v>312</v>
      </c>
      <c r="K219" s="159" t="s">
        <v>1849</v>
      </c>
      <c r="L219" s="39" t="s">
        <v>304</v>
      </c>
      <c r="M219" s="39" t="s">
        <v>305</v>
      </c>
      <c r="N219" s="39">
        <v>11</v>
      </c>
      <c r="O219" s="39" t="s">
        <v>82</v>
      </c>
      <c r="P219" s="39" t="s">
        <v>350</v>
      </c>
      <c r="Q219" s="39" t="s">
        <v>704</v>
      </c>
      <c r="R219" s="16" t="s">
        <v>349</v>
      </c>
      <c r="S219" s="160">
        <v>5000</v>
      </c>
      <c r="T219" s="160">
        <v>0</v>
      </c>
      <c r="U219" s="160">
        <v>0</v>
      </c>
      <c r="V219" s="160">
        <v>0</v>
      </c>
      <c r="W219" s="160">
        <v>5000</v>
      </c>
      <c r="X219" s="161">
        <v>0</v>
      </c>
      <c r="Y219" s="160"/>
      <c r="Z219" s="16">
        <v>0</v>
      </c>
      <c r="AA219" s="162">
        <v>0</v>
      </c>
      <c r="AB219" s="162">
        <v>0</v>
      </c>
      <c r="AC219" s="162">
        <v>0</v>
      </c>
      <c r="AD219" s="160"/>
      <c r="AE219" s="145">
        <v>5000</v>
      </c>
      <c r="AF219" s="163">
        <v>1.0469999999999999</v>
      </c>
      <c r="AG219" s="164">
        <v>1.046</v>
      </c>
      <c r="AH219" s="164">
        <v>1.046</v>
      </c>
      <c r="AI219" s="164">
        <v>5000</v>
      </c>
      <c r="AJ219" s="164">
        <f t="shared" si="25"/>
        <v>0</v>
      </c>
      <c r="AK219" s="165">
        <v>5000</v>
      </c>
      <c r="AL219" s="165">
        <f>AK219</f>
        <v>5000</v>
      </c>
      <c r="AM219" s="165">
        <f t="shared" si="22"/>
        <v>5230</v>
      </c>
      <c r="AN219" s="165">
        <f t="shared" si="23"/>
        <v>5470.58</v>
      </c>
      <c r="AO219" s="16"/>
      <c r="AP219" s="231">
        <f t="shared" si="26"/>
        <v>0</v>
      </c>
      <c r="AR219" s="231"/>
      <c r="AS219" s="231"/>
      <c r="AU219" s="230">
        <v>5000</v>
      </c>
      <c r="AV219" s="233">
        <v>5000</v>
      </c>
      <c r="AW219" s="230">
        <f t="shared" si="24"/>
        <v>0</v>
      </c>
    </row>
    <row r="220" spans="1:49" hidden="1" x14ac:dyDescent="0.3">
      <c r="A220" s="16" t="s">
        <v>353</v>
      </c>
      <c r="B220" s="39" t="s">
        <v>705</v>
      </c>
      <c r="C220" s="39" t="s">
        <v>82</v>
      </c>
      <c r="D220" s="340" t="s">
        <v>3460</v>
      </c>
      <c r="E220" s="159" t="s">
        <v>666</v>
      </c>
      <c r="F220" s="159" t="s">
        <v>362</v>
      </c>
      <c r="G220" s="159" t="s">
        <v>309</v>
      </c>
      <c r="H220" s="159" t="s">
        <v>334</v>
      </c>
      <c r="I220" s="159" t="s">
        <v>355</v>
      </c>
      <c r="J220" s="159" t="s">
        <v>312</v>
      </c>
      <c r="K220" s="159" t="s">
        <v>1849</v>
      </c>
      <c r="L220" s="39" t="s">
        <v>304</v>
      </c>
      <c r="M220" s="39" t="s">
        <v>305</v>
      </c>
      <c r="N220" s="39">
        <v>11</v>
      </c>
      <c r="O220" s="39" t="s">
        <v>82</v>
      </c>
      <c r="P220" s="39" t="s">
        <v>354</v>
      </c>
      <c r="Q220" s="39" t="s">
        <v>705</v>
      </c>
      <c r="R220" s="16" t="s">
        <v>353</v>
      </c>
      <c r="S220" s="160">
        <v>45000</v>
      </c>
      <c r="T220" s="160">
        <v>0</v>
      </c>
      <c r="U220" s="160">
        <v>0</v>
      </c>
      <c r="V220" s="160">
        <v>0</v>
      </c>
      <c r="W220" s="160">
        <v>45000</v>
      </c>
      <c r="X220" s="161">
        <v>0</v>
      </c>
      <c r="Y220" s="160"/>
      <c r="Z220" s="16">
        <v>0</v>
      </c>
      <c r="AA220" s="162">
        <v>0</v>
      </c>
      <c r="AB220" s="162">
        <v>0</v>
      </c>
      <c r="AC220" s="162">
        <v>0</v>
      </c>
      <c r="AD220" s="160"/>
      <c r="AE220" s="145">
        <v>45000</v>
      </c>
      <c r="AF220" s="163">
        <v>1.0469999999999999</v>
      </c>
      <c r="AG220" s="164">
        <v>1.046</v>
      </c>
      <c r="AH220" s="164">
        <v>1.046</v>
      </c>
      <c r="AI220" s="164">
        <v>45000</v>
      </c>
      <c r="AJ220" s="164">
        <f t="shared" si="25"/>
        <v>0</v>
      </c>
      <c r="AK220" s="165">
        <v>45000</v>
      </c>
      <c r="AL220" s="165">
        <f>AK220</f>
        <v>45000</v>
      </c>
      <c r="AM220" s="165">
        <f t="shared" si="22"/>
        <v>47070</v>
      </c>
      <c r="AN220" s="165">
        <f t="shared" si="23"/>
        <v>49235.22</v>
      </c>
      <c r="AO220" s="16"/>
      <c r="AP220" s="231">
        <f t="shared" si="26"/>
        <v>0</v>
      </c>
      <c r="AR220" s="231"/>
      <c r="AS220" s="231"/>
      <c r="AU220" s="230">
        <v>45000</v>
      </c>
      <c r="AV220" s="233">
        <v>45000</v>
      </c>
      <c r="AW220" s="230">
        <f t="shared" si="24"/>
        <v>0</v>
      </c>
    </row>
    <row r="221" spans="1:49" hidden="1" x14ac:dyDescent="0.3">
      <c r="A221" s="16" t="s">
        <v>357</v>
      </c>
      <c r="B221" s="39" t="s">
        <v>706</v>
      </c>
      <c r="C221" s="39" t="s">
        <v>82</v>
      </c>
      <c r="D221" s="340" t="s">
        <v>3460</v>
      </c>
      <c r="E221" s="159" t="s">
        <v>666</v>
      </c>
      <c r="F221" s="159" t="s">
        <v>362</v>
      </c>
      <c r="G221" s="159" t="s">
        <v>309</v>
      </c>
      <c r="H221" s="159" t="s">
        <v>334</v>
      </c>
      <c r="I221" s="159" t="s">
        <v>359</v>
      </c>
      <c r="J221" s="159" t="s">
        <v>312</v>
      </c>
      <c r="K221" s="159" t="s">
        <v>1849</v>
      </c>
      <c r="L221" s="39" t="s">
        <v>304</v>
      </c>
      <c r="M221" s="39" t="s">
        <v>305</v>
      </c>
      <c r="N221" s="39">
        <v>11</v>
      </c>
      <c r="O221" s="39" t="s">
        <v>82</v>
      </c>
      <c r="P221" s="39" t="s">
        <v>358</v>
      </c>
      <c r="Q221" s="39" t="s">
        <v>706</v>
      </c>
      <c r="R221" s="16" t="s">
        <v>357</v>
      </c>
      <c r="S221" s="160">
        <v>0</v>
      </c>
      <c r="T221" s="160">
        <v>0</v>
      </c>
      <c r="U221" s="160">
        <v>0</v>
      </c>
      <c r="V221" s="160">
        <v>0</v>
      </c>
      <c r="W221" s="160">
        <v>0</v>
      </c>
      <c r="X221" s="161">
        <v>0</v>
      </c>
      <c r="Y221" s="160"/>
      <c r="Z221" s="16">
        <v>0</v>
      </c>
      <c r="AA221" s="162">
        <v>0</v>
      </c>
      <c r="AB221" s="162">
        <v>0</v>
      </c>
      <c r="AC221" s="162">
        <v>0</v>
      </c>
      <c r="AD221" s="160"/>
      <c r="AE221" s="145">
        <v>0</v>
      </c>
      <c r="AF221" s="163">
        <v>1.0469999999999999</v>
      </c>
      <c r="AG221" s="164">
        <v>1.046</v>
      </c>
      <c r="AH221" s="164">
        <v>1.046</v>
      </c>
      <c r="AI221" s="164">
        <v>0</v>
      </c>
      <c r="AJ221" s="164">
        <f t="shared" si="25"/>
        <v>0</v>
      </c>
      <c r="AK221" s="165">
        <v>0</v>
      </c>
      <c r="AL221" s="165">
        <v>0</v>
      </c>
      <c r="AM221" s="165">
        <f t="shared" si="22"/>
        <v>0</v>
      </c>
      <c r="AN221" s="165">
        <f t="shared" si="23"/>
        <v>0</v>
      </c>
      <c r="AO221" s="16"/>
      <c r="AP221" s="231">
        <f t="shared" si="26"/>
        <v>0</v>
      </c>
      <c r="AR221" s="231"/>
      <c r="AS221" s="231"/>
      <c r="AU221" s="230">
        <v>0</v>
      </c>
      <c r="AV221" s="233">
        <v>0</v>
      </c>
      <c r="AW221" s="230">
        <f t="shared" si="24"/>
        <v>0</v>
      </c>
    </row>
    <row r="222" spans="1:49" hidden="1" x14ac:dyDescent="0.3">
      <c r="A222" s="16" t="s">
        <v>83</v>
      </c>
      <c r="B222" s="39" t="s">
        <v>707</v>
      </c>
      <c r="C222" s="39" t="s">
        <v>423</v>
      </c>
      <c r="D222" s="340" t="s">
        <v>3460</v>
      </c>
      <c r="E222" s="159" t="s">
        <v>666</v>
      </c>
      <c r="F222" s="159" t="s">
        <v>362</v>
      </c>
      <c r="G222" s="159" t="s">
        <v>309</v>
      </c>
      <c r="H222" s="159" t="s">
        <v>424</v>
      </c>
      <c r="I222" s="159" t="s">
        <v>425</v>
      </c>
      <c r="J222" s="159" t="s">
        <v>426</v>
      </c>
      <c r="K222" s="159" t="s">
        <v>1849</v>
      </c>
      <c r="L222" s="39" t="s">
        <v>304</v>
      </c>
      <c r="M222" s="39" t="s">
        <v>305</v>
      </c>
      <c r="N222" s="39">
        <v>11</v>
      </c>
      <c r="O222" s="39" t="s">
        <v>423</v>
      </c>
      <c r="P222" s="39" t="s">
        <v>423</v>
      </c>
      <c r="Q222" s="39" t="s">
        <v>707</v>
      </c>
      <c r="R222" s="16" t="s">
        <v>83</v>
      </c>
      <c r="S222" s="160">
        <v>40000</v>
      </c>
      <c r="T222" s="160">
        <v>0</v>
      </c>
      <c r="U222" s="160">
        <v>0</v>
      </c>
      <c r="V222" s="160">
        <v>10960.3</v>
      </c>
      <c r="W222" s="160">
        <v>29039.7</v>
      </c>
      <c r="X222" s="161">
        <v>11137.900000000001</v>
      </c>
      <c r="Y222" s="160"/>
      <c r="Z222" s="16">
        <v>27.4</v>
      </c>
      <c r="AA222" s="162">
        <v>10960.3</v>
      </c>
      <c r="AB222" s="162">
        <v>2740.0749999999998</v>
      </c>
      <c r="AC222" s="162">
        <v>32880.899999999994</v>
      </c>
      <c r="AD222" s="160"/>
      <c r="AE222" s="145">
        <v>40000</v>
      </c>
      <c r="AF222" s="163">
        <v>1.0469999999999999</v>
      </c>
      <c r="AG222" s="164">
        <v>1.046</v>
      </c>
      <c r="AH222" s="164">
        <v>1.046</v>
      </c>
      <c r="AI222" s="164">
        <v>40000</v>
      </c>
      <c r="AJ222" s="164">
        <f t="shared" si="25"/>
        <v>0</v>
      </c>
      <c r="AK222" s="165">
        <v>40000</v>
      </c>
      <c r="AL222" s="165">
        <f>AK222</f>
        <v>40000</v>
      </c>
      <c r="AM222" s="165">
        <f t="shared" si="22"/>
        <v>41840</v>
      </c>
      <c r="AN222" s="165">
        <f t="shared" si="23"/>
        <v>43764.639999999999</v>
      </c>
      <c r="AO222" s="16"/>
      <c r="AP222" s="231">
        <f t="shared" si="26"/>
        <v>0</v>
      </c>
      <c r="AR222" s="231"/>
      <c r="AS222" s="231"/>
      <c r="AU222" s="230">
        <v>40000</v>
      </c>
      <c r="AV222" s="233">
        <v>40000</v>
      </c>
      <c r="AW222" s="230">
        <f t="shared" si="24"/>
        <v>0</v>
      </c>
    </row>
    <row r="223" spans="1:49" hidden="1" x14ac:dyDescent="0.3">
      <c r="A223" s="16" t="s">
        <v>499</v>
      </c>
      <c r="B223" s="39" t="s">
        <v>708</v>
      </c>
      <c r="C223" s="39" t="s">
        <v>95</v>
      </c>
      <c r="D223" s="340" t="s">
        <v>3460</v>
      </c>
      <c r="E223" s="159" t="s">
        <v>666</v>
      </c>
      <c r="F223" s="159" t="s">
        <v>362</v>
      </c>
      <c r="G223" s="159" t="s">
        <v>309</v>
      </c>
      <c r="H223" s="159" t="s">
        <v>501</v>
      </c>
      <c r="I223" s="159" t="s">
        <v>502</v>
      </c>
      <c r="J223" s="159" t="s">
        <v>312</v>
      </c>
      <c r="K223" s="159" t="s">
        <v>1849</v>
      </c>
      <c r="L223" s="39" t="s">
        <v>304</v>
      </c>
      <c r="M223" s="39" t="s">
        <v>305</v>
      </c>
      <c r="N223" s="39">
        <v>11</v>
      </c>
      <c r="O223" s="39" t="s">
        <v>95</v>
      </c>
      <c r="P223" s="39" t="s">
        <v>95</v>
      </c>
      <c r="Q223" s="39" t="s">
        <v>708</v>
      </c>
      <c r="R223" s="16" t="s">
        <v>499</v>
      </c>
      <c r="S223" s="160">
        <v>4439805</v>
      </c>
      <c r="T223" s="160">
        <v>630095.84</v>
      </c>
      <c r="U223" s="160">
        <v>0</v>
      </c>
      <c r="V223" s="160">
        <v>2510262.0299999998</v>
      </c>
      <c r="W223" s="160">
        <v>1929542.97</v>
      </c>
      <c r="X223" s="161">
        <v>0</v>
      </c>
      <c r="Y223" s="160"/>
      <c r="Z223" s="16">
        <v>56.53</v>
      </c>
      <c r="AA223" s="162">
        <v>2510262.0299999998</v>
      </c>
      <c r="AB223" s="162">
        <v>627565.50749999995</v>
      </c>
      <c r="AC223" s="162">
        <v>7530786.0899999999</v>
      </c>
      <c r="AD223" s="160"/>
      <c r="AE223" s="145">
        <v>4439805</v>
      </c>
      <c r="AF223" s="163">
        <v>1.0469999999999999</v>
      </c>
      <c r="AG223" s="164">
        <v>1.046</v>
      </c>
      <c r="AH223" s="164">
        <v>1.046</v>
      </c>
      <c r="AI223" s="164">
        <v>4439805</v>
      </c>
      <c r="AJ223" s="164">
        <f t="shared" si="25"/>
        <v>0</v>
      </c>
      <c r="AK223" s="165">
        <v>4439805</v>
      </c>
      <c r="AL223" s="165">
        <f>AK223</f>
        <v>4439805</v>
      </c>
      <c r="AM223" s="165">
        <f t="shared" si="22"/>
        <v>4644036.03</v>
      </c>
      <c r="AN223" s="165">
        <f t="shared" si="23"/>
        <v>4857661.68738</v>
      </c>
      <c r="AO223" s="16"/>
      <c r="AP223" s="231">
        <f t="shared" si="26"/>
        <v>0</v>
      </c>
      <c r="AR223" s="231"/>
      <c r="AS223" s="231"/>
      <c r="AU223" s="230">
        <v>4439805</v>
      </c>
      <c r="AV223" s="233">
        <v>4439805</v>
      </c>
      <c r="AW223" s="230">
        <f t="shared" si="24"/>
        <v>0</v>
      </c>
    </row>
    <row r="224" spans="1:49" hidden="1" x14ac:dyDescent="0.3">
      <c r="A224" s="16" t="s">
        <v>710</v>
      </c>
      <c r="B224" s="39" t="s">
        <v>709</v>
      </c>
      <c r="C224" s="39">
        <v>0</v>
      </c>
      <c r="D224" s="340" t="s">
        <v>3461</v>
      </c>
      <c r="E224" s="159" t="s">
        <v>666</v>
      </c>
      <c r="F224" s="159" t="s">
        <v>363</v>
      </c>
      <c r="G224" s="159" t="s">
        <v>387</v>
      </c>
      <c r="H224" s="159" t="s">
        <v>646</v>
      </c>
      <c r="I224" s="159" t="s">
        <v>374</v>
      </c>
      <c r="J224" s="159" t="s">
        <v>711</v>
      </c>
      <c r="K224" s="159" t="s">
        <v>413</v>
      </c>
      <c r="L224" s="39" t="s">
        <v>556</v>
      </c>
      <c r="M224" s="39" t="s">
        <v>305</v>
      </c>
      <c r="N224" s="39">
        <v>11</v>
      </c>
      <c r="O224" s="39">
        <v>0</v>
      </c>
      <c r="P224" s="39">
        <v>0</v>
      </c>
      <c r="Q224" s="39" t="s">
        <v>709</v>
      </c>
      <c r="R224" s="16" t="s">
        <v>710</v>
      </c>
      <c r="S224" s="160">
        <v>0</v>
      </c>
      <c r="T224" s="160">
        <v>0</v>
      </c>
      <c r="U224" s="160">
        <v>0</v>
      </c>
      <c r="V224" s="160">
        <v>0</v>
      </c>
      <c r="W224" s="160">
        <v>0</v>
      </c>
      <c r="X224" s="161" t="e">
        <v>#N/A</v>
      </c>
      <c r="Y224" s="160"/>
      <c r="Z224" s="16">
        <v>0</v>
      </c>
      <c r="AA224" s="162">
        <v>0</v>
      </c>
      <c r="AB224" s="162">
        <v>0</v>
      </c>
      <c r="AC224" s="162">
        <v>0</v>
      </c>
      <c r="AD224" s="160"/>
      <c r="AE224" s="145">
        <v>0</v>
      </c>
      <c r="AF224" s="163">
        <v>1.0469999999999999</v>
      </c>
      <c r="AG224" s="164">
        <v>1.046</v>
      </c>
      <c r="AH224" s="164">
        <v>1.046</v>
      </c>
      <c r="AI224" s="164">
        <v>0</v>
      </c>
      <c r="AJ224" s="164">
        <f t="shared" si="25"/>
        <v>0</v>
      </c>
      <c r="AK224" s="165">
        <v>0</v>
      </c>
      <c r="AL224" s="165">
        <v>0</v>
      </c>
      <c r="AM224" s="165">
        <f t="shared" si="22"/>
        <v>0</v>
      </c>
      <c r="AN224" s="165">
        <f t="shared" si="23"/>
        <v>0</v>
      </c>
      <c r="AO224" s="16"/>
      <c r="AP224" s="231">
        <f t="shared" si="26"/>
        <v>0</v>
      </c>
      <c r="AR224" s="231"/>
      <c r="AS224" s="231"/>
      <c r="AU224" s="230">
        <v>0</v>
      </c>
      <c r="AV224" s="233">
        <v>0</v>
      </c>
      <c r="AW224" s="230">
        <f t="shared" si="24"/>
        <v>0</v>
      </c>
    </row>
    <row r="225" spans="1:49" s="172" customFormat="1" x14ac:dyDescent="0.3">
      <c r="A225" s="166" t="s">
        <v>50</v>
      </c>
      <c r="B225" s="167" t="s">
        <v>712</v>
      </c>
      <c r="C225" s="167" t="s">
        <v>302</v>
      </c>
      <c r="D225" s="412" t="s">
        <v>3461</v>
      </c>
      <c r="E225" s="168" t="s">
        <v>666</v>
      </c>
      <c r="F225" s="168" t="s">
        <v>363</v>
      </c>
      <c r="G225" s="168" t="s">
        <v>309</v>
      </c>
      <c r="H225" s="168" t="s">
        <v>373</v>
      </c>
      <c r="I225" s="168" t="s">
        <v>374</v>
      </c>
      <c r="J225" s="168" t="s">
        <v>312</v>
      </c>
      <c r="K225" s="168" t="s">
        <v>1849</v>
      </c>
      <c r="L225" s="167" t="s">
        <v>304</v>
      </c>
      <c r="M225" s="167" t="s">
        <v>305</v>
      </c>
      <c r="N225" s="167">
        <v>11</v>
      </c>
      <c r="O225" s="167" t="s">
        <v>302</v>
      </c>
      <c r="P225" s="167" t="s">
        <v>302</v>
      </c>
      <c r="Q225" s="167" t="s">
        <v>712</v>
      </c>
      <c r="R225" s="166" t="s">
        <v>50</v>
      </c>
      <c r="S225" s="169">
        <v>4157877</v>
      </c>
      <c r="T225" s="160">
        <v>1855102.94</v>
      </c>
      <c r="U225" s="160">
        <v>0</v>
      </c>
      <c r="V225" s="160">
        <v>2660896.2599999998</v>
      </c>
      <c r="W225" s="160">
        <v>1496980.74</v>
      </c>
      <c r="X225" s="161">
        <v>0</v>
      </c>
      <c r="Y225" s="160"/>
      <c r="Z225" s="16">
        <v>63.99</v>
      </c>
      <c r="AA225" s="162">
        <v>2660896.2599999998</v>
      </c>
      <c r="AB225" s="162">
        <v>665224.06499999994</v>
      </c>
      <c r="AC225" s="162">
        <v>7982688.7799999993</v>
      </c>
      <c r="AD225" s="160"/>
      <c r="AE225" s="145">
        <v>4157877</v>
      </c>
      <c r="AF225" s="163">
        <v>1.0529999999999999</v>
      </c>
      <c r="AG225" s="163">
        <v>1.0489999999999999</v>
      </c>
      <c r="AH225" s="163">
        <v>1.0469999999999999</v>
      </c>
      <c r="AI225" s="164">
        <v>4157877</v>
      </c>
      <c r="AJ225" s="164">
        <f t="shared" si="25"/>
        <v>0</v>
      </c>
      <c r="AK225" s="229">
        <v>4157877</v>
      </c>
      <c r="AL225" s="229">
        <f ca="1">SUMIF('MS &amp; Vacancies combined'!A:J,D225,'MS &amp; Vacancies combined'!J:J)*105.3/100</f>
        <v>5261243.4697277574</v>
      </c>
      <c r="AM225" s="229">
        <f t="shared" ca="1" si="22"/>
        <v>5519044.3997444175</v>
      </c>
      <c r="AN225" s="229">
        <f t="shared" ca="1" si="23"/>
        <v>5778439.486532405</v>
      </c>
      <c r="AO225" s="166"/>
      <c r="AP225" s="413">
        <f t="shared" ca="1" si="26"/>
        <v>-1103366.4697277574</v>
      </c>
      <c r="AR225" s="231"/>
      <c r="AS225" s="231"/>
      <c r="AU225" s="414">
        <v>4157877</v>
      </c>
      <c r="AV225" s="415">
        <v>4157877</v>
      </c>
      <c r="AW225" s="414">
        <f t="shared" si="24"/>
        <v>0</v>
      </c>
    </row>
    <row r="226" spans="1:49" s="172" customFormat="1" x14ac:dyDescent="0.3">
      <c r="A226" s="166" t="s">
        <v>52</v>
      </c>
      <c r="B226" s="167" t="s">
        <v>713</v>
      </c>
      <c r="C226" s="167" t="s">
        <v>376</v>
      </c>
      <c r="D226" s="412" t="s">
        <v>3461</v>
      </c>
      <c r="E226" s="168" t="s">
        <v>666</v>
      </c>
      <c r="F226" s="168" t="s">
        <v>363</v>
      </c>
      <c r="G226" s="168" t="s">
        <v>309</v>
      </c>
      <c r="H226" s="168" t="s">
        <v>373</v>
      </c>
      <c r="I226" s="168" t="s">
        <v>377</v>
      </c>
      <c r="J226" s="168" t="s">
        <v>312</v>
      </c>
      <c r="K226" s="168" t="s">
        <v>1849</v>
      </c>
      <c r="L226" s="167" t="s">
        <v>304</v>
      </c>
      <c r="M226" s="167" t="s">
        <v>305</v>
      </c>
      <c r="N226" s="167">
        <v>11</v>
      </c>
      <c r="O226" s="167" t="s">
        <v>376</v>
      </c>
      <c r="P226" s="167" t="s">
        <v>376</v>
      </c>
      <c r="Q226" s="167" t="s">
        <v>713</v>
      </c>
      <c r="R226" s="166" t="s">
        <v>52</v>
      </c>
      <c r="S226" s="169">
        <v>0</v>
      </c>
      <c r="T226" s="160">
        <v>1750</v>
      </c>
      <c r="U226" s="160">
        <v>0</v>
      </c>
      <c r="V226" s="160">
        <v>5500</v>
      </c>
      <c r="W226" s="160">
        <v>-5500</v>
      </c>
      <c r="X226" s="161">
        <v>0</v>
      </c>
      <c r="Y226" s="160"/>
      <c r="Z226" s="16">
        <v>0</v>
      </c>
      <c r="AA226" s="162">
        <v>5500</v>
      </c>
      <c r="AB226" s="162">
        <v>1375</v>
      </c>
      <c r="AC226" s="162">
        <v>16500</v>
      </c>
      <c r="AD226" s="160"/>
      <c r="AE226" s="145">
        <v>0</v>
      </c>
      <c r="AF226" s="163">
        <v>1.0529999999999999</v>
      </c>
      <c r="AG226" s="163">
        <v>1.0489999999999999</v>
      </c>
      <c r="AH226" s="163">
        <v>1.0469999999999999</v>
      </c>
      <c r="AI226" s="164">
        <v>0</v>
      </c>
      <c r="AJ226" s="164">
        <f t="shared" si="25"/>
        <v>0</v>
      </c>
      <c r="AK226" s="229">
        <v>0</v>
      </c>
      <c r="AL226" s="229">
        <f ca="1">SUMIF('MS &amp; Vacancies combined'!A:M,D226,'MS &amp; Vacancies combined'!M:M)*105.3/100</f>
        <v>8738.2136232889079</v>
      </c>
      <c r="AM226" s="229">
        <f t="shared" ca="1" si="22"/>
        <v>9166.386090830063</v>
      </c>
      <c r="AN226" s="229">
        <f t="shared" ca="1" si="23"/>
        <v>9597.2062370990752</v>
      </c>
      <c r="AO226" s="166"/>
      <c r="AP226" s="413">
        <f t="shared" ca="1" si="26"/>
        <v>-8738.2136232889079</v>
      </c>
      <c r="AR226" s="231"/>
      <c r="AS226" s="231"/>
      <c r="AU226" s="414">
        <v>0</v>
      </c>
      <c r="AV226" s="415">
        <v>0</v>
      </c>
      <c r="AW226" s="414">
        <f t="shared" si="24"/>
        <v>0</v>
      </c>
    </row>
    <row r="227" spans="1:49" s="172" customFormat="1" x14ac:dyDescent="0.3">
      <c r="A227" s="166" t="s">
        <v>54</v>
      </c>
      <c r="B227" s="167" t="s">
        <v>714</v>
      </c>
      <c r="C227" s="167" t="s">
        <v>379</v>
      </c>
      <c r="D227" s="412" t="s">
        <v>3461</v>
      </c>
      <c r="E227" s="168" t="s">
        <v>666</v>
      </c>
      <c r="F227" s="168" t="s">
        <v>363</v>
      </c>
      <c r="G227" s="168" t="s">
        <v>309</v>
      </c>
      <c r="H227" s="168" t="s">
        <v>373</v>
      </c>
      <c r="I227" s="168" t="s">
        <v>380</v>
      </c>
      <c r="J227" s="168" t="s">
        <v>312</v>
      </c>
      <c r="K227" s="168" t="s">
        <v>1849</v>
      </c>
      <c r="L227" s="167" t="s">
        <v>304</v>
      </c>
      <c r="M227" s="167" t="s">
        <v>305</v>
      </c>
      <c r="N227" s="167">
        <v>11</v>
      </c>
      <c r="O227" s="167" t="s">
        <v>379</v>
      </c>
      <c r="P227" s="167" t="s">
        <v>379</v>
      </c>
      <c r="Q227" s="167" t="s">
        <v>714</v>
      </c>
      <c r="R227" s="166" t="s">
        <v>54</v>
      </c>
      <c r="S227" s="169">
        <v>109167</v>
      </c>
      <c r="T227" s="160">
        <v>5058.8500000000004</v>
      </c>
      <c r="U227" s="160">
        <v>0</v>
      </c>
      <c r="V227" s="160">
        <v>18211.86</v>
      </c>
      <c r="W227" s="160">
        <v>90955.14</v>
      </c>
      <c r="X227" s="161">
        <v>0</v>
      </c>
      <c r="Y227" s="160"/>
      <c r="Z227" s="16">
        <v>16.68</v>
      </c>
      <c r="AA227" s="162">
        <v>18211.86</v>
      </c>
      <c r="AB227" s="162">
        <v>4552.9650000000001</v>
      </c>
      <c r="AC227" s="162">
        <v>54635.58</v>
      </c>
      <c r="AD227" s="160"/>
      <c r="AE227" s="145">
        <v>109167</v>
      </c>
      <c r="AF227" s="163">
        <v>1.0529999999999999</v>
      </c>
      <c r="AG227" s="163">
        <v>1.0489999999999999</v>
      </c>
      <c r="AH227" s="163">
        <v>1.0469999999999999</v>
      </c>
      <c r="AI227" s="164">
        <v>109167</v>
      </c>
      <c r="AJ227" s="164">
        <f t="shared" si="25"/>
        <v>0</v>
      </c>
      <c r="AK227" s="229">
        <v>109167</v>
      </c>
      <c r="AL227" s="229">
        <f ca="1">SUMIF('MS &amp; Vacancies combined'!A:L,D227,'MS &amp; Vacancies combined'!L:L)*105.3/100</f>
        <v>129668.91516531359</v>
      </c>
      <c r="AM227" s="229">
        <f t="shared" ca="1" si="22"/>
        <v>136022.69200841396</v>
      </c>
      <c r="AN227" s="229">
        <f t="shared" ca="1" si="23"/>
        <v>142415.75853280941</v>
      </c>
      <c r="AO227" s="166"/>
      <c r="AP227" s="413">
        <f t="shared" ca="1" si="26"/>
        <v>-20501.915165313592</v>
      </c>
      <c r="AR227" s="231"/>
      <c r="AS227" s="231"/>
      <c r="AU227" s="414">
        <v>109167</v>
      </c>
      <c r="AV227" s="415">
        <v>109167</v>
      </c>
      <c r="AW227" s="414">
        <f t="shared" si="24"/>
        <v>0</v>
      </c>
    </row>
    <row r="228" spans="1:49" s="172" customFormat="1" x14ac:dyDescent="0.3">
      <c r="A228" s="166" t="s">
        <v>56</v>
      </c>
      <c r="B228" s="167" t="s">
        <v>715</v>
      </c>
      <c r="C228" s="167" t="s">
        <v>385</v>
      </c>
      <c r="D228" s="412" t="s">
        <v>3461</v>
      </c>
      <c r="E228" s="168" t="s">
        <v>666</v>
      </c>
      <c r="F228" s="168" t="s">
        <v>363</v>
      </c>
      <c r="G228" s="168" t="s">
        <v>309</v>
      </c>
      <c r="H228" s="168" t="s">
        <v>373</v>
      </c>
      <c r="I228" s="168" t="s">
        <v>386</v>
      </c>
      <c r="J228" s="168" t="s">
        <v>387</v>
      </c>
      <c r="K228" s="168" t="s">
        <v>1849</v>
      </c>
      <c r="L228" s="167" t="s">
        <v>304</v>
      </c>
      <c r="M228" s="167" t="s">
        <v>305</v>
      </c>
      <c r="N228" s="167">
        <v>11</v>
      </c>
      <c r="O228" s="167" t="s">
        <v>385</v>
      </c>
      <c r="P228" s="167" t="s">
        <v>385</v>
      </c>
      <c r="Q228" s="167" t="s">
        <v>715</v>
      </c>
      <c r="R228" s="166" t="s">
        <v>56</v>
      </c>
      <c r="S228" s="169">
        <v>14995</v>
      </c>
      <c r="T228" s="160">
        <v>79401.149999999994</v>
      </c>
      <c r="U228" s="160">
        <v>0</v>
      </c>
      <c r="V228" s="160">
        <v>240854.6</v>
      </c>
      <c r="W228" s="160">
        <v>-225859.6</v>
      </c>
      <c r="X228" s="161">
        <v>0</v>
      </c>
      <c r="Y228" s="160"/>
      <c r="Z228" s="16">
        <v>999.99</v>
      </c>
      <c r="AA228" s="162">
        <v>240854.6</v>
      </c>
      <c r="AB228" s="162">
        <v>60213.65</v>
      </c>
      <c r="AC228" s="162">
        <v>722563.8</v>
      </c>
      <c r="AD228" s="160"/>
      <c r="AE228" s="145">
        <v>14995</v>
      </c>
      <c r="AF228" s="163">
        <v>1.0529999999999999</v>
      </c>
      <c r="AG228" s="163">
        <v>1.0489999999999999</v>
      </c>
      <c r="AH228" s="163">
        <v>1.0469999999999999</v>
      </c>
      <c r="AI228" s="164">
        <v>14995</v>
      </c>
      <c r="AJ228" s="164">
        <f t="shared" si="25"/>
        <v>0</v>
      </c>
      <c r="AK228" s="229">
        <v>14995</v>
      </c>
      <c r="AL228" s="229">
        <f ca="1">SUMIF('MS &amp; Vacancies combined'!A:O,D228,'MS &amp; Vacancies combined'!O:O)*105.3/100</f>
        <v>404322.96982532658</v>
      </c>
      <c r="AM228" s="229">
        <f t="shared" ca="1" si="22"/>
        <v>424134.79534676758</v>
      </c>
      <c r="AN228" s="229">
        <f t="shared" ca="1" si="23"/>
        <v>444069.13072806562</v>
      </c>
      <c r="AO228" s="166"/>
      <c r="AP228" s="413">
        <f t="shared" ca="1" si="26"/>
        <v>-389327.96982532658</v>
      </c>
      <c r="AR228" s="231"/>
      <c r="AS228" s="231"/>
      <c r="AU228" s="414">
        <v>14995</v>
      </c>
      <c r="AV228" s="415">
        <v>14995</v>
      </c>
      <c r="AW228" s="414">
        <f t="shared" si="24"/>
        <v>0</v>
      </c>
    </row>
    <row r="229" spans="1:49" x14ac:dyDescent="0.3">
      <c r="A229" s="16" t="s">
        <v>61</v>
      </c>
      <c r="B229" s="39" t="s">
        <v>716</v>
      </c>
      <c r="C229" s="39" t="s">
        <v>460</v>
      </c>
      <c r="D229" s="340" t="s">
        <v>3461</v>
      </c>
      <c r="E229" s="159" t="s">
        <v>666</v>
      </c>
      <c r="F229" s="159" t="s">
        <v>363</v>
      </c>
      <c r="G229" s="159" t="s">
        <v>309</v>
      </c>
      <c r="H229" s="159" t="s">
        <v>373</v>
      </c>
      <c r="I229" s="159" t="s">
        <v>461</v>
      </c>
      <c r="J229" s="159" t="s">
        <v>312</v>
      </c>
      <c r="K229" s="159" t="s">
        <v>1849</v>
      </c>
      <c r="L229" s="39" t="s">
        <v>304</v>
      </c>
      <c r="M229" s="39" t="s">
        <v>305</v>
      </c>
      <c r="N229" s="39">
        <v>11</v>
      </c>
      <c r="O229" s="39" t="s">
        <v>460</v>
      </c>
      <c r="P229" s="39" t="s">
        <v>460</v>
      </c>
      <c r="Q229" s="39" t="s">
        <v>716</v>
      </c>
      <c r="R229" s="16" t="s">
        <v>61</v>
      </c>
      <c r="S229" s="169">
        <v>0</v>
      </c>
      <c r="T229" s="160">
        <v>4200.6000000000004</v>
      </c>
      <c r="U229" s="160">
        <v>0</v>
      </c>
      <c r="V229" s="160">
        <v>16802.36</v>
      </c>
      <c r="W229" s="160">
        <v>-16802.36</v>
      </c>
      <c r="X229" s="161">
        <v>0</v>
      </c>
      <c r="Y229" s="160"/>
      <c r="Z229" s="16">
        <v>0</v>
      </c>
      <c r="AA229" s="162">
        <v>16802.36</v>
      </c>
      <c r="AB229" s="162">
        <v>4200.59</v>
      </c>
      <c r="AC229" s="162">
        <v>50407.08</v>
      </c>
      <c r="AD229" s="160"/>
      <c r="AE229" s="145">
        <v>0</v>
      </c>
      <c r="AF229" s="163">
        <v>1.0469999999999999</v>
      </c>
      <c r="AG229" s="164">
        <v>1.046</v>
      </c>
      <c r="AH229" s="164">
        <v>1.046</v>
      </c>
      <c r="AI229" s="164">
        <v>0</v>
      </c>
      <c r="AJ229" s="164">
        <f t="shared" si="25"/>
        <v>0</v>
      </c>
      <c r="AK229" s="165">
        <v>0</v>
      </c>
      <c r="AL229" s="165">
        <v>0</v>
      </c>
      <c r="AM229" s="165">
        <f t="shared" si="22"/>
        <v>0</v>
      </c>
      <c r="AN229" s="165">
        <f t="shared" si="23"/>
        <v>0</v>
      </c>
      <c r="AO229" s="16"/>
      <c r="AP229" s="231">
        <f t="shared" si="26"/>
        <v>0</v>
      </c>
      <c r="AR229" s="231"/>
      <c r="AS229" s="231"/>
      <c r="AU229" s="230">
        <v>0</v>
      </c>
      <c r="AV229" s="233">
        <v>0</v>
      </c>
      <c r="AW229" s="230">
        <f t="shared" si="24"/>
        <v>0</v>
      </c>
    </row>
    <row r="230" spans="1:49" s="172" customFormat="1" x14ac:dyDescent="0.3">
      <c r="A230" s="166" t="s">
        <v>62</v>
      </c>
      <c r="B230" s="167" t="s">
        <v>717</v>
      </c>
      <c r="C230" s="167" t="s">
        <v>395</v>
      </c>
      <c r="D230" s="412" t="s">
        <v>3461</v>
      </c>
      <c r="E230" s="168" t="s">
        <v>666</v>
      </c>
      <c r="F230" s="168" t="s">
        <v>363</v>
      </c>
      <c r="G230" s="168" t="s">
        <v>309</v>
      </c>
      <c r="H230" s="168" t="s">
        <v>373</v>
      </c>
      <c r="I230" s="168" t="s">
        <v>396</v>
      </c>
      <c r="J230" s="168" t="s">
        <v>312</v>
      </c>
      <c r="K230" s="168" t="s">
        <v>1849</v>
      </c>
      <c r="L230" s="167" t="s">
        <v>304</v>
      </c>
      <c r="M230" s="167" t="s">
        <v>305</v>
      </c>
      <c r="N230" s="167">
        <v>11</v>
      </c>
      <c r="O230" s="167" t="s">
        <v>395</v>
      </c>
      <c r="P230" s="167" t="s">
        <v>395</v>
      </c>
      <c r="Q230" s="167" t="s">
        <v>717</v>
      </c>
      <c r="R230" s="166" t="s">
        <v>62</v>
      </c>
      <c r="S230" s="169">
        <v>346490</v>
      </c>
      <c r="T230" s="160">
        <v>0</v>
      </c>
      <c r="U230" s="160">
        <v>0</v>
      </c>
      <c r="V230" s="160">
        <v>0</v>
      </c>
      <c r="W230" s="160">
        <v>346490</v>
      </c>
      <c r="X230" s="161">
        <v>0</v>
      </c>
      <c r="Y230" s="160"/>
      <c r="Z230" s="16">
        <v>0</v>
      </c>
      <c r="AA230" s="162">
        <v>0</v>
      </c>
      <c r="AB230" s="162">
        <v>0</v>
      </c>
      <c r="AC230" s="162">
        <v>0</v>
      </c>
      <c r="AD230" s="160"/>
      <c r="AE230" s="145">
        <v>346490</v>
      </c>
      <c r="AF230" s="163">
        <v>1.0529999999999999</v>
      </c>
      <c r="AG230" s="163">
        <v>1.0489999999999999</v>
      </c>
      <c r="AH230" s="163">
        <v>1.0469999999999999</v>
      </c>
      <c r="AI230" s="164">
        <v>346490</v>
      </c>
      <c r="AJ230" s="164">
        <f t="shared" si="25"/>
        <v>0</v>
      </c>
      <c r="AK230" s="229">
        <v>346490</v>
      </c>
      <c r="AL230" s="229">
        <f ca="1">SUMIF('MS &amp; Vacancies combined'!A:K,D230,'MS &amp; Vacancies combined'!K:K)*105.3/100</f>
        <v>438436.95581064658</v>
      </c>
      <c r="AM230" s="229">
        <f t="shared" ca="1" si="22"/>
        <v>459920.36664536822</v>
      </c>
      <c r="AN230" s="229">
        <f t="shared" ca="1" si="23"/>
        <v>481536.62387770048</v>
      </c>
      <c r="AO230" s="166"/>
      <c r="AP230" s="413">
        <f t="shared" ca="1" si="26"/>
        <v>-91946.955810646585</v>
      </c>
      <c r="AR230" s="231"/>
      <c r="AS230" s="231"/>
      <c r="AU230" s="414">
        <v>346490</v>
      </c>
      <c r="AV230" s="415">
        <v>346490</v>
      </c>
      <c r="AW230" s="414">
        <f t="shared" si="24"/>
        <v>0</v>
      </c>
    </row>
    <row r="231" spans="1:49" s="172" customFormat="1" x14ac:dyDescent="0.3">
      <c r="A231" s="166" t="s">
        <v>69</v>
      </c>
      <c r="B231" s="167" t="s">
        <v>718</v>
      </c>
      <c r="C231" s="167" t="s">
        <v>398</v>
      </c>
      <c r="D231" s="412" t="s">
        <v>3461</v>
      </c>
      <c r="E231" s="168" t="s">
        <v>666</v>
      </c>
      <c r="F231" s="168" t="s">
        <v>363</v>
      </c>
      <c r="G231" s="168" t="s">
        <v>309</v>
      </c>
      <c r="H231" s="168" t="s">
        <v>310</v>
      </c>
      <c r="I231" s="168" t="s">
        <v>374</v>
      </c>
      <c r="J231" s="168" t="s">
        <v>312</v>
      </c>
      <c r="K231" s="168" t="s">
        <v>1849</v>
      </c>
      <c r="L231" s="167" t="s">
        <v>304</v>
      </c>
      <c r="M231" s="167" t="s">
        <v>305</v>
      </c>
      <c r="N231" s="167">
        <v>11</v>
      </c>
      <c r="O231" s="167" t="s">
        <v>398</v>
      </c>
      <c r="P231" s="167" t="s">
        <v>398</v>
      </c>
      <c r="Q231" s="167" t="s">
        <v>718</v>
      </c>
      <c r="R231" s="166" t="s">
        <v>69</v>
      </c>
      <c r="S231" s="169">
        <v>1166</v>
      </c>
      <c r="T231" s="160">
        <v>64.8</v>
      </c>
      <c r="U231" s="160">
        <v>0</v>
      </c>
      <c r="V231" s="160">
        <v>237.6</v>
      </c>
      <c r="W231" s="160">
        <v>928.4</v>
      </c>
      <c r="X231" s="161">
        <v>0</v>
      </c>
      <c r="Y231" s="160"/>
      <c r="Z231" s="16">
        <v>20.37</v>
      </c>
      <c r="AA231" s="162">
        <v>237.6</v>
      </c>
      <c r="AB231" s="162">
        <v>59.4</v>
      </c>
      <c r="AC231" s="162">
        <v>712.8</v>
      </c>
      <c r="AD231" s="160"/>
      <c r="AE231" s="145">
        <v>1166</v>
      </c>
      <c r="AF231" s="163">
        <v>1.0529999999999999</v>
      </c>
      <c r="AG231" s="163">
        <v>1.0489999999999999</v>
      </c>
      <c r="AH231" s="163">
        <v>1.0469999999999999</v>
      </c>
      <c r="AI231" s="164">
        <v>1166</v>
      </c>
      <c r="AJ231" s="164">
        <f t="shared" si="25"/>
        <v>0</v>
      </c>
      <c r="AK231" s="229">
        <v>1166</v>
      </c>
      <c r="AL231" s="229">
        <f ca="1">SUMIF('MS &amp; Vacancies combined'!A:N,D231,'MS &amp; Vacancies combined'!N:N)*105.3/100</f>
        <v>1384.1330379289629</v>
      </c>
      <c r="AM231" s="229">
        <f t="shared" ca="1" si="22"/>
        <v>1451.955556787482</v>
      </c>
      <c r="AN231" s="229">
        <f t="shared" ca="1" si="23"/>
        <v>1520.1974679564935</v>
      </c>
      <c r="AO231" s="166"/>
      <c r="AP231" s="413">
        <f t="shared" ca="1" si="26"/>
        <v>-218.13303792896295</v>
      </c>
      <c r="AR231" s="231"/>
      <c r="AS231" s="231"/>
      <c r="AU231" s="414">
        <v>1166</v>
      </c>
      <c r="AV231" s="415">
        <v>1166</v>
      </c>
      <c r="AW231" s="414">
        <f t="shared" si="24"/>
        <v>0</v>
      </c>
    </row>
    <row r="232" spans="1:49" s="172" customFormat="1" x14ac:dyDescent="0.3">
      <c r="A232" s="166" t="s">
        <v>70</v>
      </c>
      <c r="B232" s="167" t="s">
        <v>719</v>
      </c>
      <c r="C232" s="167" t="s">
        <v>400</v>
      </c>
      <c r="D232" s="412" t="s">
        <v>3461</v>
      </c>
      <c r="E232" s="168" t="s">
        <v>666</v>
      </c>
      <c r="F232" s="168" t="s">
        <v>363</v>
      </c>
      <c r="G232" s="168" t="s">
        <v>309</v>
      </c>
      <c r="H232" s="168" t="s">
        <v>310</v>
      </c>
      <c r="I232" s="168" t="s">
        <v>401</v>
      </c>
      <c r="J232" s="168" t="s">
        <v>312</v>
      </c>
      <c r="K232" s="168" t="s">
        <v>1849</v>
      </c>
      <c r="L232" s="167" t="s">
        <v>304</v>
      </c>
      <c r="M232" s="167" t="s">
        <v>305</v>
      </c>
      <c r="N232" s="167">
        <v>11</v>
      </c>
      <c r="O232" s="167" t="s">
        <v>400</v>
      </c>
      <c r="P232" s="167" t="s">
        <v>400</v>
      </c>
      <c r="Q232" s="167" t="s">
        <v>719</v>
      </c>
      <c r="R232" s="166" t="s">
        <v>70</v>
      </c>
      <c r="S232" s="169">
        <v>70684</v>
      </c>
      <c r="T232" s="160">
        <v>1266.06</v>
      </c>
      <c r="U232" s="160">
        <v>0</v>
      </c>
      <c r="V232" s="160">
        <v>5064.24</v>
      </c>
      <c r="W232" s="160">
        <v>65619.759999999995</v>
      </c>
      <c r="X232" s="161">
        <v>0</v>
      </c>
      <c r="Y232" s="160"/>
      <c r="Z232" s="16">
        <v>7.16</v>
      </c>
      <c r="AA232" s="162">
        <v>5064.24</v>
      </c>
      <c r="AB232" s="162">
        <v>1266.06</v>
      </c>
      <c r="AC232" s="162">
        <v>15192.72</v>
      </c>
      <c r="AD232" s="160"/>
      <c r="AE232" s="145">
        <v>70684</v>
      </c>
      <c r="AF232" s="163">
        <v>1.0529999999999999</v>
      </c>
      <c r="AG232" s="163">
        <v>1.0489999999999999</v>
      </c>
      <c r="AH232" s="163">
        <v>1.0469999999999999</v>
      </c>
      <c r="AI232" s="164">
        <v>70684</v>
      </c>
      <c r="AJ232" s="164">
        <f t="shared" si="25"/>
        <v>0</v>
      </c>
      <c r="AK232" s="229">
        <v>70684</v>
      </c>
      <c r="AL232" s="229">
        <f ca="1">SUMIF('MS &amp; Vacancies combined'!A:P,D232,'MS &amp; Vacancies combined'!P:P)*105.3/100</f>
        <v>92071.760720235761</v>
      </c>
      <c r="AM232" s="229">
        <f t="shared" ca="1" si="22"/>
        <v>96583.276995527311</v>
      </c>
      <c r="AN232" s="229">
        <f t="shared" ca="1" si="23"/>
        <v>101122.69101431708</v>
      </c>
      <c r="AO232" s="166"/>
      <c r="AP232" s="413">
        <f t="shared" ca="1" si="26"/>
        <v>-21387.760720235761</v>
      </c>
      <c r="AR232" s="231"/>
      <c r="AS232" s="231"/>
      <c r="AU232" s="414">
        <v>70684</v>
      </c>
      <c r="AV232" s="415">
        <v>70684</v>
      </c>
      <c r="AW232" s="414">
        <f t="shared" si="24"/>
        <v>0</v>
      </c>
    </row>
    <row r="233" spans="1:49" s="172" customFormat="1" x14ac:dyDescent="0.3">
      <c r="A233" s="166" t="s">
        <v>71</v>
      </c>
      <c r="B233" s="167" t="s">
        <v>720</v>
      </c>
      <c r="C233" s="167" t="s">
        <v>403</v>
      </c>
      <c r="D233" s="412" t="s">
        <v>3461</v>
      </c>
      <c r="E233" s="168" t="s">
        <v>666</v>
      </c>
      <c r="F233" s="168" t="s">
        <v>363</v>
      </c>
      <c r="G233" s="168" t="s">
        <v>309</v>
      </c>
      <c r="H233" s="168" t="s">
        <v>310</v>
      </c>
      <c r="I233" s="168" t="s">
        <v>404</v>
      </c>
      <c r="J233" s="168" t="s">
        <v>312</v>
      </c>
      <c r="K233" s="168" t="s">
        <v>1849</v>
      </c>
      <c r="L233" s="167" t="s">
        <v>304</v>
      </c>
      <c r="M233" s="167" t="s">
        <v>305</v>
      </c>
      <c r="N233" s="167">
        <v>11</v>
      </c>
      <c r="O233" s="167" t="s">
        <v>403</v>
      </c>
      <c r="P233" s="167" t="s">
        <v>403</v>
      </c>
      <c r="Q233" s="167" t="s">
        <v>720</v>
      </c>
      <c r="R233" s="166" t="s">
        <v>71</v>
      </c>
      <c r="S233" s="169">
        <v>540241</v>
      </c>
      <c r="T233" s="160">
        <v>18651</v>
      </c>
      <c r="U233" s="160">
        <v>0</v>
      </c>
      <c r="V233" s="160">
        <v>74604</v>
      </c>
      <c r="W233" s="160">
        <v>465637</v>
      </c>
      <c r="X233" s="161">
        <v>0</v>
      </c>
      <c r="Y233" s="160"/>
      <c r="Z233" s="16">
        <v>13.8</v>
      </c>
      <c r="AA233" s="162">
        <v>74604</v>
      </c>
      <c r="AB233" s="162">
        <v>18651</v>
      </c>
      <c r="AC233" s="162">
        <v>223812</v>
      </c>
      <c r="AD233" s="160"/>
      <c r="AE233" s="145">
        <v>540241</v>
      </c>
      <c r="AF233" s="163">
        <v>1.0529999999999999</v>
      </c>
      <c r="AG233" s="163">
        <v>1.0489999999999999</v>
      </c>
      <c r="AH233" s="163">
        <v>1.0469999999999999</v>
      </c>
      <c r="AI233" s="164">
        <v>540241</v>
      </c>
      <c r="AJ233" s="164">
        <f t="shared" si="25"/>
        <v>0</v>
      </c>
      <c r="AK233" s="229">
        <v>540241</v>
      </c>
      <c r="AL233" s="229">
        <f ca="1">SUMIF('MS &amp; Vacancies combined'!A:Q,D233,'MS &amp; Vacancies combined'!Q:Q)*105.3/100</f>
        <v>641699.45563984418</v>
      </c>
      <c r="AM233" s="229">
        <f t="shared" ca="1" si="22"/>
        <v>673142.72896619653</v>
      </c>
      <c r="AN233" s="229">
        <f t="shared" ca="1" si="23"/>
        <v>704780.4372276077</v>
      </c>
      <c r="AO233" s="166"/>
      <c r="AP233" s="413">
        <f t="shared" ca="1" si="26"/>
        <v>-101458.45563984418</v>
      </c>
      <c r="AR233" s="231"/>
      <c r="AS233" s="231"/>
      <c r="AU233" s="414">
        <v>540241</v>
      </c>
      <c r="AV233" s="415">
        <v>540241</v>
      </c>
      <c r="AW233" s="414">
        <f t="shared" si="24"/>
        <v>0</v>
      </c>
    </row>
    <row r="234" spans="1:49" s="172" customFormat="1" x14ac:dyDescent="0.3">
      <c r="A234" s="166" t="s">
        <v>72</v>
      </c>
      <c r="B234" s="167" t="s">
        <v>721</v>
      </c>
      <c r="C234" s="167" t="s">
        <v>406</v>
      </c>
      <c r="D234" s="412" t="s">
        <v>3461</v>
      </c>
      <c r="E234" s="168" t="s">
        <v>666</v>
      </c>
      <c r="F234" s="168" t="s">
        <v>363</v>
      </c>
      <c r="G234" s="168" t="s">
        <v>309</v>
      </c>
      <c r="H234" s="168" t="s">
        <v>310</v>
      </c>
      <c r="I234" s="168" t="s">
        <v>407</v>
      </c>
      <c r="J234" s="168" t="s">
        <v>312</v>
      </c>
      <c r="K234" s="168" t="s">
        <v>1849</v>
      </c>
      <c r="L234" s="167" t="s">
        <v>304</v>
      </c>
      <c r="M234" s="167" t="s">
        <v>305</v>
      </c>
      <c r="N234" s="167">
        <v>11</v>
      </c>
      <c r="O234" s="167" t="s">
        <v>406</v>
      </c>
      <c r="P234" s="167" t="s">
        <v>406</v>
      </c>
      <c r="Q234" s="167" t="s">
        <v>721</v>
      </c>
      <c r="R234" s="166" t="s">
        <v>72</v>
      </c>
      <c r="S234" s="169">
        <v>751328</v>
      </c>
      <c r="T234" s="160">
        <v>56169.98</v>
      </c>
      <c r="U234" s="160">
        <v>0</v>
      </c>
      <c r="V234" s="160">
        <v>200012.72</v>
      </c>
      <c r="W234" s="160">
        <v>551315.28</v>
      </c>
      <c r="X234" s="161">
        <v>0</v>
      </c>
      <c r="Y234" s="160"/>
      <c r="Z234" s="16">
        <v>26.62</v>
      </c>
      <c r="AA234" s="162">
        <v>200012.72</v>
      </c>
      <c r="AB234" s="162">
        <v>50003.18</v>
      </c>
      <c r="AC234" s="162">
        <v>600038.16</v>
      </c>
      <c r="AD234" s="160"/>
      <c r="AE234" s="145">
        <v>751328</v>
      </c>
      <c r="AF234" s="163">
        <v>1.0529999999999999</v>
      </c>
      <c r="AG234" s="163">
        <v>1.0489999999999999</v>
      </c>
      <c r="AH234" s="163">
        <v>1.0469999999999999</v>
      </c>
      <c r="AI234" s="164">
        <v>751328</v>
      </c>
      <c r="AJ234" s="164">
        <f t="shared" si="25"/>
        <v>0</v>
      </c>
      <c r="AK234" s="229">
        <v>751328</v>
      </c>
      <c r="AL234" s="229">
        <f ca="1">SUMIF('MS &amp; Vacancies combined'!A:R,D234,'MS &amp; Vacancies combined'!R:R)*105.3/100</f>
        <v>950147.86874216935</v>
      </c>
      <c r="AM234" s="229">
        <f t="shared" ca="1" si="22"/>
        <v>996705.1143105356</v>
      </c>
      <c r="AN234" s="229">
        <f t="shared" ca="1" si="23"/>
        <v>1043550.2546831307</v>
      </c>
      <c r="AO234" s="166"/>
      <c r="AP234" s="413">
        <f t="shared" ca="1" si="26"/>
        <v>-198819.86874216935</v>
      </c>
      <c r="AR234" s="231"/>
      <c r="AS234" s="231"/>
      <c r="AU234" s="414">
        <v>751328</v>
      </c>
      <c r="AV234" s="415">
        <v>751328</v>
      </c>
      <c r="AW234" s="414">
        <f t="shared" si="24"/>
        <v>0</v>
      </c>
    </row>
    <row r="235" spans="1:49" s="172" customFormat="1" x14ac:dyDescent="0.3">
      <c r="A235" s="166" t="s">
        <v>73</v>
      </c>
      <c r="B235" s="167" t="s">
        <v>722</v>
      </c>
      <c r="C235" s="167" t="s">
        <v>307</v>
      </c>
      <c r="D235" s="412" t="s">
        <v>3461</v>
      </c>
      <c r="E235" s="168" t="s">
        <v>666</v>
      </c>
      <c r="F235" s="168" t="s">
        <v>363</v>
      </c>
      <c r="G235" s="168" t="s">
        <v>309</v>
      </c>
      <c r="H235" s="168" t="s">
        <v>310</v>
      </c>
      <c r="I235" s="168" t="s">
        <v>311</v>
      </c>
      <c r="J235" s="168" t="s">
        <v>312</v>
      </c>
      <c r="K235" s="168" t="s">
        <v>1849</v>
      </c>
      <c r="L235" s="167" t="s">
        <v>304</v>
      </c>
      <c r="M235" s="167" t="s">
        <v>305</v>
      </c>
      <c r="N235" s="167">
        <v>11</v>
      </c>
      <c r="O235" s="167" t="s">
        <v>307</v>
      </c>
      <c r="P235" s="167" t="s">
        <v>307</v>
      </c>
      <c r="Q235" s="167" t="s">
        <v>722</v>
      </c>
      <c r="R235" s="166" t="s">
        <v>73</v>
      </c>
      <c r="S235" s="169">
        <v>20047</v>
      </c>
      <c r="T235" s="160">
        <v>1062.72</v>
      </c>
      <c r="U235" s="160">
        <v>0</v>
      </c>
      <c r="V235" s="160">
        <v>3896.64</v>
      </c>
      <c r="W235" s="160">
        <v>16150.36</v>
      </c>
      <c r="X235" s="161">
        <v>0</v>
      </c>
      <c r="Y235" s="160"/>
      <c r="Z235" s="16">
        <v>19.43</v>
      </c>
      <c r="AA235" s="162">
        <v>3896.64</v>
      </c>
      <c r="AB235" s="162">
        <v>974.16</v>
      </c>
      <c r="AC235" s="162">
        <v>11689.92</v>
      </c>
      <c r="AD235" s="160"/>
      <c r="AE235" s="145">
        <v>20047</v>
      </c>
      <c r="AF235" s="163">
        <v>1.0529999999999999</v>
      </c>
      <c r="AG235" s="163">
        <v>1.0489999999999999</v>
      </c>
      <c r="AH235" s="163">
        <v>1.0469999999999999</v>
      </c>
      <c r="AI235" s="164">
        <v>20047</v>
      </c>
      <c r="AJ235" s="164">
        <f t="shared" si="25"/>
        <v>0</v>
      </c>
      <c r="AK235" s="229">
        <v>20047</v>
      </c>
      <c r="AL235" s="229">
        <f ca="1">SUMIF('MS &amp; Vacancies combined'!A:S,D235,'MS &amp; Vacancies combined'!S:S)*105.3/100</f>
        <v>22699.781822034995</v>
      </c>
      <c r="AM235" s="229">
        <f t="shared" ca="1" si="22"/>
        <v>23812.071131314708</v>
      </c>
      <c r="AN235" s="229">
        <f t="shared" ca="1" si="23"/>
        <v>24931.238474486498</v>
      </c>
      <c r="AO235" s="166"/>
      <c r="AP235" s="413">
        <f t="shared" ca="1" si="26"/>
        <v>-2652.7818220349945</v>
      </c>
      <c r="AR235" s="231"/>
      <c r="AS235" s="231"/>
      <c r="AU235" s="414">
        <v>20047</v>
      </c>
      <c r="AV235" s="415">
        <v>20047</v>
      </c>
      <c r="AW235" s="414">
        <f t="shared" si="24"/>
        <v>0</v>
      </c>
    </row>
    <row r="236" spans="1:49" hidden="1" x14ac:dyDescent="0.3">
      <c r="A236" s="16" t="s">
        <v>324</v>
      </c>
      <c r="B236" s="39" t="s">
        <v>723</v>
      </c>
      <c r="C236" s="39" t="s">
        <v>76</v>
      </c>
      <c r="D236" s="340" t="s">
        <v>3461</v>
      </c>
      <c r="E236" s="159" t="s">
        <v>666</v>
      </c>
      <c r="F236" s="159" t="s">
        <v>363</v>
      </c>
      <c r="G236" s="159" t="s">
        <v>309</v>
      </c>
      <c r="H236" s="159" t="s">
        <v>325</v>
      </c>
      <c r="I236" s="159" t="s">
        <v>326</v>
      </c>
      <c r="J236" s="159" t="s">
        <v>327</v>
      </c>
      <c r="K236" s="159" t="s">
        <v>1849</v>
      </c>
      <c r="L236" s="39" t="s">
        <v>304</v>
      </c>
      <c r="M236" s="39" t="s">
        <v>305</v>
      </c>
      <c r="N236" s="39">
        <v>11</v>
      </c>
      <c r="O236" s="39" t="s">
        <v>76</v>
      </c>
      <c r="P236" s="39" t="s">
        <v>76</v>
      </c>
      <c r="Q236" s="39" t="s">
        <v>723</v>
      </c>
      <c r="R236" s="16" t="s">
        <v>324</v>
      </c>
      <c r="S236" s="160">
        <v>0</v>
      </c>
      <c r="T236" s="160">
        <v>0</v>
      </c>
      <c r="U236" s="160">
        <v>0</v>
      </c>
      <c r="V236" s="160">
        <v>0</v>
      </c>
      <c r="W236" s="160">
        <v>0</v>
      </c>
      <c r="X236" s="161">
        <v>0</v>
      </c>
      <c r="Y236" s="160"/>
      <c r="Z236" s="16">
        <v>0</v>
      </c>
      <c r="AA236" s="162">
        <v>0</v>
      </c>
      <c r="AB236" s="162">
        <v>0</v>
      </c>
      <c r="AC236" s="162">
        <v>0</v>
      </c>
      <c r="AD236" s="160"/>
      <c r="AE236" s="145">
        <v>0</v>
      </c>
      <c r="AF236" s="163">
        <v>1.0469999999999999</v>
      </c>
      <c r="AG236" s="164">
        <v>1.046</v>
      </c>
      <c r="AH236" s="164">
        <v>1.046</v>
      </c>
      <c r="AI236" s="164">
        <v>0</v>
      </c>
      <c r="AJ236" s="164">
        <f t="shared" si="25"/>
        <v>0</v>
      </c>
      <c r="AK236" s="165">
        <v>15000</v>
      </c>
      <c r="AL236" s="165">
        <f>AK236</f>
        <v>15000</v>
      </c>
      <c r="AM236" s="165">
        <f t="shared" si="22"/>
        <v>15690</v>
      </c>
      <c r="AN236" s="165">
        <f t="shared" si="23"/>
        <v>16411.740000000002</v>
      </c>
      <c r="AO236" s="16"/>
      <c r="AP236" s="231">
        <f t="shared" si="26"/>
        <v>0</v>
      </c>
      <c r="AR236" s="231"/>
      <c r="AS236" s="231"/>
      <c r="AU236" s="230">
        <v>0</v>
      </c>
      <c r="AV236" s="233">
        <v>0</v>
      </c>
      <c r="AW236" s="230">
        <f t="shared" si="24"/>
        <v>0</v>
      </c>
    </row>
    <row r="237" spans="1:49" hidden="1" x14ac:dyDescent="0.3">
      <c r="A237" s="16" t="s">
        <v>725</v>
      </c>
      <c r="B237" s="39" t="s">
        <v>724</v>
      </c>
      <c r="C237" s="39" t="s">
        <v>82</v>
      </c>
      <c r="D237" s="340" t="s">
        <v>3461</v>
      </c>
      <c r="E237" s="159" t="s">
        <v>666</v>
      </c>
      <c r="F237" s="159" t="s">
        <v>363</v>
      </c>
      <c r="G237" s="159" t="s">
        <v>309</v>
      </c>
      <c r="H237" s="159" t="s">
        <v>334</v>
      </c>
      <c r="I237" s="159" t="s">
        <v>311</v>
      </c>
      <c r="J237" s="159" t="s">
        <v>312</v>
      </c>
      <c r="K237" s="159" t="s">
        <v>1849</v>
      </c>
      <c r="L237" s="39" t="s">
        <v>304</v>
      </c>
      <c r="M237" s="39" t="s">
        <v>305</v>
      </c>
      <c r="N237" s="39">
        <v>11</v>
      </c>
      <c r="O237" s="39" t="s">
        <v>82</v>
      </c>
      <c r="P237" s="39" t="s">
        <v>726</v>
      </c>
      <c r="Q237" s="39" t="s">
        <v>724</v>
      </c>
      <c r="R237" s="16" t="s">
        <v>725</v>
      </c>
      <c r="S237" s="160">
        <v>733600</v>
      </c>
      <c r="T237" s="160">
        <v>174711.73</v>
      </c>
      <c r="U237" s="160">
        <v>0</v>
      </c>
      <c r="V237" s="160">
        <v>682420.11</v>
      </c>
      <c r="W237" s="160">
        <v>51179.89</v>
      </c>
      <c r="X237" s="161">
        <v>0</v>
      </c>
      <c r="Y237" s="160"/>
      <c r="Z237" s="16">
        <v>93.02</v>
      </c>
      <c r="AA237" s="162">
        <v>682420.11</v>
      </c>
      <c r="AB237" s="162">
        <v>170605.0275</v>
      </c>
      <c r="AC237" s="162">
        <v>2047260.33</v>
      </c>
      <c r="AD237" s="160"/>
      <c r="AE237" s="145">
        <v>733600</v>
      </c>
      <c r="AF237" s="163">
        <v>1.0469999999999999</v>
      </c>
      <c r="AG237" s="164">
        <v>1.046</v>
      </c>
      <c r="AH237" s="164">
        <v>1.046</v>
      </c>
      <c r="AI237" s="164">
        <v>733600</v>
      </c>
      <c r="AJ237" s="164">
        <f t="shared" si="25"/>
        <v>0</v>
      </c>
      <c r="AK237" s="165">
        <v>733600</v>
      </c>
      <c r="AL237" s="165">
        <f>AK237</f>
        <v>733600</v>
      </c>
      <c r="AM237" s="165">
        <f t="shared" si="22"/>
        <v>767345.6</v>
      </c>
      <c r="AN237" s="165">
        <f t="shared" si="23"/>
        <v>802643.4976</v>
      </c>
      <c r="AO237" s="16"/>
      <c r="AP237" s="231">
        <f t="shared" si="26"/>
        <v>0</v>
      </c>
      <c r="AR237" s="231"/>
      <c r="AS237" s="231"/>
      <c r="AU237" s="230">
        <v>733600</v>
      </c>
      <c r="AV237" s="233">
        <v>733600</v>
      </c>
      <c r="AW237" s="230">
        <f t="shared" si="24"/>
        <v>0</v>
      </c>
    </row>
    <row r="238" spans="1:49" hidden="1" x14ac:dyDescent="0.3">
      <c r="A238" s="16" t="s">
        <v>341</v>
      </c>
      <c r="B238" s="39" t="s">
        <v>727</v>
      </c>
      <c r="C238" s="39" t="s">
        <v>82</v>
      </c>
      <c r="D238" s="340" t="s">
        <v>3461</v>
      </c>
      <c r="E238" s="159" t="s">
        <v>666</v>
      </c>
      <c r="F238" s="159" t="s">
        <v>363</v>
      </c>
      <c r="G238" s="159" t="s">
        <v>309</v>
      </c>
      <c r="H238" s="159" t="s">
        <v>334</v>
      </c>
      <c r="I238" s="159" t="s">
        <v>343</v>
      </c>
      <c r="J238" s="159" t="s">
        <v>312</v>
      </c>
      <c r="K238" s="159" t="s">
        <v>1849</v>
      </c>
      <c r="L238" s="39" t="s">
        <v>304</v>
      </c>
      <c r="M238" s="39" t="s">
        <v>305</v>
      </c>
      <c r="N238" s="39">
        <v>11</v>
      </c>
      <c r="O238" s="39" t="s">
        <v>82</v>
      </c>
      <c r="P238" s="39" t="s">
        <v>342</v>
      </c>
      <c r="Q238" s="39" t="s">
        <v>727</v>
      </c>
      <c r="R238" s="16" t="s">
        <v>341</v>
      </c>
      <c r="S238" s="160">
        <v>1087024</v>
      </c>
      <c r="T238" s="160">
        <v>0</v>
      </c>
      <c r="U238" s="160">
        <v>0</v>
      </c>
      <c r="V238" s="160">
        <v>0</v>
      </c>
      <c r="W238" s="160">
        <v>1087024</v>
      </c>
      <c r="X238" s="161">
        <v>0</v>
      </c>
      <c r="Y238" s="160"/>
      <c r="Z238" s="16">
        <v>0</v>
      </c>
      <c r="AA238" s="162">
        <v>0</v>
      </c>
      <c r="AB238" s="162">
        <v>0</v>
      </c>
      <c r="AC238" s="162">
        <v>0</v>
      </c>
      <c r="AD238" s="160"/>
      <c r="AE238" s="145">
        <v>1087024</v>
      </c>
      <c r="AF238" s="163">
        <v>1.0469999999999999</v>
      </c>
      <c r="AG238" s="164">
        <v>1.046</v>
      </c>
      <c r="AH238" s="164">
        <v>1.046</v>
      </c>
      <c r="AI238" s="164">
        <v>1087024</v>
      </c>
      <c r="AJ238" s="164">
        <f t="shared" si="25"/>
        <v>0</v>
      </c>
      <c r="AK238" s="165">
        <v>1087024</v>
      </c>
      <c r="AL238" s="165">
        <f>AK238</f>
        <v>1087024</v>
      </c>
      <c r="AM238" s="165">
        <f t="shared" si="22"/>
        <v>1137027.1040000001</v>
      </c>
      <c r="AN238" s="165">
        <f t="shared" si="23"/>
        <v>1189330.350784</v>
      </c>
      <c r="AO238" s="16"/>
      <c r="AP238" s="231">
        <f t="shared" si="26"/>
        <v>0</v>
      </c>
      <c r="AR238" s="231"/>
      <c r="AS238" s="231"/>
      <c r="AU238" s="230">
        <v>1087024</v>
      </c>
      <c r="AV238" s="233">
        <v>1087024</v>
      </c>
      <c r="AW238" s="230">
        <f t="shared" si="24"/>
        <v>0</v>
      </c>
    </row>
    <row r="239" spans="1:49" hidden="1" x14ac:dyDescent="0.3">
      <c r="A239" s="16" t="s">
        <v>83</v>
      </c>
      <c r="B239" s="39" t="s">
        <v>728</v>
      </c>
      <c r="C239" s="39" t="s">
        <v>423</v>
      </c>
      <c r="D239" s="340" t="s">
        <v>3461</v>
      </c>
      <c r="E239" s="159" t="s">
        <v>666</v>
      </c>
      <c r="F239" s="159" t="s">
        <v>363</v>
      </c>
      <c r="G239" s="159" t="s">
        <v>309</v>
      </c>
      <c r="H239" s="159" t="s">
        <v>424</v>
      </c>
      <c r="I239" s="159" t="s">
        <v>425</v>
      </c>
      <c r="J239" s="159" t="s">
        <v>426</v>
      </c>
      <c r="K239" s="159" t="s">
        <v>1849</v>
      </c>
      <c r="L239" s="39" t="s">
        <v>304</v>
      </c>
      <c r="M239" s="39" t="s">
        <v>305</v>
      </c>
      <c r="N239" s="39">
        <v>11</v>
      </c>
      <c r="O239" s="39" t="s">
        <v>423</v>
      </c>
      <c r="P239" s="39" t="s">
        <v>423</v>
      </c>
      <c r="Q239" s="39" t="s">
        <v>728</v>
      </c>
      <c r="R239" s="16" t="s">
        <v>83</v>
      </c>
      <c r="S239" s="160">
        <v>20000</v>
      </c>
      <c r="T239" s="160">
        <v>0</v>
      </c>
      <c r="U239" s="160">
        <v>0</v>
      </c>
      <c r="V239" s="160">
        <v>0</v>
      </c>
      <c r="W239" s="160">
        <v>20000</v>
      </c>
      <c r="X239" s="161">
        <v>0</v>
      </c>
      <c r="Y239" s="160"/>
      <c r="Z239" s="16">
        <v>0</v>
      </c>
      <c r="AA239" s="162">
        <v>0</v>
      </c>
      <c r="AB239" s="162">
        <v>0</v>
      </c>
      <c r="AC239" s="162">
        <v>0</v>
      </c>
      <c r="AD239" s="160"/>
      <c r="AE239" s="145">
        <v>20000</v>
      </c>
      <c r="AF239" s="163">
        <v>1.0469999999999999</v>
      </c>
      <c r="AG239" s="164">
        <v>1.046</v>
      </c>
      <c r="AH239" s="164">
        <v>1.046</v>
      </c>
      <c r="AI239" s="164">
        <v>20000</v>
      </c>
      <c r="AJ239" s="164">
        <f t="shared" si="25"/>
        <v>0</v>
      </c>
      <c r="AK239" s="165">
        <v>20000</v>
      </c>
      <c r="AL239" s="165">
        <f>AK239</f>
        <v>20000</v>
      </c>
      <c r="AM239" s="165">
        <f t="shared" si="22"/>
        <v>20920</v>
      </c>
      <c r="AN239" s="165">
        <f t="shared" si="23"/>
        <v>21882.32</v>
      </c>
      <c r="AO239" s="16"/>
      <c r="AP239" s="231">
        <f t="shared" si="26"/>
        <v>0</v>
      </c>
      <c r="AR239" s="231"/>
      <c r="AS239" s="231"/>
      <c r="AU239" s="230">
        <v>20000</v>
      </c>
      <c r="AV239" s="233">
        <v>20000</v>
      </c>
      <c r="AW239" s="230">
        <f t="shared" si="24"/>
        <v>0</v>
      </c>
    </row>
    <row r="240" spans="1:49" hidden="1" x14ac:dyDescent="0.3">
      <c r="A240" s="16" t="s">
        <v>730</v>
      </c>
      <c r="B240" s="39" t="s">
        <v>729</v>
      </c>
      <c r="C240" s="39" t="s">
        <v>423</v>
      </c>
      <c r="D240" s="340" t="s">
        <v>3461</v>
      </c>
      <c r="E240" s="159" t="s">
        <v>666</v>
      </c>
      <c r="F240" s="159" t="s">
        <v>363</v>
      </c>
      <c r="G240" s="159" t="s">
        <v>309</v>
      </c>
      <c r="H240" s="159" t="s">
        <v>424</v>
      </c>
      <c r="I240" s="159" t="s">
        <v>425</v>
      </c>
      <c r="J240" s="159" t="s">
        <v>731</v>
      </c>
      <c r="K240" s="159" t="s">
        <v>1849</v>
      </c>
      <c r="L240" s="39" t="s">
        <v>304</v>
      </c>
      <c r="M240" s="39" t="s">
        <v>305</v>
      </c>
      <c r="N240" s="39">
        <v>11</v>
      </c>
      <c r="O240" s="39" t="s">
        <v>423</v>
      </c>
      <c r="P240" s="39" t="s">
        <v>423</v>
      </c>
      <c r="Q240" s="39" t="s">
        <v>729</v>
      </c>
      <c r="R240" s="16" t="s">
        <v>730</v>
      </c>
      <c r="S240" s="160">
        <v>0</v>
      </c>
      <c r="T240" s="160">
        <v>0</v>
      </c>
      <c r="U240" s="160">
        <v>0</v>
      </c>
      <c r="V240" s="160">
        <v>0</v>
      </c>
      <c r="W240" s="160">
        <v>0</v>
      </c>
      <c r="X240" s="161">
        <v>0</v>
      </c>
      <c r="Y240" s="160"/>
      <c r="Z240" s="16">
        <v>0</v>
      </c>
      <c r="AA240" s="162">
        <v>0</v>
      </c>
      <c r="AB240" s="162">
        <v>0</v>
      </c>
      <c r="AC240" s="162">
        <v>0</v>
      </c>
      <c r="AD240" s="160"/>
      <c r="AE240" s="145">
        <v>0</v>
      </c>
      <c r="AF240" s="163">
        <v>1.0469999999999999</v>
      </c>
      <c r="AG240" s="164">
        <v>1.046</v>
      </c>
      <c r="AH240" s="164">
        <v>1.046</v>
      </c>
      <c r="AI240" s="164">
        <v>0</v>
      </c>
      <c r="AJ240" s="164">
        <f t="shared" si="25"/>
        <v>0</v>
      </c>
      <c r="AK240" s="165">
        <v>0</v>
      </c>
      <c r="AL240" s="165">
        <v>0</v>
      </c>
      <c r="AM240" s="165">
        <f t="shared" si="22"/>
        <v>0</v>
      </c>
      <c r="AN240" s="165">
        <f t="shared" si="23"/>
        <v>0</v>
      </c>
      <c r="AO240" s="16"/>
      <c r="AP240" s="231">
        <f t="shared" si="26"/>
        <v>0</v>
      </c>
      <c r="AR240" s="231"/>
      <c r="AS240" s="231"/>
      <c r="AU240" s="230">
        <v>0</v>
      </c>
      <c r="AV240" s="233">
        <v>0</v>
      </c>
      <c r="AW240" s="230">
        <f t="shared" si="24"/>
        <v>0</v>
      </c>
    </row>
    <row r="241" spans="1:49" hidden="1" x14ac:dyDescent="0.3">
      <c r="A241" s="16" t="s">
        <v>537</v>
      </c>
      <c r="B241" s="39" t="s">
        <v>732</v>
      </c>
      <c r="C241" s="39" t="s">
        <v>423</v>
      </c>
      <c r="D241" s="340" t="s">
        <v>3461</v>
      </c>
      <c r="E241" s="159" t="s">
        <v>666</v>
      </c>
      <c r="F241" s="159" t="s">
        <v>363</v>
      </c>
      <c r="G241" s="159" t="s">
        <v>309</v>
      </c>
      <c r="H241" s="159" t="s">
        <v>424</v>
      </c>
      <c r="I241" s="159" t="s">
        <v>425</v>
      </c>
      <c r="J241" s="159" t="s">
        <v>538</v>
      </c>
      <c r="K241" s="159" t="s">
        <v>1849</v>
      </c>
      <c r="L241" s="39" t="s">
        <v>304</v>
      </c>
      <c r="M241" s="39" t="s">
        <v>305</v>
      </c>
      <c r="N241" s="39">
        <v>11</v>
      </c>
      <c r="O241" s="39" t="s">
        <v>423</v>
      </c>
      <c r="P241" s="39" t="s">
        <v>423</v>
      </c>
      <c r="Q241" s="39" t="s">
        <v>732</v>
      </c>
      <c r="R241" s="16" t="s">
        <v>537</v>
      </c>
      <c r="S241" s="160">
        <v>0</v>
      </c>
      <c r="T241" s="160">
        <v>0</v>
      </c>
      <c r="U241" s="160">
        <v>0</v>
      </c>
      <c r="V241" s="160">
        <v>0</v>
      </c>
      <c r="W241" s="160">
        <v>0</v>
      </c>
      <c r="X241" s="161">
        <v>0</v>
      </c>
      <c r="Y241" s="160"/>
      <c r="Z241" s="16">
        <v>0</v>
      </c>
      <c r="AA241" s="162">
        <v>0</v>
      </c>
      <c r="AB241" s="162">
        <v>0</v>
      </c>
      <c r="AC241" s="162">
        <v>0</v>
      </c>
      <c r="AD241" s="160"/>
      <c r="AE241" s="145">
        <v>0</v>
      </c>
      <c r="AF241" s="163">
        <v>1.0469999999999999</v>
      </c>
      <c r="AG241" s="164">
        <v>1.046</v>
      </c>
      <c r="AH241" s="164">
        <v>1.046</v>
      </c>
      <c r="AI241" s="164">
        <v>0</v>
      </c>
      <c r="AJ241" s="164">
        <f t="shared" si="25"/>
        <v>0</v>
      </c>
      <c r="AK241" s="165">
        <v>10000</v>
      </c>
      <c r="AL241" s="165">
        <f>AK241</f>
        <v>10000</v>
      </c>
      <c r="AM241" s="165">
        <f t="shared" si="22"/>
        <v>10460</v>
      </c>
      <c r="AN241" s="165">
        <f t="shared" si="23"/>
        <v>10941.16</v>
      </c>
      <c r="AO241" s="16"/>
      <c r="AP241" s="231">
        <f t="shared" si="26"/>
        <v>0</v>
      </c>
      <c r="AR241" s="231"/>
      <c r="AS241" s="231"/>
      <c r="AU241" s="230">
        <v>0</v>
      </c>
      <c r="AV241" s="233">
        <v>0</v>
      </c>
      <c r="AW241" s="230">
        <f t="shared" si="24"/>
        <v>0</v>
      </c>
    </row>
    <row r="242" spans="1:49" s="250" customFormat="1" hidden="1" x14ac:dyDescent="0.3">
      <c r="A242" s="241" t="s">
        <v>734</v>
      </c>
      <c r="B242" s="242" t="s">
        <v>733</v>
      </c>
      <c r="C242" s="242" t="s">
        <v>113</v>
      </c>
      <c r="D242" s="340" t="s">
        <v>3462</v>
      </c>
      <c r="E242" s="243" t="s">
        <v>666</v>
      </c>
      <c r="F242" s="243" t="s">
        <v>542</v>
      </c>
      <c r="G242" s="243" t="s">
        <v>387</v>
      </c>
      <c r="H242" s="243" t="s">
        <v>735</v>
      </c>
      <c r="I242" s="243" t="s">
        <v>736</v>
      </c>
      <c r="J242" s="243" t="s">
        <v>312</v>
      </c>
      <c r="K242" s="243" t="s">
        <v>1997</v>
      </c>
      <c r="L242" s="242" t="s">
        <v>556</v>
      </c>
      <c r="M242" s="242" t="s">
        <v>305</v>
      </c>
      <c r="N242" s="242">
        <v>11</v>
      </c>
      <c r="O242" s="242" t="s">
        <v>113</v>
      </c>
      <c r="P242" s="242" t="s">
        <v>113</v>
      </c>
      <c r="Q242" s="242" t="s">
        <v>733</v>
      </c>
      <c r="R242" s="241" t="s">
        <v>734</v>
      </c>
      <c r="S242" s="223">
        <v>-20000000</v>
      </c>
      <c r="T242" s="160">
        <v>0</v>
      </c>
      <c r="U242" s="160">
        <v>0</v>
      </c>
      <c r="V242" s="160">
        <v>0</v>
      </c>
      <c r="W242" s="160">
        <v>-20000000</v>
      </c>
      <c r="X242" s="161">
        <v>0</v>
      </c>
      <c r="Y242" s="160"/>
      <c r="Z242" s="16">
        <v>0</v>
      </c>
      <c r="AA242" s="162">
        <v>0</v>
      </c>
      <c r="AB242" s="224">
        <v>0</v>
      </c>
      <c r="AC242" s="224">
        <v>0</v>
      </c>
      <c r="AD242" s="223"/>
      <c r="AE242" s="244">
        <v>-26000000</v>
      </c>
      <c r="AF242" s="163">
        <v>1.0469999999999999</v>
      </c>
      <c r="AG242" s="164">
        <v>1.046</v>
      </c>
      <c r="AH242" s="164">
        <v>1.046</v>
      </c>
      <c r="AI242" s="245">
        <v>-20000000</v>
      </c>
      <c r="AJ242" s="164">
        <f t="shared" si="25"/>
        <v>-6000000</v>
      </c>
      <c r="AK242" s="246">
        <v>-25000000</v>
      </c>
      <c r="AL242" s="246">
        <f>AK242</f>
        <v>-25000000</v>
      </c>
      <c r="AM242" s="246">
        <f t="shared" si="22"/>
        <v>-26150000</v>
      </c>
      <c r="AN242" s="246">
        <f t="shared" si="23"/>
        <v>-27352900</v>
      </c>
      <c r="AO242" s="241"/>
      <c r="AP242" s="247">
        <f t="shared" si="26"/>
        <v>0</v>
      </c>
      <c r="AR242" s="231"/>
      <c r="AS242" s="231"/>
      <c r="AU242" s="248">
        <v>-20000000</v>
      </c>
      <c r="AV242" s="249">
        <v>-20000000</v>
      </c>
      <c r="AW242" s="248">
        <f t="shared" si="24"/>
        <v>0</v>
      </c>
    </row>
    <row r="243" spans="1:49" hidden="1" x14ac:dyDescent="0.3">
      <c r="A243" s="16" t="s">
        <v>738</v>
      </c>
      <c r="B243" s="39" t="s">
        <v>737</v>
      </c>
      <c r="C243" s="39" t="s">
        <v>110</v>
      </c>
      <c r="D243" s="340" t="s">
        <v>3462</v>
      </c>
      <c r="E243" s="159" t="s">
        <v>666</v>
      </c>
      <c r="F243" s="159" t="s">
        <v>542</v>
      </c>
      <c r="G243" s="159" t="s">
        <v>387</v>
      </c>
      <c r="H243" s="159" t="s">
        <v>735</v>
      </c>
      <c r="I243" s="159" t="s">
        <v>739</v>
      </c>
      <c r="J243" s="159" t="s">
        <v>312</v>
      </c>
      <c r="K243" s="159" t="s">
        <v>1998</v>
      </c>
      <c r="L243" s="39" t="s">
        <v>556</v>
      </c>
      <c r="M243" s="39" t="s">
        <v>305</v>
      </c>
      <c r="N243" s="39">
        <v>11</v>
      </c>
      <c r="O243" s="39" t="s">
        <v>110</v>
      </c>
      <c r="P243" s="39" t="s">
        <v>110</v>
      </c>
      <c r="Q243" s="39" t="s">
        <v>737</v>
      </c>
      <c r="R243" s="16" t="s">
        <v>738</v>
      </c>
      <c r="S243" s="160">
        <v>0</v>
      </c>
      <c r="T243" s="160">
        <v>0</v>
      </c>
      <c r="U243" s="160">
        <v>0</v>
      </c>
      <c r="V243" s="160">
        <v>0</v>
      </c>
      <c r="W243" s="160">
        <v>0</v>
      </c>
      <c r="X243" s="161" t="e">
        <v>#N/A</v>
      </c>
      <c r="Y243" s="160"/>
      <c r="Z243" s="16">
        <v>0</v>
      </c>
      <c r="AA243" s="162">
        <v>0</v>
      </c>
      <c r="AB243" s="162">
        <v>0</v>
      </c>
      <c r="AC243" s="162">
        <v>0</v>
      </c>
      <c r="AD243" s="160"/>
      <c r="AE243" s="145">
        <v>0</v>
      </c>
      <c r="AF243" s="163">
        <v>1.0469999999999999</v>
      </c>
      <c r="AG243" s="164">
        <v>1.046</v>
      </c>
      <c r="AH243" s="164">
        <v>1.046</v>
      </c>
      <c r="AI243" s="164">
        <v>0</v>
      </c>
      <c r="AJ243" s="164">
        <f t="shared" si="25"/>
        <v>0</v>
      </c>
      <c r="AK243" s="165">
        <v>0</v>
      </c>
      <c r="AL243" s="165">
        <v>0</v>
      </c>
      <c r="AM243" s="165">
        <f t="shared" si="22"/>
        <v>0</v>
      </c>
      <c r="AN243" s="165">
        <f t="shared" si="23"/>
        <v>0</v>
      </c>
      <c r="AO243" s="16"/>
      <c r="AP243" s="231">
        <f t="shared" si="26"/>
        <v>0</v>
      </c>
      <c r="AR243" s="231"/>
      <c r="AS243" s="231"/>
      <c r="AU243" s="230">
        <v>0</v>
      </c>
      <c r="AV243" s="233">
        <v>0</v>
      </c>
      <c r="AW243" s="230">
        <f t="shared" si="24"/>
        <v>0</v>
      </c>
    </row>
    <row r="244" spans="1:49" hidden="1" x14ac:dyDescent="0.3">
      <c r="A244" s="16" t="s">
        <v>741</v>
      </c>
      <c r="B244" s="39" t="s">
        <v>740</v>
      </c>
      <c r="C244" s="39" t="s">
        <v>110</v>
      </c>
      <c r="D244" s="340" t="s">
        <v>3462</v>
      </c>
      <c r="E244" s="159" t="s">
        <v>666</v>
      </c>
      <c r="F244" s="159" t="s">
        <v>542</v>
      </c>
      <c r="G244" s="159" t="s">
        <v>387</v>
      </c>
      <c r="H244" s="159" t="s">
        <v>735</v>
      </c>
      <c r="I244" s="159" t="s">
        <v>739</v>
      </c>
      <c r="J244" s="159" t="s">
        <v>387</v>
      </c>
      <c r="K244" s="159" t="s">
        <v>1998</v>
      </c>
      <c r="L244" s="39" t="s">
        <v>556</v>
      </c>
      <c r="M244" s="39" t="s">
        <v>305</v>
      </c>
      <c r="N244" s="39">
        <v>11</v>
      </c>
      <c r="O244" s="167" t="s">
        <v>2161</v>
      </c>
      <c r="P244" s="39" t="s">
        <v>110</v>
      </c>
      <c r="Q244" s="39" t="s">
        <v>740</v>
      </c>
      <c r="R244" s="16" t="s">
        <v>741</v>
      </c>
      <c r="S244" s="160">
        <v>-14300000</v>
      </c>
      <c r="T244" s="160">
        <v>-995151.85</v>
      </c>
      <c r="U244" s="160">
        <v>0</v>
      </c>
      <c r="V244" s="160">
        <v>-1604951.56</v>
      </c>
      <c r="W244" s="160">
        <v>-12695048.439999999</v>
      </c>
      <c r="X244" s="161" t="e">
        <v>#N/A</v>
      </c>
      <c r="Y244" s="160"/>
      <c r="Z244" s="16">
        <v>11.22</v>
      </c>
      <c r="AA244" s="162">
        <v>-1604951.56</v>
      </c>
      <c r="AB244" s="162">
        <v>-401237.89</v>
      </c>
      <c r="AC244" s="162">
        <v>-4814854.68</v>
      </c>
      <c r="AD244" s="160"/>
      <c r="AE244" s="145">
        <v>-14300000</v>
      </c>
      <c r="AF244" s="163">
        <v>1.0469999999999999</v>
      </c>
      <c r="AG244" s="164">
        <v>1.046</v>
      </c>
      <c r="AH244" s="164">
        <v>1.046</v>
      </c>
      <c r="AI244" s="164">
        <v>-14300000</v>
      </c>
      <c r="AJ244" s="164">
        <f t="shared" si="25"/>
        <v>0</v>
      </c>
      <c r="AK244" s="165">
        <v>-14300000</v>
      </c>
      <c r="AL244" s="165">
        <f>AK244</f>
        <v>-14300000</v>
      </c>
      <c r="AM244" s="165">
        <f t="shared" si="22"/>
        <v>-14957800</v>
      </c>
      <c r="AN244" s="165">
        <f t="shared" si="23"/>
        <v>-15645858.800000001</v>
      </c>
      <c r="AO244" s="16"/>
      <c r="AP244" s="231">
        <f t="shared" si="26"/>
        <v>0</v>
      </c>
      <c r="AR244" s="231"/>
      <c r="AS244" s="231"/>
      <c r="AU244" s="230">
        <v>-14300000</v>
      </c>
      <c r="AV244" s="233">
        <v>-14300000</v>
      </c>
      <c r="AW244" s="230">
        <f t="shared" si="24"/>
        <v>0</v>
      </c>
    </row>
    <row r="245" spans="1:49" hidden="1" x14ac:dyDescent="0.3">
      <c r="A245" s="16" t="s">
        <v>741</v>
      </c>
      <c r="B245" s="39" t="s">
        <v>742</v>
      </c>
      <c r="C245" s="39" t="s">
        <v>110</v>
      </c>
      <c r="D245" s="340" t="s">
        <v>3462</v>
      </c>
      <c r="E245" s="159" t="s">
        <v>666</v>
      </c>
      <c r="F245" s="159" t="s">
        <v>542</v>
      </c>
      <c r="G245" s="159" t="s">
        <v>387</v>
      </c>
      <c r="H245" s="159" t="s">
        <v>735</v>
      </c>
      <c r="I245" s="159" t="s">
        <v>739</v>
      </c>
      <c r="J245" s="159" t="s">
        <v>387</v>
      </c>
      <c r="K245" s="159" t="s">
        <v>1999</v>
      </c>
      <c r="L245" s="39" t="s">
        <v>556</v>
      </c>
      <c r="M245" s="39" t="s">
        <v>305</v>
      </c>
      <c r="N245" s="39">
        <v>11</v>
      </c>
      <c r="O245" s="39" t="s">
        <v>110</v>
      </c>
      <c r="P245" s="39" t="s">
        <v>110</v>
      </c>
      <c r="Q245" s="39" t="s">
        <v>742</v>
      </c>
      <c r="R245" s="16" t="s">
        <v>741</v>
      </c>
      <c r="S245" s="160">
        <v>0</v>
      </c>
      <c r="T245" s="160">
        <v>0</v>
      </c>
      <c r="U245" s="160">
        <v>0</v>
      </c>
      <c r="V245" s="160">
        <v>0</v>
      </c>
      <c r="W245" s="160">
        <v>0</v>
      </c>
      <c r="X245" s="161" t="e">
        <v>#N/A</v>
      </c>
      <c r="Y245" s="160"/>
      <c r="Z245" s="16">
        <v>0</v>
      </c>
      <c r="AA245" s="162">
        <v>0</v>
      </c>
      <c r="AB245" s="162">
        <v>0</v>
      </c>
      <c r="AC245" s="162">
        <v>0</v>
      </c>
      <c r="AD245" s="160"/>
      <c r="AE245" s="145">
        <v>0</v>
      </c>
      <c r="AF245" s="163">
        <v>1.0469999999999999</v>
      </c>
      <c r="AG245" s="164">
        <v>1.046</v>
      </c>
      <c r="AH245" s="164">
        <v>1.046</v>
      </c>
      <c r="AI245" s="164">
        <v>0</v>
      </c>
      <c r="AJ245" s="164">
        <f t="shared" si="25"/>
        <v>0</v>
      </c>
      <c r="AK245" s="165">
        <v>0</v>
      </c>
      <c r="AL245" s="165">
        <v>0</v>
      </c>
      <c r="AM245" s="165">
        <f t="shared" si="22"/>
        <v>0</v>
      </c>
      <c r="AN245" s="165">
        <f t="shared" si="23"/>
        <v>0</v>
      </c>
      <c r="AO245" s="16"/>
      <c r="AP245" s="231">
        <f t="shared" si="26"/>
        <v>0</v>
      </c>
      <c r="AR245" s="231"/>
      <c r="AS245" s="231"/>
      <c r="AU245" s="230">
        <v>0</v>
      </c>
      <c r="AV245" s="233">
        <v>0</v>
      </c>
      <c r="AW245" s="230">
        <f t="shared" si="24"/>
        <v>0</v>
      </c>
    </row>
    <row r="246" spans="1:49" hidden="1" x14ac:dyDescent="0.3">
      <c r="A246" s="16" t="s">
        <v>744</v>
      </c>
      <c r="B246" s="39" t="s">
        <v>743</v>
      </c>
      <c r="C246" s="39" t="s">
        <v>161</v>
      </c>
      <c r="D246" s="340" t="s">
        <v>3462</v>
      </c>
      <c r="E246" s="159" t="s">
        <v>666</v>
      </c>
      <c r="F246" s="159" t="s">
        <v>542</v>
      </c>
      <c r="G246" s="159" t="s">
        <v>387</v>
      </c>
      <c r="H246" s="159" t="s">
        <v>745</v>
      </c>
      <c r="I246" s="159" t="s">
        <v>746</v>
      </c>
      <c r="J246" s="159" t="s">
        <v>309</v>
      </c>
      <c r="K246" s="159" t="s">
        <v>373</v>
      </c>
      <c r="L246" s="39" t="s">
        <v>556</v>
      </c>
      <c r="M246" s="39" t="s">
        <v>305</v>
      </c>
      <c r="N246" s="39">
        <v>11</v>
      </c>
      <c r="O246" s="167" t="s">
        <v>161</v>
      </c>
      <c r="P246" s="39" t="s">
        <v>161</v>
      </c>
      <c r="Q246" s="39" t="s">
        <v>743</v>
      </c>
      <c r="R246" s="16" t="s">
        <v>744</v>
      </c>
      <c r="S246" s="160">
        <v>0</v>
      </c>
      <c r="T246" s="160">
        <v>0</v>
      </c>
      <c r="U246" s="160">
        <v>0</v>
      </c>
      <c r="V246" s="160">
        <v>0</v>
      </c>
      <c r="W246" s="160">
        <v>0</v>
      </c>
      <c r="X246" s="161" t="e">
        <v>#N/A</v>
      </c>
      <c r="Y246" s="160"/>
      <c r="Z246" s="16">
        <v>0</v>
      </c>
      <c r="AA246" s="162">
        <v>0</v>
      </c>
      <c r="AB246" s="162">
        <v>0</v>
      </c>
      <c r="AC246" s="162">
        <v>0</v>
      </c>
      <c r="AD246" s="160"/>
      <c r="AE246" s="145">
        <v>0</v>
      </c>
      <c r="AF246" s="163">
        <v>1.0469999999999999</v>
      </c>
      <c r="AG246" s="164">
        <v>1.046</v>
      </c>
      <c r="AH246" s="164">
        <v>1.046</v>
      </c>
      <c r="AI246" s="164">
        <v>0</v>
      </c>
      <c r="AJ246" s="164">
        <f t="shared" si="25"/>
        <v>0</v>
      </c>
      <c r="AK246" s="165">
        <v>0</v>
      </c>
      <c r="AL246" s="165">
        <v>0</v>
      </c>
      <c r="AM246" s="165">
        <f t="shared" si="22"/>
        <v>0</v>
      </c>
      <c r="AN246" s="165">
        <f t="shared" si="23"/>
        <v>0</v>
      </c>
      <c r="AO246" s="16"/>
      <c r="AP246" s="231">
        <f t="shared" si="26"/>
        <v>0</v>
      </c>
      <c r="AR246" s="231"/>
      <c r="AS246" s="231"/>
      <c r="AU246" s="230">
        <v>0</v>
      </c>
      <c r="AV246" s="233">
        <v>0</v>
      </c>
      <c r="AW246" s="230">
        <f t="shared" si="24"/>
        <v>0</v>
      </c>
    </row>
    <row r="247" spans="1:49" hidden="1" x14ac:dyDescent="0.3">
      <c r="A247" s="16" t="s">
        <v>744</v>
      </c>
      <c r="B247" s="39" t="s">
        <v>747</v>
      </c>
      <c r="C247" s="39" t="s">
        <v>161</v>
      </c>
      <c r="D247" s="340" t="s">
        <v>3462</v>
      </c>
      <c r="E247" s="159" t="s">
        <v>666</v>
      </c>
      <c r="F247" s="159" t="s">
        <v>542</v>
      </c>
      <c r="G247" s="159" t="s">
        <v>387</v>
      </c>
      <c r="H247" s="159" t="s">
        <v>745</v>
      </c>
      <c r="I247" s="159" t="s">
        <v>746</v>
      </c>
      <c r="J247" s="159" t="s">
        <v>711</v>
      </c>
      <c r="K247" s="159" t="s">
        <v>373</v>
      </c>
      <c r="L247" s="39" t="s">
        <v>556</v>
      </c>
      <c r="M247" s="39" t="s">
        <v>305</v>
      </c>
      <c r="N247" s="39">
        <v>11</v>
      </c>
      <c r="O247" s="167" t="s">
        <v>161</v>
      </c>
      <c r="P247" s="39" t="s">
        <v>161</v>
      </c>
      <c r="Q247" s="39" t="s">
        <v>747</v>
      </c>
      <c r="R247" s="16" t="s">
        <v>744</v>
      </c>
      <c r="S247" s="160">
        <v>-29846304</v>
      </c>
      <c r="T247" s="160">
        <v>-1804100.47</v>
      </c>
      <c r="U247" s="160">
        <v>0</v>
      </c>
      <c r="V247" s="160">
        <v>-9197797.8599999994</v>
      </c>
      <c r="W247" s="160">
        <v>-20648506.140000001</v>
      </c>
      <c r="X247" s="161" t="e">
        <v>#N/A</v>
      </c>
      <c r="Y247" s="160"/>
      <c r="Z247" s="16">
        <v>30.81</v>
      </c>
      <c r="AA247" s="162">
        <v>-9197797.8599999994</v>
      </c>
      <c r="AB247" s="162">
        <v>-2299449.4649999999</v>
      </c>
      <c r="AC247" s="162">
        <v>-27593393.579999998</v>
      </c>
      <c r="AD247" s="160"/>
      <c r="AE247" s="145">
        <v>-29846304</v>
      </c>
      <c r="AF247" s="163">
        <v>1.0469999999999999</v>
      </c>
      <c r="AG247" s="164">
        <v>1.046</v>
      </c>
      <c r="AH247" s="164">
        <v>1.046</v>
      </c>
      <c r="AI247" s="164">
        <v>-29846304</v>
      </c>
      <c r="AJ247" s="164">
        <f t="shared" si="25"/>
        <v>0</v>
      </c>
      <c r="AK247" s="165">
        <v>-29846304</v>
      </c>
      <c r="AL247" s="165">
        <f>AK247</f>
        <v>-29846304</v>
      </c>
      <c r="AM247" s="165">
        <f t="shared" ref="AM247:AM298" si="28">AL247*AG247</f>
        <v>-31219233.984000001</v>
      </c>
      <c r="AN247" s="165">
        <f t="shared" ref="AN247:AN298" si="29">AM247*AH247</f>
        <v>-32655318.747264002</v>
      </c>
      <c r="AO247" s="16"/>
      <c r="AP247" s="231">
        <f t="shared" si="26"/>
        <v>0</v>
      </c>
      <c r="AR247" s="231"/>
      <c r="AS247" s="231"/>
      <c r="AU247" s="230">
        <v>-29846304</v>
      </c>
      <c r="AV247" s="233">
        <v>-29846304</v>
      </c>
      <c r="AW247" s="230">
        <f t="shared" si="24"/>
        <v>0</v>
      </c>
    </row>
    <row r="248" spans="1:49" hidden="1" x14ac:dyDescent="0.3">
      <c r="A248" s="16" t="s">
        <v>749</v>
      </c>
      <c r="B248" s="39" t="s">
        <v>748</v>
      </c>
      <c r="C248" s="39" t="s">
        <v>161</v>
      </c>
      <c r="D248" s="340" t="s">
        <v>3462</v>
      </c>
      <c r="E248" s="159" t="s">
        <v>666</v>
      </c>
      <c r="F248" s="159" t="s">
        <v>542</v>
      </c>
      <c r="G248" s="159" t="s">
        <v>387</v>
      </c>
      <c r="H248" s="159" t="s">
        <v>745</v>
      </c>
      <c r="I248" s="159" t="s">
        <v>746</v>
      </c>
      <c r="J248" s="159" t="s">
        <v>750</v>
      </c>
      <c r="K248" s="159" t="s">
        <v>373</v>
      </c>
      <c r="L248" s="39" t="s">
        <v>556</v>
      </c>
      <c r="M248" s="39" t="s">
        <v>305</v>
      </c>
      <c r="N248" s="39">
        <v>11</v>
      </c>
      <c r="O248" s="167" t="s">
        <v>161</v>
      </c>
      <c r="P248" s="39" t="s">
        <v>161</v>
      </c>
      <c r="Q248" s="39" t="s">
        <v>748</v>
      </c>
      <c r="R248" s="16" t="s">
        <v>749</v>
      </c>
      <c r="S248" s="160">
        <v>0</v>
      </c>
      <c r="T248" s="160">
        <v>0</v>
      </c>
      <c r="U248" s="160">
        <v>0</v>
      </c>
      <c r="V248" s="160">
        <v>0</v>
      </c>
      <c r="W248" s="160">
        <v>0</v>
      </c>
      <c r="X248" s="161" t="e">
        <v>#N/A</v>
      </c>
      <c r="Y248" s="160"/>
      <c r="Z248" s="16">
        <v>0</v>
      </c>
      <c r="AA248" s="162">
        <v>0</v>
      </c>
      <c r="AB248" s="162">
        <v>0</v>
      </c>
      <c r="AC248" s="162">
        <v>0</v>
      </c>
      <c r="AD248" s="160"/>
      <c r="AE248" s="145">
        <v>0</v>
      </c>
      <c r="AF248" s="163">
        <v>1.0469999999999999</v>
      </c>
      <c r="AG248" s="164">
        <v>1.046</v>
      </c>
      <c r="AH248" s="164">
        <v>1.046</v>
      </c>
      <c r="AI248" s="164">
        <v>0</v>
      </c>
      <c r="AJ248" s="164">
        <f t="shared" si="25"/>
        <v>0</v>
      </c>
      <c r="AK248" s="165">
        <v>0</v>
      </c>
      <c r="AL248" s="165">
        <v>0</v>
      </c>
      <c r="AM248" s="165">
        <f t="shared" si="28"/>
        <v>0</v>
      </c>
      <c r="AN248" s="165">
        <f t="shared" si="29"/>
        <v>0</v>
      </c>
      <c r="AO248" s="16"/>
      <c r="AP248" s="231">
        <f t="shared" si="26"/>
        <v>0</v>
      </c>
      <c r="AR248" s="231"/>
      <c r="AS248" s="231"/>
      <c r="AU248" s="230">
        <v>0</v>
      </c>
      <c r="AV248" s="233">
        <v>0</v>
      </c>
      <c r="AW248" s="230">
        <f t="shared" si="24"/>
        <v>0</v>
      </c>
    </row>
    <row r="249" spans="1:49" hidden="1" x14ac:dyDescent="0.3">
      <c r="A249" s="16" t="s">
        <v>158</v>
      </c>
      <c r="B249" s="39" t="s">
        <v>751</v>
      </c>
      <c r="C249" s="39" t="s">
        <v>752</v>
      </c>
      <c r="D249" s="340" t="s">
        <v>3462</v>
      </c>
      <c r="E249" s="159" t="s">
        <v>666</v>
      </c>
      <c r="F249" s="159" t="s">
        <v>542</v>
      </c>
      <c r="G249" s="159" t="s">
        <v>387</v>
      </c>
      <c r="H249" s="159" t="s">
        <v>745</v>
      </c>
      <c r="I249" s="159" t="s">
        <v>753</v>
      </c>
      <c r="J249" s="159" t="s">
        <v>312</v>
      </c>
      <c r="K249" s="159" t="s">
        <v>308</v>
      </c>
      <c r="L249" s="39" t="s">
        <v>556</v>
      </c>
      <c r="M249" s="39" t="s">
        <v>305</v>
      </c>
      <c r="N249" s="39">
        <v>11</v>
      </c>
      <c r="O249" s="167" t="s">
        <v>752</v>
      </c>
      <c r="P249" s="39" t="s">
        <v>752</v>
      </c>
      <c r="Q249" s="39" t="s">
        <v>751</v>
      </c>
      <c r="R249" s="16" t="s">
        <v>158</v>
      </c>
      <c r="S249" s="160">
        <v>-2718059</v>
      </c>
      <c r="T249" s="160">
        <v>-65739.789999999994</v>
      </c>
      <c r="U249" s="160">
        <v>0</v>
      </c>
      <c r="V249" s="160">
        <v>-238647.05</v>
      </c>
      <c r="W249" s="160">
        <v>-2479411.9500000002</v>
      </c>
      <c r="X249" s="161" t="e">
        <v>#N/A</v>
      </c>
      <c r="Y249" s="160"/>
      <c r="Z249" s="16">
        <v>8.7799999999999994</v>
      </c>
      <c r="AA249" s="162">
        <v>-238647.05</v>
      </c>
      <c r="AB249" s="162">
        <v>-59661.762499999997</v>
      </c>
      <c r="AC249" s="162">
        <v>-715941.14999999991</v>
      </c>
      <c r="AD249" s="160"/>
      <c r="AE249" s="145">
        <v>-2718059</v>
      </c>
      <c r="AF249" s="163">
        <v>1.0469999999999999</v>
      </c>
      <c r="AG249" s="164">
        <v>1.046</v>
      </c>
      <c r="AH249" s="164">
        <v>1.046</v>
      </c>
      <c r="AI249" s="164">
        <v>-2718059</v>
      </c>
      <c r="AJ249" s="164">
        <f t="shared" si="25"/>
        <v>0</v>
      </c>
      <c r="AK249" s="165">
        <v>-2718059</v>
      </c>
      <c r="AL249" s="165">
        <f>AK249</f>
        <v>-2718059</v>
      </c>
      <c r="AM249" s="165">
        <f t="shared" si="28"/>
        <v>-2843089.7140000002</v>
      </c>
      <c r="AN249" s="165">
        <f t="shared" si="29"/>
        <v>-2973871.8408440002</v>
      </c>
      <c r="AO249" s="16"/>
      <c r="AP249" s="231">
        <f t="shared" si="26"/>
        <v>0</v>
      </c>
      <c r="AR249" s="231"/>
      <c r="AS249" s="231"/>
      <c r="AU249" s="230">
        <v>-2718059</v>
      </c>
      <c r="AV249" s="233">
        <v>-2718059</v>
      </c>
      <c r="AW249" s="230">
        <f t="shared" si="24"/>
        <v>0</v>
      </c>
    </row>
    <row r="250" spans="1:49" hidden="1" x14ac:dyDescent="0.3">
      <c r="A250" s="16" t="s">
        <v>157</v>
      </c>
      <c r="B250" s="39" t="s">
        <v>754</v>
      </c>
      <c r="C250" s="39" t="s">
        <v>755</v>
      </c>
      <c r="D250" s="340" t="s">
        <v>3462</v>
      </c>
      <c r="E250" s="159" t="s">
        <v>666</v>
      </c>
      <c r="F250" s="159" t="s">
        <v>542</v>
      </c>
      <c r="G250" s="159" t="s">
        <v>387</v>
      </c>
      <c r="H250" s="159" t="s">
        <v>745</v>
      </c>
      <c r="I250" s="159" t="s">
        <v>629</v>
      </c>
      <c r="J250" s="159" t="s">
        <v>312</v>
      </c>
      <c r="K250" s="159" t="s">
        <v>308</v>
      </c>
      <c r="L250" s="39" t="s">
        <v>556</v>
      </c>
      <c r="M250" s="39" t="s">
        <v>305</v>
      </c>
      <c r="N250" s="39">
        <v>11</v>
      </c>
      <c r="O250" s="167" t="s">
        <v>755</v>
      </c>
      <c r="P250" s="39" t="s">
        <v>755</v>
      </c>
      <c r="Q250" s="39" t="s">
        <v>754</v>
      </c>
      <c r="R250" s="16" t="s">
        <v>157</v>
      </c>
      <c r="S250" s="160">
        <v>-1770935</v>
      </c>
      <c r="T250" s="160">
        <v>-51415.519999999997</v>
      </c>
      <c r="U250" s="160">
        <v>0</v>
      </c>
      <c r="V250" s="160">
        <v>-277705.55</v>
      </c>
      <c r="W250" s="160">
        <v>-1493229.45</v>
      </c>
      <c r="X250" s="161" t="e">
        <v>#N/A</v>
      </c>
      <c r="Y250" s="160"/>
      <c r="Z250" s="16">
        <v>15.68</v>
      </c>
      <c r="AA250" s="162">
        <v>-277705.55</v>
      </c>
      <c r="AB250" s="162">
        <v>-69426.387499999997</v>
      </c>
      <c r="AC250" s="162">
        <v>-833116.64999999991</v>
      </c>
      <c r="AD250" s="160"/>
      <c r="AE250" s="145">
        <v>-1770935</v>
      </c>
      <c r="AF250" s="163">
        <v>1.0469999999999999</v>
      </c>
      <c r="AG250" s="164">
        <v>1.046</v>
      </c>
      <c r="AH250" s="164">
        <v>1.046</v>
      </c>
      <c r="AI250" s="164">
        <v>-1770935</v>
      </c>
      <c r="AJ250" s="164">
        <f t="shared" si="25"/>
        <v>0</v>
      </c>
      <c r="AK250" s="165">
        <v>-1770935</v>
      </c>
      <c r="AL250" s="165">
        <f>AK250</f>
        <v>-1770935</v>
      </c>
      <c r="AM250" s="165">
        <f t="shared" si="28"/>
        <v>-1852398.01</v>
      </c>
      <c r="AN250" s="165">
        <f t="shared" si="29"/>
        <v>-1937608.31846</v>
      </c>
      <c r="AO250" s="16"/>
      <c r="AP250" s="231">
        <f t="shared" si="26"/>
        <v>0</v>
      </c>
      <c r="AR250" s="231"/>
      <c r="AS250" s="231"/>
      <c r="AU250" s="230">
        <v>-1770935</v>
      </c>
      <c r="AV250" s="233">
        <v>-1770935</v>
      </c>
      <c r="AW250" s="230">
        <f t="shared" si="24"/>
        <v>0</v>
      </c>
    </row>
    <row r="251" spans="1:49" hidden="1" x14ac:dyDescent="0.3">
      <c r="A251" s="16" t="s">
        <v>758</v>
      </c>
      <c r="B251" s="39" t="s">
        <v>756</v>
      </c>
      <c r="C251" s="39" t="s">
        <v>757</v>
      </c>
      <c r="D251" s="340" t="s">
        <v>3462</v>
      </c>
      <c r="E251" s="159" t="s">
        <v>666</v>
      </c>
      <c r="F251" s="159" t="s">
        <v>542</v>
      </c>
      <c r="G251" s="159" t="s">
        <v>387</v>
      </c>
      <c r="H251" s="159" t="s">
        <v>646</v>
      </c>
      <c r="I251" s="159" t="s">
        <v>326</v>
      </c>
      <c r="J251" s="159" t="s">
        <v>312</v>
      </c>
      <c r="K251" s="159" t="s">
        <v>413</v>
      </c>
      <c r="L251" s="39" t="s">
        <v>556</v>
      </c>
      <c r="M251" s="39" t="s">
        <v>305</v>
      </c>
      <c r="N251" s="39">
        <v>11</v>
      </c>
      <c r="O251" s="167" t="s">
        <v>757</v>
      </c>
      <c r="P251" s="39" t="s">
        <v>757</v>
      </c>
      <c r="Q251" s="39" t="s">
        <v>756</v>
      </c>
      <c r="R251" s="16" t="s">
        <v>758</v>
      </c>
      <c r="S251" s="160">
        <v>0</v>
      </c>
      <c r="T251" s="160">
        <v>0</v>
      </c>
      <c r="U251" s="160">
        <v>0</v>
      </c>
      <c r="V251" s="160">
        <v>0</v>
      </c>
      <c r="W251" s="160">
        <v>0</v>
      </c>
      <c r="X251" s="161" t="e">
        <v>#N/A</v>
      </c>
      <c r="Y251" s="160"/>
      <c r="Z251" s="16">
        <v>0</v>
      </c>
      <c r="AA251" s="162">
        <v>0</v>
      </c>
      <c r="AB251" s="162">
        <v>0</v>
      </c>
      <c r="AC251" s="162">
        <v>0</v>
      </c>
      <c r="AD251" s="160"/>
      <c r="AE251" s="145">
        <v>0</v>
      </c>
      <c r="AF251" s="163">
        <v>1.0469999999999999</v>
      </c>
      <c r="AG251" s="164">
        <v>1.046</v>
      </c>
      <c r="AH251" s="164">
        <v>1.046</v>
      </c>
      <c r="AI251" s="164">
        <v>0</v>
      </c>
      <c r="AJ251" s="164">
        <f t="shared" si="25"/>
        <v>0</v>
      </c>
      <c r="AK251" s="165">
        <v>0</v>
      </c>
      <c r="AL251" s="165">
        <v>0</v>
      </c>
      <c r="AM251" s="165">
        <f t="shared" si="28"/>
        <v>0</v>
      </c>
      <c r="AN251" s="165">
        <f t="shared" si="29"/>
        <v>0</v>
      </c>
      <c r="AO251" s="16"/>
      <c r="AP251" s="231">
        <f t="shared" si="26"/>
        <v>0</v>
      </c>
      <c r="AR251" s="231"/>
      <c r="AS251" s="231"/>
      <c r="AU251" s="230">
        <v>0</v>
      </c>
      <c r="AV251" s="233">
        <v>0</v>
      </c>
      <c r="AW251" s="230">
        <f t="shared" si="24"/>
        <v>0</v>
      </c>
    </row>
    <row r="252" spans="1:49" hidden="1" x14ac:dyDescent="0.3">
      <c r="A252" s="16" t="s">
        <v>163</v>
      </c>
      <c r="B252" s="39" t="s">
        <v>759</v>
      </c>
      <c r="C252" s="39" t="s">
        <v>757</v>
      </c>
      <c r="D252" s="340" t="s">
        <v>3462</v>
      </c>
      <c r="E252" s="159" t="s">
        <v>666</v>
      </c>
      <c r="F252" s="159" t="s">
        <v>542</v>
      </c>
      <c r="G252" s="159" t="s">
        <v>387</v>
      </c>
      <c r="H252" s="159" t="s">
        <v>646</v>
      </c>
      <c r="I252" s="159" t="s">
        <v>326</v>
      </c>
      <c r="J252" s="159" t="s">
        <v>387</v>
      </c>
      <c r="K252" s="159" t="s">
        <v>413</v>
      </c>
      <c r="L252" s="39" t="s">
        <v>556</v>
      </c>
      <c r="M252" s="39" t="s">
        <v>305</v>
      </c>
      <c r="N252" s="39">
        <v>11</v>
      </c>
      <c r="O252" s="167" t="s">
        <v>757</v>
      </c>
      <c r="P252" s="39" t="s">
        <v>757</v>
      </c>
      <c r="Q252" s="39" t="s">
        <v>759</v>
      </c>
      <c r="R252" s="16" t="s">
        <v>163</v>
      </c>
      <c r="S252" s="160">
        <v>0</v>
      </c>
      <c r="T252" s="160">
        <v>0</v>
      </c>
      <c r="U252" s="160">
        <v>0</v>
      </c>
      <c r="V252" s="160">
        <v>0</v>
      </c>
      <c r="W252" s="160">
        <v>0</v>
      </c>
      <c r="X252" s="161" t="e">
        <v>#N/A</v>
      </c>
      <c r="Y252" s="160"/>
      <c r="Z252" s="16">
        <v>0</v>
      </c>
      <c r="AA252" s="162">
        <v>0</v>
      </c>
      <c r="AB252" s="162">
        <v>0</v>
      </c>
      <c r="AC252" s="162">
        <v>0</v>
      </c>
      <c r="AD252" s="160"/>
      <c r="AE252" s="145">
        <v>0</v>
      </c>
      <c r="AF252" s="163">
        <v>1.0469999999999999</v>
      </c>
      <c r="AG252" s="164">
        <v>1.046</v>
      </c>
      <c r="AH252" s="164">
        <v>1.046</v>
      </c>
      <c r="AI252" s="164">
        <v>0</v>
      </c>
      <c r="AJ252" s="164">
        <f t="shared" si="25"/>
        <v>0</v>
      </c>
      <c r="AK252" s="165">
        <v>0</v>
      </c>
      <c r="AL252" s="165">
        <v>0</v>
      </c>
      <c r="AM252" s="165">
        <f t="shared" si="28"/>
        <v>0</v>
      </c>
      <c r="AN252" s="165">
        <f t="shared" si="29"/>
        <v>0</v>
      </c>
      <c r="AO252" s="16"/>
      <c r="AP252" s="231">
        <f t="shared" si="26"/>
        <v>0</v>
      </c>
      <c r="AR252" s="231"/>
      <c r="AS252" s="231"/>
      <c r="AU252" s="230">
        <v>0</v>
      </c>
      <c r="AV252" s="233">
        <v>0</v>
      </c>
      <c r="AW252" s="230">
        <f t="shared" si="24"/>
        <v>0</v>
      </c>
    </row>
    <row r="253" spans="1:49" hidden="1" x14ac:dyDescent="0.3">
      <c r="A253" s="16" t="s">
        <v>762</v>
      </c>
      <c r="B253" s="39" t="s">
        <v>760</v>
      </c>
      <c r="C253" s="39" t="s">
        <v>761</v>
      </c>
      <c r="D253" s="340" t="s">
        <v>3462</v>
      </c>
      <c r="E253" s="159" t="s">
        <v>666</v>
      </c>
      <c r="F253" s="159" t="s">
        <v>542</v>
      </c>
      <c r="G253" s="159" t="s">
        <v>387</v>
      </c>
      <c r="H253" s="159" t="s">
        <v>646</v>
      </c>
      <c r="I253" s="159" t="s">
        <v>763</v>
      </c>
      <c r="J253" s="159" t="s">
        <v>312</v>
      </c>
      <c r="K253" s="159" t="s">
        <v>413</v>
      </c>
      <c r="L253" s="39" t="s">
        <v>556</v>
      </c>
      <c r="M253" s="39" t="s">
        <v>305</v>
      </c>
      <c r="N253" s="39">
        <v>11</v>
      </c>
      <c r="O253" s="39" t="s">
        <v>761</v>
      </c>
      <c r="P253" s="39" t="s">
        <v>761</v>
      </c>
      <c r="Q253" s="39" t="s">
        <v>760</v>
      </c>
      <c r="R253" s="16" t="s">
        <v>762</v>
      </c>
      <c r="S253" s="160">
        <v>0</v>
      </c>
      <c r="T253" s="160">
        <v>0</v>
      </c>
      <c r="U253" s="160">
        <v>0</v>
      </c>
      <c r="V253" s="160">
        <v>0</v>
      </c>
      <c r="W253" s="160">
        <v>0</v>
      </c>
      <c r="X253" s="161" t="e">
        <v>#N/A</v>
      </c>
      <c r="Y253" s="160"/>
      <c r="Z253" s="16">
        <v>0</v>
      </c>
      <c r="AA253" s="162">
        <v>0</v>
      </c>
      <c r="AB253" s="162">
        <v>0</v>
      </c>
      <c r="AC253" s="162">
        <v>0</v>
      </c>
      <c r="AD253" s="160"/>
      <c r="AE253" s="145">
        <v>0</v>
      </c>
      <c r="AF253" s="163">
        <v>1.0469999999999999</v>
      </c>
      <c r="AG253" s="164">
        <v>1.046</v>
      </c>
      <c r="AH253" s="164">
        <v>1.046</v>
      </c>
      <c r="AI253" s="164">
        <v>0</v>
      </c>
      <c r="AJ253" s="164">
        <f t="shared" si="25"/>
        <v>0</v>
      </c>
      <c r="AK253" s="165">
        <v>0</v>
      </c>
      <c r="AL253" s="165">
        <v>0</v>
      </c>
      <c r="AM253" s="165">
        <f t="shared" si="28"/>
        <v>0</v>
      </c>
      <c r="AN253" s="165">
        <f t="shared" si="29"/>
        <v>0</v>
      </c>
      <c r="AO253" s="16"/>
      <c r="AP253" s="231">
        <f t="shared" si="26"/>
        <v>0</v>
      </c>
      <c r="AR253" s="231"/>
      <c r="AS253" s="231"/>
      <c r="AU253" s="230">
        <v>0</v>
      </c>
      <c r="AV253" s="233">
        <v>0</v>
      </c>
      <c r="AW253" s="230">
        <f t="shared" si="24"/>
        <v>0</v>
      </c>
    </row>
    <row r="254" spans="1:49" hidden="1" x14ac:dyDescent="0.3">
      <c r="A254" s="16" t="s">
        <v>765</v>
      </c>
      <c r="B254" s="39" t="s">
        <v>764</v>
      </c>
      <c r="C254" s="39" t="s">
        <v>166</v>
      </c>
      <c r="D254" s="340" t="s">
        <v>3462</v>
      </c>
      <c r="E254" s="159" t="s">
        <v>666</v>
      </c>
      <c r="F254" s="159" t="s">
        <v>542</v>
      </c>
      <c r="G254" s="159" t="s">
        <v>387</v>
      </c>
      <c r="H254" s="159" t="s">
        <v>554</v>
      </c>
      <c r="I254" s="159" t="s">
        <v>425</v>
      </c>
      <c r="J254" s="159" t="s">
        <v>312</v>
      </c>
      <c r="K254" s="159" t="s">
        <v>1992</v>
      </c>
      <c r="L254" s="39" t="s">
        <v>556</v>
      </c>
      <c r="M254" s="39" t="s">
        <v>305</v>
      </c>
      <c r="N254" s="39">
        <v>11</v>
      </c>
      <c r="O254" s="167" t="s">
        <v>166</v>
      </c>
      <c r="P254" s="39" t="s">
        <v>166</v>
      </c>
      <c r="Q254" s="39" t="s">
        <v>764</v>
      </c>
      <c r="R254" s="16" t="s">
        <v>765</v>
      </c>
      <c r="S254" s="160">
        <v>-7158577</v>
      </c>
      <c r="T254" s="160">
        <v>-518962.24</v>
      </c>
      <c r="U254" s="160">
        <v>0</v>
      </c>
      <c r="V254" s="160">
        <v>-2075848.96</v>
      </c>
      <c r="W254" s="160">
        <v>-5082728.04</v>
      </c>
      <c r="X254" s="161" t="e">
        <v>#N/A</v>
      </c>
      <c r="Y254" s="160"/>
      <c r="Z254" s="16">
        <v>28.99</v>
      </c>
      <c r="AA254" s="162">
        <v>-2075848.96</v>
      </c>
      <c r="AB254" s="162">
        <v>-518962.24</v>
      </c>
      <c r="AC254" s="162">
        <v>-6227546.8799999999</v>
      </c>
      <c r="AD254" s="160"/>
      <c r="AE254" s="145">
        <v>-7158577</v>
      </c>
      <c r="AF254" s="163">
        <v>1.0469999999999999</v>
      </c>
      <c r="AG254" s="164">
        <v>1.046</v>
      </c>
      <c r="AH254" s="164">
        <v>1.046</v>
      </c>
      <c r="AI254" s="164">
        <v>-7158577</v>
      </c>
      <c r="AJ254" s="164">
        <f t="shared" si="25"/>
        <v>0</v>
      </c>
      <c r="AK254" s="165">
        <v>-7158577</v>
      </c>
      <c r="AL254" s="165">
        <f>AK254</f>
        <v>-7158577</v>
      </c>
      <c r="AM254" s="165">
        <f t="shared" si="28"/>
        <v>-7487871.5420000004</v>
      </c>
      <c r="AN254" s="165">
        <f t="shared" si="29"/>
        <v>-7832313.6329320008</v>
      </c>
      <c r="AO254" s="16"/>
      <c r="AP254" s="231">
        <f t="shared" si="26"/>
        <v>0</v>
      </c>
      <c r="AR254" s="231"/>
      <c r="AS254" s="231"/>
      <c r="AU254" s="230">
        <v>-7158577</v>
      </c>
      <c r="AV254" s="233">
        <v>-7158577</v>
      </c>
      <c r="AW254" s="230">
        <f t="shared" si="24"/>
        <v>0</v>
      </c>
    </row>
    <row r="255" spans="1:49" hidden="1" x14ac:dyDescent="0.3">
      <c r="A255" s="16" t="s">
        <v>168</v>
      </c>
      <c r="B255" s="39" t="s">
        <v>766</v>
      </c>
      <c r="C255" s="39" t="s">
        <v>767</v>
      </c>
      <c r="D255" s="340" t="s">
        <v>3462</v>
      </c>
      <c r="E255" s="159" t="s">
        <v>666</v>
      </c>
      <c r="F255" s="159" t="s">
        <v>542</v>
      </c>
      <c r="G255" s="159" t="s">
        <v>387</v>
      </c>
      <c r="H255" s="159" t="s">
        <v>554</v>
      </c>
      <c r="I255" s="159" t="s">
        <v>768</v>
      </c>
      <c r="J255" s="159" t="s">
        <v>312</v>
      </c>
      <c r="K255" s="159" t="s">
        <v>1992</v>
      </c>
      <c r="L255" s="39" t="s">
        <v>556</v>
      </c>
      <c r="M255" s="39" t="s">
        <v>305</v>
      </c>
      <c r="N255" s="39">
        <v>11</v>
      </c>
      <c r="O255" s="167" t="s">
        <v>767</v>
      </c>
      <c r="P255" s="39" t="s">
        <v>767</v>
      </c>
      <c r="Q255" s="39" t="s">
        <v>766</v>
      </c>
      <c r="R255" s="16" t="s">
        <v>168</v>
      </c>
      <c r="S255" s="160">
        <v>-2318713</v>
      </c>
      <c r="T255" s="160">
        <v>-68814.64</v>
      </c>
      <c r="U255" s="160">
        <v>0</v>
      </c>
      <c r="V255" s="160">
        <v>-245648.92</v>
      </c>
      <c r="W255" s="160">
        <v>-2073064.08</v>
      </c>
      <c r="X255" s="161" t="e">
        <v>#N/A</v>
      </c>
      <c r="Y255" s="160"/>
      <c r="Z255" s="16">
        <v>10.59</v>
      </c>
      <c r="AA255" s="162">
        <v>-245648.92</v>
      </c>
      <c r="AB255" s="162">
        <v>-61412.23</v>
      </c>
      <c r="AC255" s="162">
        <v>-736946.76</v>
      </c>
      <c r="AD255" s="160"/>
      <c r="AE255" s="145">
        <v>-2318713</v>
      </c>
      <c r="AF255" s="163">
        <v>1.0469999999999999</v>
      </c>
      <c r="AG255" s="164">
        <v>1.046</v>
      </c>
      <c r="AH255" s="164">
        <v>1.046</v>
      </c>
      <c r="AI255" s="164">
        <v>-2318713</v>
      </c>
      <c r="AJ255" s="164">
        <f t="shared" si="25"/>
        <v>0</v>
      </c>
      <c r="AK255" s="165">
        <v>-2318713</v>
      </c>
      <c r="AL255" s="165">
        <f>AK255</f>
        <v>-2318713</v>
      </c>
      <c r="AM255" s="165">
        <f t="shared" si="28"/>
        <v>-2425373.798</v>
      </c>
      <c r="AN255" s="165">
        <f t="shared" si="29"/>
        <v>-2536940.9927079999</v>
      </c>
      <c r="AO255" s="16"/>
      <c r="AP255" s="231">
        <f t="shared" si="26"/>
        <v>0</v>
      </c>
      <c r="AR255" s="231"/>
      <c r="AS255" s="231"/>
      <c r="AU255" s="230">
        <v>-2318713</v>
      </c>
      <c r="AV255" s="233">
        <v>-2318713</v>
      </c>
      <c r="AW255" s="230">
        <f t="shared" si="24"/>
        <v>0</v>
      </c>
    </row>
    <row r="256" spans="1:49" hidden="1" x14ac:dyDescent="0.3">
      <c r="A256" s="16" t="s">
        <v>169</v>
      </c>
      <c r="B256" s="39" t="s">
        <v>769</v>
      </c>
      <c r="C256" s="39" t="s">
        <v>770</v>
      </c>
      <c r="D256" s="340" t="s">
        <v>3462</v>
      </c>
      <c r="E256" s="159" t="s">
        <v>666</v>
      </c>
      <c r="F256" s="159" t="s">
        <v>542</v>
      </c>
      <c r="G256" s="159" t="s">
        <v>387</v>
      </c>
      <c r="H256" s="159" t="s">
        <v>554</v>
      </c>
      <c r="I256" s="159" t="s">
        <v>771</v>
      </c>
      <c r="J256" s="159" t="s">
        <v>312</v>
      </c>
      <c r="K256" s="159" t="s">
        <v>1992</v>
      </c>
      <c r="L256" s="39" t="s">
        <v>556</v>
      </c>
      <c r="M256" s="39" t="s">
        <v>305</v>
      </c>
      <c r="N256" s="39">
        <v>11</v>
      </c>
      <c r="O256" s="167" t="s">
        <v>770</v>
      </c>
      <c r="P256" s="39" t="s">
        <v>770</v>
      </c>
      <c r="Q256" s="39" t="s">
        <v>769</v>
      </c>
      <c r="R256" s="16" t="s">
        <v>169</v>
      </c>
      <c r="S256" s="160">
        <v>0</v>
      </c>
      <c r="T256" s="160">
        <v>0</v>
      </c>
      <c r="U256" s="160">
        <v>0</v>
      </c>
      <c r="V256" s="160">
        <v>0</v>
      </c>
      <c r="W256" s="160">
        <v>0</v>
      </c>
      <c r="X256" s="161" t="e">
        <v>#N/A</v>
      </c>
      <c r="Y256" s="160"/>
      <c r="Z256" s="16">
        <v>0</v>
      </c>
      <c r="AA256" s="162">
        <v>0</v>
      </c>
      <c r="AB256" s="162">
        <v>0</v>
      </c>
      <c r="AC256" s="162">
        <v>0</v>
      </c>
      <c r="AD256" s="160"/>
      <c r="AE256" s="145">
        <v>0</v>
      </c>
      <c r="AF256" s="163">
        <v>1.0469999999999999</v>
      </c>
      <c r="AG256" s="164">
        <v>1.046</v>
      </c>
      <c r="AH256" s="164">
        <v>1.046</v>
      </c>
      <c r="AI256" s="164">
        <v>0</v>
      </c>
      <c r="AJ256" s="164">
        <f t="shared" si="25"/>
        <v>0</v>
      </c>
      <c r="AK256" s="165">
        <v>0</v>
      </c>
      <c r="AL256" s="165">
        <v>0</v>
      </c>
      <c r="AM256" s="165">
        <f t="shared" si="28"/>
        <v>0</v>
      </c>
      <c r="AN256" s="165">
        <f t="shared" si="29"/>
        <v>0</v>
      </c>
      <c r="AO256" s="16"/>
      <c r="AP256" s="231">
        <f t="shared" si="26"/>
        <v>0</v>
      </c>
      <c r="AR256" s="231"/>
      <c r="AS256" s="231"/>
      <c r="AU256" s="230">
        <v>0</v>
      </c>
      <c r="AV256" s="233">
        <v>0</v>
      </c>
      <c r="AW256" s="230">
        <f t="shared" si="24"/>
        <v>0</v>
      </c>
    </row>
    <row r="257" spans="1:49" hidden="1" x14ac:dyDescent="0.3">
      <c r="A257" s="16" t="s">
        <v>774</v>
      </c>
      <c r="B257" s="39" t="s">
        <v>772</v>
      </c>
      <c r="C257" s="39" t="s">
        <v>773</v>
      </c>
      <c r="D257" s="340" t="s">
        <v>3462</v>
      </c>
      <c r="E257" s="159" t="s">
        <v>666</v>
      </c>
      <c r="F257" s="159" t="s">
        <v>542</v>
      </c>
      <c r="G257" s="159" t="s">
        <v>387</v>
      </c>
      <c r="H257" s="159" t="s">
        <v>775</v>
      </c>
      <c r="I257" s="159" t="s">
        <v>316</v>
      </c>
      <c r="J257" s="159" t="s">
        <v>776</v>
      </c>
      <c r="K257" s="159" t="s">
        <v>2000</v>
      </c>
      <c r="L257" s="39" t="s">
        <v>556</v>
      </c>
      <c r="M257" s="39" t="s">
        <v>305</v>
      </c>
      <c r="N257" s="39">
        <v>11</v>
      </c>
      <c r="O257" s="39" t="s">
        <v>773</v>
      </c>
      <c r="P257" s="39" t="s">
        <v>773</v>
      </c>
      <c r="Q257" s="39" t="s">
        <v>772</v>
      </c>
      <c r="R257" s="16" t="s">
        <v>774</v>
      </c>
      <c r="S257" s="160">
        <v>0</v>
      </c>
      <c r="T257" s="160">
        <v>0</v>
      </c>
      <c r="U257" s="160">
        <v>0</v>
      </c>
      <c r="V257" s="160">
        <v>0</v>
      </c>
      <c r="W257" s="160">
        <v>0</v>
      </c>
      <c r="X257" s="161" t="e">
        <v>#N/A</v>
      </c>
      <c r="Y257" s="160"/>
      <c r="Z257" s="16">
        <v>0</v>
      </c>
      <c r="AA257" s="162">
        <v>0</v>
      </c>
      <c r="AB257" s="162">
        <v>0</v>
      </c>
      <c r="AC257" s="162">
        <v>0</v>
      </c>
      <c r="AD257" s="160"/>
      <c r="AE257" s="145">
        <v>0</v>
      </c>
      <c r="AF257" s="163">
        <v>1.0469999999999999</v>
      </c>
      <c r="AG257" s="164">
        <v>1.046</v>
      </c>
      <c r="AH257" s="164">
        <v>1.046</v>
      </c>
      <c r="AI257" s="164">
        <v>0</v>
      </c>
      <c r="AJ257" s="164">
        <f t="shared" si="25"/>
        <v>0</v>
      </c>
      <c r="AK257" s="165">
        <v>0</v>
      </c>
      <c r="AL257" s="165">
        <v>0</v>
      </c>
      <c r="AM257" s="165">
        <f t="shared" si="28"/>
        <v>0</v>
      </c>
      <c r="AN257" s="165">
        <f t="shared" si="29"/>
        <v>0</v>
      </c>
      <c r="AO257" s="16"/>
      <c r="AP257" s="231">
        <f t="shared" si="26"/>
        <v>0</v>
      </c>
      <c r="AR257" s="231"/>
      <c r="AS257" s="231"/>
      <c r="AU257" s="230">
        <v>0</v>
      </c>
      <c r="AV257" s="233">
        <v>0</v>
      </c>
      <c r="AW257" s="230">
        <f t="shared" si="24"/>
        <v>0</v>
      </c>
    </row>
    <row r="258" spans="1:49" s="172" customFormat="1" x14ac:dyDescent="0.3">
      <c r="A258" s="166" t="s">
        <v>50</v>
      </c>
      <c r="B258" s="167" t="s">
        <v>777</v>
      </c>
      <c r="C258" s="167" t="s">
        <v>302</v>
      </c>
      <c r="D258" s="412" t="s">
        <v>3462</v>
      </c>
      <c r="E258" s="168" t="s">
        <v>666</v>
      </c>
      <c r="F258" s="168" t="s">
        <v>542</v>
      </c>
      <c r="G258" s="168" t="s">
        <v>309</v>
      </c>
      <c r="H258" s="168" t="s">
        <v>373</v>
      </c>
      <c r="I258" s="168" t="s">
        <v>374</v>
      </c>
      <c r="J258" s="168" t="s">
        <v>312</v>
      </c>
      <c r="K258" s="168" t="s">
        <v>1849</v>
      </c>
      <c r="L258" s="167" t="s">
        <v>304</v>
      </c>
      <c r="M258" s="167" t="s">
        <v>305</v>
      </c>
      <c r="N258" s="167">
        <v>11</v>
      </c>
      <c r="O258" s="167" t="s">
        <v>302</v>
      </c>
      <c r="P258" s="167" t="s">
        <v>302</v>
      </c>
      <c r="Q258" s="167" t="s">
        <v>777</v>
      </c>
      <c r="R258" s="166" t="s">
        <v>50</v>
      </c>
      <c r="S258" s="169">
        <v>14429346</v>
      </c>
      <c r="T258" s="160">
        <v>1076505.8600000001</v>
      </c>
      <c r="U258" s="160">
        <v>0</v>
      </c>
      <c r="V258" s="160">
        <v>4489813.6500000004</v>
      </c>
      <c r="W258" s="160">
        <v>9939532.3499999996</v>
      </c>
      <c r="X258" s="161">
        <v>0</v>
      </c>
      <c r="Y258" s="160"/>
      <c r="Z258" s="16">
        <v>31.11</v>
      </c>
      <c r="AA258" s="162">
        <v>4489813.6500000004</v>
      </c>
      <c r="AB258" s="162">
        <v>1122453.4125000001</v>
      </c>
      <c r="AC258" s="162">
        <v>13469440.950000001</v>
      </c>
      <c r="AD258" s="160"/>
      <c r="AE258" s="145">
        <v>14429346</v>
      </c>
      <c r="AF258" s="163">
        <v>1.0529999999999999</v>
      </c>
      <c r="AG258" s="163">
        <v>1.0489999999999999</v>
      </c>
      <c r="AH258" s="163">
        <v>1.0469999999999999</v>
      </c>
      <c r="AI258" s="164">
        <v>14429346</v>
      </c>
      <c r="AJ258" s="164">
        <f t="shared" si="25"/>
        <v>0</v>
      </c>
      <c r="AK258" s="229">
        <v>14429346</v>
      </c>
      <c r="AL258" s="229">
        <f ca="1">SUMIF('MS &amp; Vacancies combined'!A:J,D258,'MS &amp; Vacancies combined'!J:J)*105.3/100</f>
        <v>14106629.341281058</v>
      </c>
      <c r="AM258" s="229">
        <f t="shared" ca="1" si="28"/>
        <v>14797854.179003829</v>
      </c>
      <c r="AN258" s="229">
        <f t="shared" ca="1" si="29"/>
        <v>15493353.325417008</v>
      </c>
      <c r="AO258" s="166"/>
      <c r="AP258" s="413">
        <f t="shared" ca="1" si="26"/>
        <v>322716.65871894173</v>
      </c>
      <c r="AR258" s="231"/>
      <c r="AS258" s="231"/>
      <c r="AU258" s="414">
        <v>14429346</v>
      </c>
      <c r="AV258" s="415">
        <v>14429346</v>
      </c>
      <c r="AW258" s="414">
        <f t="shared" ref="AW258:AW321" si="30">AU258-S258</f>
        <v>0</v>
      </c>
    </row>
    <row r="259" spans="1:49" s="172" customFormat="1" x14ac:dyDescent="0.3">
      <c r="A259" s="166" t="s">
        <v>52</v>
      </c>
      <c r="B259" s="167" t="s">
        <v>778</v>
      </c>
      <c r="C259" s="167" t="s">
        <v>376</v>
      </c>
      <c r="D259" s="412" t="s">
        <v>3462</v>
      </c>
      <c r="E259" s="168" t="s">
        <v>666</v>
      </c>
      <c r="F259" s="168" t="s">
        <v>542</v>
      </c>
      <c r="G259" s="168" t="s">
        <v>309</v>
      </c>
      <c r="H259" s="168" t="s">
        <v>373</v>
      </c>
      <c r="I259" s="168" t="s">
        <v>377</v>
      </c>
      <c r="J259" s="168" t="s">
        <v>312</v>
      </c>
      <c r="K259" s="168" t="s">
        <v>1849</v>
      </c>
      <c r="L259" s="167" t="s">
        <v>304</v>
      </c>
      <c r="M259" s="167" t="s">
        <v>305</v>
      </c>
      <c r="N259" s="167">
        <v>11</v>
      </c>
      <c r="O259" s="167" t="s">
        <v>376</v>
      </c>
      <c r="P259" s="167" t="s">
        <v>376</v>
      </c>
      <c r="Q259" s="167" t="s">
        <v>778</v>
      </c>
      <c r="R259" s="166" t="s">
        <v>52</v>
      </c>
      <c r="S259" s="169">
        <v>12576</v>
      </c>
      <c r="T259" s="160">
        <v>1000</v>
      </c>
      <c r="U259" s="160">
        <v>0</v>
      </c>
      <c r="V259" s="160">
        <v>4000</v>
      </c>
      <c r="W259" s="160">
        <v>8576</v>
      </c>
      <c r="X259" s="161">
        <v>0</v>
      </c>
      <c r="Y259" s="160"/>
      <c r="Z259" s="16">
        <v>31.8</v>
      </c>
      <c r="AA259" s="162">
        <v>4000</v>
      </c>
      <c r="AB259" s="162">
        <v>1000</v>
      </c>
      <c r="AC259" s="162">
        <v>12000</v>
      </c>
      <c r="AD259" s="160"/>
      <c r="AE259" s="145">
        <v>12576</v>
      </c>
      <c r="AF259" s="163">
        <v>1.0529999999999999</v>
      </c>
      <c r="AG259" s="163">
        <v>1.0489999999999999</v>
      </c>
      <c r="AH259" s="163">
        <v>1.0469999999999999</v>
      </c>
      <c r="AI259" s="164">
        <v>12576</v>
      </c>
      <c r="AJ259" s="164">
        <f t="shared" si="25"/>
        <v>0</v>
      </c>
      <c r="AK259" s="229">
        <v>12576</v>
      </c>
      <c r="AL259" s="229">
        <f ca="1">SUMIF('MS &amp; Vacancies combined'!A:M,D259,'MS &amp; Vacancies combined'!M:M)*105.3/100</f>
        <v>11650.951497718543</v>
      </c>
      <c r="AM259" s="229">
        <f t="shared" ca="1" si="28"/>
        <v>12221.84812110675</v>
      </c>
      <c r="AN259" s="229">
        <f t="shared" ca="1" si="29"/>
        <v>12796.274982798766</v>
      </c>
      <c r="AO259" s="166"/>
      <c r="AP259" s="413">
        <f t="shared" ca="1" si="26"/>
        <v>925.04850228145733</v>
      </c>
      <c r="AR259" s="231"/>
      <c r="AS259" s="231"/>
      <c r="AU259" s="414">
        <v>12576</v>
      </c>
      <c r="AV259" s="415">
        <v>12576</v>
      </c>
      <c r="AW259" s="414">
        <f t="shared" si="30"/>
        <v>0</v>
      </c>
    </row>
    <row r="260" spans="1:49" s="172" customFormat="1" x14ac:dyDescent="0.3">
      <c r="A260" s="166" t="s">
        <v>54</v>
      </c>
      <c r="B260" s="167" t="s">
        <v>779</v>
      </c>
      <c r="C260" s="167" t="s">
        <v>379</v>
      </c>
      <c r="D260" s="412" t="s">
        <v>3462</v>
      </c>
      <c r="E260" s="168" t="s">
        <v>666</v>
      </c>
      <c r="F260" s="168" t="s">
        <v>542</v>
      </c>
      <c r="G260" s="168" t="s">
        <v>309</v>
      </c>
      <c r="H260" s="168" t="s">
        <v>373</v>
      </c>
      <c r="I260" s="168" t="s">
        <v>380</v>
      </c>
      <c r="J260" s="168" t="s">
        <v>312</v>
      </c>
      <c r="K260" s="168" t="s">
        <v>1849</v>
      </c>
      <c r="L260" s="167" t="s">
        <v>304</v>
      </c>
      <c r="M260" s="167" t="s">
        <v>305</v>
      </c>
      <c r="N260" s="167">
        <v>11</v>
      </c>
      <c r="O260" s="167" t="s">
        <v>379</v>
      </c>
      <c r="P260" s="167" t="s">
        <v>379</v>
      </c>
      <c r="Q260" s="167" t="s">
        <v>779</v>
      </c>
      <c r="R260" s="166" t="s">
        <v>54</v>
      </c>
      <c r="S260" s="169">
        <v>315371</v>
      </c>
      <c r="T260" s="160">
        <v>8094.16</v>
      </c>
      <c r="U260" s="160">
        <v>0</v>
      </c>
      <c r="V260" s="160">
        <v>35411.949999999997</v>
      </c>
      <c r="W260" s="160">
        <v>279959.05</v>
      </c>
      <c r="X260" s="161">
        <v>0</v>
      </c>
      <c r="Y260" s="160"/>
      <c r="Z260" s="16">
        <v>11.22</v>
      </c>
      <c r="AA260" s="162">
        <v>35411.949999999997</v>
      </c>
      <c r="AB260" s="162">
        <v>8852.9874999999993</v>
      </c>
      <c r="AC260" s="162">
        <v>106235.84999999999</v>
      </c>
      <c r="AD260" s="160"/>
      <c r="AE260" s="145">
        <v>315371</v>
      </c>
      <c r="AF260" s="163">
        <v>1.0529999999999999</v>
      </c>
      <c r="AG260" s="163">
        <v>1.0489999999999999</v>
      </c>
      <c r="AH260" s="163">
        <v>1.0469999999999999</v>
      </c>
      <c r="AI260" s="164">
        <v>315371</v>
      </c>
      <c r="AJ260" s="164">
        <f t="shared" si="25"/>
        <v>0</v>
      </c>
      <c r="AK260" s="229">
        <v>315371</v>
      </c>
      <c r="AL260" s="229">
        <f ca="1">SUMIF('MS &amp; Vacancies combined'!A:L,D260,'MS &amp; Vacancies combined'!L:L)*105.3/100</f>
        <v>306490.1631180137</v>
      </c>
      <c r="AM260" s="229">
        <f t="shared" ca="1" si="28"/>
        <v>321508.18111079634</v>
      </c>
      <c r="AN260" s="229">
        <f t="shared" ca="1" si="29"/>
        <v>336619.06562300376</v>
      </c>
      <c r="AO260" s="166"/>
      <c r="AP260" s="413">
        <f t="shared" ca="1" si="26"/>
        <v>8880.8368819862953</v>
      </c>
      <c r="AR260" s="231"/>
      <c r="AS260" s="231"/>
      <c r="AU260" s="414">
        <v>315371</v>
      </c>
      <c r="AV260" s="415">
        <v>315371</v>
      </c>
      <c r="AW260" s="414">
        <f t="shared" si="30"/>
        <v>0</v>
      </c>
    </row>
    <row r="261" spans="1:49" s="172" customFormat="1" x14ac:dyDescent="0.3">
      <c r="A261" s="166" t="s">
        <v>56</v>
      </c>
      <c r="B261" s="167" t="s">
        <v>780</v>
      </c>
      <c r="C261" s="167" t="s">
        <v>385</v>
      </c>
      <c r="D261" s="412" t="s">
        <v>3462</v>
      </c>
      <c r="E261" s="168" t="s">
        <v>666</v>
      </c>
      <c r="F261" s="168" t="s">
        <v>542</v>
      </c>
      <c r="G261" s="168" t="s">
        <v>309</v>
      </c>
      <c r="H261" s="168" t="s">
        <v>373</v>
      </c>
      <c r="I261" s="168" t="s">
        <v>386</v>
      </c>
      <c r="J261" s="168" t="s">
        <v>387</v>
      </c>
      <c r="K261" s="168" t="s">
        <v>1849</v>
      </c>
      <c r="L261" s="167" t="s">
        <v>304</v>
      </c>
      <c r="M261" s="167" t="s">
        <v>305</v>
      </c>
      <c r="N261" s="167">
        <v>11</v>
      </c>
      <c r="O261" s="167" t="s">
        <v>385</v>
      </c>
      <c r="P261" s="167" t="s">
        <v>385</v>
      </c>
      <c r="Q261" s="167" t="s">
        <v>780</v>
      </c>
      <c r="R261" s="166" t="s">
        <v>56</v>
      </c>
      <c r="S261" s="169">
        <v>58839</v>
      </c>
      <c r="T261" s="160">
        <v>69814.399999999994</v>
      </c>
      <c r="U261" s="160">
        <v>0</v>
      </c>
      <c r="V261" s="160">
        <v>338090.3</v>
      </c>
      <c r="W261" s="160">
        <v>-279251.3</v>
      </c>
      <c r="X261" s="161">
        <v>0</v>
      </c>
      <c r="Y261" s="160"/>
      <c r="Z261" s="16">
        <v>574.6</v>
      </c>
      <c r="AA261" s="162">
        <v>338090.3</v>
      </c>
      <c r="AB261" s="162">
        <v>84522.574999999997</v>
      </c>
      <c r="AC261" s="162">
        <v>1014270.8999999999</v>
      </c>
      <c r="AD261" s="160"/>
      <c r="AE261" s="145">
        <v>58839</v>
      </c>
      <c r="AF261" s="163">
        <v>1.0529999999999999</v>
      </c>
      <c r="AG261" s="163">
        <v>1.0489999999999999</v>
      </c>
      <c r="AH261" s="163">
        <v>1.0469999999999999</v>
      </c>
      <c r="AI261" s="164">
        <v>58839</v>
      </c>
      <c r="AJ261" s="164">
        <f t="shared" si="25"/>
        <v>0</v>
      </c>
      <c r="AK261" s="229">
        <v>58839</v>
      </c>
      <c r="AL261" s="229">
        <f ca="1">SUMIF('MS &amp; Vacancies combined'!A:O,D261,'MS &amp; Vacancies combined'!O:O)*105.3/100</f>
        <v>884248.9639193489</v>
      </c>
      <c r="AM261" s="229">
        <f t="shared" ca="1" si="28"/>
        <v>927577.1631513969</v>
      </c>
      <c r="AN261" s="229">
        <f t="shared" ca="1" si="29"/>
        <v>971173.28981951252</v>
      </c>
      <c r="AO261" s="166"/>
      <c r="AP261" s="413">
        <f t="shared" ca="1" si="26"/>
        <v>-825409.9639193489</v>
      </c>
      <c r="AR261" s="231"/>
      <c r="AS261" s="231"/>
      <c r="AU261" s="414">
        <v>58839</v>
      </c>
      <c r="AV261" s="415">
        <v>58839</v>
      </c>
      <c r="AW261" s="414">
        <f t="shared" si="30"/>
        <v>0</v>
      </c>
    </row>
    <row r="262" spans="1:49" x14ac:dyDescent="0.3">
      <c r="A262" s="16" t="s">
        <v>61</v>
      </c>
      <c r="B262" s="39" t="s">
        <v>781</v>
      </c>
      <c r="C262" s="39" t="s">
        <v>460</v>
      </c>
      <c r="D262" s="340" t="s">
        <v>3462</v>
      </c>
      <c r="E262" s="159" t="s">
        <v>666</v>
      </c>
      <c r="F262" s="159" t="s">
        <v>542</v>
      </c>
      <c r="G262" s="159" t="s">
        <v>309</v>
      </c>
      <c r="H262" s="159" t="s">
        <v>373</v>
      </c>
      <c r="I262" s="159" t="s">
        <v>461</v>
      </c>
      <c r="J262" s="159" t="s">
        <v>312</v>
      </c>
      <c r="K262" s="159" t="s">
        <v>1849</v>
      </c>
      <c r="L262" s="39" t="s">
        <v>304</v>
      </c>
      <c r="M262" s="39" t="s">
        <v>305</v>
      </c>
      <c r="N262" s="39">
        <v>11</v>
      </c>
      <c r="O262" s="39" t="s">
        <v>460</v>
      </c>
      <c r="P262" s="39" t="s">
        <v>460</v>
      </c>
      <c r="Q262" s="39" t="s">
        <v>781</v>
      </c>
      <c r="R262" s="16" t="s">
        <v>61</v>
      </c>
      <c r="S262" s="169">
        <v>0</v>
      </c>
      <c r="T262" s="160">
        <v>0</v>
      </c>
      <c r="U262" s="160">
        <v>0</v>
      </c>
      <c r="V262" s="160">
        <v>0</v>
      </c>
      <c r="W262" s="160">
        <v>0</v>
      </c>
      <c r="X262" s="161">
        <v>0</v>
      </c>
      <c r="Y262" s="160"/>
      <c r="Z262" s="16">
        <v>0</v>
      </c>
      <c r="AA262" s="162">
        <v>0</v>
      </c>
      <c r="AB262" s="162">
        <v>0</v>
      </c>
      <c r="AC262" s="162">
        <v>0</v>
      </c>
      <c r="AD262" s="160"/>
      <c r="AE262" s="145">
        <v>0</v>
      </c>
      <c r="AF262" s="163">
        <v>1.0469999999999999</v>
      </c>
      <c r="AG262" s="164">
        <v>1.046</v>
      </c>
      <c r="AH262" s="164">
        <v>1.046</v>
      </c>
      <c r="AI262" s="164">
        <v>0</v>
      </c>
      <c r="AJ262" s="164">
        <f t="shared" si="25"/>
        <v>0</v>
      </c>
      <c r="AK262" s="165">
        <v>0</v>
      </c>
      <c r="AL262" s="165">
        <v>0</v>
      </c>
      <c r="AM262" s="165">
        <f t="shared" si="28"/>
        <v>0</v>
      </c>
      <c r="AN262" s="165">
        <f t="shared" si="29"/>
        <v>0</v>
      </c>
      <c r="AO262" s="16"/>
      <c r="AP262" s="231">
        <f t="shared" si="26"/>
        <v>0</v>
      </c>
      <c r="AR262" s="231"/>
      <c r="AS262" s="231"/>
      <c r="AU262" s="230">
        <v>0</v>
      </c>
      <c r="AV262" s="233">
        <v>0</v>
      </c>
      <c r="AW262" s="230">
        <f t="shared" si="30"/>
        <v>0</v>
      </c>
    </row>
    <row r="263" spans="1:49" s="172" customFormat="1" x14ac:dyDescent="0.3">
      <c r="A263" s="166" t="s">
        <v>62</v>
      </c>
      <c r="B263" s="167" t="s">
        <v>782</v>
      </c>
      <c r="C263" s="167" t="s">
        <v>395</v>
      </c>
      <c r="D263" s="412" t="s">
        <v>3462</v>
      </c>
      <c r="E263" s="168" t="s">
        <v>666</v>
      </c>
      <c r="F263" s="168" t="s">
        <v>542</v>
      </c>
      <c r="G263" s="168" t="s">
        <v>309</v>
      </c>
      <c r="H263" s="168" t="s">
        <v>373</v>
      </c>
      <c r="I263" s="168" t="s">
        <v>396</v>
      </c>
      <c r="J263" s="168" t="s">
        <v>312</v>
      </c>
      <c r="K263" s="168" t="s">
        <v>1849</v>
      </c>
      <c r="L263" s="167" t="s">
        <v>304</v>
      </c>
      <c r="M263" s="167" t="s">
        <v>305</v>
      </c>
      <c r="N263" s="167">
        <v>11</v>
      </c>
      <c r="O263" s="167" t="s">
        <v>395</v>
      </c>
      <c r="P263" s="167" t="s">
        <v>395</v>
      </c>
      <c r="Q263" s="167" t="s">
        <v>782</v>
      </c>
      <c r="R263" s="166" t="s">
        <v>62</v>
      </c>
      <c r="S263" s="169">
        <v>1071261</v>
      </c>
      <c r="T263" s="160">
        <v>0</v>
      </c>
      <c r="U263" s="160">
        <v>0</v>
      </c>
      <c r="V263" s="160">
        <v>279355</v>
      </c>
      <c r="W263" s="160">
        <v>791906</v>
      </c>
      <c r="X263" s="161">
        <v>0</v>
      </c>
      <c r="Y263" s="160"/>
      <c r="Z263" s="16">
        <v>26.07</v>
      </c>
      <c r="AA263" s="162">
        <v>279355</v>
      </c>
      <c r="AB263" s="162">
        <v>69838.75</v>
      </c>
      <c r="AC263" s="162">
        <v>838065</v>
      </c>
      <c r="AD263" s="160"/>
      <c r="AE263" s="145">
        <v>1071261</v>
      </c>
      <c r="AF263" s="163">
        <v>1.0529999999999999</v>
      </c>
      <c r="AG263" s="163">
        <v>1.0489999999999999</v>
      </c>
      <c r="AH263" s="163">
        <v>1.0469999999999999</v>
      </c>
      <c r="AI263" s="164">
        <v>1071261</v>
      </c>
      <c r="AJ263" s="164">
        <f t="shared" ref="AJ263:AJ326" si="31">AE263-AI263</f>
        <v>0</v>
      </c>
      <c r="AK263" s="229">
        <v>1071261</v>
      </c>
      <c r="AL263" s="229">
        <f ca="1">SUMIF('MS &amp; Vacancies combined'!A:K,D263,'MS &amp; Vacancies combined'!K:K)*105.3/100</f>
        <v>1048063.2838025212</v>
      </c>
      <c r="AM263" s="229">
        <f t="shared" ca="1" si="28"/>
        <v>1099418.3847088446</v>
      </c>
      <c r="AN263" s="229">
        <f t="shared" ca="1" si="29"/>
        <v>1151091.0487901601</v>
      </c>
      <c r="AO263" s="166"/>
      <c r="AP263" s="413">
        <f t="shared" ref="AP263:AP326" ca="1" si="32">AK263-AL263</f>
        <v>23197.716197478818</v>
      </c>
      <c r="AR263" s="231"/>
      <c r="AS263" s="231"/>
      <c r="AU263" s="414">
        <v>1071261</v>
      </c>
      <c r="AV263" s="415">
        <v>1071261</v>
      </c>
      <c r="AW263" s="414">
        <f t="shared" si="30"/>
        <v>0</v>
      </c>
    </row>
    <row r="264" spans="1:49" s="172" customFormat="1" x14ac:dyDescent="0.3">
      <c r="A264" s="166" t="s">
        <v>69</v>
      </c>
      <c r="B264" s="167" t="s">
        <v>783</v>
      </c>
      <c r="C264" s="167" t="s">
        <v>398</v>
      </c>
      <c r="D264" s="412" t="s">
        <v>3462</v>
      </c>
      <c r="E264" s="168" t="s">
        <v>666</v>
      </c>
      <c r="F264" s="168" t="s">
        <v>542</v>
      </c>
      <c r="G264" s="168" t="s">
        <v>309</v>
      </c>
      <c r="H264" s="168" t="s">
        <v>310</v>
      </c>
      <c r="I264" s="168" t="s">
        <v>374</v>
      </c>
      <c r="J264" s="168" t="s">
        <v>312</v>
      </c>
      <c r="K264" s="168" t="s">
        <v>1849</v>
      </c>
      <c r="L264" s="167" t="s">
        <v>304</v>
      </c>
      <c r="M264" s="167" t="s">
        <v>305</v>
      </c>
      <c r="N264" s="167">
        <v>11</v>
      </c>
      <c r="O264" s="167" t="s">
        <v>398</v>
      </c>
      <c r="P264" s="167" t="s">
        <v>398</v>
      </c>
      <c r="Q264" s="167" t="s">
        <v>783</v>
      </c>
      <c r="R264" s="166" t="s">
        <v>69</v>
      </c>
      <c r="S264" s="169">
        <v>3368</v>
      </c>
      <c r="T264" s="160">
        <v>259.2</v>
      </c>
      <c r="U264" s="160">
        <v>0</v>
      </c>
      <c r="V264" s="160">
        <v>1058.4000000000001</v>
      </c>
      <c r="W264" s="160">
        <v>2309.6</v>
      </c>
      <c r="X264" s="161">
        <v>0</v>
      </c>
      <c r="Y264" s="160"/>
      <c r="Z264" s="16">
        <v>31.42</v>
      </c>
      <c r="AA264" s="162">
        <v>1058.4000000000001</v>
      </c>
      <c r="AB264" s="162">
        <v>264.60000000000002</v>
      </c>
      <c r="AC264" s="162">
        <v>3175.2000000000003</v>
      </c>
      <c r="AD264" s="160"/>
      <c r="AE264" s="145">
        <v>3368</v>
      </c>
      <c r="AF264" s="163">
        <v>1.0529999999999999</v>
      </c>
      <c r="AG264" s="163">
        <v>1.0489999999999999</v>
      </c>
      <c r="AH264" s="163">
        <v>1.0469999999999999</v>
      </c>
      <c r="AI264" s="164">
        <v>3368</v>
      </c>
      <c r="AJ264" s="164">
        <f t="shared" si="31"/>
        <v>0</v>
      </c>
      <c r="AK264" s="229">
        <v>3368</v>
      </c>
      <c r="AL264" s="229">
        <f ca="1">SUMIF('MS &amp; Vacancies combined'!A:N,D264,'MS &amp; Vacancies combined'!N:N)*105.3/100</f>
        <v>3271.5871805593661</v>
      </c>
      <c r="AM264" s="229">
        <f t="shared" ca="1" si="28"/>
        <v>3431.8949524067748</v>
      </c>
      <c r="AN264" s="229">
        <f t="shared" ca="1" si="29"/>
        <v>3593.1940151698932</v>
      </c>
      <c r="AO264" s="166"/>
      <c r="AP264" s="413">
        <f t="shared" ca="1" si="32"/>
        <v>96.412819440633939</v>
      </c>
      <c r="AR264" s="231"/>
      <c r="AS264" s="231"/>
      <c r="AU264" s="414">
        <v>3368</v>
      </c>
      <c r="AV264" s="415">
        <v>3368</v>
      </c>
      <c r="AW264" s="414">
        <f t="shared" si="30"/>
        <v>0</v>
      </c>
    </row>
    <row r="265" spans="1:49" s="172" customFormat="1" x14ac:dyDescent="0.3">
      <c r="A265" s="166" t="s">
        <v>70</v>
      </c>
      <c r="B265" s="167" t="s">
        <v>784</v>
      </c>
      <c r="C265" s="167" t="s">
        <v>400</v>
      </c>
      <c r="D265" s="412" t="s">
        <v>3462</v>
      </c>
      <c r="E265" s="168" t="s">
        <v>666</v>
      </c>
      <c r="F265" s="168" t="s">
        <v>542</v>
      </c>
      <c r="G265" s="168" t="s">
        <v>309</v>
      </c>
      <c r="H265" s="168" t="s">
        <v>310</v>
      </c>
      <c r="I265" s="168" t="s">
        <v>401</v>
      </c>
      <c r="J265" s="168" t="s">
        <v>312</v>
      </c>
      <c r="K265" s="168" t="s">
        <v>1849</v>
      </c>
      <c r="L265" s="167" t="s">
        <v>304</v>
      </c>
      <c r="M265" s="167" t="s">
        <v>305</v>
      </c>
      <c r="N265" s="167">
        <v>11</v>
      </c>
      <c r="O265" s="167" t="s">
        <v>400</v>
      </c>
      <c r="P265" s="167" t="s">
        <v>400</v>
      </c>
      <c r="Q265" s="167" t="s">
        <v>784</v>
      </c>
      <c r="R265" s="166" t="s">
        <v>70</v>
      </c>
      <c r="S265" s="169">
        <v>245299</v>
      </c>
      <c r="T265" s="160">
        <v>9683.74</v>
      </c>
      <c r="U265" s="160">
        <v>0</v>
      </c>
      <c r="V265" s="160">
        <v>37805.870000000003</v>
      </c>
      <c r="W265" s="160">
        <v>207493.13</v>
      </c>
      <c r="X265" s="161">
        <v>0</v>
      </c>
      <c r="Y265" s="160"/>
      <c r="Z265" s="16">
        <v>15.41</v>
      </c>
      <c r="AA265" s="162">
        <v>37805.870000000003</v>
      </c>
      <c r="AB265" s="162">
        <v>9451.4675000000007</v>
      </c>
      <c r="AC265" s="162">
        <v>113417.61000000002</v>
      </c>
      <c r="AD265" s="160"/>
      <c r="AE265" s="145">
        <v>245299</v>
      </c>
      <c r="AF265" s="163">
        <v>1.0529999999999999</v>
      </c>
      <c r="AG265" s="163">
        <v>1.0489999999999999</v>
      </c>
      <c r="AH265" s="163">
        <v>1.0469999999999999</v>
      </c>
      <c r="AI265" s="164">
        <v>245299</v>
      </c>
      <c r="AJ265" s="164">
        <f t="shared" si="31"/>
        <v>0</v>
      </c>
      <c r="AK265" s="229">
        <v>245299</v>
      </c>
      <c r="AL265" s="229">
        <f ca="1">SUMIF('MS &amp; Vacancies combined'!A:P,D265,'MS &amp; Vacancies combined'!P:P)*105.3/100</f>
        <v>220093.28959852934</v>
      </c>
      <c r="AM265" s="229">
        <f t="shared" ca="1" si="28"/>
        <v>230877.86078885727</v>
      </c>
      <c r="AN265" s="229">
        <f t="shared" ca="1" si="29"/>
        <v>241729.12024593356</v>
      </c>
      <c r="AO265" s="166"/>
      <c r="AP265" s="413">
        <f t="shared" ca="1" si="32"/>
        <v>25205.710401470657</v>
      </c>
      <c r="AR265" s="231"/>
      <c r="AS265" s="231"/>
      <c r="AU265" s="414">
        <v>245299</v>
      </c>
      <c r="AV265" s="415">
        <v>245299</v>
      </c>
      <c r="AW265" s="414">
        <f t="shared" si="30"/>
        <v>0</v>
      </c>
    </row>
    <row r="266" spans="1:49" s="172" customFormat="1" x14ac:dyDescent="0.3">
      <c r="A266" s="166" t="s">
        <v>71</v>
      </c>
      <c r="B266" s="167" t="s">
        <v>785</v>
      </c>
      <c r="C266" s="167" t="s">
        <v>403</v>
      </c>
      <c r="D266" s="412" t="s">
        <v>3462</v>
      </c>
      <c r="E266" s="168" t="s">
        <v>666</v>
      </c>
      <c r="F266" s="168" t="s">
        <v>542</v>
      </c>
      <c r="G266" s="168" t="s">
        <v>309</v>
      </c>
      <c r="H266" s="168" t="s">
        <v>310</v>
      </c>
      <c r="I266" s="168" t="s">
        <v>404</v>
      </c>
      <c r="J266" s="168" t="s">
        <v>312</v>
      </c>
      <c r="K266" s="168" t="s">
        <v>1849</v>
      </c>
      <c r="L266" s="167" t="s">
        <v>304</v>
      </c>
      <c r="M266" s="167" t="s">
        <v>305</v>
      </c>
      <c r="N266" s="167">
        <v>11</v>
      </c>
      <c r="O266" s="167" t="s">
        <v>403</v>
      </c>
      <c r="P266" s="167" t="s">
        <v>403</v>
      </c>
      <c r="Q266" s="167" t="s">
        <v>785</v>
      </c>
      <c r="R266" s="166" t="s">
        <v>71</v>
      </c>
      <c r="S266" s="169">
        <v>1620722</v>
      </c>
      <c r="T266" s="160">
        <v>74668.800000000003</v>
      </c>
      <c r="U266" s="160">
        <v>0</v>
      </c>
      <c r="V266" s="160">
        <v>307771.8</v>
      </c>
      <c r="W266" s="160">
        <v>1312950.2</v>
      </c>
      <c r="X266" s="161">
        <v>0</v>
      </c>
      <c r="Y266" s="160"/>
      <c r="Z266" s="16">
        <v>18.98</v>
      </c>
      <c r="AA266" s="162">
        <v>307771.8</v>
      </c>
      <c r="AB266" s="162">
        <v>76942.95</v>
      </c>
      <c r="AC266" s="162">
        <v>923315.39999999991</v>
      </c>
      <c r="AD266" s="160"/>
      <c r="AE266" s="145">
        <v>1620722</v>
      </c>
      <c r="AF266" s="163">
        <v>1.0529999999999999</v>
      </c>
      <c r="AG266" s="163">
        <v>1.0489999999999999</v>
      </c>
      <c r="AH266" s="163">
        <v>1.0469999999999999</v>
      </c>
      <c r="AI266" s="164">
        <v>1620722</v>
      </c>
      <c r="AJ266" s="164">
        <f t="shared" si="31"/>
        <v>0</v>
      </c>
      <c r="AK266" s="229">
        <v>1620722</v>
      </c>
      <c r="AL266" s="229">
        <f ca="1">SUMIF('MS &amp; Vacancies combined'!A:Q,D266,'MS &amp; Vacancies combined'!Q:Q)*105.3/100</f>
        <v>1516744.1678759949</v>
      </c>
      <c r="AM266" s="229">
        <f t="shared" ca="1" si="28"/>
        <v>1591064.6321019186</v>
      </c>
      <c r="AN266" s="229">
        <f t="shared" ca="1" si="29"/>
        <v>1665844.6698107086</v>
      </c>
      <c r="AO266" s="166"/>
      <c r="AP266" s="413">
        <f t="shared" ca="1" si="32"/>
        <v>103977.83212400507</v>
      </c>
      <c r="AR266" s="231"/>
      <c r="AS266" s="231"/>
      <c r="AU266" s="414">
        <v>1620722</v>
      </c>
      <c r="AV266" s="415">
        <v>1620722</v>
      </c>
      <c r="AW266" s="414">
        <f t="shared" si="30"/>
        <v>0</v>
      </c>
    </row>
    <row r="267" spans="1:49" s="172" customFormat="1" x14ac:dyDescent="0.3">
      <c r="A267" s="166" t="s">
        <v>72</v>
      </c>
      <c r="B267" s="167" t="s">
        <v>786</v>
      </c>
      <c r="C267" s="167" t="s">
        <v>406</v>
      </c>
      <c r="D267" s="412" t="s">
        <v>3462</v>
      </c>
      <c r="E267" s="168" t="s">
        <v>666</v>
      </c>
      <c r="F267" s="168" t="s">
        <v>542</v>
      </c>
      <c r="G267" s="168" t="s">
        <v>309</v>
      </c>
      <c r="H267" s="168" t="s">
        <v>310</v>
      </c>
      <c r="I267" s="168" t="s">
        <v>407</v>
      </c>
      <c r="J267" s="168" t="s">
        <v>312</v>
      </c>
      <c r="K267" s="168" t="s">
        <v>1849</v>
      </c>
      <c r="L267" s="167" t="s">
        <v>304</v>
      </c>
      <c r="M267" s="167" t="s">
        <v>305</v>
      </c>
      <c r="N267" s="167">
        <v>11</v>
      </c>
      <c r="O267" s="167" t="s">
        <v>406</v>
      </c>
      <c r="P267" s="167" t="s">
        <v>406</v>
      </c>
      <c r="Q267" s="167" t="s">
        <v>786</v>
      </c>
      <c r="R267" s="166" t="s">
        <v>72</v>
      </c>
      <c r="S267" s="169">
        <v>2607383</v>
      </c>
      <c r="T267" s="160">
        <v>175942.55</v>
      </c>
      <c r="U267" s="160">
        <v>0</v>
      </c>
      <c r="V267" s="160">
        <v>734687.45</v>
      </c>
      <c r="W267" s="160">
        <v>1872695.55</v>
      </c>
      <c r="X267" s="161">
        <v>0</v>
      </c>
      <c r="Y267" s="160"/>
      <c r="Z267" s="16">
        <v>28.17</v>
      </c>
      <c r="AA267" s="162">
        <v>734687.45</v>
      </c>
      <c r="AB267" s="162">
        <v>183671.86249999999</v>
      </c>
      <c r="AC267" s="162">
        <v>2204062.3499999996</v>
      </c>
      <c r="AD267" s="160"/>
      <c r="AE267" s="145">
        <v>2607383</v>
      </c>
      <c r="AF267" s="163">
        <v>1.0529999999999999</v>
      </c>
      <c r="AG267" s="163">
        <v>1.0489999999999999</v>
      </c>
      <c r="AH267" s="163">
        <v>1.0469999999999999</v>
      </c>
      <c r="AI267" s="164">
        <v>2607383</v>
      </c>
      <c r="AJ267" s="164">
        <f t="shared" si="31"/>
        <v>0</v>
      </c>
      <c r="AK267" s="229">
        <v>2607383</v>
      </c>
      <c r="AL267" s="229">
        <f ca="1">SUMIF('MS &amp; Vacancies combined'!A:R,D267,'MS &amp; Vacancies combined'!R:R)*105.3/100</f>
        <v>2272620.4245973858</v>
      </c>
      <c r="AM267" s="229">
        <f t="shared" ca="1" si="28"/>
        <v>2383978.8254026575</v>
      </c>
      <c r="AN267" s="229">
        <f t="shared" ca="1" si="29"/>
        <v>2496025.8301965822</v>
      </c>
      <c r="AO267" s="166"/>
      <c r="AP267" s="413">
        <f t="shared" ca="1" si="32"/>
        <v>334762.57540261419</v>
      </c>
      <c r="AR267" s="231"/>
      <c r="AS267" s="231"/>
      <c r="AU267" s="414">
        <v>2607383</v>
      </c>
      <c r="AV267" s="415">
        <v>2607383</v>
      </c>
      <c r="AW267" s="414">
        <f t="shared" si="30"/>
        <v>0</v>
      </c>
    </row>
    <row r="268" spans="1:49" s="172" customFormat="1" x14ac:dyDescent="0.3">
      <c r="A268" s="166" t="s">
        <v>73</v>
      </c>
      <c r="B268" s="167" t="s">
        <v>787</v>
      </c>
      <c r="C268" s="167" t="s">
        <v>307</v>
      </c>
      <c r="D268" s="412" t="s">
        <v>3462</v>
      </c>
      <c r="E268" s="168" t="s">
        <v>666</v>
      </c>
      <c r="F268" s="168" t="s">
        <v>542</v>
      </c>
      <c r="G268" s="168" t="s">
        <v>309</v>
      </c>
      <c r="H268" s="168" t="s">
        <v>310</v>
      </c>
      <c r="I268" s="168" t="s">
        <v>311</v>
      </c>
      <c r="J268" s="168" t="s">
        <v>312</v>
      </c>
      <c r="K268" s="168" t="s">
        <v>1849</v>
      </c>
      <c r="L268" s="167" t="s">
        <v>304</v>
      </c>
      <c r="M268" s="167" t="s">
        <v>305</v>
      </c>
      <c r="N268" s="167">
        <v>11</v>
      </c>
      <c r="O268" s="167" t="s">
        <v>307</v>
      </c>
      <c r="P268" s="167" t="s">
        <v>307</v>
      </c>
      <c r="Q268" s="167" t="s">
        <v>787</v>
      </c>
      <c r="R268" s="166" t="s">
        <v>73</v>
      </c>
      <c r="S268" s="169">
        <v>60141</v>
      </c>
      <c r="T268" s="160">
        <v>4250.88</v>
      </c>
      <c r="U268" s="160">
        <v>0</v>
      </c>
      <c r="V268" s="160">
        <v>17357.759999999998</v>
      </c>
      <c r="W268" s="160">
        <v>42783.24</v>
      </c>
      <c r="X268" s="161">
        <v>0</v>
      </c>
      <c r="Y268" s="160"/>
      <c r="Z268" s="16">
        <v>28.86</v>
      </c>
      <c r="AA268" s="162">
        <v>17357.759999999998</v>
      </c>
      <c r="AB268" s="162">
        <v>4339.4399999999996</v>
      </c>
      <c r="AC268" s="162">
        <v>52073.279999999999</v>
      </c>
      <c r="AD268" s="160"/>
      <c r="AE268" s="145">
        <v>60141</v>
      </c>
      <c r="AF268" s="163">
        <v>1.0529999999999999</v>
      </c>
      <c r="AG268" s="163">
        <v>1.0489999999999999</v>
      </c>
      <c r="AH268" s="163">
        <v>1.0469999999999999</v>
      </c>
      <c r="AI268" s="164">
        <v>60141</v>
      </c>
      <c r="AJ268" s="164">
        <f t="shared" si="31"/>
        <v>0</v>
      </c>
      <c r="AK268" s="229">
        <v>60141</v>
      </c>
      <c r="AL268" s="229">
        <f ca="1">SUMIF('MS &amp; Vacancies combined'!A:S,D268,'MS &amp; Vacancies combined'!S:S)*105.3/100</f>
        <v>53654.029761173661</v>
      </c>
      <c r="AM268" s="229">
        <f t="shared" ca="1" si="28"/>
        <v>56283.077219471168</v>
      </c>
      <c r="AN268" s="229">
        <f t="shared" ca="1" si="29"/>
        <v>58928.38184878631</v>
      </c>
      <c r="AO268" s="166"/>
      <c r="AP268" s="413">
        <f t="shared" ca="1" si="32"/>
        <v>6486.9702388263395</v>
      </c>
      <c r="AR268" s="231"/>
      <c r="AS268" s="231"/>
      <c r="AU268" s="414">
        <v>60141</v>
      </c>
      <c r="AV268" s="415">
        <v>60141</v>
      </c>
      <c r="AW268" s="414">
        <f t="shared" si="30"/>
        <v>0</v>
      </c>
    </row>
    <row r="269" spans="1:49" hidden="1" x14ac:dyDescent="0.3">
      <c r="A269" s="16" t="s">
        <v>324</v>
      </c>
      <c r="B269" s="39" t="s">
        <v>788</v>
      </c>
      <c r="C269" s="39" t="s">
        <v>76</v>
      </c>
      <c r="D269" s="340" t="s">
        <v>3462</v>
      </c>
      <c r="E269" s="159" t="s">
        <v>666</v>
      </c>
      <c r="F269" s="159" t="s">
        <v>542</v>
      </c>
      <c r="G269" s="159" t="s">
        <v>309</v>
      </c>
      <c r="H269" s="159" t="s">
        <v>325</v>
      </c>
      <c r="I269" s="159" t="s">
        <v>326</v>
      </c>
      <c r="J269" s="159" t="s">
        <v>327</v>
      </c>
      <c r="K269" s="159" t="s">
        <v>1849</v>
      </c>
      <c r="L269" s="39" t="s">
        <v>304</v>
      </c>
      <c r="M269" s="39" t="s">
        <v>305</v>
      </c>
      <c r="N269" s="39">
        <v>11</v>
      </c>
      <c r="O269" s="39" t="s">
        <v>76</v>
      </c>
      <c r="P269" s="39" t="s">
        <v>76</v>
      </c>
      <c r="Q269" s="39" t="s">
        <v>788</v>
      </c>
      <c r="R269" s="16" t="s">
        <v>324</v>
      </c>
      <c r="S269" s="160">
        <v>14776</v>
      </c>
      <c r="T269" s="160">
        <v>0</v>
      </c>
      <c r="U269" s="160">
        <v>0</v>
      </c>
      <c r="V269" s="160">
        <v>6835</v>
      </c>
      <c r="W269" s="160">
        <v>7941</v>
      </c>
      <c r="X269" s="161">
        <v>5535</v>
      </c>
      <c r="Y269" s="160"/>
      <c r="Z269" s="16">
        <v>46.25</v>
      </c>
      <c r="AA269" s="162">
        <v>6835</v>
      </c>
      <c r="AB269" s="162">
        <v>1708.75</v>
      </c>
      <c r="AC269" s="162">
        <v>20505</v>
      </c>
      <c r="AD269" s="160"/>
      <c r="AE269" s="145">
        <v>14776</v>
      </c>
      <c r="AF269" s="163">
        <v>1.0469999999999999</v>
      </c>
      <c r="AG269" s="164">
        <v>1.046</v>
      </c>
      <c r="AH269" s="164">
        <v>1.046</v>
      </c>
      <c r="AI269" s="164">
        <v>14776</v>
      </c>
      <c r="AJ269" s="164">
        <f t="shared" si="31"/>
        <v>0</v>
      </c>
      <c r="AK269" s="165">
        <v>25000</v>
      </c>
      <c r="AL269" s="165">
        <f>AK269</f>
        <v>25000</v>
      </c>
      <c r="AM269" s="165">
        <f t="shared" si="28"/>
        <v>26150</v>
      </c>
      <c r="AN269" s="165">
        <f t="shared" si="29"/>
        <v>27352.9</v>
      </c>
      <c r="AO269" s="16"/>
      <c r="AP269" s="231">
        <f t="shared" si="32"/>
        <v>0</v>
      </c>
      <c r="AR269" s="231"/>
      <c r="AS269" s="231"/>
      <c r="AU269" s="230">
        <v>14776</v>
      </c>
      <c r="AV269" s="233">
        <v>14776</v>
      </c>
      <c r="AW269" s="230">
        <f t="shared" si="30"/>
        <v>0</v>
      </c>
    </row>
    <row r="270" spans="1:49" hidden="1" x14ac:dyDescent="0.3">
      <c r="A270" s="16" t="s">
        <v>790</v>
      </c>
      <c r="B270" s="39" t="s">
        <v>789</v>
      </c>
      <c r="C270" s="39" t="s">
        <v>76</v>
      </c>
      <c r="D270" s="340" t="s">
        <v>3462</v>
      </c>
      <c r="E270" s="159" t="s">
        <v>666</v>
      </c>
      <c r="F270" s="159" t="s">
        <v>542</v>
      </c>
      <c r="G270" s="159" t="s">
        <v>309</v>
      </c>
      <c r="H270" s="159" t="s">
        <v>325</v>
      </c>
      <c r="I270" s="159" t="s">
        <v>414</v>
      </c>
      <c r="J270" s="159" t="s">
        <v>312</v>
      </c>
      <c r="K270" s="159" t="s">
        <v>1849</v>
      </c>
      <c r="L270" s="39" t="s">
        <v>304</v>
      </c>
      <c r="M270" s="39" t="s">
        <v>305</v>
      </c>
      <c r="N270" s="39">
        <v>11</v>
      </c>
      <c r="O270" s="39" t="s">
        <v>76</v>
      </c>
      <c r="P270" s="39" t="s">
        <v>791</v>
      </c>
      <c r="Q270" s="39" t="s">
        <v>789</v>
      </c>
      <c r="R270" s="16" t="s">
        <v>790</v>
      </c>
      <c r="S270" s="160">
        <v>0</v>
      </c>
      <c r="T270" s="160">
        <v>0</v>
      </c>
      <c r="U270" s="160">
        <v>0</v>
      </c>
      <c r="V270" s="160">
        <v>0</v>
      </c>
      <c r="W270" s="160">
        <v>0</v>
      </c>
      <c r="X270" s="161">
        <v>0</v>
      </c>
      <c r="Y270" s="160"/>
      <c r="Z270" s="16">
        <v>0</v>
      </c>
      <c r="AA270" s="162">
        <v>0</v>
      </c>
      <c r="AB270" s="162">
        <v>0</v>
      </c>
      <c r="AC270" s="162">
        <v>0</v>
      </c>
      <c r="AD270" s="160"/>
      <c r="AE270" s="145">
        <v>0</v>
      </c>
      <c r="AF270" s="163">
        <v>1.0469999999999999</v>
      </c>
      <c r="AG270" s="164">
        <v>1.046</v>
      </c>
      <c r="AH270" s="164">
        <v>1.046</v>
      </c>
      <c r="AI270" s="164">
        <v>0</v>
      </c>
      <c r="AJ270" s="164">
        <f t="shared" si="31"/>
        <v>0</v>
      </c>
      <c r="AK270" s="165">
        <v>0</v>
      </c>
      <c r="AL270" s="165">
        <v>0</v>
      </c>
      <c r="AM270" s="165">
        <f t="shared" si="28"/>
        <v>0</v>
      </c>
      <c r="AN270" s="165">
        <f t="shared" si="29"/>
        <v>0</v>
      </c>
      <c r="AO270" s="16"/>
      <c r="AP270" s="231">
        <f t="shared" si="32"/>
        <v>0</v>
      </c>
      <c r="AR270" s="231"/>
      <c r="AS270" s="231"/>
      <c r="AU270" s="230">
        <v>0</v>
      </c>
      <c r="AV270" s="233">
        <v>0</v>
      </c>
      <c r="AW270" s="230">
        <f t="shared" si="30"/>
        <v>0</v>
      </c>
    </row>
    <row r="271" spans="1:49" hidden="1" x14ac:dyDescent="0.3">
      <c r="A271" s="16" t="s">
        <v>793</v>
      </c>
      <c r="B271" s="39" t="s">
        <v>792</v>
      </c>
      <c r="C271" s="39" t="s">
        <v>80</v>
      </c>
      <c r="D271" s="340" t="s">
        <v>3462</v>
      </c>
      <c r="E271" s="159" t="s">
        <v>666</v>
      </c>
      <c r="F271" s="159" t="s">
        <v>542</v>
      </c>
      <c r="G271" s="159" t="s">
        <v>309</v>
      </c>
      <c r="H271" s="159" t="s">
        <v>413</v>
      </c>
      <c r="I271" s="159" t="s">
        <v>573</v>
      </c>
      <c r="J271" s="159" t="s">
        <v>312</v>
      </c>
      <c r="K271" s="159" t="s">
        <v>1849</v>
      </c>
      <c r="L271" s="39" t="s">
        <v>304</v>
      </c>
      <c r="M271" s="39" t="s">
        <v>305</v>
      </c>
      <c r="N271" s="39">
        <v>11</v>
      </c>
      <c r="O271" s="39" t="s">
        <v>80</v>
      </c>
      <c r="P271" s="39" t="s">
        <v>794</v>
      </c>
      <c r="Q271" s="39" t="s">
        <v>792</v>
      </c>
      <c r="R271" s="16" t="s">
        <v>793</v>
      </c>
      <c r="S271" s="160">
        <v>2932323</v>
      </c>
      <c r="T271" s="160">
        <v>0</v>
      </c>
      <c r="U271" s="160">
        <v>0</v>
      </c>
      <c r="V271" s="160">
        <v>0</v>
      </c>
      <c r="W271" s="160">
        <v>2932323</v>
      </c>
      <c r="X271" s="161">
        <v>0</v>
      </c>
      <c r="Y271" s="160"/>
      <c r="Z271" s="16">
        <v>0</v>
      </c>
      <c r="AA271" s="162">
        <v>0</v>
      </c>
      <c r="AB271" s="162">
        <v>0</v>
      </c>
      <c r="AC271" s="162">
        <v>0</v>
      </c>
      <c r="AD271" s="160"/>
      <c r="AE271" s="145">
        <v>2932323</v>
      </c>
      <c r="AF271" s="163">
        <v>1.0469999999999999</v>
      </c>
      <c r="AG271" s="164">
        <v>1.046</v>
      </c>
      <c r="AH271" s="164">
        <v>1.046</v>
      </c>
      <c r="AI271" s="164">
        <v>2932323</v>
      </c>
      <c r="AJ271" s="164">
        <f t="shared" si="31"/>
        <v>0</v>
      </c>
      <c r="AK271" s="165">
        <v>2500000</v>
      </c>
      <c r="AL271" s="165">
        <f>AK271</f>
        <v>2500000</v>
      </c>
      <c r="AM271" s="165">
        <f t="shared" si="28"/>
        <v>2615000</v>
      </c>
      <c r="AN271" s="165">
        <f t="shared" si="29"/>
        <v>2735290</v>
      </c>
      <c r="AO271" s="16"/>
      <c r="AP271" s="231">
        <f t="shared" si="32"/>
        <v>0</v>
      </c>
      <c r="AR271" s="231"/>
      <c r="AS271" s="231"/>
      <c r="AU271" s="230">
        <v>2932323</v>
      </c>
      <c r="AV271" s="233">
        <v>2932323</v>
      </c>
      <c r="AW271" s="230">
        <f t="shared" si="30"/>
        <v>0</v>
      </c>
    </row>
    <row r="272" spans="1:49" hidden="1" x14ac:dyDescent="0.3">
      <c r="A272" s="16" t="s">
        <v>341</v>
      </c>
      <c r="B272" s="39" t="s">
        <v>795</v>
      </c>
      <c r="C272" s="39" t="s">
        <v>82</v>
      </c>
      <c r="D272" s="340" t="s">
        <v>3462</v>
      </c>
      <c r="E272" s="159" t="s">
        <v>666</v>
      </c>
      <c r="F272" s="159" t="s">
        <v>542</v>
      </c>
      <c r="G272" s="159" t="s">
        <v>309</v>
      </c>
      <c r="H272" s="159" t="s">
        <v>334</v>
      </c>
      <c r="I272" s="159" t="s">
        <v>343</v>
      </c>
      <c r="J272" s="159" t="s">
        <v>312</v>
      </c>
      <c r="K272" s="159" t="s">
        <v>1849</v>
      </c>
      <c r="L272" s="39" t="s">
        <v>304</v>
      </c>
      <c r="M272" s="39" t="s">
        <v>305</v>
      </c>
      <c r="N272" s="39">
        <v>11</v>
      </c>
      <c r="O272" s="39" t="s">
        <v>82</v>
      </c>
      <c r="P272" s="39" t="s">
        <v>342</v>
      </c>
      <c r="Q272" s="39" t="s">
        <v>795</v>
      </c>
      <c r="R272" s="16" t="s">
        <v>341</v>
      </c>
      <c r="S272" s="160">
        <v>0</v>
      </c>
      <c r="T272" s="160">
        <v>0</v>
      </c>
      <c r="U272" s="160">
        <v>0</v>
      </c>
      <c r="V272" s="160">
        <v>0</v>
      </c>
      <c r="W272" s="160">
        <v>0</v>
      </c>
      <c r="X272" s="161">
        <v>0</v>
      </c>
      <c r="Y272" s="160"/>
      <c r="Z272" s="16">
        <v>0</v>
      </c>
      <c r="AA272" s="162">
        <v>0</v>
      </c>
      <c r="AB272" s="162">
        <v>0</v>
      </c>
      <c r="AC272" s="162">
        <v>0</v>
      </c>
      <c r="AD272" s="160"/>
      <c r="AE272" s="145">
        <v>0</v>
      </c>
      <c r="AF272" s="163">
        <v>1.0469999999999999</v>
      </c>
      <c r="AG272" s="164">
        <v>1.046</v>
      </c>
      <c r="AH272" s="164">
        <v>1.046</v>
      </c>
      <c r="AI272" s="164">
        <v>0</v>
      </c>
      <c r="AJ272" s="164">
        <f t="shared" si="31"/>
        <v>0</v>
      </c>
      <c r="AK272" s="165">
        <v>0</v>
      </c>
      <c r="AL272" s="165">
        <v>0</v>
      </c>
      <c r="AM272" s="165">
        <f t="shared" si="28"/>
        <v>0</v>
      </c>
      <c r="AN272" s="165">
        <f t="shared" si="29"/>
        <v>0</v>
      </c>
      <c r="AO272" s="16"/>
      <c r="AP272" s="231">
        <f t="shared" si="32"/>
        <v>0</v>
      </c>
      <c r="AR272" s="231"/>
      <c r="AS272" s="231"/>
      <c r="AU272" s="230">
        <v>0</v>
      </c>
      <c r="AV272" s="233">
        <v>0</v>
      </c>
      <c r="AW272" s="230">
        <f t="shared" si="30"/>
        <v>0</v>
      </c>
    </row>
    <row r="273" spans="1:49" hidden="1" x14ac:dyDescent="0.3">
      <c r="A273" s="16" t="s">
        <v>83</v>
      </c>
      <c r="B273" s="39" t="s">
        <v>796</v>
      </c>
      <c r="C273" s="39" t="s">
        <v>423</v>
      </c>
      <c r="D273" s="340" t="s">
        <v>3462</v>
      </c>
      <c r="E273" s="159" t="s">
        <v>666</v>
      </c>
      <c r="F273" s="159" t="s">
        <v>542</v>
      </c>
      <c r="G273" s="159" t="s">
        <v>309</v>
      </c>
      <c r="H273" s="159" t="s">
        <v>424</v>
      </c>
      <c r="I273" s="159" t="s">
        <v>425</v>
      </c>
      <c r="J273" s="159" t="s">
        <v>426</v>
      </c>
      <c r="K273" s="159" t="s">
        <v>1849</v>
      </c>
      <c r="L273" s="39" t="s">
        <v>304</v>
      </c>
      <c r="M273" s="39" t="s">
        <v>305</v>
      </c>
      <c r="N273" s="39">
        <v>11</v>
      </c>
      <c r="O273" s="39" t="s">
        <v>423</v>
      </c>
      <c r="P273" s="39" t="s">
        <v>423</v>
      </c>
      <c r="Q273" s="39" t="s">
        <v>796</v>
      </c>
      <c r="R273" s="16" t="s">
        <v>83</v>
      </c>
      <c r="S273" s="160">
        <v>709859</v>
      </c>
      <c r="T273" s="160">
        <v>48331.519999999997</v>
      </c>
      <c r="U273" s="160">
        <v>0</v>
      </c>
      <c r="V273" s="160">
        <v>223887.03</v>
      </c>
      <c r="W273" s="160">
        <v>485971.97</v>
      </c>
      <c r="X273" s="161">
        <v>296668.58999999997</v>
      </c>
      <c r="Y273" s="160"/>
      <c r="Z273" s="16">
        <v>31.53</v>
      </c>
      <c r="AA273" s="162">
        <v>223887.03</v>
      </c>
      <c r="AB273" s="162">
        <v>55971.7575</v>
      </c>
      <c r="AC273" s="162">
        <v>671661.09</v>
      </c>
      <c r="AD273" s="160"/>
      <c r="AE273" s="145">
        <v>709859</v>
      </c>
      <c r="AF273" s="163">
        <v>1.0469999999999999</v>
      </c>
      <c r="AG273" s="164">
        <v>1.046</v>
      </c>
      <c r="AH273" s="164">
        <v>1.046</v>
      </c>
      <c r="AI273" s="164">
        <v>709859</v>
      </c>
      <c r="AJ273" s="164">
        <f t="shared" si="31"/>
        <v>0</v>
      </c>
      <c r="AK273" s="165">
        <v>709859</v>
      </c>
      <c r="AL273" s="165">
        <f>AK273</f>
        <v>709859</v>
      </c>
      <c r="AM273" s="165">
        <f t="shared" si="28"/>
        <v>742512.51400000008</v>
      </c>
      <c r="AN273" s="165">
        <f t="shared" si="29"/>
        <v>776668.08964400017</v>
      </c>
      <c r="AO273" s="16"/>
      <c r="AP273" s="231">
        <f t="shared" si="32"/>
        <v>0</v>
      </c>
      <c r="AR273" s="231"/>
      <c r="AS273" s="231"/>
      <c r="AU273" s="230">
        <v>709859</v>
      </c>
      <c r="AV273" s="233">
        <v>709859</v>
      </c>
      <c r="AW273" s="230">
        <f t="shared" si="30"/>
        <v>0</v>
      </c>
    </row>
    <row r="274" spans="1:49" hidden="1" x14ac:dyDescent="0.3">
      <c r="A274" s="16" t="s">
        <v>730</v>
      </c>
      <c r="B274" s="39" t="s">
        <v>797</v>
      </c>
      <c r="C274" s="39" t="s">
        <v>423</v>
      </c>
      <c r="D274" s="340" t="s">
        <v>3462</v>
      </c>
      <c r="E274" s="159" t="s">
        <v>666</v>
      </c>
      <c r="F274" s="159" t="s">
        <v>542</v>
      </c>
      <c r="G274" s="159" t="s">
        <v>309</v>
      </c>
      <c r="H274" s="159" t="s">
        <v>424</v>
      </c>
      <c r="I274" s="159" t="s">
        <v>425</v>
      </c>
      <c r="J274" s="159" t="s">
        <v>731</v>
      </c>
      <c r="K274" s="159" t="s">
        <v>1849</v>
      </c>
      <c r="L274" s="39" t="s">
        <v>304</v>
      </c>
      <c r="M274" s="39" t="s">
        <v>305</v>
      </c>
      <c r="N274" s="39">
        <v>11</v>
      </c>
      <c r="O274" s="39" t="s">
        <v>423</v>
      </c>
      <c r="P274" s="39" t="s">
        <v>423</v>
      </c>
      <c r="Q274" s="39" t="s">
        <v>797</v>
      </c>
      <c r="R274" s="16" t="s">
        <v>730</v>
      </c>
      <c r="S274" s="160">
        <v>0</v>
      </c>
      <c r="T274" s="160">
        <v>0</v>
      </c>
      <c r="U274" s="160">
        <v>0</v>
      </c>
      <c r="V274" s="160">
        <v>0</v>
      </c>
      <c r="W274" s="160">
        <v>0</v>
      </c>
      <c r="X274" s="161">
        <v>0</v>
      </c>
      <c r="Y274" s="160"/>
      <c r="Z274" s="16">
        <v>0</v>
      </c>
      <c r="AA274" s="162">
        <v>0</v>
      </c>
      <c r="AB274" s="162">
        <v>0</v>
      </c>
      <c r="AC274" s="162">
        <v>0</v>
      </c>
      <c r="AD274" s="160"/>
      <c r="AE274" s="145">
        <v>0</v>
      </c>
      <c r="AF274" s="163">
        <v>1.0469999999999999</v>
      </c>
      <c r="AG274" s="164">
        <v>1.046</v>
      </c>
      <c r="AH274" s="164">
        <v>1.046</v>
      </c>
      <c r="AI274" s="164">
        <v>0</v>
      </c>
      <c r="AJ274" s="164">
        <f t="shared" si="31"/>
        <v>0</v>
      </c>
      <c r="AK274" s="165">
        <v>0</v>
      </c>
      <c r="AL274" s="165">
        <f>AK274</f>
        <v>0</v>
      </c>
      <c r="AM274" s="165">
        <f t="shared" si="28"/>
        <v>0</v>
      </c>
      <c r="AN274" s="165">
        <f t="shared" si="29"/>
        <v>0</v>
      </c>
      <c r="AO274" s="16"/>
      <c r="AP274" s="231">
        <f t="shared" si="32"/>
        <v>0</v>
      </c>
      <c r="AR274" s="231"/>
      <c r="AS274" s="231"/>
      <c r="AU274" s="230">
        <v>0</v>
      </c>
      <c r="AV274" s="233">
        <v>0</v>
      </c>
      <c r="AW274" s="230">
        <f t="shared" si="30"/>
        <v>0</v>
      </c>
    </row>
    <row r="275" spans="1:49" hidden="1" x14ac:dyDescent="0.3">
      <c r="A275" s="16" t="s">
        <v>537</v>
      </c>
      <c r="B275" s="39" t="s">
        <v>798</v>
      </c>
      <c r="C275" s="39" t="s">
        <v>423</v>
      </c>
      <c r="D275" s="340" t="s">
        <v>3462</v>
      </c>
      <c r="E275" s="159" t="s">
        <v>666</v>
      </c>
      <c r="F275" s="159" t="s">
        <v>542</v>
      </c>
      <c r="G275" s="159" t="s">
        <v>309</v>
      </c>
      <c r="H275" s="159" t="s">
        <v>424</v>
      </c>
      <c r="I275" s="159" t="s">
        <v>425</v>
      </c>
      <c r="J275" s="159" t="s">
        <v>538</v>
      </c>
      <c r="K275" s="159" t="s">
        <v>1849</v>
      </c>
      <c r="L275" s="39" t="s">
        <v>304</v>
      </c>
      <c r="M275" s="39" t="s">
        <v>305</v>
      </c>
      <c r="N275" s="39">
        <v>11</v>
      </c>
      <c r="O275" s="39" t="s">
        <v>423</v>
      </c>
      <c r="P275" s="39" t="s">
        <v>423</v>
      </c>
      <c r="Q275" s="39" t="s">
        <v>798</v>
      </c>
      <c r="R275" s="16" t="s">
        <v>537</v>
      </c>
      <c r="S275" s="160">
        <v>13213</v>
      </c>
      <c r="T275" s="160">
        <v>0</v>
      </c>
      <c r="U275" s="160">
        <v>0</v>
      </c>
      <c r="V275" s="160">
        <v>0</v>
      </c>
      <c r="W275" s="160">
        <v>13213</v>
      </c>
      <c r="X275" s="161">
        <v>0</v>
      </c>
      <c r="Y275" s="160"/>
      <c r="Z275" s="16">
        <v>0</v>
      </c>
      <c r="AA275" s="162">
        <v>0</v>
      </c>
      <c r="AB275" s="162">
        <v>0</v>
      </c>
      <c r="AC275" s="162">
        <v>0</v>
      </c>
      <c r="AD275" s="160"/>
      <c r="AE275" s="145">
        <v>13213</v>
      </c>
      <c r="AF275" s="163">
        <v>1.0469999999999999</v>
      </c>
      <c r="AG275" s="164">
        <v>1.046</v>
      </c>
      <c r="AH275" s="164">
        <v>1.046</v>
      </c>
      <c r="AI275" s="164">
        <v>13213</v>
      </c>
      <c r="AJ275" s="164">
        <f t="shared" si="31"/>
        <v>0</v>
      </c>
      <c r="AK275" s="165">
        <v>10000</v>
      </c>
      <c r="AL275" s="165">
        <v>10470</v>
      </c>
      <c r="AM275" s="165">
        <f t="shared" si="28"/>
        <v>10951.62</v>
      </c>
      <c r="AN275" s="165">
        <f t="shared" si="29"/>
        <v>11455.394520000002</v>
      </c>
      <c r="AO275" s="16"/>
      <c r="AP275" s="231">
        <f t="shared" si="32"/>
        <v>-470</v>
      </c>
      <c r="AR275" s="231"/>
      <c r="AS275" s="231"/>
      <c r="AU275" s="230">
        <v>13213</v>
      </c>
      <c r="AV275" s="233">
        <v>13213</v>
      </c>
      <c r="AW275" s="230">
        <f t="shared" si="30"/>
        <v>0</v>
      </c>
    </row>
    <row r="276" spans="1:49" hidden="1" x14ac:dyDescent="0.3">
      <c r="A276" s="16" t="s">
        <v>96</v>
      </c>
      <c r="B276" s="39" t="s">
        <v>799</v>
      </c>
      <c r="C276" s="39" t="s">
        <v>800</v>
      </c>
      <c r="D276" s="340" t="s">
        <v>3462</v>
      </c>
      <c r="E276" s="159" t="s">
        <v>666</v>
      </c>
      <c r="F276" s="159" t="s">
        <v>542</v>
      </c>
      <c r="G276" s="159" t="s">
        <v>309</v>
      </c>
      <c r="H276" s="159" t="s">
        <v>801</v>
      </c>
      <c r="I276" s="159" t="s">
        <v>374</v>
      </c>
      <c r="J276" s="159" t="s">
        <v>312</v>
      </c>
      <c r="K276" s="159" t="s">
        <v>1849</v>
      </c>
      <c r="L276" s="39" t="s">
        <v>304</v>
      </c>
      <c r="M276" s="39" t="s">
        <v>305</v>
      </c>
      <c r="N276" s="39">
        <v>11</v>
      </c>
      <c r="O276" s="39" t="s">
        <v>800</v>
      </c>
      <c r="P276" s="39" t="s">
        <v>800</v>
      </c>
      <c r="Q276" s="39" t="s">
        <v>799</v>
      </c>
      <c r="R276" s="16" t="s">
        <v>96</v>
      </c>
      <c r="S276" s="160">
        <v>0</v>
      </c>
      <c r="T276" s="160">
        <v>0</v>
      </c>
      <c r="U276" s="160">
        <v>0</v>
      </c>
      <c r="V276" s="160">
        <v>0</v>
      </c>
      <c r="W276" s="160">
        <v>0</v>
      </c>
      <c r="X276" s="161">
        <v>0</v>
      </c>
      <c r="Y276" s="160"/>
      <c r="Z276" s="16">
        <v>0</v>
      </c>
      <c r="AA276" s="162">
        <v>0</v>
      </c>
      <c r="AB276" s="162">
        <v>0</v>
      </c>
      <c r="AC276" s="162">
        <v>0</v>
      </c>
      <c r="AD276" s="160"/>
      <c r="AE276" s="145">
        <v>0</v>
      </c>
      <c r="AF276" s="163">
        <v>1.0469999999999999</v>
      </c>
      <c r="AG276" s="164">
        <v>1.046</v>
      </c>
      <c r="AH276" s="164">
        <v>1.046</v>
      </c>
      <c r="AI276" s="164">
        <v>0</v>
      </c>
      <c r="AJ276" s="164">
        <f t="shared" si="31"/>
        <v>0</v>
      </c>
      <c r="AK276" s="165">
        <v>0</v>
      </c>
      <c r="AL276" s="165">
        <v>0</v>
      </c>
      <c r="AM276" s="165">
        <f t="shared" si="28"/>
        <v>0</v>
      </c>
      <c r="AN276" s="165">
        <f t="shared" si="29"/>
        <v>0</v>
      </c>
      <c r="AO276" s="16"/>
      <c r="AP276" s="231">
        <f t="shared" si="32"/>
        <v>0</v>
      </c>
      <c r="AR276" s="231"/>
      <c r="AS276" s="231"/>
      <c r="AU276" s="230">
        <v>0</v>
      </c>
      <c r="AV276" s="233">
        <v>0</v>
      </c>
      <c r="AW276" s="230">
        <f t="shared" si="30"/>
        <v>0</v>
      </c>
    </row>
    <row r="277" spans="1:49" hidden="1" x14ac:dyDescent="0.3">
      <c r="A277" s="16" t="s">
        <v>804</v>
      </c>
      <c r="B277" s="39" t="s">
        <v>802</v>
      </c>
      <c r="C277" s="39" t="s">
        <v>181</v>
      </c>
      <c r="D277" s="340" t="s">
        <v>3462</v>
      </c>
      <c r="E277" s="159" t="s">
        <v>666</v>
      </c>
      <c r="F277" s="159" t="s">
        <v>542</v>
      </c>
      <c r="G277" s="159" t="s">
        <v>582</v>
      </c>
      <c r="H277" s="159" t="s">
        <v>805</v>
      </c>
      <c r="I277" s="159" t="s">
        <v>806</v>
      </c>
      <c r="J277" s="159" t="s">
        <v>312</v>
      </c>
      <c r="K277" s="159" t="s">
        <v>1849</v>
      </c>
      <c r="L277" s="39" t="s">
        <v>304</v>
      </c>
      <c r="M277" s="39" t="s">
        <v>305</v>
      </c>
      <c r="N277" s="39">
        <v>11</v>
      </c>
      <c r="O277" s="39" t="s">
        <v>803</v>
      </c>
      <c r="P277" s="39" t="s">
        <v>803</v>
      </c>
      <c r="Q277" s="39" t="s">
        <v>802</v>
      </c>
      <c r="R277" s="16" t="s">
        <v>804</v>
      </c>
      <c r="S277" s="160">
        <v>-2700000</v>
      </c>
      <c r="T277" s="160">
        <v>-990676.09</v>
      </c>
      <c r="U277" s="160">
        <v>0</v>
      </c>
      <c r="V277" s="160">
        <v>-990676.09</v>
      </c>
      <c r="W277" s="160">
        <v>-1709323.91</v>
      </c>
      <c r="X277" s="161">
        <v>0</v>
      </c>
      <c r="Y277" s="160"/>
      <c r="Z277" s="16">
        <v>36.69</v>
      </c>
      <c r="AA277" s="162">
        <v>-990676.09</v>
      </c>
      <c r="AB277" s="162">
        <v>-247669.02249999999</v>
      </c>
      <c r="AC277" s="162">
        <v>-2972028.27</v>
      </c>
      <c r="AD277" s="160"/>
      <c r="AE277" s="145">
        <v>-2700000</v>
      </c>
      <c r="AF277" s="163">
        <v>1.0469999999999999</v>
      </c>
      <c r="AG277" s="164">
        <v>1.046</v>
      </c>
      <c r="AH277" s="164">
        <v>1.046</v>
      </c>
      <c r="AI277" s="164">
        <v>-2700000</v>
      </c>
      <c r="AJ277" s="164">
        <f t="shared" si="31"/>
        <v>0</v>
      </c>
      <c r="AK277" s="165">
        <v>-2700000</v>
      </c>
      <c r="AL277" s="165">
        <f>AK277</f>
        <v>-2700000</v>
      </c>
      <c r="AM277" s="165">
        <f t="shared" si="28"/>
        <v>-2824200</v>
      </c>
      <c r="AN277" s="165">
        <f t="shared" si="29"/>
        <v>-2954113.2</v>
      </c>
      <c r="AO277" s="16"/>
      <c r="AP277" s="231">
        <f t="shared" si="32"/>
        <v>0</v>
      </c>
      <c r="AR277" s="231"/>
      <c r="AS277" s="231"/>
      <c r="AU277" s="230">
        <v>-2700000</v>
      </c>
      <c r="AV277" s="233">
        <v>-2700000</v>
      </c>
      <c r="AW277" s="230">
        <f t="shared" si="30"/>
        <v>0</v>
      </c>
    </row>
    <row r="278" spans="1:49" hidden="1" x14ac:dyDescent="0.3">
      <c r="A278" s="16" t="s">
        <v>808</v>
      </c>
      <c r="B278" s="39" t="s">
        <v>807</v>
      </c>
      <c r="C278" s="39">
        <v>0</v>
      </c>
      <c r="D278" s="340" t="s">
        <v>3462</v>
      </c>
      <c r="E278" s="159" t="s">
        <v>666</v>
      </c>
      <c r="F278" s="159" t="s">
        <v>542</v>
      </c>
      <c r="G278" s="159" t="s">
        <v>582</v>
      </c>
      <c r="H278" s="159" t="s">
        <v>809</v>
      </c>
      <c r="I278" s="159" t="s">
        <v>316</v>
      </c>
      <c r="J278" s="159" t="s">
        <v>312</v>
      </c>
      <c r="K278" s="159" t="s">
        <v>305</v>
      </c>
      <c r="L278" s="39" t="s">
        <v>556</v>
      </c>
      <c r="M278" s="39" t="s">
        <v>810</v>
      </c>
      <c r="N278" s="39">
        <v>11</v>
      </c>
      <c r="O278" s="39" t="s">
        <v>803</v>
      </c>
      <c r="P278" s="39">
        <v>0</v>
      </c>
      <c r="Q278" s="39" t="s">
        <v>807</v>
      </c>
      <c r="R278" s="16" t="s">
        <v>808</v>
      </c>
      <c r="S278" s="160">
        <v>0</v>
      </c>
      <c r="T278" s="160">
        <v>0</v>
      </c>
      <c r="U278" s="160">
        <v>0</v>
      </c>
      <c r="V278" s="160">
        <v>0</v>
      </c>
      <c r="W278" s="160">
        <v>0</v>
      </c>
      <c r="X278" s="161">
        <v>0</v>
      </c>
      <c r="Y278" s="160"/>
      <c r="Z278" s="16">
        <v>0</v>
      </c>
      <c r="AA278" s="162">
        <v>0</v>
      </c>
      <c r="AB278" s="162">
        <v>0</v>
      </c>
      <c r="AC278" s="162">
        <v>0</v>
      </c>
      <c r="AD278" s="160"/>
      <c r="AE278" s="145">
        <v>0</v>
      </c>
      <c r="AF278" s="163">
        <v>1.0469999999999999</v>
      </c>
      <c r="AG278" s="164">
        <v>1.046</v>
      </c>
      <c r="AH278" s="164">
        <v>1.046</v>
      </c>
      <c r="AI278" s="164">
        <v>0</v>
      </c>
      <c r="AJ278" s="164">
        <f t="shared" si="31"/>
        <v>0</v>
      </c>
      <c r="AK278" s="165">
        <v>0</v>
      </c>
      <c r="AL278" s="165">
        <v>0</v>
      </c>
      <c r="AM278" s="165">
        <f t="shared" si="28"/>
        <v>0</v>
      </c>
      <c r="AN278" s="165">
        <f t="shared" si="29"/>
        <v>0</v>
      </c>
      <c r="AO278" s="16"/>
      <c r="AP278" s="231">
        <f t="shared" si="32"/>
        <v>0</v>
      </c>
      <c r="AR278" s="231"/>
      <c r="AS278" s="231"/>
      <c r="AU278" s="230">
        <v>0</v>
      </c>
      <c r="AV278" s="233">
        <v>0</v>
      </c>
      <c r="AW278" s="230">
        <f t="shared" si="30"/>
        <v>0</v>
      </c>
    </row>
    <row r="279" spans="1:49" hidden="1" x14ac:dyDescent="0.3">
      <c r="A279" s="16" t="s">
        <v>812</v>
      </c>
      <c r="B279" s="39" t="s">
        <v>811</v>
      </c>
      <c r="C279" s="39">
        <v>0</v>
      </c>
      <c r="D279" s="340" t="s">
        <v>3462</v>
      </c>
      <c r="E279" s="159" t="s">
        <v>666</v>
      </c>
      <c r="F279" s="159" t="s">
        <v>542</v>
      </c>
      <c r="G279" s="159" t="s">
        <v>582</v>
      </c>
      <c r="H279" s="159" t="s">
        <v>809</v>
      </c>
      <c r="I279" s="159" t="s">
        <v>813</v>
      </c>
      <c r="J279" s="159" t="s">
        <v>312</v>
      </c>
      <c r="K279" s="159" t="s">
        <v>305</v>
      </c>
      <c r="L279" s="39" t="s">
        <v>556</v>
      </c>
      <c r="M279" s="39" t="s">
        <v>814</v>
      </c>
      <c r="N279" s="39">
        <v>11</v>
      </c>
      <c r="O279" s="39" t="s">
        <v>803</v>
      </c>
      <c r="P279" s="39">
        <v>0</v>
      </c>
      <c r="Q279" s="39" t="s">
        <v>811</v>
      </c>
      <c r="R279" s="16" t="s">
        <v>812</v>
      </c>
      <c r="S279" s="160">
        <v>0</v>
      </c>
      <c r="T279" s="160">
        <v>0</v>
      </c>
      <c r="U279" s="160">
        <v>0</v>
      </c>
      <c r="V279" s="160">
        <v>0</v>
      </c>
      <c r="W279" s="160">
        <v>0</v>
      </c>
      <c r="X279" s="161">
        <v>0</v>
      </c>
      <c r="Y279" s="160"/>
      <c r="Z279" s="16">
        <v>0</v>
      </c>
      <c r="AA279" s="162">
        <v>0</v>
      </c>
      <c r="AB279" s="162">
        <v>0</v>
      </c>
      <c r="AC279" s="162">
        <v>0</v>
      </c>
      <c r="AD279" s="160"/>
      <c r="AE279" s="145">
        <v>0</v>
      </c>
      <c r="AF279" s="163">
        <v>1.0469999999999999</v>
      </c>
      <c r="AG279" s="164">
        <v>1.046</v>
      </c>
      <c r="AH279" s="164">
        <v>1.046</v>
      </c>
      <c r="AI279" s="164">
        <v>0</v>
      </c>
      <c r="AJ279" s="164">
        <f t="shared" si="31"/>
        <v>0</v>
      </c>
      <c r="AK279" s="165">
        <v>0</v>
      </c>
      <c r="AL279" s="165">
        <v>0</v>
      </c>
      <c r="AM279" s="165">
        <f t="shared" si="28"/>
        <v>0</v>
      </c>
      <c r="AN279" s="165">
        <f t="shared" si="29"/>
        <v>0</v>
      </c>
      <c r="AO279" s="16"/>
      <c r="AP279" s="231">
        <f t="shared" si="32"/>
        <v>0</v>
      </c>
      <c r="AR279" s="231"/>
      <c r="AS279" s="231"/>
      <c r="AU279" s="230">
        <v>0</v>
      </c>
      <c r="AV279" s="233">
        <v>0</v>
      </c>
      <c r="AW279" s="230">
        <f t="shared" si="30"/>
        <v>0</v>
      </c>
    </row>
    <row r="280" spans="1:49" hidden="1" x14ac:dyDescent="0.3">
      <c r="A280" s="16" t="s">
        <v>816</v>
      </c>
      <c r="B280" s="39" t="s">
        <v>815</v>
      </c>
      <c r="C280" s="39">
        <v>0</v>
      </c>
      <c r="D280" s="340" t="s">
        <v>3462</v>
      </c>
      <c r="E280" s="159" t="s">
        <v>666</v>
      </c>
      <c r="F280" s="159" t="s">
        <v>542</v>
      </c>
      <c r="G280" s="159" t="s">
        <v>582</v>
      </c>
      <c r="H280" s="159" t="s">
        <v>817</v>
      </c>
      <c r="I280" s="159" t="s">
        <v>316</v>
      </c>
      <c r="J280" s="159" t="s">
        <v>312</v>
      </c>
      <c r="K280" s="159" t="s">
        <v>305</v>
      </c>
      <c r="L280" s="39" t="s">
        <v>556</v>
      </c>
      <c r="M280" s="39">
        <v>45</v>
      </c>
      <c r="N280" s="39">
        <v>11</v>
      </c>
      <c r="O280" s="39" t="s">
        <v>803</v>
      </c>
      <c r="P280" s="39">
        <v>0</v>
      </c>
      <c r="Q280" s="39" t="s">
        <v>815</v>
      </c>
      <c r="R280" s="16" t="s">
        <v>816</v>
      </c>
      <c r="S280" s="160">
        <v>0</v>
      </c>
      <c r="T280" s="160">
        <v>0</v>
      </c>
      <c r="U280" s="160">
        <v>0</v>
      </c>
      <c r="V280" s="160">
        <v>0</v>
      </c>
      <c r="W280" s="160">
        <v>0</v>
      </c>
      <c r="X280" s="161">
        <v>0</v>
      </c>
      <c r="Y280" s="160"/>
      <c r="Z280" s="16">
        <v>0</v>
      </c>
      <c r="AA280" s="162">
        <v>0</v>
      </c>
      <c r="AB280" s="162">
        <v>0</v>
      </c>
      <c r="AC280" s="162">
        <v>0</v>
      </c>
      <c r="AD280" s="160"/>
      <c r="AE280" s="145">
        <v>0</v>
      </c>
      <c r="AF280" s="163">
        <v>1.0469999999999999</v>
      </c>
      <c r="AG280" s="164">
        <v>1.046</v>
      </c>
      <c r="AH280" s="164">
        <v>1.046</v>
      </c>
      <c r="AI280" s="164">
        <v>0</v>
      </c>
      <c r="AJ280" s="164">
        <f t="shared" si="31"/>
        <v>0</v>
      </c>
      <c r="AK280" s="165">
        <v>0</v>
      </c>
      <c r="AL280" s="165">
        <v>0</v>
      </c>
      <c r="AM280" s="165">
        <f t="shared" si="28"/>
        <v>0</v>
      </c>
      <c r="AN280" s="165">
        <f t="shared" si="29"/>
        <v>0</v>
      </c>
      <c r="AO280" s="16"/>
      <c r="AP280" s="231">
        <f t="shared" si="32"/>
        <v>0</v>
      </c>
      <c r="AR280" s="231"/>
      <c r="AS280" s="231"/>
      <c r="AU280" s="230">
        <v>0</v>
      </c>
      <c r="AV280" s="233">
        <v>0</v>
      </c>
      <c r="AW280" s="230">
        <f t="shared" si="30"/>
        <v>0</v>
      </c>
    </row>
    <row r="281" spans="1:49" hidden="1" x14ac:dyDescent="0.3">
      <c r="A281" s="16" t="s">
        <v>819</v>
      </c>
      <c r="B281" s="39" t="s">
        <v>818</v>
      </c>
      <c r="C281" s="39">
        <v>0</v>
      </c>
      <c r="D281" s="340" t="s">
        <v>3462</v>
      </c>
      <c r="E281" s="159" t="s">
        <v>666</v>
      </c>
      <c r="F281" s="159" t="s">
        <v>542</v>
      </c>
      <c r="G281" s="159" t="s">
        <v>582</v>
      </c>
      <c r="H281" s="159" t="s">
        <v>817</v>
      </c>
      <c r="I281" s="159" t="s">
        <v>813</v>
      </c>
      <c r="J281" s="159" t="s">
        <v>312</v>
      </c>
      <c r="K281" s="159" t="s">
        <v>305</v>
      </c>
      <c r="L281" s="39" t="s">
        <v>556</v>
      </c>
      <c r="M281" s="39">
        <v>46</v>
      </c>
      <c r="N281" s="39">
        <v>11</v>
      </c>
      <c r="O281" s="39" t="s">
        <v>803</v>
      </c>
      <c r="P281" s="39">
        <v>0</v>
      </c>
      <c r="Q281" s="39" t="s">
        <v>818</v>
      </c>
      <c r="R281" s="16" t="s">
        <v>819</v>
      </c>
      <c r="S281" s="160">
        <v>0</v>
      </c>
      <c r="T281" s="160">
        <v>0</v>
      </c>
      <c r="U281" s="160">
        <v>0</v>
      </c>
      <c r="V281" s="160">
        <v>0</v>
      </c>
      <c r="W281" s="160">
        <v>0</v>
      </c>
      <c r="X281" s="161">
        <v>0</v>
      </c>
      <c r="Y281" s="160"/>
      <c r="Z281" s="16">
        <v>0</v>
      </c>
      <c r="AA281" s="162">
        <v>0</v>
      </c>
      <c r="AB281" s="162">
        <v>0</v>
      </c>
      <c r="AC281" s="162">
        <v>0</v>
      </c>
      <c r="AD281" s="160"/>
      <c r="AE281" s="145">
        <v>0</v>
      </c>
      <c r="AF281" s="163">
        <v>1.0469999999999999</v>
      </c>
      <c r="AG281" s="164">
        <v>1.046</v>
      </c>
      <c r="AH281" s="164">
        <v>1.046</v>
      </c>
      <c r="AI281" s="164">
        <v>0</v>
      </c>
      <c r="AJ281" s="164">
        <f t="shared" si="31"/>
        <v>0</v>
      </c>
      <c r="AK281" s="165">
        <v>0</v>
      </c>
      <c r="AL281" s="165">
        <v>0</v>
      </c>
      <c r="AM281" s="165">
        <f t="shared" si="28"/>
        <v>0</v>
      </c>
      <c r="AN281" s="165">
        <f t="shared" si="29"/>
        <v>0</v>
      </c>
      <c r="AO281" s="16"/>
      <c r="AP281" s="231">
        <f t="shared" si="32"/>
        <v>0</v>
      </c>
      <c r="AR281" s="231"/>
      <c r="AS281" s="231"/>
      <c r="AU281" s="230">
        <v>0</v>
      </c>
      <c r="AV281" s="233">
        <v>0</v>
      </c>
      <c r="AW281" s="230">
        <f t="shared" si="30"/>
        <v>0</v>
      </c>
    </row>
    <row r="282" spans="1:49" s="172" customFormat="1" x14ac:dyDescent="0.3">
      <c r="A282" s="166" t="s">
        <v>50</v>
      </c>
      <c r="B282" s="167" t="s">
        <v>820</v>
      </c>
      <c r="C282" s="167" t="s">
        <v>302</v>
      </c>
      <c r="D282" s="412" t="s">
        <v>3463</v>
      </c>
      <c r="E282" s="168" t="s">
        <v>666</v>
      </c>
      <c r="F282" s="168" t="s">
        <v>370</v>
      </c>
      <c r="G282" s="168" t="s">
        <v>309</v>
      </c>
      <c r="H282" s="168" t="s">
        <v>373</v>
      </c>
      <c r="I282" s="168" t="s">
        <v>374</v>
      </c>
      <c r="J282" s="168" t="s">
        <v>312</v>
      </c>
      <c r="K282" s="168" t="s">
        <v>1849</v>
      </c>
      <c r="L282" s="167" t="s">
        <v>304</v>
      </c>
      <c r="M282" s="167" t="s">
        <v>305</v>
      </c>
      <c r="N282" s="167">
        <v>11</v>
      </c>
      <c r="O282" s="167" t="s">
        <v>302</v>
      </c>
      <c r="P282" s="167" t="s">
        <v>302</v>
      </c>
      <c r="Q282" s="167" t="s">
        <v>820</v>
      </c>
      <c r="R282" s="166" t="s">
        <v>50</v>
      </c>
      <c r="S282" s="169">
        <v>6879093</v>
      </c>
      <c r="T282" s="160">
        <v>640965.06999999995</v>
      </c>
      <c r="U282" s="160">
        <v>0</v>
      </c>
      <c r="V282" s="160">
        <v>2629381.1</v>
      </c>
      <c r="W282" s="160">
        <v>4249711.9000000004</v>
      </c>
      <c r="X282" s="161">
        <v>0</v>
      </c>
      <c r="Y282" s="160"/>
      <c r="Z282" s="16">
        <v>38.22</v>
      </c>
      <c r="AA282" s="162">
        <v>2629381.1</v>
      </c>
      <c r="AB282" s="162">
        <v>657345.27500000002</v>
      </c>
      <c r="AC282" s="162">
        <v>7888143.3000000007</v>
      </c>
      <c r="AD282" s="160"/>
      <c r="AE282" s="145">
        <v>6879093</v>
      </c>
      <c r="AF282" s="163">
        <v>1.0529999999999999</v>
      </c>
      <c r="AG282" s="163">
        <v>1.0489999999999999</v>
      </c>
      <c r="AH282" s="163">
        <v>1.0469999999999999</v>
      </c>
      <c r="AI282" s="164">
        <v>6879093</v>
      </c>
      <c r="AJ282" s="164">
        <f t="shared" si="31"/>
        <v>0</v>
      </c>
      <c r="AK282" s="229">
        <v>6879093</v>
      </c>
      <c r="AL282" s="229">
        <f ca="1">SUMIF('MS &amp; Vacancies combined'!A:J,D282,'MS &amp; Vacancies combined'!J:J)*105.3/100</f>
        <v>7253003.7265541116</v>
      </c>
      <c r="AM282" s="229">
        <f ca="1">AL282*AG282</f>
        <v>7608400.9091552626</v>
      </c>
      <c r="AN282" s="229">
        <f ca="1">AM282*AH282</f>
        <v>7965995.7518855594</v>
      </c>
      <c r="AO282" s="166"/>
      <c r="AP282" s="413">
        <f t="shared" ca="1" si="32"/>
        <v>-373910.72655411158</v>
      </c>
      <c r="AR282" s="231"/>
      <c r="AS282" s="231"/>
      <c r="AU282" s="414">
        <v>6879093</v>
      </c>
      <c r="AV282" s="415">
        <v>6879093</v>
      </c>
      <c r="AW282" s="414">
        <f t="shared" si="30"/>
        <v>0</v>
      </c>
    </row>
    <row r="283" spans="1:49" x14ac:dyDescent="0.3">
      <c r="A283" s="16" t="s">
        <v>51</v>
      </c>
      <c r="B283" s="39" t="s">
        <v>821</v>
      </c>
      <c r="C283" s="39" t="s">
        <v>822</v>
      </c>
      <c r="D283" s="340" t="s">
        <v>3463</v>
      </c>
      <c r="E283" s="159" t="s">
        <v>666</v>
      </c>
      <c r="F283" s="159" t="s">
        <v>370</v>
      </c>
      <c r="G283" s="159" t="s">
        <v>309</v>
      </c>
      <c r="H283" s="159" t="s">
        <v>373</v>
      </c>
      <c r="I283" s="159" t="s">
        <v>404</v>
      </c>
      <c r="J283" s="159" t="s">
        <v>312</v>
      </c>
      <c r="K283" s="159" t="s">
        <v>1849</v>
      </c>
      <c r="L283" s="39" t="s">
        <v>304</v>
      </c>
      <c r="M283" s="39" t="s">
        <v>305</v>
      </c>
      <c r="N283" s="39">
        <v>11</v>
      </c>
      <c r="O283" s="39" t="s">
        <v>822</v>
      </c>
      <c r="P283" s="39" t="s">
        <v>822</v>
      </c>
      <c r="Q283" s="39" t="s">
        <v>821</v>
      </c>
      <c r="R283" s="16" t="s">
        <v>51</v>
      </c>
      <c r="S283" s="169">
        <v>0</v>
      </c>
      <c r="T283" s="160">
        <v>0</v>
      </c>
      <c r="U283" s="160">
        <v>0</v>
      </c>
      <c r="V283" s="160">
        <v>0</v>
      </c>
      <c r="W283" s="160">
        <v>0</v>
      </c>
      <c r="X283" s="161">
        <v>0</v>
      </c>
      <c r="Y283" s="160"/>
      <c r="Z283" s="16">
        <v>0</v>
      </c>
      <c r="AA283" s="162">
        <v>0</v>
      </c>
      <c r="AB283" s="162">
        <v>0</v>
      </c>
      <c r="AC283" s="162">
        <v>0</v>
      </c>
      <c r="AD283" s="160"/>
      <c r="AE283" s="145">
        <v>0</v>
      </c>
      <c r="AF283" s="163">
        <v>1.0469999999999999</v>
      </c>
      <c r="AG283" s="164">
        <v>1.046</v>
      </c>
      <c r="AH283" s="164">
        <v>1.046</v>
      </c>
      <c r="AI283" s="164">
        <v>0</v>
      </c>
      <c r="AJ283" s="164">
        <f t="shared" si="31"/>
        <v>0</v>
      </c>
      <c r="AK283" s="165">
        <v>0</v>
      </c>
      <c r="AL283" s="165">
        <v>0</v>
      </c>
      <c r="AM283" s="165">
        <f t="shared" si="28"/>
        <v>0</v>
      </c>
      <c r="AN283" s="165">
        <f t="shared" si="29"/>
        <v>0</v>
      </c>
      <c r="AO283" s="16"/>
      <c r="AP283" s="231">
        <f t="shared" si="32"/>
        <v>0</v>
      </c>
      <c r="AR283" s="231"/>
      <c r="AS283" s="231"/>
      <c r="AU283" s="230">
        <v>0</v>
      </c>
      <c r="AV283" s="233">
        <v>0</v>
      </c>
      <c r="AW283" s="230">
        <f t="shared" si="30"/>
        <v>0</v>
      </c>
    </row>
    <row r="284" spans="1:49" s="172" customFormat="1" x14ac:dyDescent="0.3">
      <c r="A284" s="166" t="s">
        <v>52</v>
      </c>
      <c r="B284" s="167" t="s">
        <v>823</v>
      </c>
      <c r="C284" s="167" t="s">
        <v>376</v>
      </c>
      <c r="D284" s="412" t="s">
        <v>3463</v>
      </c>
      <c r="E284" s="168" t="s">
        <v>666</v>
      </c>
      <c r="F284" s="168" t="s">
        <v>370</v>
      </c>
      <c r="G284" s="168" t="s">
        <v>309</v>
      </c>
      <c r="H284" s="168" t="s">
        <v>373</v>
      </c>
      <c r="I284" s="168" t="s">
        <v>377</v>
      </c>
      <c r="J284" s="168" t="s">
        <v>312</v>
      </c>
      <c r="K284" s="168" t="s">
        <v>1849</v>
      </c>
      <c r="L284" s="167" t="s">
        <v>304</v>
      </c>
      <c r="M284" s="167" t="s">
        <v>305</v>
      </c>
      <c r="N284" s="167">
        <v>11</v>
      </c>
      <c r="O284" s="167" t="s">
        <v>376</v>
      </c>
      <c r="P284" s="167" t="s">
        <v>376</v>
      </c>
      <c r="Q284" s="167" t="s">
        <v>823</v>
      </c>
      <c r="R284" s="166" t="s">
        <v>52</v>
      </c>
      <c r="S284" s="169">
        <v>31440</v>
      </c>
      <c r="T284" s="160">
        <v>1500</v>
      </c>
      <c r="U284" s="160">
        <v>0</v>
      </c>
      <c r="V284" s="160">
        <v>6000</v>
      </c>
      <c r="W284" s="160">
        <v>25440</v>
      </c>
      <c r="X284" s="161">
        <v>0</v>
      </c>
      <c r="Y284" s="160"/>
      <c r="Z284" s="16">
        <v>19.079999999999998</v>
      </c>
      <c r="AA284" s="162">
        <v>6000</v>
      </c>
      <c r="AB284" s="162">
        <v>1500</v>
      </c>
      <c r="AC284" s="162">
        <v>18000</v>
      </c>
      <c r="AD284" s="160"/>
      <c r="AE284" s="145">
        <v>31440</v>
      </c>
      <c r="AF284" s="163">
        <v>1.0529999999999999</v>
      </c>
      <c r="AG284" s="163">
        <v>1.0489999999999999</v>
      </c>
      <c r="AH284" s="163">
        <v>1.0469999999999999</v>
      </c>
      <c r="AI284" s="164">
        <v>31440</v>
      </c>
      <c r="AJ284" s="164">
        <f t="shared" si="31"/>
        <v>0</v>
      </c>
      <c r="AK284" s="229">
        <v>31440</v>
      </c>
      <c r="AL284" s="229">
        <f ca="1">SUMIF('MS &amp; Vacancies combined'!A:M,D284,'MS &amp; Vacancies combined'!M:M)*105.3/100</f>
        <v>29127.378744296358</v>
      </c>
      <c r="AM284" s="229">
        <f t="shared" ca="1" si="28"/>
        <v>30554.620302766878</v>
      </c>
      <c r="AN284" s="229">
        <f t="shared" ca="1" si="29"/>
        <v>31990.687456996919</v>
      </c>
      <c r="AO284" s="166"/>
      <c r="AP284" s="413">
        <f t="shared" ca="1" si="32"/>
        <v>2312.6212557036415</v>
      </c>
      <c r="AR284" s="231"/>
      <c r="AS284" s="231"/>
      <c r="AU284" s="414">
        <v>31440</v>
      </c>
      <c r="AV284" s="415">
        <v>31440</v>
      </c>
      <c r="AW284" s="414">
        <f t="shared" si="30"/>
        <v>0</v>
      </c>
    </row>
    <row r="285" spans="1:49" s="172" customFormat="1" x14ac:dyDescent="0.3">
      <c r="A285" s="166" t="s">
        <v>54</v>
      </c>
      <c r="B285" s="167" t="s">
        <v>824</v>
      </c>
      <c r="C285" s="167" t="s">
        <v>379</v>
      </c>
      <c r="D285" s="412" t="s">
        <v>3463</v>
      </c>
      <c r="E285" s="168" t="s">
        <v>666</v>
      </c>
      <c r="F285" s="168" t="s">
        <v>370</v>
      </c>
      <c r="G285" s="168" t="s">
        <v>309</v>
      </c>
      <c r="H285" s="168" t="s">
        <v>373</v>
      </c>
      <c r="I285" s="168" t="s">
        <v>380</v>
      </c>
      <c r="J285" s="168" t="s">
        <v>312</v>
      </c>
      <c r="K285" s="168" t="s">
        <v>1849</v>
      </c>
      <c r="L285" s="167" t="s">
        <v>304</v>
      </c>
      <c r="M285" s="167" t="s">
        <v>305</v>
      </c>
      <c r="N285" s="167">
        <v>11</v>
      </c>
      <c r="O285" s="167" t="s">
        <v>379</v>
      </c>
      <c r="P285" s="167" t="s">
        <v>379</v>
      </c>
      <c r="Q285" s="167" t="s">
        <v>824</v>
      </c>
      <c r="R285" s="166" t="s">
        <v>54</v>
      </c>
      <c r="S285" s="169">
        <v>109167</v>
      </c>
      <c r="T285" s="160">
        <v>5058.8500000000004</v>
      </c>
      <c r="U285" s="160">
        <v>0</v>
      </c>
      <c r="V285" s="160">
        <v>20235.400000000001</v>
      </c>
      <c r="W285" s="160">
        <v>88931.6</v>
      </c>
      <c r="X285" s="161">
        <v>0</v>
      </c>
      <c r="Y285" s="160"/>
      <c r="Z285" s="16">
        <v>18.53</v>
      </c>
      <c r="AA285" s="162">
        <v>20235.400000000001</v>
      </c>
      <c r="AB285" s="162">
        <v>5058.8500000000004</v>
      </c>
      <c r="AC285" s="162">
        <v>60706.200000000004</v>
      </c>
      <c r="AD285" s="160"/>
      <c r="AE285" s="145">
        <v>109167</v>
      </c>
      <c r="AF285" s="163">
        <v>1.0529999999999999</v>
      </c>
      <c r="AG285" s="163">
        <v>1.0489999999999999</v>
      </c>
      <c r="AH285" s="163">
        <v>1.0469999999999999</v>
      </c>
      <c r="AI285" s="164">
        <v>109167</v>
      </c>
      <c r="AJ285" s="164">
        <f t="shared" si="31"/>
        <v>0</v>
      </c>
      <c r="AK285" s="229">
        <v>109167</v>
      </c>
      <c r="AL285" s="229">
        <f ca="1">SUMIF('MS &amp; Vacancies combined'!A:L,D285,'MS &amp; Vacancies combined'!L:L)*105.3/100</f>
        <v>117880.8319684669</v>
      </c>
      <c r="AM285" s="229">
        <f t="shared" ca="1" si="28"/>
        <v>123656.99273492176</v>
      </c>
      <c r="AN285" s="229">
        <f t="shared" ca="1" si="29"/>
        <v>129468.87139346308</v>
      </c>
      <c r="AO285" s="166"/>
      <c r="AP285" s="413">
        <f t="shared" ca="1" si="32"/>
        <v>-8713.8319684668968</v>
      </c>
      <c r="AR285" s="231"/>
      <c r="AS285" s="231"/>
      <c r="AU285" s="414">
        <v>109167</v>
      </c>
      <c r="AV285" s="415">
        <v>109167</v>
      </c>
      <c r="AW285" s="414">
        <f t="shared" si="30"/>
        <v>0</v>
      </c>
    </row>
    <row r="286" spans="1:49" s="172" customFormat="1" x14ac:dyDescent="0.3">
      <c r="A286" s="166" t="s">
        <v>56</v>
      </c>
      <c r="B286" s="167" t="s">
        <v>825</v>
      </c>
      <c r="C286" s="167" t="s">
        <v>385</v>
      </c>
      <c r="D286" s="412" t="s">
        <v>3463</v>
      </c>
      <c r="E286" s="168" t="s">
        <v>666</v>
      </c>
      <c r="F286" s="168" t="s">
        <v>370</v>
      </c>
      <c r="G286" s="168" t="s">
        <v>309</v>
      </c>
      <c r="H286" s="168" t="s">
        <v>373</v>
      </c>
      <c r="I286" s="168" t="s">
        <v>386</v>
      </c>
      <c r="J286" s="168" t="s">
        <v>387</v>
      </c>
      <c r="K286" s="168" t="s">
        <v>1849</v>
      </c>
      <c r="L286" s="167" t="s">
        <v>304</v>
      </c>
      <c r="M286" s="167" t="s">
        <v>305</v>
      </c>
      <c r="N286" s="167">
        <v>11</v>
      </c>
      <c r="O286" s="167" t="s">
        <v>385</v>
      </c>
      <c r="P286" s="167" t="s">
        <v>385</v>
      </c>
      <c r="Q286" s="167" t="s">
        <v>825</v>
      </c>
      <c r="R286" s="166" t="s">
        <v>56</v>
      </c>
      <c r="S286" s="169">
        <v>94073</v>
      </c>
      <c r="T286" s="160">
        <v>113118.39999999999</v>
      </c>
      <c r="U286" s="160">
        <v>0</v>
      </c>
      <c r="V286" s="160">
        <v>456219.55</v>
      </c>
      <c r="W286" s="160">
        <v>-362146.55</v>
      </c>
      <c r="X286" s="161">
        <v>0</v>
      </c>
      <c r="Y286" s="160"/>
      <c r="Z286" s="16">
        <v>484.96</v>
      </c>
      <c r="AA286" s="162">
        <v>456219.55</v>
      </c>
      <c r="AB286" s="162">
        <v>114054.8875</v>
      </c>
      <c r="AC286" s="162">
        <v>1368658.65</v>
      </c>
      <c r="AD286" s="160"/>
      <c r="AE286" s="145">
        <v>94073</v>
      </c>
      <c r="AF286" s="163">
        <v>1.0529999999999999</v>
      </c>
      <c r="AG286" s="163">
        <v>1.0489999999999999</v>
      </c>
      <c r="AH286" s="163">
        <v>1.0469999999999999</v>
      </c>
      <c r="AI286" s="164">
        <v>94073</v>
      </c>
      <c r="AJ286" s="164">
        <f t="shared" si="31"/>
        <v>0</v>
      </c>
      <c r="AK286" s="229">
        <v>94073</v>
      </c>
      <c r="AL286" s="229">
        <f ca="1">SUMIF('MS &amp; Vacancies combined'!A:O,D286,'MS &amp; Vacancies combined'!O:O)*105.3/100</f>
        <v>1111710.4900093081</v>
      </c>
      <c r="AM286" s="229">
        <f t="shared" ca="1" si="28"/>
        <v>1166184.3040197641</v>
      </c>
      <c r="AN286" s="229">
        <f t="shared" ca="1" si="29"/>
        <v>1220994.9663086929</v>
      </c>
      <c r="AO286" s="166"/>
      <c r="AP286" s="413">
        <f t="shared" ca="1" si="32"/>
        <v>-1017637.4900093081</v>
      </c>
      <c r="AR286" s="231"/>
      <c r="AS286" s="231"/>
      <c r="AU286" s="414">
        <v>94073</v>
      </c>
      <c r="AV286" s="415">
        <v>94073</v>
      </c>
      <c r="AW286" s="414">
        <f t="shared" si="30"/>
        <v>0</v>
      </c>
    </row>
    <row r="287" spans="1:49" x14ac:dyDescent="0.3">
      <c r="A287" s="16" t="s">
        <v>61</v>
      </c>
      <c r="B287" s="39" t="s">
        <v>826</v>
      </c>
      <c r="C287" s="39" t="s">
        <v>460</v>
      </c>
      <c r="D287" s="340" t="s">
        <v>3463</v>
      </c>
      <c r="E287" s="159" t="s">
        <v>666</v>
      </c>
      <c r="F287" s="159" t="s">
        <v>370</v>
      </c>
      <c r="G287" s="159" t="s">
        <v>309</v>
      </c>
      <c r="H287" s="159" t="s">
        <v>373</v>
      </c>
      <c r="I287" s="159" t="s">
        <v>461</v>
      </c>
      <c r="J287" s="159" t="s">
        <v>312</v>
      </c>
      <c r="K287" s="159" t="s">
        <v>1849</v>
      </c>
      <c r="L287" s="39" t="s">
        <v>304</v>
      </c>
      <c r="M287" s="39" t="s">
        <v>305</v>
      </c>
      <c r="N287" s="39">
        <v>11</v>
      </c>
      <c r="O287" s="39" t="s">
        <v>460</v>
      </c>
      <c r="P287" s="39" t="s">
        <v>460</v>
      </c>
      <c r="Q287" s="39" t="s">
        <v>826</v>
      </c>
      <c r="R287" s="16" t="s">
        <v>61</v>
      </c>
      <c r="S287" s="169">
        <v>0</v>
      </c>
      <c r="T287" s="160">
        <v>1479</v>
      </c>
      <c r="U287" s="160">
        <v>0</v>
      </c>
      <c r="V287" s="160">
        <v>16499</v>
      </c>
      <c r="W287" s="160">
        <v>-16499</v>
      </c>
      <c r="X287" s="161">
        <v>0</v>
      </c>
      <c r="Y287" s="160"/>
      <c r="Z287" s="16">
        <v>0</v>
      </c>
      <c r="AA287" s="162">
        <v>16499</v>
      </c>
      <c r="AB287" s="162">
        <v>4124.75</v>
      </c>
      <c r="AC287" s="162">
        <v>49497</v>
      </c>
      <c r="AD287" s="160"/>
      <c r="AE287" s="145">
        <v>0</v>
      </c>
      <c r="AF287" s="163">
        <v>1.0469999999999999</v>
      </c>
      <c r="AG287" s="164">
        <v>1.046</v>
      </c>
      <c r="AH287" s="164">
        <v>1.046</v>
      </c>
      <c r="AI287" s="164">
        <v>0</v>
      </c>
      <c r="AJ287" s="164">
        <f t="shared" si="31"/>
        <v>0</v>
      </c>
      <c r="AK287" s="165">
        <v>0</v>
      </c>
      <c r="AL287" s="165">
        <v>0</v>
      </c>
      <c r="AM287" s="165">
        <f t="shared" si="28"/>
        <v>0</v>
      </c>
      <c r="AN287" s="165">
        <f t="shared" si="29"/>
        <v>0</v>
      </c>
      <c r="AO287" s="16"/>
      <c r="AP287" s="231">
        <f t="shared" si="32"/>
        <v>0</v>
      </c>
      <c r="AR287" s="231"/>
      <c r="AS287" s="231"/>
      <c r="AU287" s="230">
        <v>0</v>
      </c>
      <c r="AV287" s="233">
        <v>0</v>
      </c>
      <c r="AW287" s="230">
        <f t="shared" si="30"/>
        <v>0</v>
      </c>
    </row>
    <row r="288" spans="1:49" s="172" customFormat="1" x14ac:dyDescent="0.3">
      <c r="A288" s="166" t="s">
        <v>62</v>
      </c>
      <c r="B288" s="167" t="s">
        <v>827</v>
      </c>
      <c r="C288" s="167" t="s">
        <v>395</v>
      </c>
      <c r="D288" s="412" t="s">
        <v>3463</v>
      </c>
      <c r="E288" s="168" t="s">
        <v>666</v>
      </c>
      <c r="F288" s="168" t="s">
        <v>370</v>
      </c>
      <c r="G288" s="168" t="s">
        <v>309</v>
      </c>
      <c r="H288" s="168" t="s">
        <v>373</v>
      </c>
      <c r="I288" s="168" t="s">
        <v>396</v>
      </c>
      <c r="J288" s="168" t="s">
        <v>312</v>
      </c>
      <c r="K288" s="168" t="s">
        <v>1849</v>
      </c>
      <c r="L288" s="167" t="s">
        <v>304</v>
      </c>
      <c r="M288" s="167" t="s">
        <v>305</v>
      </c>
      <c r="N288" s="167">
        <v>11</v>
      </c>
      <c r="O288" s="167" t="s">
        <v>395</v>
      </c>
      <c r="P288" s="167" t="s">
        <v>395</v>
      </c>
      <c r="Q288" s="167" t="s">
        <v>827</v>
      </c>
      <c r="R288" s="166" t="s">
        <v>62</v>
      </c>
      <c r="S288" s="169">
        <v>442074</v>
      </c>
      <c r="T288" s="160">
        <v>0</v>
      </c>
      <c r="U288" s="160">
        <v>0</v>
      </c>
      <c r="V288" s="160">
        <v>329868</v>
      </c>
      <c r="W288" s="160">
        <v>112206</v>
      </c>
      <c r="X288" s="161">
        <v>0</v>
      </c>
      <c r="Y288" s="160"/>
      <c r="Z288" s="16">
        <v>74.61</v>
      </c>
      <c r="AA288" s="162">
        <v>329868</v>
      </c>
      <c r="AB288" s="162">
        <v>82467</v>
      </c>
      <c r="AC288" s="162">
        <v>989604</v>
      </c>
      <c r="AD288" s="160"/>
      <c r="AE288" s="145">
        <v>442074</v>
      </c>
      <c r="AF288" s="163">
        <v>1.0529999999999999</v>
      </c>
      <c r="AG288" s="163">
        <v>1.0489999999999999</v>
      </c>
      <c r="AH288" s="163">
        <v>1.0469999999999999</v>
      </c>
      <c r="AI288" s="164">
        <v>442074</v>
      </c>
      <c r="AJ288" s="164">
        <f t="shared" si="31"/>
        <v>0</v>
      </c>
      <c r="AK288" s="229">
        <v>442074</v>
      </c>
      <c r="AL288" s="229">
        <f ca="1">SUMIF('MS &amp; Vacancies combined'!A:K,D288,'MS &amp; Vacancies combined'!K:K)*105.3/100</f>
        <v>429626.89465312159</v>
      </c>
      <c r="AM288" s="229">
        <f t="shared" ca="1" si="28"/>
        <v>450678.61249112454</v>
      </c>
      <c r="AN288" s="229">
        <f t="shared" ca="1" si="29"/>
        <v>471860.50727820734</v>
      </c>
      <c r="AO288" s="166"/>
      <c r="AP288" s="413">
        <f t="shared" ca="1" si="32"/>
        <v>12447.105346878408</v>
      </c>
      <c r="AR288" s="231"/>
      <c r="AS288" s="231"/>
      <c r="AU288" s="414">
        <v>442074</v>
      </c>
      <c r="AV288" s="415">
        <v>442074</v>
      </c>
      <c r="AW288" s="414">
        <f t="shared" si="30"/>
        <v>0</v>
      </c>
    </row>
    <row r="289" spans="1:49" s="172" customFormat="1" x14ac:dyDescent="0.3">
      <c r="A289" s="166" t="s">
        <v>69</v>
      </c>
      <c r="B289" s="167" t="s">
        <v>828</v>
      </c>
      <c r="C289" s="167" t="s">
        <v>398</v>
      </c>
      <c r="D289" s="412" t="s">
        <v>3463</v>
      </c>
      <c r="E289" s="168" t="s">
        <v>666</v>
      </c>
      <c r="F289" s="168" t="s">
        <v>370</v>
      </c>
      <c r="G289" s="168" t="s">
        <v>309</v>
      </c>
      <c r="H289" s="168" t="s">
        <v>310</v>
      </c>
      <c r="I289" s="168" t="s">
        <v>374</v>
      </c>
      <c r="J289" s="168" t="s">
        <v>312</v>
      </c>
      <c r="K289" s="168" t="s">
        <v>1849</v>
      </c>
      <c r="L289" s="167" t="s">
        <v>304</v>
      </c>
      <c r="M289" s="167" t="s">
        <v>305</v>
      </c>
      <c r="N289" s="167">
        <v>11</v>
      </c>
      <c r="O289" s="167" t="s">
        <v>398</v>
      </c>
      <c r="P289" s="167" t="s">
        <v>398</v>
      </c>
      <c r="Q289" s="167" t="s">
        <v>828</v>
      </c>
      <c r="R289" s="166" t="s">
        <v>69</v>
      </c>
      <c r="S289" s="169">
        <v>1166</v>
      </c>
      <c r="T289" s="160">
        <v>140.4</v>
      </c>
      <c r="U289" s="160">
        <v>0</v>
      </c>
      <c r="V289" s="160">
        <v>561.6</v>
      </c>
      <c r="W289" s="160">
        <v>604.4</v>
      </c>
      <c r="X289" s="161">
        <v>0</v>
      </c>
      <c r="Y289" s="160"/>
      <c r="Z289" s="16">
        <v>48.16</v>
      </c>
      <c r="AA289" s="162">
        <v>561.6</v>
      </c>
      <c r="AB289" s="162">
        <v>140.4</v>
      </c>
      <c r="AC289" s="162">
        <v>1684.8000000000002</v>
      </c>
      <c r="AD289" s="160"/>
      <c r="AE289" s="145">
        <v>1166</v>
      </c>
      <c r="AF289" s="163">
        <v>1.0529999999999999</v>
      </c>
      <c r="AG289" s="163">
        <v>1.0489999999999999</v>
      </c>
      <c r="AH289" s="163">
        <v>1.0469999999999999</v>
      </c>
      <c r="AI289" s="164">
        <v>1166</v>
      </c>
      <c r="AJ289" s="164">
        <f t="shared" si="31"/>
        <v>0</v>
      </c>
      <c r="AK289" s="229">
        <v>1166</v>
      </c>
      <c r="AL289" s="229">
        <f ca="1">SUMIF('MS &amp; Vacancies combined'!A:N,D289,'MS &amp; Vacancies combined'!N:N)*105.3/100</f>
        <v>1258.3027617536029</v>
      </c>
      <c r="AM289" s="229">
        <f t="shared" ca="1" si="28"/>
        <v>1319.9595970795294</v>
      </c>
      <c r="AN289" s="229">
        <f t="shared" ca="1" si="29"/>
        <v>1381.9976981422672</v>
      </c>
      <c r="AO289" s="166"/>
      <c r="AP289" s="413">
        <f t="shared" ca="1" si="32"/>
        <v>-92.302761753602908</v>
      </c>
      <c r="AR289" s="231"/>
      <c r="AS289" s="231"/>
      <c r="AU289" s="414">
        <v>1166</v>
      </c>
      <c r="AV289" s="415">
        <v>1166</v>
      </c>
      <c r="AW289" s="414">
        <f t="shared" si="30"/>
        <v>0</v>
      </c>
    </row>
    <row r="290" spans="1:49" s="172" customFormat="1" x14ac:dyDescent="0.3">
      <c r="A290" s="166" t="s">
        <v>70</v>
      </c>
      <c r="B290" s="167" t="s">
        <v>829</v>
      </c>
      <c r="C290" s="167" t="s">
        <v>400</v>
      </c>
      <c r="D290" s="412" t="s">
        <v>3463</v>
      </c>
      <c r="E290" s="168" t="s">
        <v>666</v>
      </c>
      <c r="F290" s="168" t="s">
        <v>370</v>
      </c>
      <c r="G290" s="168" t="s">
        <v>309</v>
      </c>
      <c r="H290" s="168" t="s">
        <v>310</v>
      </c>
      <c r="I290" s="168" t="s">
        <v>401</v>
      </c>
      <c r="J290" s="168" t="s">
        <v>312</v>
      </c>
      <c r="K290" s="168" t="s">
        <v>1849</v>
      </c>
      <c r="L290" s="167" t="s">
        <v>304</v>
      </c>
      <c r="M290" s="167" t="s">
        <v>305</v>
      </c>
      <c r="N290" s="167">
        <v>11</v>
      </c>
      <c r="O290" s="167" t="s">
        <v>400</v>
      </c>
      <c r="P290" s="167" t="s">
        <v>400</v>
      </c>
      <c r="Q290" s="167" t="s">
        <v>829</v>
      </c>
      <c r="R290" s="166" t="s">
        <v>70</v>
      </c>
      <c r="S290" s="169">
        <v>116945</v>
      </c>
      <c r="T290" s="160">
        <v>6147.03</v>
      </c>
      <c r="U290" s="160">
        <v>0</v>
      </c>
      <c r="V290" s="160">
        <v>22487.91</v>
      </c>
      <c r="W290" s="160">
        <v>94457.09</v>
      </c>
      <c r="X290" s="161">
        <v>0</v>
      </c>
      <c r="Y290" s="160"/>
      <c r="Z290" s="16">
        <v>19.22</v>
      </c>
      <c r="AA290" s="162">
        <v>22487.91</v>
      </c>
      <c r="AB290" s="162">
        <v>5621.9775</v>
      </c>
      <c r="AC290" s="162">
        <v>67463.73</v>
      </c>
      <c r="AD290" s="160"/>
      <c r="AE290" s="145">
        <v>116945</v>
      </c>
      <c r="AF290" s="163">
        <v>1.0529999999999999</v>
      </c>
      <c r="AG290" s="163">
        <v>1.0489999999999999</v>
      </c>
      <c r="AH290" s="163">
        <v>1.0469999999999999</v>
      </c>
      <c r="AI290" s="164">
        <v>116945</v>
      </c>
      <c r="AJ290" s="164">
        <f t="shared" si="31"/>
        <v>0</v>
      </c>
      <c r="AK290" s="229">
        <v>116945</v>
      </c>
      <c r="AL290" s="229">
        <f ca="1">SUMIF('MS &amp; Vacancies combined'!A:P,D290,'MS &amp; Vacancies combined'!P:P)*105.3/100</f>
        <v>1083540.9942423967</v>
      </c>
      <c r="AM290" s="229">
        <f t="shared" ca="1" si="28"/>
        <v>1136634.502960274</v>
      </c>
      <c r="AN290" s="229">
        <f t="shared" ca="1" si="29"/>
        <v>1190056.3245994067</v>
      </c>
      <c r="AO290" s="166"/>
      <c r="AP290" s="413">
        <f t="shared" ca="1" si="32"/>
        <v>-966595.99424239667</v>
      </c>
      <c r="AR290" s="231"/>
      <c r="AS290" s="231"/>
      <c r="AU290" s="414">
        <v>116945</v>
      </c>
      <c r="AV290" s="415">
        <v>116945</v>
      </c>
      <c r="AW290" s="414">
        <f t="shared" si="30"/>
        <v>0</v>
      </c>
    </row>
    <row r="291" spans="1:49" s="172" customFormat="1" x14ac:dyDescent="0.3">
      <c r="A291" s="166" t="s">
        <v>71</v>
      </c>
      <c r="B291" s="167" t="s">
        <v>830</v>
      </c>
      <c r="C291" s="167" t="s">
        <v>403</v>
      </c>
      <c r="D291" s="412" t="s">
        <v>3463</v>
      </c>
      <c r="E291" s="168" t="s">
        <v>666</v>
      </c>
      <c r="F291" s="168" t="s">
        <v>370</v>
      </c>
      <c r="G291" s="168" t="s">
        <v>309</v>
      </c>
      <c r="H291" s="168" t="s">
        <v>310</v>
      </c>
      <c r="I291" s="168" t="s">
        <v>404</v>
      </c>
      <c r="J291" s="168" t="s">
        <v>312</v>
      </c>
      <c r="K291" s="168" t="s">
        <v>1849</v>
      </c>
      <c r="L291" s="167" t="s">
        <v>304</v>
      </c>
      <c r="M291" s="167" t="s">
        <v>305</v>
      </c>
      <c r="N291" s="167">
        <v>11</v>
      </c>
      <c r="O291" s="167" t="s">
        <v>403</v>
      </c>
      <c r="P291" s="167" t="s">
        <v>403</v>
      </c>
      <c r="Q291" s="167" t="s">
        <v>830</v>
      </c>
      <c r="R291" s="166" t="s">
        <v>71</v>
      </c>
      <c r="S291" s="169">
        <v>600268</v>
      </c>
      <c r="T291" s="160">
        <v>48718.8</v>
      </c>
      <c r="U291" s="160">
        <v>0</v>
      </c>
      <c r="V291" s="160">
        <v>195497.4</v>
      </c>
      <c r="W291" s="160">
        <v>404770.6</v>
      </c>
      <c r="X291" s="161">
        <v>0</v>
      </c>
      <c r="Y291" s="160"/>
      <c r="Z291" s="16">
        <v>32.56</v>
      </c>
      <c r="AA291" s="162">
        <v>195497.4</v>
      </c>
      <c r="AB291" s="162">
        <v>48874.35</v>
      </c>
      <c r="AC291" s="162">
        <v>586492.19999999995</v>
      </c>
      <c r="AD291" s="160"/>
      <c r="AE291" s="145">
        <v>600268</v>
      </c>
      <c r="AF291" s="163">
        <v>1.0529999999999999</v>
      </c>
      <c r="AG291" s="163">
        <v>1.0489999999999999</v>
      </c>
      <c r="AH291" s="163">
        <v>1.0469999999999999</v>
      </c>
      <c r="AI291" s="164">
        <v>600268</v>
      </c>
      <c r="AJ291" s="164">
        <f t="shared" si="31"/>
        <v>0</v>
      </c>
      <c r="AK291" s="229">
        <v>600268</v>
      </c>
      <c r="AL291" s="229">
        <f ca="1">SUMIF('MS &amp; Vacancies combined'!A:Q,D291,'MS &amp; Vacancies combined'!Q:Q)*105.3/100</f>
        <v>583363.14149076736</v>
      </c>
      <c r="AM291" s="229">
        <f t="shared" ca="1" si="28"/>
        <v>611947.93542381492</v>
      </c>
      <c r="AN291" s="229">
        <f t="shared" ca="1" si="29"/>
        <v>640709.48838873417</v>
      </c>
      <c r="AO291" s="166"/>
      <c r="AP291" s="413">
        <f t="shared" ca="1" si="32"/>
        <v>16904.858509232639</v>
      </c>
      <c r="AR291" s="231"/>
      <c r="AS291" s="231"/>
      <c r="AU291" s="414">
        <v>600268</v>
      </c>
      <c r="AV291" s="415">
        <v>600268</v>
      </c>
      <c r="AW291" s="414">
        <f t="shared" si="30"/>
        <v>0</v>
      </c>
    </row>
    <row r="292" spans="1:49" s="172" customFormat="1" x14ac:dyDescent="0.3">
      <c r="A292" s="166" t="s">
        <v>72</v>
      </c>
      <c r="B292" s="167" t="s">
        <v>831</v>
      </c>
      <c r="C292" s="167" t="s">
        <v>406</v>
      </c>
      <c r="D292" s="412" t="s">
        <v>3463</v>
      </c>
      <c r="E292" s="168" t="s">
        <v>666</v>
      </c>
      <c r="F292" s="168" t="s">
        <v>370</v>
      </c>
      <c r="G292" s="168" t="s">
        <v>309</v>
      </c>
      <c r="H292" s="168" t="s">
        <v>310</v>
      </c>
      <c r="I292" s="168" t="s">
        <v>407</v>
      </c>
      <c r="J292" s="168" t="s">
        <v>312</v>
      </c>
      <c r="K292" s="168" t="s">
        <v>1849</v>
      </c>
      <c r="L292" s="167" t="s">
        <v>304</v>
      </c>
      <c r="M292" s="167" t="s">
        <v>305</v>
      </c>
      <c r="N292" s="167">
        <v>11</v>
      </c>
      <c r="O292" s="167" t="s">
        <v>406</v>
      </c>
      <c r="P292" s="167" t="s">
        <v>406</v>
      </c>
      <c r="Q292" s="167" t="s">
        <v>831</v>
      </c>
      <c r="R292" s="166" t="s">
        <v>72</v>
      </c>
      <c r="S292" s="169">
        <v>1243052</v>
      </c>
      <c r="T292" s="160">
        <v>116602.73</v>
      </c>
      <c r="U292" s="160">
        <v>0</v>
      </c>
      <c r="V292" s="160">
        <v>462049.12</v>
      </c>
      <c r="W292" s="160">
        <v>781002.88</v>
      </c>
      <c r="X292" s="161">
        <v>0</v>
      </c>
      <c r="Y292" s="160"/>
      <c r="Z292" s="16">
        <v>37.17</v>
      </c>
      <c r="AA292" s="162">
        <v>462049.12</v>
      </c>
      <c r="AB292" s="162">
        <v>115512.28</v>
      </c>
      <c r="AC292" s="162">
        <v>1386147.3599999999</v>
      </c>
      <c r="AD292" s="160"/>
      <c r="AE292" s="145">
        <v>1243052</v>
      </c>
      <c r="AF292" s="163">
        <v>1.0529999999999999</v>
      </c>
      <c r="AG292" s="163">
        <v>1.0489999999999999</v>
      </c>
      <c r="AH292" s="163">
        <v>1.0469999999999999</v>
      </c>
      <c r="AI292" s="164">
        <v>1243052</v>
      </c>
      <c r="AJ292" s="164">
        <f t="shared" si="31"/>
        <v>0</v>
      </c>
      <c r="AK292" s="229">
        <v>1243052</v>
      </c>
      <c r="AL292" s="229">
        <f ca="1">SUMIF('MS &amp; Vacancies combined'!A:R,D292,'MS &amp; Vacancies combined'!R:R)*105.3/100</f>
        <v>1034170.2760162284</v>
      </c>
      <c r="AM292" s="229">
        <f t="shared" ca="1" si="28"/>
        <v>1084844.6195410234</v>
      </c>
      <c r="AN292" s="229">
        <f t="shared" ca="1" si="29"/>
        <v>1135832.3166594515</v>
      </c>
      <c r="AO292" s="166"/>
      <c r="AP292" s="413">
        <f t="shared" ca="1" si="32"/>
        <v>208881.72398377163</v>
      </c>
      <c r="AR292" s="231"/>
      <c r="AS292" s="231"/>
      <c r="AU292" s="414">
        <v>1243052</v>
      </c>
      <c r="AV292" s="415">
        <v>1243052</v>
      </c>
      <c r="AW292" s="414">
        <f t="shared" si="30"/>
        <v>0</v>
      </c>
    </row>
    <row r="293" spans="1:49" s="172" customFormat="1" x14ac:dyDescent="0.3">
      <c r="A293" s="166" t="s">
        <v>73</v>
      </c>
      <c r="B293" s="167" t="s">
        <v>832</v>
      </c>
      <c r="C293" s="167" t="s">
        <v>307</v>
      </c>
      <c r="D293" s="412" t="s">
        <v>3463</v>
      </c>
      <c r="E293" s="168" t="s">
        <v>666</v>
      </c>
      <c r="F293" s="168" t="s">
        <v>370</v>
      </c>
      <c r="G293" s="168" t="s">
        <v>309</v>
      </c>
      <c r="H293" s="168" t="s">
        <v>310</v>
      </c>
      <c r="I293" s="168" t="s">
        <v>311</v>
      </c>
      <c r="J293" s="168" t="s">
        <v>312</v>
      </c>
      <c r="K293" s="168" t="s">
        <v>1849</v>
      </c>
      <c r="L293" s="167" t="s">
        <v>304</v>
      </c>
      <c r="M293" s="167" t="s">
        <v>305</v>
      </c>
      <c r="N293" s="167">
        <v>11</v>
      </c>
      <c r="O293" s="167" t="s">
        <v>307</v>
      </c>
      <c r="P293" s="167" t="s">
        <v>307</v>
      </c>
      <c r="Q293" s="167" t="s">
        <v>832</v>
      </c>
      <c r="R293" s="166" t="s">
        <v>73</v>
      </c>
      <c r="S293" s="169">
        <v>22275</v>
      </c>
      <c r="T293" s="160">
        <v>2302.56</v>
      </c>
      <c r="U293" s="160">
        <v>0</v>
      </c>
      <c r="V293" s="160">
        <v>9210.24</v>
      </c>
      <c r="W293" s="160">
        <v>13064.76</v>
      </c>
      <c r="X293" s="161">
        <v>0</v>
      </c>
      <c r="Y293" s="160"/>
      <c r="Z293" s="16">
        <v>41.34</v>
      </c>
      <c r="AA293" s="162">
        <v>9210.24</v>
      </c>
      <c r="AB293" s="162">
        <v>2302.56</v>
      </c>
      <c r="AC293" s="162">
        <v>27630.720000000001</v>
      </c>
      <c r="AD293" s="160"/>
      <c r="AE293" s="145">
        <v>22275</v>
      </c>
      <c r="AF293" s="163">
        <v>1.0529999999999999</v>
      </c>
      <c r="AG293" s="163">
        <v>1.0489999999999999</v>
      </c>
      <c r="AH293" s="163">
        <v>1.0469999999999999</v>
      </c>
      <c r="AI293" s="164">
        <v>22275</v>
      </c>
      <c r="AJ293" s="164">
        <f t="shared" si="31"/>
        <v>0</v>
      </c>
      <c r="AK293" s="229">
        <v>22275</v>
      </c>
      <c r="AL293" s="229">
        <f ca="1">SUMIF('MS &amp; Vacancies combined'!A:S,D293,'MS &amp; Vacancies combined'!S:S)*105.3/100</f>
        <v>20636.165292759088</v>
      </c>
      <c r="AM293" s="229">
        <f t="shared" ca="1" si="28"/>
        <v>21647.33739210428</v>
      </c>
      <c r="AN293" s="229">
        <f t="shared" ca="1" si="29"/>
        <v>22664.762249533182</v>
      </c>
      <c r="AO293" s="166"/>
      <c r="AP293" s="413">
        <f t="shared" ca="1" si="32"/>
        <v>1638.8347072409124</v>
      </c>
      <c r="AR293" s="231"/>
      <c r="AS293" s="231"/>
      <c r="AU293" s="414">
        <v>22275</v>
      </c>
      <c r="AV293" s="415">
        <v>22275</v>
      </c>
      <c r="AW293" s="414">
        <f t="shared" si="30"/>
        <v>0</v>
      </c>
    </row>
    <row r="294" spans="1:49" hidden="1" x14ac:dyDescent="0.3">
      <c r="A294" s="16" t="s">
        <v>324</v>
      </c>
      <c r="B294" s="39" t="s">
        <v>833</v>
      </c>
      <c r="C294" s="39" t="s">
        <v>76</v>
      </c>
      <c r="D294" s="340" t="s">
        <v>3463</v>
      </c>
      <c r="E294" s="159" t="s">
        <v>666</v>
      </c>
      <c r="F294" s="159" t="s">
        <v>370</v>
      </c>
      <c r="G294" s="159" t="s">
        <v>309</v>
      </c>
      <c r="H294" s="159" t="s">
        <v>325</v>
      </c>
      <c r="I294" s="159" t="s">
        <v>326</v>
      </c>
      <c r="J294" s="159" t="s">
        <v>327</v>
      </c>
      <c r="K294" s="159" t="s">
        <v>1849</v>
      </c>
      <c r="L294" s="39" t="s">
        <v>304</v>
      </c>
      <c r="M294" s="39" t="s">
        <v>305</v>
      </c>
      <c r="N294" s="39">
        <v>11</v>
      </c>
      <c r="O294" s="39" t="s">
        <v>76</v>
      </c>
      <c r="P294" s="39" t="s">
        <v>76</v>
      </c>
      <c r="Q294" s="39" t="s">
        <v>833</v>
      </c>
      <c r="R294" s="16" t="s">
        <v>324</v>
      </c>
      <c r="S294" s="160">
        <v>0</v>
      </c>
      <c r="T294" s="160">
        <v>0</v>
      </c>
      <c r="U294" s="160">
        <v>0</v>
      </c>
      <c r="V294" s="160">
        <v>0</v>
      </c>
      <c r="W294" s="160">
        <v>0</v>
      </c>
      <c r="X294" s="161">
        <v>0</v>
      </c>
      <c r="Y294" s="160"/>
      <c r="Z294" s="16">
        <v>0</v>
      </c>
      <c r="AA294" s="162">
        <v>0</v>
      </c>
      <c r="AB294" s="162">
        <v>0</v>
      </c>
      <c r="AC294" s="162">
        <v>0</v>
      </c>
      <c r="AD294" s="160"/>
      <c r="AE294" s="145">
        <v>0</v>
      </c>
      <c r="AF294" s="163">
        <v>1.0469999999999999</v>
      </c>
      <c r="AG294" s="164">
        <v>1.046</v>
      </c>
      <c r="AH294" s="164">
        <v>1.046</v>
      </c>
      <c r="AI294" s="164">
        <v>0</v>
      </c>
      <c r="AJ294" s="164">
        <f t="shared" si="31"/>
        <v>0</v>
      </c>
      <c r="AK294" s="165">
        <v>10000</v>
      </c>
      <c r="AL294" s="165">
        <f>AK294</f>
        <v>10000</v>
      </c>
      <c r="AM294" s="165">
        <f t="shared" si="28"/>
        <v>10460</v>
      </c>
      <c r="AN294" s="165">
        <f t="shared" si="29"/>
        <v>10941.16</v>
      </c>
      <c r="AO294" s="16"/>
      <c r="AP294" s="231">
        <f t="shared" si="32"/>
        <v>0</v>
      </c>
      <c r="AR294" s="231"/>
      <c r="AS294" s="231"/>
      <c r="AU294" s="230">
        <v>0</v>
      </c>
      <c r="AV294" s="233">
        <v>0</v>
      </c>
      <c r="AW294" s="230">
        <f t="shared" si="30"/>
        <v>0</v>
      </c>
    </row>
    <row r="295" spans="1:49" hidden="1" x14ac:dyDescent="0.3">
      <c r="A295" s="16" t="s">
        <v>835</v>
      </c>
      <c r="B295" s="39" t="s">
        <v>834</v>
      </c>
      <c r="C295" s="39" t="s">
        <v>82</v>
      </c>
      <c r="D295" s="340" t="s">
        <v>3463</v>
      </c>
      <c r="E295" s="159" t="s">
        <v>666</v>
      </c>
      <c r="F295" s="159" t="s">
        <v>370</v>
      </c>
      <c r="G295" s="159" t="s">
        <v>309</v>
      </c>
      <c r="H295" s="159" t="s">
        <v>334</v>
      </c>
      <c r="I295" s="159" t="s">
        <v>414</v>
      </c>
      <c r="J295" s="159" t="s">
        <v>312</v>
      </c>
      <c r="K295" s="159" t="s">
        <v>1849</v>
      </c>
      <c r="L295" s="39" t="s">
        <v>304</v>
      </c>
      <c r="M295" s="39" t="s">
        <v>305</v>
      </c>
      <c r="N295" s="39">
        <v>11</v>
      </c>
      <c r="O295" s="39" t="s">
        <v>82</v>
      </c>
      <c r="P295" s="39" t="s">
        <v>836</v>
      </c>
      <c r="Q295" s="39" t="s">
        <v>834</v>
      </c>
      <c r="R295" s="16" t="s">
        <v>835</v>
      </c>
      <c r="S295" s="160">
        <v>0</v>
      </c>
      <c r="T295" s="160">
        <v>0</v>
      </c>
      <c r="U295" s="160">
        <v>0</v>
      </c>
      <c r="V295" s="160">
        <v>0</v>
      </c>
      <c r="W295" s="160">
        <v>0</v>
      </c>
      <c r="X295" s="161">
        <v>0</v>
      </c>
      <c r="Y295" s="160"/>
      <c r="Z295" s="16">
        <v>0</v>
      </c>
      <c r="AA295" s="162">
        <v>0</v>
      </c>
      <c r="AB295" s="162">
        <v>0</v>
      </c>
      <c r="AC295" s="162">
        <v>0</v>
      </c>
      <c r="AD295" s="160"/>
      <c r="AE295" s="145">
        <v>0</v>
      </c>
      <c r="AF295" s="163">
        <v>1.0469999999999999</v>
      </c>
      <c r="AG295" s="164">
        <v>1.046</v>
      </c>
      <c r="AH295" s="164">
        <v>1.046</v>
      </c>
      <c r="AI295" s="164">
        <v>0</v>
      </c>
      <c r="AJ295" s="164">
        <f t="shared" si="31"/>
        <v>0</v>
      </c>
      <c r="AK295" s="165">
        <v>0</v>
      </c>
      <c r="AL295" s="165">
        <v>0</v>
      </c>
      <c r="AM295" s="165">
        <f t="shared" si="28"/>
        <v>0</v>
      </c>
      <c r="AN295" s="165">
        <f t="shared" si="29"/>
        <v>0</v>
      </c>
      <c r="AO295" s="16"/>
      <c r="AP295" s="231">
        <f t="shared" si="32"/>
        <v>0</v>
      </c>
      <c r="AR295" s="231"/>
      <c r="AS295" s="231"/>
      <c r="AU295" s="230">
        <v>0</v>
      </c>
      <c r="AV295" s="233">
        <v>0</v>
      </c>
      <c r="AW295" s="230">
        <f t="shared" si="30"/>
        <v>0</v>
      </c>
    </row>
    <row r="296" spans="1:49" hidden="1" x14ac:dyDescent="0.3">
      <c r="A296" s="16" t="s">
        <v>341</v>
      </c>
      <c r="B296" s="39" t="s">
        <v>837</v>
      </c>
      <c r="C296" s="39" t="s">
        <v>82</v>
      </c>
      <c r="D296" s="340" t="s">
        <v>3463</v>
      </c>
      <c r="E296" s="159" t="s">
        <v>666</v>
      </c>
      <c r="F296" s="159" t="s">
        <v>370</v>
      </c>
      <c r="G296" s="159" t="s">
        <v>309</v>
      </c>
      <c r="H296" s="159" t="s">
        <v>334</v>
      </c>
      <c r="I296" s="159" t="s">
        <v>343</v>
      </c>
      <c r="J296" s="159" t="s">
        <v>312</v>
      </c>
      <c r="K296" s="159" t="s">
        <v>1849</v>
      </c>
      <c r="L296" s="39" t="s">
        <v>304</v>
      </c>
      <c r="M296" s="39" t="s">
        <v>305</v>
      </c>
      <c r="N296" s="39">
        <v>11</v>
      </c>
      <c r="O296" s="39" t="s">
        <v>82</v>
      </c>
      <c r="P296" s="39" t="s">
        <v>342</v>
      </c>
      <c r="Q296" s="39" t="s">
        <v>837</v>
      </c>
      <c r="R296" s="16" t="s">
        <v>341</v>
      </c>
      <c r="S296" s="160">
        <v>0</v>
      </c>
      <c r="T296" s="160">
        <v>0</v>
      </c>
      <c r="U296" s="160">
        <v>0</v>
      </c>
      <c r="V296" s="160">
        <v>0</v>
      </c>
      <c r="W296" s="160">
        <v>0</v>
      </c>
      <c r="X296" s="161">
        <v>0</v>
      </c>
      <c r="Y296" s="160"/>
      <c r="Z296" s="16">
        <v>0</v>
      </c>
      <c r="AA296" s="162">
        <v>0</v>
      </c>
      <c r="AB296" s="162">
        <v>0</v>
      </c>
      <c r="AC296" s="162">
        <v>0</v>
      </c>
      <c r="AD296" s="160"/>
      <c r="AE296" s="145">
        <v>0</v>
      </c>
      <c r="AF296" s="163">
        <v>1.0469999999999999</v>
      </c>
      <c r="AG296" s="164">
        <v>1.046</v>
      </c>
      <c r="AH296" s="164">
        <v>1.046</v>
      </c>
      <c r="AI296" s="164">
        <v>0</v>
      </c>
      <c r="AJ296" s="164">
        <f t="shared" si="31"/>
        <v>0</v>
      </c>
      <c r="AK296" s="165">
        <v>0</v>
      </c>
      <c r="AL296" s="165">
        <v>0</v>
      </c>
      <c r="AM296" s="165">
        <f t="shared" si="28"/>
        <v>0</v>
      </c>
      <c r="AN296" s="165">
        <f t="shared" si="29"/>
        <v>0</v>
      </c>
      <c r="AO296" s="16"/>
      <c r="AP296" s="231">
        <f t="shared" si="32"/>
        <v>0</v>
      </c>
      <c r="AR296" s="231"/>
      <c r="AS296" s="231"/>
      <c r="AU296" s="230">
        <v>0</v>
      </c>
      <c r="AV296" s="233">
        <v>0</v>
      </c>
      <c r="AW296" s="230">
        <f t="shared" si="30"/>
        <v>0</v>
      </c>
    </row>
    <row r="297" spans="1:49" hidden="1" x14ac:dyDescent="0.3">
      <c r="A297" s="16" t="s">
        <v>839</v>
      </c>
      <c r="B297" s="39" t="s">
        <v>838</v>
      </c>
      <c r="C297" s="39" t="s">
        <v>82</v>
      </c>
      <c r="D297" s="340" t="s">
        <v>3463</v>
      </c>
      <c r="E297" s="159" t="s">
        <v>666</v>
      </c>
      <c r="F297" s="159" t="s">
        <v>370</v>
      </c>
      <c r="G297" s="159" t="s">
        <v>309</v>
      </c>
      <c r="H297" s="159" t="s">
        <v>334</v>
      </c>
      <c r="I297" s="159" t="s">
        <v>841</v>
      </c>
      <c r="J297" s="159" t="s">
        <v>312</v>
      </c>
      <c r="K297" s="159" t="s">
        <v>1849</v>
      </c>
      <c r="L297" s="39" t="s">
        <v>304</v>
      </c>
      <c r="M297" s="39" t="s">
        <v>305</v>
      </c>
      <c r="N297" s="39">
        <v>11</v>
      </c>
      <c r="O297" s="39" t="s">
        <v>82</v>
      </c>
      <c r="P297" s="39" t="s">
        <v>840</v>
      </c>
      <c r="Q297" s="39" t="s">
        <v>838</v>
      </c>
      <c r="R297" s="16" t="s">
        <v>839</v>
      </c>
      <c r="S297" s="160">
        <v>0</v>
      </c>
      <c r="T297" s="160">
        <v>0</v>
      </c>
      <c r="U297" s="160">
        <v>0</v>
      </c>
      <c r="V297" s="160">
        <v>0</v>
      </c>
      <c r="W297" s="160">
        <v>0</v>
      </c>
      <c r="X297" s="161">
        <v>0</v>
      </c>
      <c r="Y297" s="160"/>
      <c r="Z297" s="16">
        <v>0</v>
      </c>
      <c r="AA297" s="162">
        <v>0</v>
      </c>
      <c r="AB297" s="162">
        <v>0</v>
      </c>
      <c r="AC297" s="162">
        <v>0</v>
      </c>
      <c r="AD297" s="160"/>
      <c r="AE297" s="145">
        <v>0</v>
      </c>
      <c r="AF297" s="163">
        <v>1.0469999999999999</v>
      </c>
      <c r="AG297" s="164">
        <v>1.046</v>
      </c>
      <c r="AH297" s="164">
        <v>1.046</v>
      </c>
      <c r="AI297" s="164">
        <v>0</v>
      </c>
      <c r="AJ297" s="164">
        <f t="shared" si="31"/>
        <v>0</v>
      </c>
      <c r="AK297" s="165">
        <v>0</v>
      </c>
      <c r="AL297" s="165">
        <v>0</v>
      </c>
      <c r="AM297" s="165">
        <f t="shared" si="28"/>
        <v>0</v>
      </c>
      <c r="AN297" s="165">
        <f t="shared" si="29"/>
        <v>0</v>
      </c>
      <c r="AO297" s="16"/>
      <c r="AP297" s="231">
        <f t="shared" si="32"/>
        <v>0</v>
      </c>
      <c r="AR297" s="231"/>
      <c r="AS297" s="231"/>
      <c r="AU297" s="230">
        <v>0</v>
      </c>
      <c r="AV297" s="233">
        <v>0</v>
      </c>
      <c r="AW297" s="230">
        <f t="shared" si="30"/>
        <v>0</v>
      </c>
    </row>
    <row r="298" spans="1:49" hidden="1" x14ac:dyDescent="0.3">
      <c r="A298" s="16" t="s">
        <v>83</v>
      </c>
      <c r="B298" s="39" t="s">
        <v>842</v>
      </c>
      <c r="C298" s="39" t="s">
        <v>423</v>
      </c>
      <c r="D298" s="340" t="s">
        <v>3463</v>
      </c>
      <c r="E298" s="159" t="s">
        <v>666</v>
      </c>
      <c r="F298" s="159" t="s">
        <v>370</v>
      </c>
      <c r="G298" s="159" t="s">
        <v>309</v>
      </c>
      <c r="H298" s="159" t="s">
        <v>424</v>
      </c>
      <c r="I298" s="159" t="s">
        <v>425</v>
      </c>
      <c r="J298" s="159" t="s">
        <v>426</v>
      </c>
      <c r="K298" s="159" t="s">
        <v>1849</v>
      </c>
      <c r="L298" s="39" t="s">
        <v>304</v>
      </c>
      <c r="M298" s="39" t="s">
        <v>305</v>
      </c>
      <c r="N298" s="39">
        <v>11</v>
      </c>
      <c r="O298" s="39" t="s">
        <v>423</v>
      </c>
      <c r="P298" s="39" t="s">
        <v>423</v>
      </c>
      <c r="Q298" s="39" t="s">
        <v>842</v>
      </c>
      <c r="R298" s="16" t="s">
        <v>83</v>
      </c>
      <c r="S298" s="160">
        <v>0</v>
      </c>
      <c r="T298" s="160">
        <v>0</v>
      </c>
      <c r="U298" s="160">
        <v>0</v>
      </c>
      <c r="V298" s="160">
        <v>0</v>
      </c>
      <c r="W298" s="160">
        <v>0</v>
      </c>
      <c r="X298" s="161">
        <v>0</v>
      </c>
      <c r="Y298" s="160"/>
      <c r="Z298" s="16">
        <v>0</v>
      </c>
      <c r="AA298" s="162">
        <v>0</v>
      </c>
      <c r="AB298" s="162">
        <v>0</v>
      </c>
      <c r="AC298" s="162">
        <v>0</v>
      </c>
      <c r="AD298" s="160"/>
      <c r="AE298" s="145">
        <v>0</v>
      </c>
      <c r="AF298" s="163">
        <v>1.0469999999999999</v>
      </c>
      <c r="AG298" s="164">
        <v>1.046</v>
      </c>
      <c r="AH298" s="164">
        <v>1.046</v>
      </c>
      <c r="AI298" s="164">
        <v>0</v>
      </c>
      <c r="AJ298" s="164">
        <f t="shared" si="31"/>
        <v>0</v>
      </c>
      <c r="AK298" s="165">
        <v>20000</v>
      </c>
      <c r="AL298" s="165">
        <f>AK298</f>
        <v>20000</v>
      </c>
      <c r="AM298" s="165">
        <f t="shared" si="28"/>
        <v>20920</v>
      </c>
      <c r="AN298" s="165">
        <f t="shared" si="29"/>
        <v>21882.32</v>
      </c>
      <c r="AO298" s="16"/>
      <c r="AP298" s="231">
        <f t="shared" si="32"/>
        <v>0</v>
      </c>
      <c r="AR298" s="231"/>
      <c r="AS298" s="231"/>
      <c r="AU298" s="230">
        <v>0</v>
      </c>
      <c r="AV298" s="233">
        <v>0</v>
      </c>
      <c r="AW298" s="230">
        <f t="shared" si="30"/>
        <v>0</v>
      </c>
    </row>
    <row r="299" spans="1:49" hidden="1" x14ac:dyDescent="0.3">
      <c r="A299" s="16" t="s">
        <v>90</v>
      </c>
      <c r="B299" s="39" t="s">
        <v>843</v>
      </c>
      <c r="C299" s="39" t="s">
        <v>844</v>
      </c>
      <c r="D299" s="340" t="s">
        <v>3463</v>
      </c>
      <c r="E299" s="159" t="s">
        <v>666</v>
      </c>
      <c r="F299" s="159" t="s">
        <v>370</v>
      </c>
      <c r="G299" s="159" t="s">
        <v>309</v>
      </c>
      <c r="H299" s="159" t="s">
        <v>845</v>
      </c>
      <c r="I299" s="159" t="s">
        <v>846</v>
      </c>
      <c r="J299" s="159" t="s">
        <v>312</v>
      </c>
      <c r="K299" s="159" t="s">
        <v>1849</v>
      </c>
      <c r="L299" s="39" t="s">
        <v>304</v>
      </c>
      <c r="M299" s="39" t="s">
        <v>305</v>
      </c>
      <c r="N299" s="39">
        <v>11</v>
      </c>
      <c r="O299" s="39" t="s">
        <v>844</v>
      </c>
      <c r="P299" s="39" t="s">
        <v>844</v>
      </c>
      <c r="Q299" s="39" t="s">
        <v>843</v>
      </c>
      <c r="R299" s="16" t="s">
        <v>90</v>
      </c>
      <c r="S299" s="160">
        <v>120000000</v>
      </c>
      <c r="T299" s="160">
        <v>0</v>
      </c>
      <c r="U299" s="160">
        <v>0</v>
      </c>
      <c r="V299" s="160">
        <v>10000000</v>
      </c>
      <c r="W299" s="160">
        <v>110000000</v>
      </c>
      <c r="X299" s="161">
        <v>10000000</v>
      </c>
      <c r="Y299" s="160"/>
      <c r="Z299" s="16">
        <v>8.33</v>
      </c>
      <c r="AA299" s="162">
        <v>10000000</v>
      </c>
      <c r="AB299" s="162">
        <v>2500000</v>
      </c>
      <c r="AC299" s="162">
        <v>30000000</v>
      </c>
      <c r="AD299" s="160"/>
      <c r="AE299" s="145">
        <v>120000000</v>
      </c>
      <c r="AF299" s="163">
        <v>1.0469999999999999</v>
      </c>
      <c r="AG299" s="164">
        <v>1.046</v>
      </c>
      <c r="AH299" s="164">
        <v>1.046</v>
      </c>
      <c r="AI299" s="164">
        <v>120000000</v>
      </c>
      <c r="AJ299" s="164">
        <f t="shared" si="31"/>
        <v>0</v>
      </c>
      <c r="AK299" s="165">
        <v>120000000</v>
      </c>
      <c r="AL299" s="165">
        <v>120000000</v>
      </c>
      <c r="AM299" s="165">
        <v>120000000</v>
      </c>
      <c r="AN299" s="165">
        <v>120000000</v>
      </c>
      <c r="AO299" s="16"/>
      <c r="AP299" s="231">
        <f t="shared" si="32"/>
        <v>0</v>
      </c>
      <c r="AR299" s="231"/>
      <c r="AS299" s="231"/>
      <c r="AU299" s="230">
        <v>120000000</v>
      </c>
      <c r="AV299" s="233">
        <v>120000000</v>
      </c>
      <c r="AW299" s="230">
        <f t="shared" si="30"/>
        <v>0</v>
      </c>
    </row>
    <row r="300" spans="1:49" s="172" customFormat="1" x14ac:dyDescent="0.3">
      <c r="A300" s="166" t="s">
        <v>50</v>
      </c>
      <c r="B300" s="167" t="s">
        <v>847</v>
      </c>
      <c r="C300" s="167" t="s">
        <v>302</v>
      </c>
      <c r="D300" s="412" t="s">
        <v>3464</v>
      </c>
      <c r="E300" s="168" t="s">
        <v>666</v>
      </c>
      <c r="F300" s="168" t="s">
        <v>848</v>
      </c>
      <c r="G300" s="168" t="s">
        <v>309</v>
      </c>
      <c r="H300" s="168" t="s">
        <v>373</v>
      </c>
      <c r="I300" s="168" t="s">
        <v>374</v>
      </c>
      <c r="J300" s="168" t="s">
        <v>312</v>
      </c>
      <c r="K300" s="168" t="s">
        <v>1849</v>
      </c>
      <c r="L300" s="167" t="s">
        <v>304</v>
      </c>
      <c r="M300" s="167" t="s">
        <v>305</v>
      </c>
      <c r="N300" s="167">
        <v>11</v>
      </c>
      <c r="O300" s="167" t="s">
        <v>302</v>
      </c>
      <c r="P300" s="167" t="s">
        <v>302</v>
      </c>
      <c r="Q300" s="167" t="s">
        <v>847</v>
      </c>
      <c r="R300" s="166" t="s">
        <v>50</v>
      </c>
      <c r="S300" s="169">
        <v>7650320</v>
      </c>
      <c r="T300" s="160">
        <v>647023.44999999995</v>
      </c>
      <c r="U300" s="160">
        <v>0</v>
      </c>
      <c r="V300" s="160">
        <v>2662238.6800000002</v>
      </c>
      <c r="W300" s="160">
        <v>4988081.32</v>
      </c>
      <c r="X300" s="161">
        <v>0</v>
      </c>
      <c r="Y300" s="160"/>
      <c r="Z300" s="16">
        <v>34.79</v>
      </c>
      <c r="AA300" s="162">
        <v>2662238.6800000002</v>
      </c>
      <c r="AB300" s="162">
        <v>665559.67000000004</v>
      </c>
      <c r="AC300" s="162">
        <v>7986716.040000001</v>
      </c>
      <c r="AD300" s="160"/>
      <c r="AE300" s="145">
        <v>7650320</v>
      </c>
      <c r="AF300" s="163">
        <v>1.0529999999999999</v>
      </c>
      <c r="AG300" s="163">
        <v>1.0489999999999999</v>
      </c>
      <c r="AH300" s="163">
        <v>1.0469999999999999</v>
      </c>
      <c r="AI300" s="164">
        <v>7650320</v>
      </c>
      <c r="AJ300" s="164">
        <f t="shared" si="31"/>
        <v>0</v>
      </c>
      <c r="AK300" s="229">
        <v>7650320</v>
      </c>
      <c r="AL300" s="229">
        <f ca="1">SUMIF('MS &amp; Vacancies combined'!A:J,D300,'MS &amp; Vacancies combined'!J:J)*105.3/100</f>
        <v>7891317.6098712413</v>
      </c>
      <c r="AM300" s="229">
        <f t="shared" ref="AM300:AN300" ca="1" si="33">AL300*AG300</f>
        <v>8277992.1727549313</v>
      </c>
      <c r="AN300" s="229">
        <f t="shared" ca="1" si="33"/>
        <v>8667057.8048744127</v>
      </c>
      <c r="AO300" s="166"/>
      <c r="AP300" s="413">
        <f t="shared" ca="1" si="32"/>
        <v>-240997.60987124126</v>
      </c>
      <c r="AR300" s="231"/>
      <c r="AS300" s="231"/>
      <c r="AU300" s="414">
        <v>7650320</v>
      </c>
      <c r="AV300" s="415">
        <v>7650320</v>
      </c>
      <c r="AW300" s="414">
        <f t="shared" si="30"/>
        <v>0</v>
      </c>
    </row>
    <row r="301" spans="1:49" s="172" customFormat="1" x14ac:dyDescent="0.3">
      <c r="A301" s="166" t="s">
        <v>52</v>
      </c>
      <c r="B301" s="167" t="s">
        <v>849</v>
      </c>
      <c r="C301" s="167" t="s">
        <v>376</v>
      </c>
      <c r="D301" s="412" t="s">
        <v>3464</v>
      </c>
      <c r="E301" s="168" t="s">
        <v>666</v>
      </c>
      <c r="F301" s="168" t="s">
        <v>848</v>
      </c>
      <c r="G301" s="168" t="s">
        <v>309</v>
      </c>
      <c r="H301" s="168" t="s">
        <v>373</v>
      </c>
      <c r="I301" s="168" t="s">
        <v>377</v>
      </c>
      <c r="J301" s="168" t="s">
        <v>312</v>
      </c>
      <c r="K301" s="168" t="s">
        <v>1849</v>
      </c>
      <c r="L301" s="167" t="s">
        <v>304</v>
      </c>
      <c r="M301" s="167" t="s">
        <v>305</v>
      </c>
      <c r="N301" s="167">
        <v>11</v>
      </c>
      <c r="O301" s="167" t="s">
        <v>376</v>
      </c>
      <c r="P301" s="167" t="s">
        <v>376</v>
      </c>
      <c r="Q301" s="167" t="s">
        <v>849</v>
      </c>
      <c r="R301" s="166" t="s">
        <v>52</v>
      </c>
      <c r="S301" s="169">
        <v>9432</v>
      </c>
      <c r="T301" s="160">
        <v>750</v>
      </c>
      <c r="U301" s="160">
        <v>0</v>
      </c>
      <c r="V301" s="160">
        <v>5250</v>
      </c>
      <c r="W301" s="160">
        <v>4182</v>
      </c>
      <c r="X301" s="161">
        <v>0</v>
      </c>
      <c r="Y301" s="160"/>
      <c r="Z301" s="16">
        <v>55.66</v>
      </c>
      <c r="AA301" s="162">
        <v>5250</v>
      </c>
      <c r="AB301" s="162">
        <v>1312.5</v>
      </c>
      <c r="AC301" s="162">
        <v>15750</v>
      </c>
      <c r="AD301" s="160"/>
      <c r="AE301" s="145">
        <v>9432</v>
      </c>
      <c r="AF301" s="163">
        <v>1.0529999999999999</v>
      </c>
      <c r="AG301" s="163">
        <v>1.0489999999999999</v>
      </c>
      <c r="AH301" s="163">
        <v>1.0469999999999999</v>
      </c>
      <c r="AI301" s="164">
        <v>9432</v>
      </c>
      <c r="AJ301" s="164">
        <f t="shared" si="31"/>
        <v>0</v>
      </c>
      <c r="AK301" s="229">
        <v>9432</v>
      </c>
      <c r="AL301" s="229">
        <f ca="1">SUMIF('MS &amp; Vacancies combined'!A:M,D301,'MS &amp; Vacancies combined'!M:M)*105.3/100</f>
        <v>17476.427246577816</v>
      </c>
      <c r="AM301" s="229">
        <f t="shared" ref="AM301:AN301" ca="1" si="34">AL301*AG301</f>
        <v>18332.772181660126</v>
      </c>
      <c r="AN301" s="229">
        <f t="shared" ca="1" si="34"/>
        <v>19194.41247419815</v>
      </c>
      <c r="AO301" s="166"/>
      <c r="AP301" s="413">
        <f t="shared" ca="1" si="32"/>
        <v>-8044.4272465778158</v>
      </c>
      <c r="AR301" s="231"/>
      <c r="AS301" s="231"/>
      <c r="AU301" s="414">
        <v>9432</v>
      </c>
      <c r="AV301" s="415">
        <v>9432</v>
      </c>
      <c r="AW301" s="414">
        <f t="shared" si="30"/>
        <v>0</v>
      </c>
    </row>
    <row r="302" spans="1:49" s="172" customFormat="1" x14ac:dyDescent="0.3">
      <c r="A302" s="166" t="s">
        <v>54</v>
      </c>
      <c r="B302" s="167" t="s">
        <v>850</v>
      </c>
      <c r="C302" s="167" t="s">
        <v>379</v>
      </c>
      <c r="D302" s="412" t="s">
        <v>3464</v>
      </c>
      <c r="E302" s="168" t="s">
        <v>666</v>
      </c>
      <c r="F302" s="168" t="s">
        <v>848</v>
      </c>
      <c r="G302" s="168" t="s">
        <v>309</v>
      </c>
      <c r="H302" s="168" t="s">
        <v>373</v>
      </c>
      <c r="I302" s="168" t="s">
        <v>380</v>
      </c>
      <c r="J302" s="168" t="s">
        <v>312</v>
      </c>
      <c r="K302" s="168" t="s">
        <v>1849</v>
      </c>
      <c r="L302" s="167" t="s">
        <v>304</v>
      </c>
      <c r="M302" s="167" t="s">
        <v>305</v>
      </c>
      <c r="N302" s="167">
        <v>11</v>
      </c>
      <c r="O302" s="167" t="s">
        <v>379</v>
      </c>
      <c r="P302" s="167" t="s">
        <v>379</v>
      </c>
      <c r="Q302" s="167" t="s">
        <v>850</v>
      </c>
      <c r="R302" s="166" t="s">
        <v>54</v>
      </c>
      <c r="S302" s="169">
        <v>218334</v>
      </c>
      <c r="T302" s="160">
        <v>4047.08</v>
      </c>
      <c r="U302" s="160">
        <v>0</v>
      </c>
      <c r="V302" s="160">
        <v>19223.63</v>
      </c>
      <c r="W302" s="160">
        <v>199110.37</v>
      </c>
      <c r="X302" s="161">
        <v>0</v>
      </c>
      <c r="Y302" s="160"/>
      <c r="Z302" s="16">
        <v>8.8000000000000007</v>
      </c>
      <c r="AA302" s="162">
        <v>19223.63</v>
      </c>
      <c r="AB302" s="162">
        <v>4805.9075000000003</v>
      </c>
      <c r="AC302" s="162">
        <v>57670.89</v>
      </c>
      <c r="AD302" s="160"/>
      <c r="AE302" s="145">
        <v>218334</v>
      </c>
      <c r="AF302" s="163">
        <v>1.0529999999999999</v>
      </c>
      <c r="AG302" s="163">
        <v>1.0489999999999999</v>
      </c>
      <c r="AH302" s="163">
        <v>1.0469999999999999</v>
      </c>
      <c r="AI302" s="164">
        <v>218334</v>
      </c>
      <c r="AJ302" s="164">
        <f t="shared" si="31"/>
        <v>0</v>
      </c>
      <c r="AK302" s="229">
        <v>218334</v>
      </c>
      <c r="AL302" s="229">
        <f ca="1">SUMIF('MS &amp; Vacancies combined'!A:L,D302,'MS &amp; Vacancies combined'!L:L)*105.3/100</f>
        <v>223973.580740087</v>
      </c>
      <c r="AM302" s="229">
        <f t="shared" ref="AM302:AN302" ca="1" si="35">AL302*AG302</f>
        <v>234948.28619635126</v>
      </c>
      <c r="AN302" s="229">
        <f t="shared" ca="1" si="35"/>
        <v>245990.85564757974</v>
      </c>
      <c r="AO302" s="166"/>
      <c r="AP302" s="413">
        <f t="shared" ca="1" si="32"/>
        <v>-5639.5807400869962</v>
      </c>
      <c r="AR302" s="231"/>
      <c r="AS302" s="231"/>
      <c r="AU302" s="414">
        <v>218334</v>
      </c>
      <c r="AV302" s="415">
        <v>218334</v>
      </c>
      <c r="AW302" s="414">
        <f t="shared" si="30"/>
        <v>0</v>
      </c>
    </row>
    <row r="303" spans="1:49" x14ac:dyDescent="0.3">
      <c r="A303" s="16" t="s">
        <v>55</v>
      </c>
      <c r="B303" s="39" t="s">
        <v>851</v>
      </c>
      <c r="C303" s="39" t="s">
        <v>382</v>
      </c>
      <c r="D303" s="340" t="s">
        <v>3464</v>
      </c>
      <c r="E303" s="159" t="s">
        <v>666</v>
      </c>
      <c r="F303" s="159" t="s">
        <v>848</v>
      </c>
      <c r="G303" s="159" t="s">
        <v>309</v>
      </c>
      <c r="H303" s="159" t="s">
        <v>373</v>
      </c>
      <c r="I303" s="159" t="s">
        <v>383</v>
      </c>
      <c r="J303" s="159" t="s">
        <v>312</v>
      </c>
      <c r="K303" s="159" t="s">
        <v>1849</v>
      </c>
      <c r="L303" s="39" t="s">
        <v>304</v>
      </c>
      <c r="M303" s="39" t="s">
        <v>305</v>
      </c>
      <c r="N303" s="39">
        <v>11</v>
      </c>
      <c r="O303" s="39" t="s">
        <v>382</v>
      </c>
      <c r="P303" s="39" t="s">
        <v>382</v>
      </c>
      <c r="Q303" s="39" t="s">
        <v>851</v>
      </c>
      <c r="R303" s="16" t="s">
        <v>55</v>
      </c>
      <c r="S303" s="169">
        <v>1438447</v>
      </c>
      <c r="T303" s="160">
        <v>0</v>
      </c>
      <c r="U303" s="160">
        <v>0</v>
      </c>
      <c r="V303" s="160">
        <v>52043.81</v>
      </c>
      <c r="W303" s="160">
        <v>1386403.19</v>
      </c>
      <c r="X303" s="161">
        <v>52043.81</v>
      </c>
      <c r="Y303" s="160"/>
      <c r="Z303" s="16">
        <v>3.61</v>
      </c>
      <c r="AA303" s="162">
        <v>52043.81</v>
      </c>
      <c r="AB303" s="162">
        <v>13010.952499999999</v>
      </c>
      <c r="AC303" s="162">
        <v>156131.43</v>
      </c>
      <c r="AD303" s="160"/>
      <c r="AE303" s="145">
        <v>1438447</v>
      </c>
      <c r="AF303" s="421">
        <v>1.0529999999999999</v>
      </c>
      <c r="AG303" s="421">
        <v>1.0489999999999999</v>
      </c>
      <c r="AH303" s="421">
        <v>1.0469999999999999</v>
      </c>
      <c r="AI303" s="164">
        <v>1438447</v>
      </c>
      <c r="AJ303" s="164">
        <f t="shared" si="31"/>
        <v>0</v>
      </c>
      <c r="AK303" s="165">
        <v>1438447</v>
      </c>
      <c r="AL303" s="165">
        <f>1506054.009-450000</f>
        <v>1056054.0090000001</v>
      </c>
      <c r="AM303" s="165">
        <f t="shared" ref="AM303:AM331" si="36">AL303*AG303</f>
        <v>1107800.6554410001</v>
      </c>
      <c r="AN303" s="165">
        <f t="shared" ref="AN303:AN331" si="37">AM303*AH303</f>
        <v>1159867.286246727</v>
      </c>
      <c r="AO303" s="16"/>
      <c r="AP303" s="231">
        <f t="shared" si="32"/>
        <v>382392.99099999992</v>
      </c>
      <c r="AR303" s="231"/>
      <c r="AS303" s="231"/>
      <c r="AU303" s="230">
        <v>1438447</v>
      </c>
      <c r="AV303" s="233">
        <v>1438447</v>
      </c>
      <c r="AW303" s="230">
        <f t="shared" si="30"/>
        <v>0</v>
      </c>
    </row>
    <row r="304" spans="1:49" s="172" customFormat="1" x14ac:dyDescent="0.3">
      <c r="A304" s="166" t="s">
        <v>56</v>
      </c>
      <c r="B304" s="167" t="s">
        <v>852</v>
      </c>
      <c r="C304" s="167" t="s">
        <v>385</v>
      </c>
      <c r="D304" s="412" t="s">
        <v>3464</v>
      </c>
      <c r="E304" s="168" t="s">
        <v>666</v>
      </c>
      <c r="F304" s="168" t="s">
        <v>848</v>
      </c>
      <c r="G304" s="168" t="s">
        <v>309</v>
      </c>
      <c r="H304" s="168" t="s">
        <v>373</v>
      </c>
      <c r="I304" s="168" t="s">
        <v>386</v>
      </c>
      <c r="J304" s="168" t="s">
        <v>387</v>
      </c>
      <c r="K304" s="168" t="s">
        <v>1849</v>
      </c>
      <c r="L304" s="167" t="s">
        <v>304</v>
      </c>
      <c r="M304" s="167" t="s">
        <v>305</v>
      </c>
      <c r="N304" s="167">
        <v>11</v>
      </c>
      <c r="O304" s="167" t="s">
        <v>385</v>
      </c>
      <c r="P304" s="167" t="s">
        <v>385</v>
      </c>
      <c r="Q304" s="167" t="s">
        <v>852</v>
      </c>
      <c r="R304" s="166" t="s">
        <v>56</v>
      </c>
      <c r="S304" s="169">
        <v>46141</v>
      </c>
      <c r="T304" s="160">
        <v>38294.089999999997</v>
      </c>
      <c r="U304" s="160">
        <v>0</v>
      </c>
      <c r="V304" s="160">
        <v>225209.77</v>
      </c>
      <c r="W304" s="160">
        <v>-179068.77</v>
      </c>
      <c r="X304" s="161">
        <v>0</v>
      </c>
      <c r="Y304" s="160"/>
      <c r="Z304" s="16">
        <v>488.09</v>
      </c>
      <c r="AA304" s="162">
        <v>225209.77</v>
      </c>
      <c r="AB304" s="162">
        <v>56302.442499999997</v>
      </c>
      <c r="AC304" s="162">
        <v>675629.30999999994</v>
      </c>
      <c r="AD304" s="160"/>
      <c r="AE304" s="145">
        <v>46141</v>
      </c>
      <c r="AF304" s="163">
        <v>1.0529999999999999</v>
      </c>
      <c r="AG304" s="163">
        <v>1.0489999999999999</v>
      </c>
      <c r="AH304" s="163">
        <v>1.0469999999999999</v>
      </c>
      <c r="AI304" s="164">
        <v>46141</v>
      </c>
      <c r="AJ304" s="164">
        <f t="shared" si="31"/>
        <v>0</v>
      </c>
      <c r="AK304" s="229">
        <v>46141</v>
      </c>
      <c r="AL304" s="229">
        <f ca="1">SUMIF('MS &amp; Vacancies combined'!A:O,D304,'MS &amp; Vacancies combined'!O:O)*105.3/100</f>
        <v>595818.00864182855</v>
      </c>
      <c r="AM304" s="229">
        <f ca="1">AL304*AG304</f>
        <v>625013.09106527816</v>
      </c>
      <c r="AN304" s="229">
        <f ca="1">AM304*AH304</f>
        <v>654388.70634534617</v>
      </c>
      <c r="AO304" s="166"/>
      <c r="AP304" s="413">
        <f t="shared" ca="1" si="32"/>
        <v>-549677.00864182855</v>
      </c>
      <c r="AR304" s="231"/>
      <c r="AS304" s="231"/>
      <c r="AU304" s="414">
        <v>46141</v>
      </c>
      <c r="AV304" s="415">
        <v>46141</v>
      </c>
      <c r="AW304" s="414">
        <f t="shared" si="30"/>
        <v>0</v>
      </c>
    </row>
    <row r="305" spans="1:49" x14ac:dyDescent="0.3">
      <c r="A305" s="16" t="s">
        <v>57</v>
      </c>
      <c r="B305" s="39" t="s">
        <v>853</v>
      </c>
      <c r="C305" s="39" t="s">
        <v>389</v>
      </c>
      <c r="D305" s="340" t="s">
        <v>3464</v>
      </c>
      <c r="E305" s="159" t="s">
        <v>666</v>
      </c>
      <c r="F305" s="159" t="s">
        <v>848</v>
      </c>
      <c r="G305" s="159" t="s">
        <v>309</v>
      </c>
      <c r="H305" s="159" t="s">
        <v>373</v>
      </c>
      <c r="I305" s="159" t="s">
        <v>390</v>
      </c>
      <c r="J305" s="159" t="s">
        <v>312</v>
      </c>
      <c r="K305" s="159" t="s">
        <v>1849</v>
      </c>
      <c r="L305" s="39" t="s">
        <v>304</v>
      </c>
      <c r="M305" s="39" t="s">
        <v>305</v>
      </c>
      <c r="N305" s="39">
        <v>11</v>
      </c>
      <c r="O305" s="39" t="s">
        <v>389</v>
      </c>
      <c r="P305" s="39" t="s">
        <v>389</v>
      </c>
      <c r="Q305" s="39" t="s">
        <v>853</v>
      </c>
      <c r="R305" s="16" t="s">
        <v>57</v>
      </c>
      <c r="S305" s="169">
        <v>395675</v>
      </c>
      <c r="T305" s="160">
        <v>54920.46</v>
      </c>
      <c r="U305" s="160">
        <v>0</v>
      </c>
      <c r="V305" s="160">
        <v>184388.96</v>
      </c>
      <c r="W305" s="160">
        <v>211286.04</v>
      </c>
      <c r="X305" s="161">
        <v>0</v>
      </c>
      <c r="Y305" s="160"/>
      <c r="Z305" s="16">
        <v>46.6</v>
      </c>
      <c r="AA305" s="162">
        <v>184388.96</v>
      </c>
      <c r="AB305" s="162">
        <v>46097.24</v>
      </c>
      <c r="AC305" s="162">
        <v>553166.88</v>
      </c>
      <c r="AD305" s="160"/>
      <c r="AE305" s="145">
        <v>395675</v>
      </c>
      <c r="AF305" s="421">
        <v>1.0529999999999999</v>
      </c>
      <c r="AG305" s="421">
        <v>1.0489999999999999</v>
      </c>
      <c r="AH305" s="421">
        <v>1.0469999999999999</v>
      </c>
      <c r="AI305" s="164">
        <v>395675</v>
      </c>
      <c r="AJ305" s="164">
        <f t="shared" si="31"/>
        <v>0</v>
      </c>
      <c r="AK305" s="165">
        <v>395675</v>
      </c>
      <c r="AL305" s="165">
        <f>AK305*80%</f>
        <v>316540</v>
      </c>
      <c r="AM305" s="165">
        <f t="shared" si="36"/>
        <v>332050.45999999996</v>
      </c>
      <c r="AN305" s="165">
        <f t="shared" si="37"/>
        <v>347656.83161999995</v>
      </c>
      <c r="AO305" s="16"/>
      <c r="AP305" s="231">
        <f t="shared" si="32"/>
        <v>79135</v>
      </c>
      <c r="AR305" s="231"/>
      <c r="AS305" s="231"/>
      <c r="AU305" s="230">
        <v>395675</v>
      </c>
      <c r="AV305" s="233">
        <v>395675</v>
      </c>
      <c r="AW305" s="230">
        <f t="shared" si="30"/>
        <v>0</v>
      </c>
    </row>
    <row r="306" spans="1:49" x14ac:dyDescent="0.3">
      <c r="A306" s="16" t="s">
        <v>59</v>
      </c>
      <c r="B306" s="39" t="s">
        <v>854</v>
      </c>
      <c r="C306" s="39" t="s">
        <v>855</v>
      </c>
      <c r="D306" s="340" t="s">
        <v>3464</v>
      </c>
      <c r="E306" s="159" t="s">
        <v>666</v>
      </c>
      <c r="F306" s="159" t="s">
        <v>848</v>
      </c>
      <c r="G306" s="159" t="s">
        <v>309</v>
      </c>
      <c r="H306" s="159" t="s">
        <v>373</v>
      </c>
      <c r="I306" s="159" t="s">
        <v>311</v>
      </c>
      <c r="J306" s="159" t="s">
        <v>312</v>
      </c>
      <c r="K306" s="159" t="s">
        <v>1849</v>
      </c>
      <c r="L306" s="39" t="s">
        <v>304</v>
      </c>
      <c r="M306" s="39" t="s">
        <v>305</v>
      </c>
      <c r="N306" s="39">
        <v>11</v>
      </c>
      <c r="O306" s="39" t="s">
        <v>855</v>
      </c>
      <c r="P306" s="39" t="s">
        <v>855</v>
      </c>
      <c r="Q306" s="39" t="s">
        <v>854</v>
      </c>
      <c r="R306" s="16" t="s">
        <v>59</v>
      </c>
      <c r="S306" s="169">
        <v>45751</v>
      </c>
      <c r="T306" s="160">
        <v>0</v>
      </c>
      <c r="U306" s="160">
        <v>0</v>
      </c>
      <c r="V306" s="160">
        <v>0</v>
      </c>
      <c r="W306" s="160">
        <v>45751</v>
      </c>
      <c r="X306" s="161">
        <v>0</v>
      </c>
      <c r="Y306" s="160"/>
      <c r="Z306" s="16">
        <v>0</v>
      </c>
      <c r="AA306" s="162">
        <v>0</v>
      </c>
      <c r="AB306" s="162">
        <v>0</v>
      </c>
      <c r="AC306" s="162">
        <v>0</v>
      </c>
      <c r="AD306" s="160"/>
      <c r="AE306" s="145">
        <v>45751</v>
      </c>
      <c r="AF306" s="421">
        <v>1.0529999999999999</v>
      </c>
      <c r="AG306" s="421">
        <v>1.0489999999999999</v>
      </c>
      <c r="AH306" s="421">
        <v>1.0469999999999999</v>
      </c>
      <c r="AI306" s="164">
        <v>45751</v>
      </c>
      <c r="AJ306" s="164">
        <f t="shared" si="31"/>
        <v>0</v>
      </c>
      <c r="AK306" s="165">
        <v>45751</v>
      </c>
      <c r="AL306" s="165">
        <f>AK306*AF306</f>
        <v>48175.803</v>
      </c>
      <c r="AM306" s="165">
        <f t="shared" si="36"/>
        <v>50536.417346999995</v>
      </c>
      <c r="AN306" s="165">
        <f t="shared" si="37"/>
        <v>52911.628962308991</v>
      </c>
      <c r="AO306" s="16"/>
      <c r="AP306" s="231">
        <f t="shared" si="32"/>
        <v>-2424.8029999999999</v>
      </c>
      <c r="AR306" s="231"/>
      <c r="AS306" s="231"/>
      <c r="AU306" s="230">
        <v>45751</v>
      </c>
      <c r="AV306" s="233">
        <v>45751</v>
      </c>
      <c r="AW306" s="230">
        <f t="shared" si="30"/>
        <v>0</v>
      </c>
    </row>
    <row r="307" spans="1:49" x14ac:dyDescent="0.3">
      <c r="A307" s="16" t="s">
        <v>60</v>
      </c>
      <c r="B307" s="39" t="s">
        <v>856</v>
      </c>
      <c r="C307" s="39" t="s">
        <v>392</v>
      </c>
      <c r="D307" s="340" t="s">
        <v>3464</v>
      </c>
      <c r="E307" s="159" t="s">
        <v>666</v>
      </c>
      <c r="F307" s="159" t="s">
        <v>848</v>
      </c>
      <c r="G307" s="159" t="s">
        <v>309</v>
      </c>
      <c r="H307" s="159" t="s">
        <v>373</v>
      </c>
      <c r="I307" s="159" t="s">
        <v>393</v>
      </c>
      <c r="J307" s="159" t="s">
        <v>312</v>
      </c>
      <c r="K307" s="159" t="s">
        <v>1849</v>
      </c>
      <c r="L307" s="39" t="s">
        <v>304</v>
      </c>
      <c r="M307" s="39" t="s">
        <v>305</v>
      </c>
      <c r="N307" s="39">
        <v>11</v>
      </c>
      <c r="O307" s="39" t="s">
        <v>392</v>
      </c>
      <c r="P307" s="39" t="s">
        <v>392</v>
      </c>
      <c r="Q307" s="39" t="s">
        <v>856</v>
      </c>
      <c r="R307" s="16" t="s">
        <v>60</v>
      </c>
      <c r="S307" s="169">
        <v>24394</v>
      </c>
      <c r="T307" s="160">
        <v>3232.68</v>
      </c>
      <c r="U307" s="160">
        <v>0</v>
      </c>
      <c r="V307" s="160">
        <v>10647.97</v>
      </c>
      <c r="W307" s="160">
        <v>13746.03</v>
      </c>
      <c r="X307" s="161">
        <v>0</v>
      </c>
      <c r="Y307" s="160"/>
      <c r="Z307" s="16">
        <v>43.64</v>
      </c>
      <c r="AA307" s="162">
        <v>10647.97</v>
      </c>
      <c r="AB307" s="162">
        <v>2661.9924999999998</v>
      </c>
      <c r="AC307" s="162">
        <v>31943.909999999996</v>
      </c>
      <c r="AD307" s="160"/>
      <c r="AE307" s="145">
        <v>24394</v>
      </c>
      <c r="AF307" s="421">
        <v>1.0529999999999999</v>
      </c>
      <c r="AG307" s="421">
        <v>1.0489999999999999</v>
      </c>
      <c r="AH307" s="421">
        <v>1.0469999999999999</v>
      </c>
      <c r="AI307" s="164">
        <v>24394</v>
      </c>
      <c r="AJ307" s="164">
        <f t="shared" si="31"/>
        <v>0</v>
      </c>
      <c r="AK307" s="165">
        <v>24394</v>
      </c>
      <c r="AL307" s="165">
        <f>AK307*AF307</f>
        <v>25686.881999999998</v>
      </c>
      <c r="AM307" s="165">
        <f t="shared" si="36"/>
        <v>26945.539217999994</v>
      </c>
      <c r="AN307" s="165">
        <f t="shared" si="37"/>
        <v>28211.979561245993</v>
      </c>
      <c r="AO307" s="16"/>
      <c r="AP307" s="231">
        <f t="shared" si="32"/>
        <v>-1292.8819999999978</v>
      </c>
      <c r="AR307" s="231"/>
      <c r="AS307" s="231"/>
      <c r="AU307" s="230">
        <v>24394</v>
      </c>
      <c r="AV307" s="233">
        <v>24394</v>
      </c>
      <c r="AW307" s="230">
        <f t="shared" si="30"/>
        <v>0</v>
      </c>
    </row>
    <row r="308" spans="1:49" x14ac:dyDescent="0.3">
      <c r="A308" s="16" t="s">
        <v>61</v>
      </c>
      <c r="B308" s="39" t="s">
        <v>857</v>
      </c>
      <c r="C308" s="39" t="s">
        <v>460</v>
      </c>
      <c r="D308" s="340" t="s">
        <v>3464</v>
      </c>
      <c r="E308" s="159" t="s">
        <v>666</v>
      </c>
      <c r="F308" s="159" t="s">
        <v>848</v>
      </c>
      <c r="G308" s="159" t="s">
        <v>309</v>
      </c>
      <c r="H308" s="159" t="s">
        <v>373</v>
      </c>
      <c r="I308" s="159" t="s">
        <v>461</v>
      </c>
      <c r="J308" s="159" t="s">
        <v>312</v>
      </c>
      <c r="K308" s="159" t="s">
        <v>1849</v>
      </c>
      <c r="L308" s="39" t="s">
        <v>304</v>
      </c>
      <c r="M308" s="39" t="s">
        <v>305</v>
      </c>
      <c r="N308" s="39">
        <v>11</v>
      </c>
      <c r="O308" s="39" t="s">
        <v>460</v>
      </c>
      <c r="P308" s="39" t="s">
        <v>460</v>
      </c>
      <c r="Q308" s="39" t="s">
        <v>857</v>
      </c>
      <c r="R308" s="16" t="s">
        <v>61</v>
      </c>
      <c r="S308" s="169">
        <v>0</v>
      </c>
      <c r="T308" s="160">
        <v>16479</v>
      </c>
      <c r="U308" s="160">
        <v>0</v>
      </c>
      <c r="V308" s="160">
        <v>65917.289999999994</v>
      </c>
      <c r="W308" s="160">
        <v>-65917.289999999994</v>
      </c>
      <c r="X308" s="161">
        <v>0</v>
      </c>
      <c r="Y308" s="160"/>
      <c r="Z308" s="16">
        <v>0</v>
      </c>
      <c r="AA308" s="162">
        <v>65917.289999999994</v>
      </c>
      <c r="AB308" s="162">
        <v>16479.322499999998</v>
      </c>
      <c r="AC308" s="162">
        <v>197751.87</v>
      </c>
      <c r="AD308" s="160"/>
      <c r="AE308" s="145">
        <v>0</v>
      </c>
      <c r="AF308" s="163">
        <v>1.0469999999999999</v>
      </c>
      <c r="AG308" s="164">
        <v>1.046</v>
      </c>
      <c r="AH308" s="164">
        <v>1.046</v>
      </c>
      <c r="AI308" s="164">
        <v>0</v>
      </c>
      <c r="AJ308" s="164">
        <f t="shared" si="31"/>
        <v>0</v>
      </c>
      <c r="AK308" s="165">
        <v>0</v>
      </c>
      <c r="AL308" s="165">
        <v>0</v>
      </c>
      <c r="AM308" s="165">
        <f t="shared" si="36"/>
        <v>0</v>
      </c>
      <c r="AN308" s="165">
        <f t="shared" si="37"/>
        <v>0</v>
      </c>
      <c r="AO308" s="16"/>
      <c r="AP308" s="231">
        <f t="shared" si="32"/>
        <v>0</v>
      </c>
      <c r="AR308" s="231"/>
      <c r="AS308" s="231"/>
      <c r="AU308" s="230">
        <v>0</v>
      </c>
      <c r="AV308" s="233">
        <v>0</v>
      </c>
      <c r="AW308" s="230">
        <f t="shared" si="30"/>
        <v>0</v>
      </c>
    </row>
    <row r="309" spans="1:49" s="172" customFormat="1" x14ac:dyDescent="0.3">
      <c r="A309" s="166" t="s">
        <v>62</v>
      </c>
      <c r="B309" s="167" t="s">
        <v>858</v>
      </c>
      <c r="C309" s="167" t="s">
        <v>395</v>
      </c>
      <c r="D309" s="412" t="s">
        <v>3464</v>
      </c>
      <c r="E309" s="168" t="s">
        <v>666</v>
      </c>
      <c r="F309" s="168" t="s">
        <v>848</v>
      </c>
      <c r="G309" s="168" t="s">
        <v>309</v>
      </c>
      <c r="H309" s="168" t="s">
        <v>373</v>
      </c>
      <c r="I309" s="168" t="s">
        <v>396</v>
      </c>
      <c r="J309" s="168" t="s">
        <v>312</v>
      </c>
      <c r="K309" s="168" t="s">
        <v>1849</v>
      </c>
      <c r="L309" s="167" t="s">
        <v>304</v>
      </c>
      <c r="M309" s="167" t="s">
        <v>305</v>
      </c>
      <c r="N309" s="167">
        <v>11</v>
      </c>
      <c r="O309" s="167" t="s">
        <v>395</v>
      </c>
      <c r="P309" s="167" t="s">
        <v>395</v>
      </c>
      <c r="Q309" s="167" t="s">
        <v>858</v>
      </c>
      <c r="R309" s="166" t="s">
        <v>62</v>
      </c>
      <c r="S309" s="169">
        <v>637527</v>
      </c>
      <c r="T309" s="160">
        <v>52895</v>
      </c>
      <c r="U309" s="160">
        <v>0</v>
      </c>
      <c r="V309" s="160">
        <v>195928</v>
      </c>
      <c r="W309" s="160">
        <v>441599</v>
      </c>
      <c r="X309" s="161">
        <v>0</v>
      </c>
      <c r="Y309" s="160"/>
      <c r="Z309" s="16">
        <v>30.73</v>
      </c>
      <c r="AA309" s="162">
        <v>195928</v>
      </c>
      <c r="AB309" s="162">
        <v>48982</v>
      </c>
      <c r="AC309" s="162">
        <v>587784</v>
      </c>
      <c r="AD309" s="160"/>
      <c r="AE309" s="145">
        <v>637527</v>
      </c>
      <c r="AF309" s="163">
        <v>1.0529999999999999</v>
      </c>
      <c r="AG309" s="163">
        <v>1.0489999999999999</v>
      </c>
      <c r="AH309" s="163">
        <v>1.0469999999999999</v>
      </c>
      <c r="AI309" s="164">
        <v>637527</v>
      </c>
      <c r="AJ309" s="164">
        <f t="shared" si="31"/>
        <v>0</v>
      </c>
      <c r="AK309" s="229">
        <v>637527</v>
      </c>
      <c r="AL309" s="229">
        <f ca="1">SUMIF('MS &amp; Vacancies combined'!A:K,D309,'MS &amp; Vacancies combined'!K:K)*105.3/100</f>
        <v>555518.33832384495</v>
      </c>
      <c r="AM309" s="229">
        <f ca="1">AL309*AG309</f>
        <v>582738.7369017133</v>
      </c>
      <c r="AN309" s="229">
        <f ca="1">AM309*AH309</f>
        <v>610127.45753609377</v>
      </c>
      <c r="AO309" s="166"/>
      <c r="AP309" s="413">
        <f t="shared" ca="1" si="32"/>
        <v>82008.661676155054</v>
      </c>
      <c r="AR309" s="231"/>
      <c r="AS309" s="231"/>
      <c r="AU309" s="414">
        <v>637527</v>
      </c>
      <c r="AV309" s="415">
        <v>637527</v>
      </c>
      <c r="AW309" s="414">
        <f t="shared" si="30"/>
        <v>0</v>
      </c>
    </row>
    <row r="310" spans="1:49" x14ac:dyDescent="0.3">
      <c r="A310" s="16" t="s">
        <v>63</v>
      </c>
      <c r="B310" s="39" t="s">
        <v>859</v>
      </c>
      <c r="C310" s="39" t="s">
        <v>860</v>
      </c>
      <c r="D310" s="340" t="s">
        <v>3464</v>
      </c>
      <c r="E310" s="159" t="s">
        <v>666</v>
      </c>
      <c r="F310" s="159" t="s">
        <v>848</v>
      </c>
      <c r="G310" s="159" t="s">
        <v>309</v>
      </c>
      <c r="H310" s="159" t="s">
        <v>373</v>
      </c>
      <c r="I310" s="159" t="s">
        <v>861</v>
      </c>
      <c r="J310" s="159" t="s">
        <v>312</v>
      </c>
      <c r="K310" s="159" t="s">
        <v>1849</v>
      </c>
      <c r="L310" s="39" t="s">
        <v>304</v>
      </c>
      <c r="M310" s="39" t="s">
        <v>305</v>
      </c>
      <c r="N310" s="39">
        <v>11</v>
      </c>
      <c r="O310" s="39" t="s">
        <v>860</v>
      </c>
      <c r="P310" s="39" t="s">
        <v>860</v>
      </c>
      <c r="Q310" s="39" t="s">
        <v>859</v>
      </c>
      <c r="R310" s="16" t="s">
        <v>63</v>
      </c>
      <c r="S310" s="169">
        <v>0</v>
      </c>
      <c r="T310" s="160">
        <v>0</v>
      </c>
      <c r="U310" s="160">
        <v>0</v>
      </c>
      <c r="V310" s="160">
        <v>0</v>
      </c>
      <c r="W310" s="160">
        <v>0</v>
      </c>
      <c r="X310" s="161">
        <v>0</v>
      </c>
      <c r="Y310" s="160"/>
      <c r="Z310" s="16">
        <v>0</v>
      </c>
      <c r="AA310" s="162">
        <v>0</v>
      </c>
      <c r="AB310" s="162">
        <v>0</v>
      </c>
      <c r="AC310" s="162">
        <v>0</v>
      </c>
      <c r="AD310" s="160"/>
      <c r="AE310" s="145">
        <v>0</v>
      </c>
      <c r="AF310" s="163">
        <v>1.0469999999999999</v>
      </c>
      <c r="AG310" s="164">
        <v>1.046</v>
      </c>
      <c r="AH310" s="164">
        <v>1.046</v>
      </c>
      <c r="AI310" s="164">
        <v>0</v>
      </c>
      <c r="AJ310" s="164">
        <f t="shared" si="31"/>
        <v>0</v>
      </c>
      <c r="AK310" s="165">
        <v>0</v>
      </c>
      <c r="AL310" s="165">
        <v>0</v>
      </c>
      <c r="AM310" s="165">
        <f t="shared" si="36"/>
        <v>0</v>
      </c>
      <c r="AN310" s="165">
        <f t="shared" si="37"/>
        <v>0</v>
      </c>
      <c r="AO310" s="16"/>
      <c r="AP310" s="231">
        <f t="shared" si="32"/>
        <v>0</v>
      </c>
      <c r="AR310" s="231"/>
      <c r="AS310" s="231"/>
      <c r="AU310" s="230">
        <v>0</v>
      </c>
      <c r="AV310" s="233">
        <v>0</v>
      </c>
      <c r="AW310" s="230">
        <f t="shared" si="30"/>
        <v>0</v>
      </c>
    </row>
    <row r="311" spans="1:49" x14ac:dyDescent="0.3">
      <c r="A311" s="16" t="s">
        <v>64</v>
      </c>
      <c r="B311" s="39" t="s">
        <v>862</v>
      </c>
      <c r="C311" s="39" t="s">
        <v>464</v>
      </c>
      <c r="D311" s="340" t="s">
        <v>3464</v>
      </c>
      <c r="E311" s="159" t="s">
        <v>666</v>
      </c>
      <c r="F311" s="159" t="s">
        <v>848</v>
      </c>
      <c r="G311" s="159" t="s">
        <v>309</v>
      </c>
      <c r="H311" s="159" t="s">
        <v>373</v>
      </c>
      <c r="I311" s="159" t="s">
        <v>465</v>
      </c>
      <c r="J311" s="159" t="s">
        <v>312</v>
      </c>
      <c r="K311" s="159" t="s">
        <v>1849</v>
      </c>
      <c r="L311" s="39" t="s">
        <v>304</v>
      </c>
      <c r="M311" s="39" t="s">
        <v>305</v>
      </c>
      <c r="N311" s="39">
        <v>11</v>
      </c>
      <c r="O311" s="39" t="s">
        <v>464</v>
      </c>
      <c r="P311" s="39" t="s">
        <v>464</v>
      </c>
      <c r="Q311" s="39" t="s">
        <v>862</v>
      </c>
      <c r="R311" s="16" t="s">
        <v>64</v>
      </c>
      <c r="S311" s="169">
        <v>272788</v>
      </c>
      <c r="T311" s="160">
        <v>32648.34</v>
      </c>
      <c r="U311" s="160">
        <v>0</v>
      </c>
      <c r="V311" s="160">
        <v>111954.9</v>
      </c>
      <c r="W311" s="160">
        <v>160833.1</v>
      </c>
      <c r="X311" s="161">
        <v>0</v>
      </c>
      <c r="Y311" s="160"/>
      <c r="Z311" s="16">
        <v>41.04</v>
      </c>
      <c r="AA311" s="162">
        <v>111954.9</v>
      </c>
      <c r="AB311" s="162">
        <v>27988.724999999999</v>
      </c>
      <c r="AC311" s="162">
        <v>335864.69999999995</v>
      </c>
      <c r="AD311" s="160"/>
      <c r="AE311" s="145">
        <v>272788</v>
      </c>
      <c r="AF311" s="421">
        <v>1.0529999999999999</v>
      </c>
      <c r="AG311" s="421">
        <v>1.0489999999999999</v>
      </c>
      <c r="AH311" s="421">
        <v>1.0469999999999999</v>
      </c>
      <c r="AI311" s="164">
        <v>272788</v>
      </c>
      <c r="AJ311" s="164">
        <f t="shared" si="31"/>
        <v>0</v>
      </c>
      <c r="AK311" s="165">
        <v>272788</v>
      </c>
      <c r="AL311" s="165">
        <f>AK311*AF311</f>
        <v>287245.76399999997</v>
      </c>
      <c r="AM311" s="165">
        <f t="shared" si="36"/>
        <v>301320.80643599993</v>
      </c>
      <c r="AN311" s="165">
        <f t="shared" si="37"/>
        <v>315482.88433849189</v>
      </c>
      <c r="AO311" s="16"/>
      <c r="AP311" s="231">
        <f t="shared" si="32"/>
        <v>-14457.763999999966</v>
      </c>
      <c r="AR311" s="231"/>
      <c r="AS311" s="231"/>
      <c r="AU311" s="230">
        <v>272788</v>
      </c>
      <c r="AV311" s="233">
        <v>272788</v>
      </c>
      <c r="AW311" s="230">
        <f t="shared" si="30"/>
        <v>0</v>
      </c>
    </row>
    <row r="312" spans="1:49" s="172" customFormat="1" x14ac:dyDescent="0.3">
      <c r="A312" s="166" t="s">
        <v>69</v>
      </c>
      <c r="B312" s="167" t="s">
        <v>863</v>
      </c>
      <c r="C312" s="167" t="s">
        <v>398</v>
      </c>
      <c r="D312" s="412" t="s">
        <v>3464</v>
      </c>
      <c r="E312" s="168" t="s">
        <v>666</v>
      </c>
      <c r="F312" s="168" t="s">
        <v>848</v>
      </c>
      <c r="G312" s="168" t="s">
        <v>309</v>
      </c>
      <c r="H312" s="168" t="s">
        <v>310</v>
      </c>
      <c r="I312" s="168" t="s">
        <v>374</v>
      </c>
      <c r="J312" s="168" t="s">
        <v>312</v>
      </c>
      <c r="K312" s="168" t="s">
        <v>1849</v>
      </c>
      <c r="L312" s="167" t="s">
        <v>304</v>
      </c>
      <c r="M312" s="167" t="s">
        <v>305</v>
      </c>
      <c r="N312" s="167">
        <v>11</v>
      </c>
      <c r="O312" s="167" t="s">
        <v>398</v>
      </c>
      <c r="P312" s="167" t="s">
        <v>398</v>
      </c>
      <c r="Q312" s="167" t="s">
        <v>863</v>
      </c>
      <c r="R312" s="166" t="s">
        <v>69</v>
      </c>
      <c r="S312" s="169">
        <v>2332</v>
      </c>
      <c r="T312" s="160">
        <v>183.6</v>
      </c>
      <c r="U312" s="160">
        <v>0</v>
      </c>
      <c r="V312" s="160">
        <v>766.8</v>
      </c>
      <c r="W312" s="160">
        <v>1565.2</v>
      </c>
      <c r="X312" s="161">
        <v>0</v>
      </c>
      <c r="Y312" s="160"/>
      <c r="Z312" s="16">
        <v>32.880000000000003</v>
      </c>
      <c r="AA312" s="162">
        <v>766.8</v>
      </c>
      <c r="AB312" s="162">
        <v>191.7</v>
      </c>
      <c r="AC312" s="162">
        <v>2300.3999999999996</v>
      </c>
      <c r="AD312" s="160"/>
      <c r="AE312" s="145">
        <v>2332</v>
      </c>
      <c r="AF312" s="163">
        <v>1.0529999999999999</v>
      </c>
      <c r="AG312" s="163">
        <v>1.0489999999999999</v>
      </c>
      <c r="AH312" s="163">
        <v>1.0469999999999999</v>
      </c>
      <c r="AI312" s="164">
        <v>2332</v>
      </c>
      <c r="AJ312" s="164">
        <f t="shared" si="31"/>
        <v>0</v>
      </c>
      <c r="AK312" s="229">
        <v>2332</v>
      </c>
      <c r="AL312" s="229">
        <f ca="1">SUMIF('MS &amp; Vacancies combined'!A:N,D312,'MS &amp; Vacancies combined'!N:N)*105.3/100</f>
        <v>2390.7752473318446</v>
      </c>
      <c r="AM312" s="229">
        <f t="shared" ca="1" si="36"/>
        <v>2507.9232344511047</v>
      </c>
      <c r="AN312" s="229">
        <f t="shared" ca="1" si="37"/>
        <v>2625.7956264703066</v>
      </c>
      <c r="AO312" s="166"/>
      <c r="AP312" s="413">
        <f t="shared" ca="1" si="32"/>
        <v>-58.775247331844639</v>
      </c>
      <c r="AR312" s="231"/>
      <c r="AS312" s="231"/>
      <c r="AU312" s="414">
        <v>2332</v>
      </c>
      <c r="AV312" s="415">
        <v>2332</v>
      </c>
      <c r="AW312" s="414">
        <f t="shared" si="30"/>
        <v>0</v>
      </c>
    </row>
    <row r="313" spans="1:49" s="172" customFormat="1" x14ac:dyDescent="0.3">
      <c r="A313" s="166" t="s">
        <v>70</v>
      </c>
      <c r="B313" s="167" t="s">
        <v>864</v>
      </c>
      <c r="C313" s="167" t="s">
        <v>400</v>
      </c>
      <c r="D313" s="412" t="s">
        <v>3464</v>
      </c>
      <c r="E313" s="168" t="s">
        <v>666</v>
      </c>
      <c r="F313" s="168" t="s">
        <v>848</v>
      </c>
      <c r="G313" s="168" t="s">
        <v>309</v>
      </c>
      <c r="H313" s="168" t="s">
        <v>310</v>
      </c>
      <c r="I313" s="168" t="s">
        <v>401</v>
      </c>
      <c r="J313" s="168" t="s">
        <v>312</v>
      </c>
      <c r="K313" s="168" t="s">
        <v>1849</v>
      </c>
      <c r="L313" s="167" t="s">
        <v>304</v>
      </c>
      <c r="M313" s="167" t="s">
        <v>305</v>
      </c>
      <c r="N313" s="167">
        <v>11</v>
      </c>
      <c r="O313" s="167" t="s">
        <v>400</v>
      </c>
      <c r="P313" s="167" t="s">
        <v>400</v>
      </c>
      <c r="Q313" s="167" t="s">
        <v>864</v>
      </c>
      <c r="R313" s="166" t="s">
        <v>70</v>
      </c>
      <c r="S313" s="169">
        <v>130055</v>
      </c>
      <c r="T313" s="160">
        <v>6550.24</v>
      </c>
      <c r="U313" s="160">
        <v>0</v>
      </c>
      <c r="V313" s="160">
        <v>26200.959999999999</v>
      </c>
      <c r="W313" s="160">
        <v>103854.04</v>
      </c>
      <c r="X313" s="161">
        <v>0</v>
      </c>
      <c r="Y313" s="160"/>
      <c r="Z313" s="16">
        <v>20.14</v>
      </c>
      <c r="AA313" s="162">
        <v>26200.959999999999</v>
      </c>
      <c r="AB313" s="162">
        <v>6550.24</v>
      </c>
      <c r="AC313" s="162">
        <v>78602.880000000005</v>
      </c>
      <c r="AD313" s="160"/>
      <c r="AE313" s="145">
        <v>130055</v>
      </c>
      <c r="AF313" s="163">
        <v>1.0529999999999999</v>
      </c>
      <c r="AG313" s="163">
        <v>1.0489999999999999</v>
      </c>
      <c r="AH313" s="163">
        <v>1.0469999999999999</v>
      </c>
      <c r="AI313" s="164">
        <v>130055</v>
      </c>
      <c r="AJ313" s="164">
        <f t="shared" si="31"/>
        <v>0</v>
      </c>
      <c r="AK313" s="229">
        <v>130055</v>
      </c>
      <c r="AL313" s="229">
        <f ca="1">SUMIF('MS &amp; Vacancies combined'!A:P,D313,'MS &amp; Vacancies combined'!P:P)*105.3/100</f>
        <v>2260579.5635219407</v>
      </c>
      <c r="AM313" s="229">
        <f t="shared" ca="1" si="36"/>
        <v>2371347.9621345159</v>
      </c>
      <c r="AN313" s="229">
        <f t="shared" ca="1" si="37"/>
        <v>2482801.3163548377</v>
      </c>
      <c r="AO313" s="166"/>
      <c r="AP313" s="413">
        <f t="shared" ca="1" si="32"/>
        <v>-2130524.5635219407</v>
      </c>
      <c r="AR313" s="231"/>
      <c r="AS313" s="231"/>
      <c r="AU313" s="414">
        <v>130055</v>
      </c>
      <c r="AV313" s="415">
        <v>130055</v>
      </c>
      <c r="AW313" s="414">
        <f t="shared" si="30"/>
        <v>0</v>
      </c>
    </row>
    <row r="314" spans="1:49" s="172" customFormat="1" x14ac:dyDescent="0.3">
      <c r="A314" s="166" t="s">
        <v>71</v>
      </c>
      <c r="B314" s="167" t="s">
        <v>865</v>
      </c>
      <c r="C314" s="167" t="s">
        <v>403</v>
      </c>
      <c r="D314" s="412" t="s">
        <v>3464</v>
      </c>
      <c r="E314" s="168" t="s">
        <v>666</v>
      </c>
      <c r="F314" s="168" t="s">
        <v>848</v>
      </c>
      <c r="G314" s="168" t="s">
        <v>309</v>
      </c>
      <c r="H314" s="168" t="s">
        <v>310</v>
      </c>
      <c r="I314" s="168" t="s">
        <v>404</v>
      </c>
      <c r="J314" s="168" t="s">
        <v>312</v>
      </c>
      <c r="K314" s="168" t="s">
        <v>1849</v>
      </c>
      <c r="L314" s="167" t="s">
        <v>304</v>
      </c>
      <c r="M314" s="167" t="s">
        <v>305</v>
      </c>
      <c r="N314" s="167">
        <v>11</v>
      </c>
      <c r="O314" s="167" t="s">
        <v>403</v>
      </c>
      <c r="P314" s="167" t="s">
        <v>403</v>
      </c>
      <c r="Q314" s="167" t="s">
        <v>865</v>
      </c>
      <c r="R314" s="166" t="s">
        <v>71</v>
      </c>
      <c r="S314" s="169">
        <v>1080482</v>
      </c>
      <c r="T314" s="160">
        <v>49759.8</v>
      </c>
      <c r="U314" s="160">
        <v>0</v>
      </c>
      <c r="V314" s="160">
        <v>203754.6</v>
      </c>
      <c r="W314" s="160">
        <v>876727.4</v>
      </c>
      <c r="X314" s="161">
        <v>0</v>
      </c>
      <c r="Y314" s="160"/>
      <c r="Z314" s="16">
        <v>18.850000000000001</v>
      </c>
      <c r="AA314" s="162">
        <v>203754.6</v>
      </c>
      <c r="AB314" s="162">
        <v>50938.65</v>
      </c>
      <c r="AC314" s="162">
        <v>611263.80000000005</v>
      </c>
      <c r="AD314" s="160"/>
      <c r="AE314" s="145">
        <v>1080482</v>
      </c>
      <c r="AF314" s="163">
        <v>1.0529999999999999</v>
      </c>
      <c r="AG314" s="163">
        <v>1.0489999999999999</v>
      </c>
      <c r="AH314" s="163">
        <v>1.0469999999999999</v>
      </c>
      <c r="AI314" s="164">
        <v>1080482</v>
      </c>
      <c r="AJ314" s="164">
        <f t="shared" si="31"/>
        <v>0</v>
      </c>
      <c r="AK314" s="229">
        <v>1080482</v>
      </c>
      <c r="AL314" s="229">
        <f ca="1">SUMIF('MS &amp; Vacancies combined'!A:Q,D314,'MS &amp; Vacancies combined'!Q:Q)*105.3/100</f>
        <v>1108389.9688324584</v>
      </c>
      <c r="AM314" s="229">
        <f t="shared" ca="1" si="36"/>
        <v>1162701.0773052487</v>
      </c>
      <c r="AN314" s="229">
        <f t="shared" ca="1" si="37"/>
        <v>1217348.0279385953</v>
      </c>
      <c r="AO314" s="166"/>
      <c r="AP314" s="413">
        <f t="shared" ca="1" si="32"/>
        <v>-27907.968832458369</v>
      </c>
      <c r="AR314" s="231"/>
      <c r="AS314" s="231"/>
      <c r="AU314" s="414">
        <v>1080482</v>
      </c>
      <c r="AV314" s="415">
        <v>1080482</v>
      </c>
      <c r="AW314" s="414">
        <f t="shared" si="30"/>
        <v>0</v>
      </c>
    </row>
    <row r="315" spans="1:49" s="172" customFormat="1" x14ac:dyDescent="0.3">
      <c r="A315" s="166" t="s">
        <v>72</v>
      </c>
      <c r="B315" s="167" t="s">
        <v>866</v>
      </c>
      <c r="C315" s="167" t="s">
        <v>406</v>
      </c>
      <c r="D315" s="412" t="s">
        <v>3464</v>
      </c>
      <c r="E315" s="168" t="s">
        <v>666</v>
      </c>
      <c r="F315" s="168" t="s">
        <v>848</v>
      </c>
      <c r="G315" s="168" t="s">
        <v>309</v>
      </c>
      <c r="H315" s="168" t="s">
        <v>310</v>
      </c>
      <c r="I315" s="168" t="s">
        <v>407</v>
      </c>
      <c r="J315" s="168" t="s">
        <v>312</v>
      </c>
      <c r="K315" s="168" t="s">
        <v>1849</v>
      </c>
      <c r="L315" s="167" t="s">
        <v>304</v>
      </c>
      <c r="M315" s="167" t="s">
        <v>305</v>
      </c>
      <c r="N315" s="167">
        <v>11</v>
      </c>
      <c r="O315" s="167" t="s">
        <v>406</v>
      </c>
      <c r="P315" s="167" t="s">
        <v>406</v>
      </c>
      <c r="Q315" s="167" t="s">
        <v>866</v>
      </c>
      <c r="R315" s="166" t="s">
        <v>72</v>
      </c>
      <c r="S315" s="169">
        <v>1382413</v>
      </c>
      <c r="T315" s="160">
        <v>108585.60000000001</v>
      </c>
      <c r="U315" s="160">
        <v>0</v>
      </c>
      <c r="V315" s="160">
        <v>471343.2</v>
      </c>
      <c r="W315" s="160">
        <v>911069.8</v>
      </c>
      <c r="X315" s="161">
        <v>0</v>
      </c>
      <c r="Y315" s="160"/>
      <c r="Z315" s="16">
        <v>34.090000000000003</v>
      </c>
      <c r="AA315" s="162">
        <v>471343.2</v>
      </c>
      <c r="AB315" s="162">
        <v>117835.8</v>
      </c>
      <c r="AC315" s="162">
        <v>1414029.6</v>
      </c>
      <c r="AD315" s="160"/>
      <c r="AE315" s="145">
        <v>1382413</v>
      </c>
      <c r="AF315" s="163">
        <v>1.0529999999999999</v>
      </c>
      <c r="AG315" s="163">
        <v>1.0489999999999999</v>
      </c>
      <c r="AH315" s="163">
        <v>1.0469999999999999</v>
      </c>
      <c r="AI315" s="164">
        <v>1382413</v>
      </c>
      <c r="AJ315" s="164">
        <f t="shared" si="31"/>
        <v>0</v>
      </c>
      <c r="AK315" s="229">
        <v>1382413</v>
      </c>
      <c r="AL315" s="229">
        <f ca="1">SUMIF('MS &amp; Vacancies combined'!A:R,D315,'MS &amp; Vacancies combined'!R:R)*105.3/100</f>
        <v>1425961.0921037339</v>
      </c>
      <c r="AM315" s="229">
        <f t="shared" ca="1" si="36"/>
        <v>1495833.1856168169</v>
      </c>
      <c r="AN315" s="229">
        <f t="shared" ca="1" si="37"/>
        <v>1566137.3453408072</v>
      </c>
      <c r="AO315" s="166"/>
      <c r="AP315" s="413">
        <f t="shared" ca="1" si="32"/>
        <v>-43548.092103733914</v>
      </c>
      <c r="AR315" s="231"/>
      <c r="AS315" s="231"/>
      <c r="AU315" s="414">
        <v>1382413</v>
      </c>
      <c r="AV315" s="415">
        <v>1382413</v>
      </c>
      <c r="AW315" s="414">
        <f t="shared" si="30"/>
        <v>0</v>
      </c>
    </row>
    <row r="316" spans="1:49" s="172" customFormat="1" x14ac:dyDescent="0.3">
      <c r="A316" s="166" t="s">
        <v>73</v>
      </c>
      <c r="B316" s="167" t="s">
        <v>867</v>
      </c>
      <c r="C316" s="167" t="s">
        <v>307</v>
      </c>
      <c r="D316" s="412" t="s">
        <v>3464</v>
      </c>
      <c r="E316" s="168" t="s">
        <v>666</v>
      </c>
      <c r="F316" s="168" t="s">
        <v>848</v>
      </c>
      <c r="G316" s="168" t="s">
        <v>309</v>
      </c>
      <c r="H316" s="168" t="s">
        <v>310</v>
      </c>
      <c r="I316" s="168" t="s">
        <v>311</v>
      </c>
      <c r="J316" s="168" t="s">
        <v>312</v>
      </c>
      <c r="K316" s="168" t="s">
        <v>1849</v>
      </c>
      <c r="L316" s="167" t="s">
        <v>304</v>
      </c>
      <c r="M316" s="167" t="s">
        <v>305</v>
      </c>
      <c r="N316" s="167">
        <v>11</v>
      </c>
      <c r="O316" s="167" t="s">
        <v>307</v>
      </c>
      <c r="P316" s="167" t="s">
        <v>307</v>
      </c>
      <c r="Q316" s="167" t="s">
        <v>867</v>
      </c>
      <c r="R316" s="166" t="s">
        <v>73</v>
      </c>
      <c r="S316" s="169">
        <v>40094</v>
      </c>
      <c r="T316" s="160">
        <v>3011.04</v>
      </c>
      <c r="U316" s="160">
        <v>0</v>
      </c>
      <c r="V316" s="160">
        <v>12575.52</v>
      </c>
      <c r="W316" s="160">
        <v>27518.48</v>
      </c>
      <c r="X316" s="161">
        <v>0</v>
      </c>
      <c r="Y316" s="160"/>
      <c r="Z316" s="16">
        <v>31.36</v>
      </c>
      <c r="AA316" s="162">
        <v>12575.52</v>
      </c>
      <c r="AB316" s="162">
        <v>3143.88</v>
      </c>
      <c r="AC316" s="162">
        <v>37726.559999999998</v>
      </c>
      <c r="AD316" s="160"/>
      <c r="AE316" s="145">
        <v>40094</v>
      </c>
      <c r="AF316" s="163">
        <v>1.0529999999999999</v>
      </c>
      <c r="AG316" s="163">
        <v>1.0489999999999999</v>
      </c>
      <c r="AH316" s="163">
        <v>1.0469999999999999</v>
      </c>
      <c r="AI316" s="164">
        <v>40094</v>
      </c>
      <c r="AJ316" s="164">
        <f t="shared" si="31"/>
        <v>0</v>
      </c>
      <c r="AK316" s="229">
        <v>40094</v>
      </c>
      <c r="AL316" s="229">
        <f ca="1">SUMIF('MS &amp; Vacancies combined'!A:S,D316,'MS &amp; Vacancies combined'!S:S)*105.3/100</f>
        <v>39208.714056242279</v>
      </c>
      <c r="AM316" s="229">
        <f t="shared" ca="1" si="36"/>
        <v>41129.941044998151</v>
      </c>
      <c r="AN316" s="229">
        <f t="shared" ca="1" si="37"/>
        <v>43063.048274113062</v>
      </c>
      <c r="AO316" s="166"/>
      <c r="AP316" s="413">
        <f t="shared" ca="1" si="32"/>
        <v>885.28594375772082</v>
      </c>
      <c r="AR316" s="231"/>
      <c r="AS316" s="231"/>
      <c r="AU316" s="414">
        <v>40094</v>
      </c>
      <c r="AV316" s="415">
        <v>40094</v>
      </c>
      <c r="AW316" s="414">
        <f t="shared" si="30"/>
        <v>0</v>
      </c>
    </row>
    <row r="317" spans="1:49" hidden="1" x14ac:dyDescent="0.3">
      <c r="A317" s="16" t="s">
        <v>324</v>
      </c>
      <c r="B317" s="39" t="s">
        <v>868</v>
      </c>
      <c r="C317" s="39" t="s">
        <v>76</v>
      </c>
      <c r="D317" s="340" t="s">
        <v>3464</v>
      </c>
      <c r="E317" s="159" t="s">
        <v>666</v>
      </c>
      <c r="F317" s="159" t="s">
        <v>848</v>
      </c>
      <c r="G317" s="159" t="s">
        <v>309</v>
      </c>
      <c r="H317" s="159" t="s">
        <v>325</v>
      </c>
      <c r="I317" s="159" t="s">
        <v>326</v>
      </c>
      <c r="J317" s="159" t="s">
        <v>327</v>
      </c>
      <c r="K317" s="159" t="s">
        <v>1849</v>
      </c>
      <c r="L317" s="39" t="s">
        <v>304</v>
      </c>
      <c r="M317" s="39" t="s">
        <v>305</v>
      </c>
      <c r="N317" s="39">
        <v>11</v>
      </c>
      <c r="O317" s="39" t="s">
        <v>76</v>
      </c>
      <c r="P317" s="39" t="s">
        <v>76</v>
      </c>
      <c r="Q317" s="39" t="s">
        <v>868</v>
      </c>
      <c r="R317" s="16" t="s">
        <v>324</v>
      </c>
      <c r="S317" s="160">
        <v>0</v>
      </c>
      <c r="T317" s="160">
        <v>0</v>
      </c>
      <c r="U317" s="160">
        <v>0</v>
      </c>
      <c r="V317" s="160">
        <v>0</v>
      </c>
      <c r="W317" s="160">
        <v>0</v>
      </c>
      <c r="X317" s="161">
        <v>0</v>
      </c>
      <c r="Y317" s="160"/>
      <c r="Z317" s="16">
        <v>0</v>
      </c>
      <c r="AA317" s="162">
        <v>0</v>
      </c>
      <c r="AB317" s="162">
        <v>0</v>
      </c>
      <c r="AC317" s="162">
        <v>0</v>
      </c>
      <c r="AD317" s="160"/>
      <c r="AE317" s="145">
        <v>0</v>
      </c>
      <c r="AF317" s="163">
        <v>1.0469999999999999</v>
      </c>
      <c r="AG317" s="164">
        <v>1.046</v>
      </c>
      <c r="AH317" s="164">
        <v>1.046</v>
      </c>
      <c r="AI317" s="164">
        <v>0</v>
      </c>
      <c r="AJ317" s="164">
        <f t="shared" si="31"/>
        <v>0</v>
      </c>
      <c r="AK317" s="165">
        <v>25000</v>
      </c>
      <c r="AL317" s="165">
        <f>AK317</f>
        <v>25000</v>
      </c>
      <c r="AM317" s="165">
        <f t="shared" si="36"/>
        <v>26150</v>
      </c>
      <c r="AN317" s="165">
        <f t="shared" si="37"/>
        <v>27352.9</v>
      </c>
      <c r="AO317" s="16"/>
      <c r="AP317" s="231">
        <f t="shared" si="32"/>
        <v>0</v>
      </c>
      <c r="AR317" s="231"/>
      <c r="AS317" s="231"/>
      <c r="AU317" s="230">
        <v>0</v>
      </c>
      <c r="AV317" s="233">
        <v>0</v>
      </c>
      <c r="AW317" s="230">
        <f t="shared" si="30"/>
        <v>0</v>
      </c>
    </row>
    <row r="318" spans="1:49" hidden="1" x14ac:dyDescent="0.3">
      <c r="A318" s="16" t="s">
        <v>870</v>
      </c>
      <c r="B318" s="39" t="s">
        <v>869</v>
      </c>
      <c r="C318" s="39" t="s">
        <v>80</v>
      </c>
      <c r="D318" s="340" t="s">
        <v>3464</v>
      </c>
      <c r="E318" s="159" t="s">
        <v>666</v>
      </c>
      <c r="F318" s="159" t="s">
        <v>848</v>
      </c>
      <c r="G318" s="159" t="s">
        <v>309</v>
      </c>
      <c r="H318" s="159" t="s">
        <v>413</v>
      </c>
      <c r="I318" s="159" t="s">
        <v>872</v>
      </c>
      <c r="J318" s="159" t="s">
        <v>312</v>
      </c>
      <c r="K318" s="159" t="s">
        <v>1849</v>
      </c>
      <c r="L318" s="39" t="s">
        <v>304</v>
      </c>
      <c r="M318" s="39" t="s">
        <v>305</v>
      </c>
      <c r="N318" s="39">
        <v>11</v>
      </c>
      <c r="O318" s="39" t="s">
        <v>80</v>
      </c>
      <c r="P318" s="39" t="s">
        <v>871</v>
      </c>
      <c r="Q318" s="39" t="s">
        <v>869</v>
      </c>
      <c r="R318" s="16" t="s">
        <v>870</v>
      </c>
      <c r="S318" s="160">
        <v>0</v>
      </c>
      <c r="T318" s="160">
        <v>0</v>
      </c>
      <c r="U318" s="160">
        <v>0</v>
      </c>
      <c r="V318" s="160">
        <v>0</v>
      </c>
      <c r="W318" s="160">
        <v>0</v>
      </c>
      <c r="X318" s="161">
        <v>0</v>
      </c>
      <c r="Y318" s="160"/>
      <c r="Z318" s="16">
        <v>0</v>
      </c>
      <c r="AA318" s="162">
        <v>0</v>
      </c>
      <c r="AB318" s="162">
        <v>0</v>
      </c>
      <c r="AC318" s="162">
        <v>0</v>
      </c>
      <c r="AD318" s="160"/>
      <c r="AE318" s="145">
        <v>0</v>
      </c>
      <c r="AF318" s="163">
        <v>1.0469999999999999</v>
      </c>
      <c r="AG318" s="164">
        <v>1.046</v>
      </c>
      <c r="AH318" s="164">
        <v>1.046</v>
      </c>
      <c r="AI318" s="164">
        <v>0</v>
      </c>
      <c r="AJ318" s="164">
        <f t="shared" si="31"/>
        <v>0</v>
      </c>
      <c r="AK318" s="165">
        <v>0</v>
      </c>
      <c r="AL318" s="165">
        <v>0</v>
      </c>
      <c r="AM318" s="165">
        <f t="shared" si="36"/>
        <v>0</v>
      </c>
      <c r="AN318" s="165">
        <f t="shared" si="37"/>
        <v>0</v>
      </c>
      <c r="AO318" s="16"/>
      <c r="AP318" s="231">
        <f t="shared" si="32"/>
        <v>0</v>
      </c>
      <c r="AR318" s="231"/>
      <c r="AS318" s="231"/>
      <c r="AU318" s="230">
        <v>0</v>
      </c>
      <c r="AV318" s="233">
        <v>0</v>
      </c>
      <c r="AW318" s="230">
        <f t="shared" si="30"/>
        <v>0</v>
      </c>
    </row>
    <row r="319" spans="1:49" hidden="1" x14ac:dyDescent="0.3">
      <c r="A319" s="16" t="s">
        <v>874</v>
      </c>
      <c r="B319" s="39" t="s">
        <v>873</v>
      </c>
      <c r="C319" s="39">
        <v>0</v>
      </c>
      <c r="D319" s="340" t="s">
        <v>3464</v>
      </c>
      <c r="E319" s="159" t="s">
        <v>666</v>
      </c>
      <c r="F319" s="159" t="s">
        <v>848</v>
      </c>
      <c r="G319" s="159" t="s">
        <v>309</v>
      </c>
      <c r="H319" s="159" t="s">
        <v>413</v>
      </c>
      <c r="I319" s="159" t="s">
        <v>875</v>
      </c>
      <c r="J319" s="159" t="s">
        <v>876</v>
      </c>
      <c r="K319" s="159" t="s">
        <v>1849</v>
      </c>
      <c r="L319" s="39" t="s">
        <v>877</v>
      </c>
      <c r="M319" s="39" t="s">
        <v>305</v>
      </c>
      <c r="N319" s="39">
        <v>11</v>
      </c>
      <c r="O319" s="39">
        <v>0</v>
      </c>
      <c r="P319" s="39">
        <v>0</v>
      </c>
      <c r="Q319" s="39" t="s">
        <v>873</v>
      </c>
      <c r="R319" s="16" t="s">
        <v>874</v>
      </c>
      <c r="S319" s="160">
        <v>0</v>
      </c>
      <c r="T319" s="160">
        <v>0</v>
      </c>
      <c r="U319" s="160">
        <v>0</v>
      </c>
      <c r="V319" s="160">
        <v>0</v>
      </c>
      <c r="W319" s="160">
        <v>0</v>
      </c>
      <c r="X319" s="161">
        <v>0</v>
      </c>
      <c r="Y319" s="160"/>
      <c r="Z319" s="16">
        <v>0</v>
      </c>
      <c r="AA319" s="162">
        <v>0</v>
      </c>
      <c r="AB319" s="162">
        <v>0</v>
      </c>
      <c r="AC319" s="162">
        <v>0</v>
      </c>
      <c r="AD319" s="160"/>
      <c r="AE319" s="145">
        <v>0</v>
      </c>
      <c r="AF319" s="163">
        <v>1.0469999999999999</v>
      </c>
      <c r="AG319" s="164">
        <v>1.046</v>
      </c>
      <c r="AH319" s="164">
        <v>1.046</v>
      </c>
      <c r="AI319" s="164">
        <v>0</v>
      </c>
      <c r="AJ319" s="164">
        <f t="shared" si="31"/>
        <v>0</v>
      </c>
      <c r="AK319" s="165">
        <v>0</v>
      </c>
      <c r="AL319" s="165">
        <v>0</v>
      </c>
      <c r="AM319" s="165">
        <f t="shared" si="36"/>
        <v>0</v>
      </c>
      <c r="AN319" s="165">
        <f t="shared" si="37"/>
        <v>0</v>
      </c>
      <c r="AO319" s="16"/>
      <c r="AP319" s="231">
        <f t="shared" si="32"/>
        <v>0</v>
      </c>
      <c r="AR319" s="231"/>
      <c r="AS319" s="231"/>
      <c r="AU319" s="230">
        <v>0</v>
      </c>
      <c r="AV319" s="233">
        <v>0</v>
      </c>
      <c r="AW319" s="230">
        <f t="shared" si="30"/>
        <v>0</v>
      </c>
    </row>
    <row r="320" spans="1:49" hidden="1" x14ac:dyDescent="0.3">
      <c r="A320" s="16" t="s">
        <v>874</v>
      </c>
      <c r="B320" s="39" t="s">
        <v>878</v>
      </c>
      <c r="C320" s="39">
        <v>0</v>
      </c>
      <c r="D320" s="340" t="s">
        <v>3464</v>
      </c>
      <c r="E320" s="159" t="s">
        <v>666</v>
      </c>
      <c r="F320" s="159" t="s">
        <v>848</v>
      </c>
      <c r="G320" s="159" t="s">
        <v>309</v>
      </c>
      <c r="H320" s="159" t="s">
        <v>413</v>
      </c>
      <c r="I320" s="159" t="s">
        <v>875</v>
      </c>
      <c r="J320" s="159" t="s">
        <v>876</v>
      </c>
      <c r="K320" s="159" t="s">
        <v>1849</v>
      </c>
      <c r="L320" s="39" t="s">
        <v>879</v>
      </c>
      <c r="M320" s="39" t="s">
        <v>880</v>
      </c>
      <c r="N320" s="39">
        <v>11</v>
      </c>
      <c r="O320" s="39">
        <v>0</v>
      </c>
      <c r="P320" s="39">
        <v>0</v>
      </c>
      <c r="Q320" s="39" t="s">
        <v>878</v>
      </c>
      <c r="R320" s="16" t="s">
        <v>874</v>
      </c>
      <c r="S320" s="160">
        <v>0</v>
      </c>
      <c r="T320" s="160">
        <v>0</v>
      </c>
      <c r="U320" s="160">
        <v>0</v>
      </c>
      <c r="V320" s="160">
        <v>0</v>
      </c>
      <c r="W320" s="160">
        <v>0</v>
      </c>
      <c r="X320" s="161">
        <v>0</v>
      </c>
      <c r="Y320" s="160"/>
      <c r="Z320" s="16">
        <v>0</v>
      </c>
      <c r="AA320" s="162">
        <v>0</v>
      </c>
      <c r="AB320" s="162">
        <v>0</v>
      </c>
      <c r="AC320" s="162">
        <v>0</v>
      </c>
      <c r="AD320" s="160"/>
      <c r="AE320" s="145">
        <v>0</v>
      </c>
      <c r="AF320" s="163">
        <v>1.0469999999999999</v>
      </c>
      <c r="AG320" s="164">
        <v>1.046</v>
      </c>
      <c r="AH320" s="164">
        <v>1.046</v>
      </c>
      <c r="AI320" s="164">
        <v>0</v>
      </c>
      <c r="AJ320" s="164">
        <f t="shared" si="31"/>
        <v>0</v>
      </c>
      <c r="AK320" s="165">
        <v>0</v>
      </c>
      <c r="AL320" s="165">
        <v>0</v>
      </c>
      <c r="AM320" s="165">
        <f t="shared" si="36"/>
        <v>0</v>
      </c>
      <c r="AN320" s="165">
        <f t="shared" si="37"/>
        <v>0</v>
      </c>
      <c r="AO320" s="16"/>
      <c r="AP320" s="231">
        <f t="shared" si="32"/>
        <v>0</v>
      </c>
      <c r="AR320" s="231"/>
      <c r="AS320" s="231"/>
      <c r="AU320" s="230">
        <v>0</v>
      </c>
      <c r="AV320" s="233">
        <v>0</v>
      </c>
      <c r="AW320" s="230">
        <f t="shared" si="30"/>
        <v>0</v>
      </c>
    </row>
    <row r="321" spans="1:49" hidden="1" x14ac:dyDescent="0.3">
      <c r="A321" s="16" t="s">
        <v>575</v>
      </c>
      <c r="B321" s="39" t="s">
        <v>881</v>
      </c>
      <c r="C321" s="39" t="s">
        <v>82</v>
      </c>
      <c r="D321" s="340" t="s">
        <v>3464</v>
      </c>
      <c r="E321" s="159" t="s">
        <v>666</v>
      </c>
      <c r="F321" s="159" t="s">
        <v>848</v>
      </c>
      <c r="G321" s="159" t="s">
        <v>309</v>
      </c>
      <c r="H321" s="159" t="s">
        <v>334</v>
      </c>
      <c r="I321" s="159" t="s">
        <v>483</v>
      </c>
      <c r="J321" s="159" t="s">
        <v>387</v>
      </c>
      <c r="K321" s="159" t="s">
        <v>1849</v>
      </c>
      <c r="L321" s="39" t="s">
        <v>304</v>
      </c>
      <c r="M321" s="39" t="s">
        <v>305</v>
      </c>
      <c r="N321" s="39">
        <v>11</v>
      </c>
      <c r="O321" s="39" t="s">
        <v>82</v>
      </c>
      <c r="P321" s="39" t="s">
        <v>576</v>
      </c>
      <c r="Q321" s="39" t="s">
        <v>881</v>
      </c>
      <c r="R321" s="16" t="s">
        <v>575</v>
      </c>
      <c r="S321" s="160">
        <v>0</v>
      </c>
      <c r="T321" s="160">
        <v>0</v>
      </c>
      <c r="U321" s="160">
        <v>0</v>
      </c>
      <c r="V321" s="160">
        <v>0</v>
      </c>
      <c r="W321" s="160">
        <v>0</v>
      </c>
      <c r="X321" s="161">
        <v>0</v>
      </c>
      <c r="Y321" s="160"/>
      <c r="Z321" s="16">
        <v>0</v>
      </c>
      <c r="AA321" s="162">
        <v>0</v>
      </c>
      <c r="AB321" s="162">
        <v>0</v>
      </c>
      <c r="AC321" s="162">
        <v>0</v>
      </c>
      <c r="AD321" s="160"/>
      <c r="AE321" s="145">
        <v>0</v>
      </c>
      <c r="AF321" s="163">
        <v>1.0469999999999999</v>
      </c>
      <c r="AG321" s="164">
        <v>1.046</v>
      </c>
      <c r="AH321" s="164">
        <v>1.046</v>
      </c>
      <c r="AI321" s="164">
        <v>0</v>
      </c>
      <c r="AJ321" s="164">
        <f t="shared" si="31"/>
        <v>0</v>
      </c>
      <c r="AK321" s="165">
        <v>0</v>
      </c>
      <c r="AL321" s="165">
        <v>0</v>
      </c>
      <c r="AM321" s="165">
        <f t="shared" si="36"/>
        <v>0</v>
      </c>
      <c r="AN321" s="165">
        <f t="shared" si="37"/>
        <v>0</v>
      </c>
      <c r="AO321" s="16"/>
      <c r="AP321" s="231">
        <f t="shared" si="32"/>
        <v>0</v>
      </c>
      <c r="AR321" s="231"/>
      <c r="AS321" s="231"/>
      <c r="AU321" s="230">
        <v>0</v>
      </c>
      <c r="AV321" s="233">
        <v>0</v>
      </c>
      <c r="AW321" s="230">
        <f t="shared" si="30"/>
        <v>0</v>
      </c>
    </row>
    <row r="322" spans="1:49" hidden="1" x14ac:dyDescent="0.3">
      <c r="A322" s="16" t="s">
        <v>883</v>
      </c>
      <c r="B322" s="39" t="s">
        <v>882</v>
      </c>
      <c r="C322" s="39" t="s">
        <v>82</v>
      </c>
      <c r="D322" s="340" t="s">
        <v>3464</v>
      </c>
      <c r="E322" s="159" t="s">
        <v>666</v>
      </c>
      <c r="F322" s="159" t="s">
        <v>848</v>
      </c>
      <c r="G322" s="159" t="s">
        <v>309</v>
      </c>
      <c r="H322" s="159" t="s">
        <v>334</v>
      </c>
      <c r="I322" s="159" t="s">
        <v>885</v>
      </c>
      <c r="J322" s="159" t="s">
        <v>309</v>
      </c>
      <c r="K322" s="159" t="s">
        <v>1849</v>
      </c>
      <c r="L322" s="39" t="s">
        <v>304</v>
      </c>
      <c r="M322" s="39" t="s">
        <v>305</v>
      </c>
      <c r="N322" s="39">
        <v>11</v>
      </c>
      <c r="O322" s="39" t="s">
        <v>82</v>
      </c>
      <c r="P322" s="39" t="s">
        <v>884</v>
      </c>
      <c r="Q322" s="39" t="s">
        <v>882</v>
      </c>
      <c r="R322" s="16" t="s">
        <v>883</v>
      </c>
      <c r="S322" s="160">
        <v>0</v>
      </c>
      <c r="T322" s="160">
        <v>0</v>
      </c>
      <c r="U322" s="160">
        <v>0</v>
      </c>
      <c r="V322" s="160">
        <v>0</v>
      </c>
      <c r="W322" s="160">
        <v>0</v>
      </c>
      <c r="X322" s="161">
        <v>0</v>
      </c>
      <c r="Y322" s="160"/>
      <c r="Z322" s="16">
        <v>0</v>
      </c>
      <c r="AA322" s="162">
        <v>0</v>
      </c>
      <c r="AB322" s="162">
        <v>0</v>
      </c>
      <c r="AC322" s="162">
        <v>0</v>
      </c>
      <c r="AD322" s="160"/>
      <c r="AE322" s="145">
        <v>0</v>
      </c>
      <c r="AF322" s="163">
        <v>1.0469999999999999</v>
      </c>
      <c r="AG322" s="164">
        <v>1.046</v>
      </c>
      <c r="AH322" s="164">
        <v>1.046</v>
      </c>
      <c r="AI322" s="164">
        <v>0</v>
      </c>
      <c r="AJ322" s="164">
        <f t="shared" si="31"/>
        <v>0</v>
      </c>
      <c r="AK322" s="165">
        <v>0</v>
      </c>
      <c r="AL322" s="165">
        <v>0</v>
      </c>
      <c r="AM322" s="165">
        <f t="shared" si="36"/>
        <v>0</v>
      </c>
      <c r="AN322" s="165">
        <f t="shared" si="37"/>
        <v>0</v>
      </c>
      <c r="AO322" s="16"/>
      <c r="AP322" s="231">
        <f t="shared" si="32"/>
        <v>0</v>
      </c>
      <c r="AR322" s="231"/>
      <c r="AS322" s="231"/>
      <c r="AU322" s="230">
        <v>0</v>
      </c>
      <c r="AV322" s="233">
        <v>0</v>
      </c>
      <c r="AW322" s="230">
        <f t="shared" ref="AW322:AW385" si="38">AU322-S322</f>
        <v>0</v>
      </c>
    </row>
    <row r="323" spans="1:49" hidden="1" x14ac:dyDescent="0.3">
      <c r="A323" s="16" t="s">
        <v>341</v>
      </c>
      <c r="B323" s="39" t="s">
        <v>886</v>
      </c>
      <c r="C323" s="39" t="s">
        <v>82</v>
      </c>
      <c r="D323" s="340" t="s">
        <v>3464</v>
      </c>
      <c r="E323" s="159" t="s">
        <v>666</v>
      </c>
      <c r="F323" s="159" t="s">
        <v>848</v>
      </c>
      <c r="G323" s="159" t="s">
        <v>309</v>
      </c>
      <c r="H323" s="159" t="s">
        <v>334</v>
      </c>
      <c r="I323" s="159" t="s">
        <v>343</v>
      </c>
      <c r="J323" s="159" t="s">
        <v>312</v>
      </c>
      <c r="K323" s="159" t="s">
        <v>1849</v>
      </c>
      <c r="L323" s="39" t="s">
        <v>304</v>
      </c>
      <c r="M323" s="39" t="s">
        <v>305</v>
      </c>
      <c r="N323" s="39">
        <v>11</v>
      </c>
      <c r="O323" s="39" t="s">
        <v>82</v>
      </c>
      <c r="P323" s="39" t="s">
        <v>342</v>
      </c>
      <c r="Q323" s="39" t="s">
        <v>886</v>
      </c>
      <c r="R323" s="16" t="s">
        <v>341</v>
      </c>
      <c r="S323" s="160">
        <v>0</v>
      </c>
      <c r="T323" s="160">
        <v>0</v>
      </c>
      <c r="U323" s="160">
        <v>0</v>
      </c>
      <c r="V323" s="160">
        <v>0</v>
      </c>
      <c r="W323" s="160">
        <v>0</v>
      </c>
      <c r="X323" s="161">
        <v>0</v>
      </c>
      <c r="Y323" s="160"/>
      <c r="Z323" s="16">
        <v>0</v>
      </c>
      <c r="AA323" s="162">
        <v>0</v>
      </c>
      <c r="AB323" s="162">
        <v>0</v>
      </c>
      <c r="AC323" s="162">
        <v>0</v>
      </c>
      <c r="AD323" s="160"/>
      <c r="AE323" s="145">
        <v>0</v>
      </c>
      <c r="AF323" s="163">
        <v>1.0469999999999999</v>
      </c>
      <c r="AG323" s="164">
        <v>1.046</v>
      </c>
      <c r="AH323" s="164">
        <v>1.046</v>
      </c>
      <c r="AI323" s="164">
        <v>0</v>
      </c>
      <c r="AJ323" s="164">
        <f t="shared" si="31"/>
        <v>0</v>
      </c>
      <c r="AK323" s="165">
        <v>0</v>
      </c>
      <c r="AL323" s="165">
        <v>0</v>
      </c>
      <c r="AM323" s="165">
        <f t="shared" si="36"/>
        <v>0</v>
      </c>
      <c r="AN323" s="165">
        <f t="shared" si="37"/>
        <v>0</v>
      </c>
      <c r="AO323" s="16"/>
      <c r="AP323" s="231">
        <f t="shared" si="32"/>
        <v>0</v>
      </c>
      <c r="AR323" s="231"/>
      <c r="AS323" s="231"/>
      <c r="AU323" s="230">
        <v>0</v>
      </c>
      <c r="AV323" s="233">
        <v>0</v>
      </c>
      <c r="AW323" s="230">
        <f t="shared" si="38"/>
        <v>0</v>
      </c>
    </row>
    <row r="324" spans="1:49" hidden="1" x14ac:dyDescent="0.3">
      <c r="A324" s="16" t="s">
        <v>888</v>
      </c>
      <c r="B324" s="39" t="s">
        <v>887</v>
      </c>
      <c r="C324" s="39" t="s">
        <v>82</v>
      </c>
      <c r="D324" s="340" t="s">
        <v>3464</v>
      </c>
      <c r="E324" s="159" t="s">
        <v>666</v>
      </c>
      <c r="F324" s="159" t="s">
        <v>848</v>
      </c>
      <c r="G324" s="159" t="s">
        <v>309</v>
      </c>
      <c r="H324" s="159" t="s">
        <v>334</v>
      </c>
      <c r="I324" s="159" t="s">
        <v>890</v>
      </c>
      <c r="J324" s="159" t="s">
        <v>312</v>
      </c>
      <c r="K324" s="159" t="s">
        <v>1849</v>
      </c>
      <c r="L324" s="39" t="s">
        <v>304</v>
      </c>
      <c r="M324" s="39" t="s">
        <v>305</v>
      </c>
      <c r="N324" s="39">
        <v>11</v>
      </c>
      <c r="O324" s="39" t="s">
        <v>82</v>
      </c>
      <c r="P324" s="39" t="s">
        <v>889</v>
      </c>
      <c r="Q324" s="39" t="s">
        <v>887</v>
      </c>
      <c r="R324" s="16" t="s">
        <v>888</v>
      </c>
      <c r="S324" s="160">
        <v>0</v>
      </c>
      <c r="T324" s="160">
        <v>0</v>
      </c>
      <c r="U324" s="160">
        <v>0</v>
      </c>
      <c r="V324" s="160">
        <v>0</v>
      </c>
      <c r="W324" s="160">
        <v>0</v>
      </c>
      <c r="X324" s="161">
        <v>0</v>
      </c>
      <c r="Y324" s="160"/>
      <c r="Z324" s="16">
        <v>0</v>
      </c>
      <c r="AA324" s="162">
        <v>0</v>
      </c>
      <c r="AB324" s="162">
        <v>0</v>
      </c>
      <c r="AC324" s="162">
        <v>0</v>
      </c>
      <c r="AD324" s="160"/>
      <c r="AE324" s="145">
        <v>0</v>
      </c>
      <c r="AF324" s="163">
        <v>1.0469999999999999</v>
      </c>
      <c r="AG324" s="164">
        <v>1.046</v>
      </c>
      <c r="AH324" s="164">
        <v>1.046</v>
      </c>
      <c r="AI324" s="164">
        <v>0</v>
      </c>
      <c r="AJ324" s="164">
        <f t="shared" si="31"/>
        <v>0</v>
      </c>
      <c r="AK324" s="165">
        <v>0</v>
      </c>
      <c r="AL324" s="165">
        <v>0</v>
      </c>
      <c r="AM324" s="165">
        <f t="shared" si="36"/>
        <v>0</v>
      </c>
      <c r="AN324" s="165">
        <f t="shared" si="37"/>
        <v>0</v>
      </c>
      <c r="AO324" s="16"/>
      <c r="AP324" s="231">
        <f t="shared" si="32"/>
        <v>0</v>
      </c>
      <c r="AR324" s="231"/>
      <c r="AS324" s="231"/>
      <c r="AU324" s="230">
        <v>0</v>
      </c>
      <c r="AV324" s="233">
        <v>0</v>
      </c>
      <c r="AW324" s="230">
        <f t="shared" si="38"/>
        <v>0</v>
      </c>
    </row>
    <row r="325" spans="1:49" hidden="1" x14ac:dyDescent="0.3">
      <c r="A325" s="16" t="s">
        <v>527</v>
      </c>
      <c r="B325" s="39" t="s">
        <v>891</v>
      </c>
      <c r="C325" s="39" t="s">
        <v>82</v>
      </c>
      <c r="D325" s="340" t="s">
        <v>3464</v>
      </c>
      <c r="E325" s="159" t="s">
        <v>666</v>
      </c>
      <c r="F325" s="159" t="s">
        <v>848</v>
      </c>
      <c r="G325" s="159" t="s">
        <v>309</v>
      </c>
      <c r="H325" s="159" t="s">
        <v>334</v>
      </c>
      <c r="I325" s="159" t="s">
        <v>529</v>
      </c>
      <c r="J325" s="159" t="s">
        <v>312</v>
      </c>
      <c r="K325" s="159" t="s">
        <v>1849</v>
      </c>
      <c r="L325" s="39" t="s">
        <v>304</v>
      </c>
      <c r="M325" s="39" t="s">
        <v>305</v>
      </c>
      <c r="N325" s="39">
        <v>11</v>
      </c>
      <c r="O325" s="39" t="s">
        <v>82</v>
      </c>
      <c r="P325" s="39" t="s">
        <v>585</v>
      </c>
      <c r="Q325" s="39" t="s">
        <v>891</v>
      </c>
      <c r="R325" s="16" t="s">
        <v>527</v>
      </c>
      <c r="S325" s="160">
        <v>9034</v>
      </c>
      <c r="T325" s="160">
        <v>170</v>
      </c>
      <c r="U325" s="160">
        <v>0</v>
      </c>
      <c r="V325" s="160">
        <v>1975.6</v>
      </c>
      <c r="W325" s="160">
        <v>7058.4</v>
      </c>
      <c r="X325" s="161">
        <v>0</v>
      </c>
      <c r="Y325" s="160"/>
      <c r="Z325" s="16">
        <v>21.86</v>
      </c>
      <c r="AA325" s="162">
        <v>1975.6</v>
      </c>
      <c r="AB325" s="162">
        <v>493.9</v>
      </c>
      <c r="AC325" s="162">
        <v>5926.7999999999993</v>
      </c>
      <c r="AD325" s="160"/>
      <c r="AE325" s="145">
        <v>9034</v>
      </c>
      <c r="AF325" s="163">
        <v>1.0469999999999999</v>
      </c>
      <c r="AG325" s="164">
        <v>1.046</v>
      </c>
      <c r="AH325" s="164">
        <v>1.046</v>
      </c>
      <c r="AI325" s="164">
        <v>9034</v>
      </c>
      <c r="AJ325" s="164">
        <f t="shared" si="31"/>
        <v>0</v>
      </c>
      <c r="AK325" s="165">
        <v>9034</v>
      </c>
      <c r="AL325" s="165">
        <f>AK325</f>
        <v>9034</v>
      </c>
      <c r="AM325" s="165">
        <f t="shared" si="36"/>
        <v>9449.5640000000003</v>
      </c>
      <c r="AN325" s="165">
        <f t="shared" si="37"/>
        <v>9884.2439439999998</v>
      </c>
      <c r="AO325" s="16"/>
      <c r="AP325" s="231">
        <f t="shared" si="32"/>
        <v>0</v>
      </c>
      <c r="AR325" s="231"/>
      <c r="AS325" s="231"/>
      <c r="AU325" s="230">
        <v>9034</v>
      </c>
      <c r="AV325" s="233">
        <v>9034</v>
      </c>
      <c r="AW325" s="230">
        <f t="shared" si="38"/>
        <v>0</v>
      </c>
    </row>
    <row r="326" spans="1:49" hidden="1" x14ac:dyDescent="0.3">
      <c r="A326" s="16" t="s">
        <v>893</v>
      </c>
      <c r="B326" s="39" t="s">
        <v>892</v>
      </c>
      <c r="C326" s="39" t="s">
        <v>423</v>
      </c>
      <c r="D326" s="340" t="s">
        <v>3464</v>
      </c>
      <c r="E326" s="159" t="s">
        <v>666</v>
      </c>
      <c r="F326" s="159" t="s">
        <v>848</v>
      </c>
      <c r="G326" s="159" t="s">
        <v>309</v>
      </c>
      <c r="H326" s="159" t="s">
        <v>424</v>
      </c>
      <c r="I326" s="159" t="s">
        <v>425</v>
      </c>
      <c r="J326" s="159" t="s">
        <v>894</v>
      </c>
      <c r="K326" s="159" t="s">
        <v>1849</v>
      </c>
      <c r="L326" s="39" t="s">
        <v>877</v>
      </c>
      <c r="M326" s="39" t="s">
        <v>305</v>
      </c>
      <c r="N326" s="39">
        <v>11</v>
      </c>
      <c r="O326" s="39" t="s">
        <v>423</v>
      </c>
      <c r="P326" s="39" t="s">
        <v>423</v>
      </c>
      <c r="Q326" s="39" t="s">
        <v>892</v>
      </c>
      <c r="R326" s="16" t="s">
        <v>893</v>
      </c>
      <c r="S326" s="223">
        <v>532545</v>
      </c>
      <c r="T326" s="160">
        <v>1440</v>
      </c>
      <c r="U326" s="160">
        <v>0</v>
      </c>
      <c r="V326" s="160">
        <v>2655.94</v>
      </c>
      <c r="W326" s="160">
        <v>529889.06000000006</v>
      </c>
      <c r="X326" s="161">
        <v>0</v>
      </c>
      <c r="Y326" s="160"/>
      <c r="Z326" s="16">
        <v>0.49</v>
      </c>
      <c r="AA326" s="162">
        <v>2655.94</v>
      </c>
      <c r="AB326" s="224">
        <v>663.98500000000001</v>
      </c>
      <c r="AC326" s="224">
        <v>7967.82</v>
      </c>
      <c r="AD326" s="223"/>
      <c r="AE326" s="145">
        <v>132545</v>
      </c>
      <c r="AF326" s="163">
        <v>1.0469999999999999</v>
      </c>
      <c r="AG326" s="164">
        <v>1.046</v>
      </c>
      <c r="AH326" s="164">
        <v>1.046</v>
      </c>
      <c r="AI326" s="164">
        <v>532545</v>
      </c>
      <c r="AJ326" s="164">
        <f t="shared" si="31"/>
        <v>-400000</v>
      </c>
      <c r="AK326" s="165">
        <v>0</v>
      </c>
      <c r="AL326" s="165">
        <v>0</v>
      </c>
      <c r="AM326" s="165">
        <f t="shared" si="36"/>
        <v>0</v>
      </c>
      <c r="AN326" s="165">
        <f t="shared" si="37"/>
        <v>0</v>
      </c>
      <c r="AO326" s="16"/>
      <c r="AP326" s="231">
        <f t="shared" si="32"/>
        <v>0</v>
      </c>
      <c r="AR326" s="231"/>
      <c r="AS326" s="231"/>
      <c r="AU326" s="230">
        <v>532545</v>
      </c>
      <c r="AV326" s="233">
        <v>532545</v>
      </c>
      <c r="AW326" s="230">
        <f t="shared" si="38"/>
        <v>0</v>
      </c>
    </row>
    <row r="327" spans="1:49" hidden="1" x14ac:dyDescent="0.3">
      <c r="A327" s="16" t="s">
        <v>83</v>
      </c>
      <c r="B327" s="39" t="s">
        <v>895</v>
      </c>
      <c r="C327" s="39" t="s">
        <v>423</v>
      </c>
      <c r="D327" s="340" t="s">
        <v>3464</v>
      </c>
      <c r="E327" s="159" t="s">
        <v>666</v>
      </c>
      <c r="F327" s="159" t="s">
        <v>848</v>
      </c>
      <c r="G327" s="159" t="s">
        <v>309</v>
      </c>
      <c r="H327" s="159" t="s">
        <v>424</v>
      </c>
      <c r="I327" s="159" t="s">
        <v>425</v>
      </c>
      <c r="J327" s="159" t="s">
        <v>426</v>
      </c>
      <c r="K327" s="159" t="s">
        <v>1849</v>
      </c>
      <c r="L327" s="39" t="s">
        <v>304</v>
      </c>
      <c r="M327" s="39" t="s">
        <v>305</v>
      </c>
      <c r="N327" s="39">
        <v>11</v>
      </c>
      <c r="O327" s="39" t="s">
        <v>423</v>
      </c>
      <c r="P327" s="39" t="s">
        <v>423</v>
      </c>
      <c r="Q327" s="39" t="s">
        <v>895</v>
      </c>
      <c r="R327" s="16" t="s">
        <v>83</v>
      </c>
      <c r="S327" s="160">
        <v>20000</v>
      </c>
      <c r="T327" s="160">
        <v>0</v>
      </c>
      <c r="U327" s="160">
        <v>210</v>
      </c>
      <c r="V327" s="160">
        <v>18746.5</v>
      </c>
      <c r="W327" s="160">
        <v>1253.5</v>
      </c>
      <c r="X327" s="161">
        <v>17092.5</v>
      </c>
      <c r="Y327" s="160"/>
      <c r="Z327" s="16">
        <v>93.73</v>
      </c>
      <c r="AA327" s="162">
        <v>18956.5</v>
      </c>
      <c r="AB327" s="162">
        <v>4739.125</v>
      </c>
      <c r="AC327" s="162">
        <v>56869.5</v>
      </c>
      <c r="AD327" s="160"/>
      <c r="AE327" s="145">
        <v>20000</v>
      </c>
      <c r="AF327" s="163">
        <v>1.0469999999999999</v>
      </c>
      <c r="AG327" s="164">
        <v>1.046</v>
      </c>
      <c r="AH327" s="164">
        <v>1.046</v>
      </c>
      <c r="AI327" s="164">
        <v>20000</v>
      </c>
      <c r="AJ327" s="164">
        <f t="shared" ref="AJ327:AJ390" si="39">AE327-AI327</f>
        <v>0</v>
      </c>
      <c r="AK327" s="165">
        <v>40000</v>
      </c>
      <c r="AL327" s="165">
        <f>AK327</f>
        <v>40000</v>
      </c>
      <c r="AM327" s="165">
        <f t="shared" si="36"/>
        <v>41840</v>
      </c>
      <c r="AN327" s="165">
        <f t="shared" si="37"/>
        <v>43764.639999999999</v>
      </c>
      <c r="AO327" s="16"/>
      <c r="AP327" s="231">
        <f t="shared" ref="AP327:AP390" si="40">AK327-AL327</f>
        <v>0</v>
      </c>
      <c r="AR327" s="231"/>
      <c r="AS327" s="231"/>
      <c r="AU327" s="230">
        <v>20000</v>
      </c>
      <c r="AV327" s="233">
        <v>20000</v>
      </c>
      <c r="AW327" s="230">
        <f t="shared" si="38"/>
        <v>0</v>
      </c>
    </row>
    <row r="328" spans="1:49" hidden="1" x14ac:dyDescent="0.3">
      <c r="A328" s="16" t="s">
        <v>897</v>
      </c>
      <c r="B328" s="39" t="s">
        <v>896</v>
      </c>
      <c r="C328" s="39" t="s">
        <v>423</v>
      </c>
      <c r="D328" s="340" t="s">
        <v>3464</v>
      </c>
      <c r="E328" s="159" t="s">
        <v>666</v>
      </c>
      <c r="F328" s="159" t="s">
        <v>848</v>
      </c>
      <c r="G328" s="159" t="s">
        <v>309</v>
      </c>
      <c r="H328" s="159" t="s">
        <v>424</v>
      </c>
      <c r="I328" s="159" t="s">
        <v>425</v>
      </c>
      <c r="J328" s="159" t="s">
        <v>898</v>
      </c>
      <c r="K328" s="159" t="s">
        <v>1849</v>
      </c>
      <c r="L328" s="39" t="s">
        <v>304</v>
      </c>
      <c r="M328" s="39" t="s">
        <v>305</v>
      </c>
      <c r="N328" s="39">
        <v>11</v>
      </c>
      <c r="O328" s="39" t="s">
        <v>423</v>
      </c>
      <c r="P328" s="39" t="s">
        <v>423</v>
      </c>
      <c r="Q328" s="39" t="s">
        <v>896</v>
      </c>
      <c r="R328" s="16" t="s">
        <v>897</v>
      </c>
      <c r="S328" s="160">
        <v>0</v>
      </c>
      <c r="T328" s="160">
        <v>0</v>
      </c>
      <c r="U328" s="160">
        <v>0</v>
      </c>
      <c r="V328" s="160">
        <v>0</v>
      </c>
      <c r="W328" s="160">
        <v>0</v>
      </c>
      <c r="X328" s="161">
        <v>0</v>
      </c>
      <c r="Y328" s="160"/>
      <c r="Z328" s="16">
        <v>0</v>
      </c>
      <c r="AA328" s="162">
        <v>0</v>
      </c>
      <c r="AB328" s="162">
        <v>0</v>
      </c>
      <c r="AC328" s="162">
        <v>0</v>
      </c>
      <c r="AD328" s="160"/>
      <c r="AE328" s="145">
        <v>0</v>
      </c>
      <c r="AF328" s="163">
        <v>1.0469999999999999</v>
      </c>
      <c r="AG328" s="164">
        <v>1.046</v>
      </c>
      <c r="AH328" s="164">
        <v>1.046</v>
      </c>
      <c r="AI328" s="164">
        <v>0</v>
      </c>
      <c r="AJ328" s="164">
        <f t="shared" si="39"/>
        <v>0</v>
      </c>
      <c r="AK328" s="165">
        <v>0</v>
      </c>
      <c r="AL328" s="165">
        <v>0</v>
      </c>
      <c r="AM328" s="165">
        <f t="shared" si="36"/>
        <v>0</v>
      </c>
      <c r="AN328" s="165">
        <f t="shared" si="37"/>
        <v>0</v>
      </c>
      <c r="AO328" s="16"/>
      <c r="AP328" s="231">
        <f t="shared" si="40"/>
        <v>0</v>
      </c>
      <c r="AR328" s="231"/>
      <c r="AS328" s="231"/>
      <c r="AU328" s="230">
        <v>0</v>
      </c>
      <c r="AV328" s="233">
        <v>0</v>
      </c>
      <c r="AW328" s="230">
        <f t="shared" si="38"/>
        <v>0</v>
      </c>
    </row>
    <row r="329" spans="1:49" hidden="1" x14ac:dyDescent="0.3">
      <c r="A329" s="16" t="s">
        <v>537</v>
      </c>
      <c r="B329" s="39" t="s">
        <v>899</v>
      </c>
      <c r="C329" s="39" t="s">
        <v>423</v>
      </c>
      <c r="D329" s="340" t="s">
        <v>3464</v>
      </c>
      <c r="E329" s="159" t="s">
        <v>666</v>
      </c>
      <c r="F329" s="159" t="s">
        <v>848</v>
      </c>
      <c r="G329" s="159" t="s">
        <v>309</v>
      </c>
      <c r="H329" s="159" t="s">
        <v>424</v>
      </c>
      <c r="I329" s="159" t="s">
        <v>425</v>
      </c>
      <c r="J329" s="159" t="s">
        <v>538</v>
      </c>
      <c r="K329" s="159" t="s">
        <v>1849</v>
      </c>
      <c r="L329" s="39" t="s">
        <v>304</v>
      </c>
      <c r="M329" s="39" t="s">
        <v>305</v>
      </c>
      <c r="N329" s="39">
        <v>11</v>
      </c>
      <c r="O329" s="39" t="s">
        <v>423</v>
      </c>
      <c r="P329" s="39" t="s">
        <v>423</v>
      </c>
      <c r="Q329" s="39" t="s">
        <v>899</v>
      </c>
      <c r="R329" s="16" t="s">
        <v>537</v>
      </c>
      <c r="S329" s="160">
        <v>15000</v>
      </c>
      <c r="T329" s="160">
        <v>1170</v>
      </c>
      <c r="U329" s="160">
        <v>0</v>
      </c>
      <c r="V329" s="160">
        <v>1170</v>
      </c>
      <c r="W329" s="160">
        <v>13830</v>
      </c>
      <c r="X329" s="161">
        <v>0</v>
      </c>
      <c r="Y329" s="160"/>
      <c r="Z329" s="16">
        <v>7.8</v>
      </c>
      <c r="AA329" s="162">
        <v>1170</v>
      </c>
      <c r="AB329" s="162">
        <v>292.5</v>
      </c>
      <c r="AC329" s="162">
        <v>3510</v>
      </c>
      <c r="AD329" s="160"/>
      <c r="AE329" s="145">
        <v>15000</v>
      </c>
      <c r="AF329" s="163">
        <v>1.0469999999999999</v>
      </c>
      <c r="AG329" s="164">
        <v>1.046</v>
      </c>
      <c r="AH329" s="164">
        <v>1.046</v>
      </c>
      <c r="AI329" s="164">
        <v>15000</v>
      </c>
      <c r="AJ329" s="164">
        <f t="shared" si="39"/>
        <v>0</v>
      </c>
      <c r="AK329" s="165">
        <v>15000</v>
      </c>
      <c r="AL329" s="165">
        <f>AK329</f>
        <v>15000</v>
      </c>
      <c r="AM329" s="165">
        <f t="shared" si="36"/>
        <v>15690</v>
      </c>
      <c r="AN329" s="165">
        <f t="shared" si="37"/>
        <v>16411.740000000002</v>
      </c>
      <c r="AO329" s="16"/>
      <c r="AP329" s="231">
        <f t="shared" si="40"/>
        <v>0</v>
      </c>
      <c r="AR329" s="231"/>
      <c r="AS329" s="231"/>
      <c r="AU329" s="230">
        <v>15000</v>
      </c>
      <c r="AV329" s="233">
        <v>15000</v>
      </c>
      <c r="AW329" s="230">
        <f t="shared" si="38"/>
        <v>0</v>
      </c>
    </row>
    <row r="330" spans="1:49" hidden="1" x14ac:dyDescent="0.3">
      <c r="A330" s="16" t="s">
        <v>499</v>
      </c>
      <c r="B330" s="39" t="s">
        <v>900</v>
      </c>
      <c r="C330" s="39" t="s">
        <v>95</v>
      </c>
      <c r="D330" s="340" t="s">
        <v>3464</v>
      </c>
      <c r="E330" s="159" t="s">
        <v>666</v>
      </c>
      <c r="F330" s="159" t="s">
        <v>848</v>
      </c>
      <c r="G330" s="159" t="s">
        <v>309</v>
      </c>
      <c r="H330" s="159" t="s">
        <v>501</v>
      </c>
      <c r="I330" s="159" t="s">
        <v>502</v>
      </c>
      <c r="J330" s="159" t="s">
        <v>312</v>
      </c>
      <c r="K330" s="159" t="s">
        <v>1849</v>
      </c>
      <c r="L330" s="39" t="s">
        <v>304</v>
      </c>
      <c r="M330" s="39" t="s">
        <v>305</v>
      </c>
      <c r="N330" s="39">
        <v>11</v>
      </c>
      <c r="O330" s="39" t="s">
        <v>95</v>
      </c>
      <c r="P330" s="39" t="s">
        <v>95</v>
      </c>
      <c r="Q330" s="39" t="s">
        <v>900</v>
      </c>
      <c r="R330" s="16" t="s">
        <v>499</v>
      </c>
      <c r="S330" s="160">
        <v>0</v>
      </c>
      <c r="T330" s="160">
        <v>0</v>
      </c>
      <c r="U330" s="160">
        <v>0</v>
      </c>
      <c r="V330" s="160">
        <v>0</v>
      </c>
      <c r="W330" s="160">
        <v>0</v>
      </c>
      <c r="X330" s="161">
        <v>0</v>
      </c>
      <c r="Y330" s="160"/>
      <c r="Z330" s="16">
        <v>0</v>
      </c>
      <c r="AA330" s="162">
        <v>0</v>
      </c>
      <c r="AB330" s="162">
        <v>0</v>
      </c>
      <c r="AC330" s="162">
        <v>0</v>
      </c>
      <c r="AD330" s="160"/>
      <c r="AE330" s="145">
        <v>0</v>
      </c>
      <c r="AF330" s="163">
        <v>1.0469999999999999</v>
      </c>
      <c r="AG330" s="164">
        <v>1.046</v>
      </c>
      <c r="AH330" s="164">
        <v>1.046</v>
      </c>
      <c r="AI330" s="164">
        <v>0</v>
      </c>
      <c r="AJ330" s="164">
        <f t="shared" si="39"/>
        <v>0</v>
      </c>
      <c r="AK330" s="165">
        <v>0</v>
      </c>
      <c r="AL330" s="165">
        <v>0</v>
      </c>
      <c r="AM330" s="165">
        <f t="shared" si="36"/>
        <v>0</v>
      </c>
      <c r="AN330" s="165">
        <f t="shared" si="37"/>
        <v>0</v>
      </c>
      <c r="AO330" s="16"/>
      <c r="AP330" s="231">
        <f t="shared" si="40"/>
        <v>0</v>
      </c>
      <c r="AR330" s="231"/>
      <c r="AS330" s="231"/>
      <c r="AU330" s="230">
        <v>0</v>
      </c>
      <c r="AV330" s="233">
        <v>0</v>
      </c>
      <c r="AW330" s="230">
        <f t="shared" si="38"/>
        <v>0</v>
      </c>
    </row>
    <row r="331" spans="1:49" hidden="1" x14ac:dyDescent="0.3">
      <c r="A331" s="16" t="s">
        <v>902</v>
      </c>
      <c r="B331" s="39" t="s">
        <v>901</v>
      </c>
      <c r="C331" s="39" t="s">
        <v>181</v>
      </c>
      <c r="D331" s="340" t="s">
        <v>3464</v>
      </c>
      <c r="E331" s="159" t="s">
        <v>666</v>
      </c>
      <c r="F331" s="159" t="s">
        <v>848</v>
      </c>
      <c r="G331" s="159" t="s">
        <v>582</v>
      </c>
      <c r="H331" s="159" t="s">
        <v>904</v>
      </c>
      <c r="I331" s="159" t="s">
        <v>905</v>
      </c>
      <c r="J331" s="159" t="s">
        <v>312</v>
      </c>
      <c r="K331" s="159" t="s">
        <v>848</v>
      </c>
      <c r="L331" s="39" t="s">
        <v>304</v>
      </c>
      <c r="M331" s="39" t="s">
        <v>305</v>
      </c>
      <c r="N331" s="39">
        <v>11</v>
      </c>
      <c r="O331" s="39" t="s">
        <v>803</v>
      </c>
      <c r="P331" s="39" t="s">
        <v>903</v>
      </c>
      <c r="Q331" s="39" t="s">
        <v>901</v>
      </c>
      <c r="R331" s="16" t="s">
        <v>902</v>
      </c>
      <c r="S331" s="160">
        <v>-365415</v>
      </c>
      <c r="T331" s="160">
        <v>0</v>
      </c>
      <c r="U331" s="160">
        <v>0</v>
      </c>
      <c r="V331" s="160">
        <v>0</v>
      </c>
      <c r="W331" s="160">
        <v>-365415</v>
      </c>
      <c r="X331" s="161">
        <v>0</v>
      </c>
      <c r="Y331" s="160"/>
      <c r="Z331" s="16">
        <v>0</v>
      </c>
      <c r="AA331" s="162">
        <v>0</v>
      </c>
      <c r="AB331" s="162">
        <v>0</v>
      </c>
      <c r="AC331" s="162">
        <v>0</v>
      </c>
      <c r="AD331" s="160"/>
      <c r="AE331" s="145">
        <v>-365415</v>
      </c>
      <c r="AF331" s="163">
        <v>1.0469999999999999</v>
      </c>
      <c r="AG331" s="164">
        <v>1.046</v>
      </c>
      <c r="AH331" s="164">
        <v>1.046</v>
      </c>
      <c r="AI331" s="164">
        <v>-365415</v>
      </c>
      <c r="AJ331" s="164">
        <f t="shared" si="39"/>
        <v>0</v>
      </c>
      <c r="AK331" s="165">
        <v>-365415</v>
      </c>
      <c r="AL331" s="165">
        <f>AK331</f>
        <v>-365415</v>
      </c>
      <c r="AM331" s="165">
        <f t="shared" si="36"/>
        <v>-382224.09</v>
      </c>
      <c r="AN331" s="165">
        <f t="shared" si="37"/>
        <v>-399806.39814000006</v>
      </c>
      <c r="AO331" s="16"/>
      <c r="AP331" s="231">
        <f t="shared" si="40"/>
        <v>0</v>
      </c>
      <c r="AR331" s="231"/>
      <c r="AS331" s="231"/>
      <c r="AU331" s="230">
        <v>-365415</v>
      </c>
      <c r="AV331" s="233">
        <v>-365415</v>
      </c>
      <c r="AW331" s="230">
        <f t="shared" si="38"/>
        <v>0</v>
      </c>
    </row>
    <row r="332" spans="1:49" hidden="1" x14ac:dyDescent="0.3">
      <c r="A332" s="16" t="s">
        <v>907</v>
      </c>
      <c r="B332" s="39" t="s">
        <v>906</v>
      </c>
      <c r="C332" s="39" t="s">
        <v>184</v>
      </c>
      <c r="D332" s="340" t="s">
        <v>3464</v>
      </c>
      <c r="E332" s="159" t="s">
        <v>666</v>
      </c>
      <c r="F332" s="159" t="s">
        <v>848</v>
      </c>
      <c r="G332" s="159" t="s">
        <v>582</v>
      </c>
      <c r="H332" s="159" t="s">
        <v>904</v>
      </c>
      <c r="I332" s="159" t="s">
        <v>404</v>
      </c>
      <c r="J332" s="159" t="s">
        <v>312</v>
      </c>
      <c r="K332" s="159" t="s">
        <v>848</v>
      </c>
      <c r="L332" s="39" t="s">
        <v>304</v>
      </c>
      <c r="M332" s="39" t="s">
        <v>305</v>
      </c>
      <c r="N332" s="39">
        <v>11</v>
      </c>
      <c r="O332" s="39" t="s">
        <v>184</v>
      </c>
      <c r="P332" s="39" t="s">
        <v>184</v>
      </c>
      <c r="Q332" s="39" t="s">
        <v>906</v>
      </c>
      <c r="R332" s="16" t="s">
        <v>907</v>
      </c>
      <c r="S332" s="160">
        <v>0</v>
      </c>
      <c r="T332" s="160">
        <v>0</v>
      </c>
      <c r="U332" s="160">
        <v>0</v>
      </c>
      <c r="V332" s="160">
        <v>0</v>
      </c>
      <c r="W332" s="160">
        <v>0</v>
      </c>
      <c r="X332" s="161">
        <v>0</v>
      </c>
      <c r="Y332" s="160"/>
      <c r="Z332" s="16">
        <v>0</v>
      </c>
      <c r="AA332" s="162">
        <v>0</v>
      </c>
      <c r="AB332" s="162">
        <v>0</v>
      </c>
      <c r="AC332" s="162">
        <v>0</v>
      </c>
      <c r="AD332" s="160"/>
      <c r="AE332" s="145">
        <v>0</v>
      </c>
      <c r="AF332" s="163">
        <v>1.0469999999999999</v>
      </c>
      <c r="AG332" s="164">
        <v>1.046</v>
      </c>
      <c r="AH332" s="164">
        <v>1.046</v>
      </c>
      <c r="AI332" s="164">
        <v>0</v>
      </c>
      <c r="AJ332" s="164">
        <f t="shared" si="39"/>
        <v>0</v>
      </c>
      <c r="AK332" s="165">
        <v>0</v>
      </c>
      <c r="AL332" s="165">
        <v>0</v>
      </c>
      <c r="AM332" s="165">
        <f t="shared" ref="AM332:AM348" si="41">AL332*AG332</f>
        <v>0</v>
      </c>
      <c r="AN332" s="165">
        <f t="shared" ref="AN332:AN348" si="42">AM332*AH332</f>
        <v>0</v>
      </c>
      <c r="AO332" s="16"/>
      <c r="AP332" s="231">
        <f t="shared" si="40"/>
        <v>0</v>
      </c>
      <c r="AR332" s="231"/>
      <c r="AS332" s="231"/>
      <c r="AU332" s="230">
        <v>0</v>
      </c>
      <c r="AV332" s="233">
        <v>0</v>
      </c>
      <c r="AW332" s="230">
        <f t="shared" si="38"/>
        <v>0</v>
      </c>
    </row>
    <row r="333" spans="1:49" hidden="1" x14ac:dyDescent="0.3">
      <c r="A333" s="16" t="s">
        <v>164</v>
      </c>
      <c r="B333" s="39" t="s">
        <v>908</v>
      </c>
      <c r="C333" s="39" t="s">
        <v>909</v>
      </c>
      <c r="D333" s="340" t="s">
        <v>3465</v>
      </c>
      <c r="E333" s="159" t="s">
        <v>666</v>
      </c>
      <c r="F333" s="159" t="s">
        <v>611</v>
      </c>
      <c r="G333" s="159" t="s">
        <v>387</v>
      </c>
      <c r="H333" s="159" t="s">
        <v>646</v>
      </c>
      <c r="I333" s="159" t="s">
        <v>677</v>
      </c>
      <c r="J333" s="159" t="s">
        <v>312</v>
      </c>
      <c r="K333" s="159" t="s">
        <v>413</v>
      </c>
      <c r="L333" s="39" t="s">
        <v>556</v>
      </c>
      <c r="M333" s="39" t="s">
        <v>305</v>
      </c>
      <c r="N333" s="39">
        <v>11</v>
      </c>
      <c r="O333" s="167" t="s">
        <v>909</v>
      </c>
      <c r="P333" s="39" t="s">
        <v>909</v>
      </c>
      <c r="Q333" s="39" t="s">
        <v>908</v>
      </c>
      <c r="R333" s="16" t="s">
        <v>164</v>
      </c>
      <c r="S333" s="160">
        <v>-4467586</v>
      </c>
      <c r="T333" s="160">
        <v>19955.810000000001</v>
      </c>
      <c r="U333" s="160">
        <v>0</v>
      </c>
      <c r="V333" s="160">
        <v>78479.97</v>
      </c>
      <c r="W333" s="160">
        <v>-4546065.97</v>
      </c>
      <c r="X333" s="161" t="e">
        <v>#N/A</v>
      </c>
      <c r="Y333" s="160"/>
      <c r="Z333" s="16">
        <v>-1.75</v>
      </c>
      <c r="AA333" s="162">
        <v>78479.97</v>
      </c>
      <c r="AB333" s="162">
        <v>19619.9925</v>
      </c>
      <c r="AC333" s="162">
        <v>235439.91</v>
      </c>
      <c r="AD333" s="160"/>
      <c r="AE333" s="145">
        <v>-4467586</v>
      </c>
      <c r="AF333" s="163">
        <v>1.0469999999999999</v>
      </c>
      <c r="AG333" s="164">
        <v>1.046</v>
      </c>
      <c r="AH333" s="164">
        <v>1.046</v>
      </c>
      <c r="AI333" s="164">
        <v>-4467586</v>
      </c>
      <c r="AJ333" s="164">
        <f t="shared" si="39"/>
        <v>0</v>
      </c>
      <c r="AK333" s="165">
        <v>-1500000</v>
      </c>
      <c r="AL333" s="165">
        <f>AK333</f>
        <v>-1500000</v>
      </c>
      <c r="AM333" s="165">
        <f t="shared" si="41"/>
        <v>-1569000</v>
      </c>
      <c r="AN333" s="165">
        <f t="shared" si="42"/>
        <v>-1641174</v>
      </c>
      <c r="AO333" s="16"/>
      <c r="AP333" s="231">
        <f t="shared" si="40"/>
        <v>0</v>
      </c>
      <c r="AR333" s="231"/>
      <c r="AS333" s="231"/>
      <c r="AU333" s="230">
        <v>-4467586</v>
      </c>
      <c r="AV333" s="233">
        <v>-4467586</v>
      </c>
      <c r="AW333" s="230">
        <f t="shared" si="38"/>
        <v>0</v>
      </c>
    </row>
    <row r="334" spans="1:49" s="172" customFormat="1" x14ac:dyDescent="0.3">
      <c r="A334" s="166" t="s">
        <v>50</v>
      </c>
      <c r="B334" s="167" t="s">
        <v>910</v>
      </c>
      <c r="C334" s="167" t="s">
        <v>302</v>
      </c>
      <c r="D334" s="412" t="s">
        <v>3465</v>
      </c>
      <c r="E334" s="168" t="s">
        <v>666</v>
      </c>
      <c r="F334" s="168" t="s">
        <v>611</v>
      </c>
      <c r="G334" s="168" t="s">
        <v>309</v>
      </c>
      <c r="H334" s="168" t="s">
        <v>373</v>
      </c>
      <c r="I334" s="168" t="s">
        <v>374</v>
      </c>
      <c r="J334" s="168" t="s">
        <v>312</v>
      </c>
      <c r="K334" s="168" t="s">
        <v>1849</v>
      </c>
      <c r="L334" s="167" t="s">
        <v>304</v>
      </c>
      <c r="M334" s="167" t="s">
        <v>305</v>
      </c>
      <c r="N334" s="167">
        <v>11</v>
      </c>
      <c r="O334" s="167" t="s">
        <v>302</v>
      </c>
      <c r="P334" s="167" t="s">
        <v>302</v>
      </c>
      <c r="Q334" s="167" t="s">
        <v>910</v>
      </c>
      <c r="R334" s="166" t="s">
        <v>50</v>
      </c>
      <c r="S334" s="169">
        <v>1213094</v>
      </c>
      <c r="T334" s="160">
        <v>99467.199999999997</v>
      </c>
      <c r="U334" s="160">
        <v>0</v>
      </c>
      <c r="V334" s="160">
        <v>397095.2</v>
      </c>
      <c r="W334" s="160">
        <v>815998.8</v>
      </c>
      <c r="X334" s="161">
        <v>0</v>
      </c>
      <c r="Y334" s="160"/>
      <c r="Z334" s="16">
        <v>32.729999999999997</v>
      </c>
      <c r="AA334" s="162">
        <v>397095.2</v>
      </c>
      <c r="AB334" s="162">
        <v>99273.8</v>
      </c>
      <c r="AC334" s="162">
        <v>1191285.6000000001</v>
      </c>
      <c r="AD334" s="160"/>
      <c r="AE334" s="145">
        <v>1213094</v>
      </c>
      <c r="AF334" s="163">
        <v>1.0529999999999999</v>
      </c>
      <c r="AG334" s="163">
        <v>1.0489999999999999</v>
      </c>
      <c r="AH334" s="163">
        <v>1.0469999999999999</v>
      </c>
      <c r="AI334" s="164">
        <v>1213094</v>
      </c>
      <c r="AJ334" s="164">
        <f t="shared" si="39"/>
        <v>0</v>
      </c>
      <c r="AK334" s="229">
        <v>1213094</v>
      </c>
      <c r="AL334" s="229">
        <f ca="1">SUMIF('MS &amp; Vacancies combined'!A:J,D334,'MS &amp; Vacancies combined'!J:J)*105.3/100</f>
        <v>798323.19662367448</v>
      </c>
      <c r="AM334" s="229">
        <f t="shared" ca="1" si="41"/>
        <v>837441.0332582345</v>
      </c>
      <c r="AN334" s="229">
        <f t="shared" ca="1" si="42"/>
        <v>876800.7618213715</v>
      </c>
      <c r="AO334" s="166"/>
      <c r="AP334" s="413">
        <f t="shared" ca="1" si="40"/>
        <v>414770.80337632552</v>
      </c>
      <c r="AR334" s="231"/>
      <c r="AS334" s="231"/>
      <c r="AU334" s="414">
        <v>1213094</v>
      </c>
      <c r="AV334" s="415">
        <v>1213094</v>
      </c>
      <c r="AW334" s="414">
        <f t="shared" si="38"/>
        <v>0</v>
      </c>
    </row>
    <row r="335" spans="1:49" s="172" customFormat="1" x14ac:dyDescent="0.3">
      <c r="A335" s="166" t="s">
        <v>52</v>
      </c>
      <c r="B335" s="167" t="s">
        <v>911</v>
      </c>
      <c r="C335" s="167" t="s">
        <v>376</v>
      </c>
      <c r="D335" s="412" t="s">
        <v>3465</v>
      </c>
      <c r="E335" s="168" t="s">
        <v>666</v>
      </c>
      <c r="F335" s="168" t="s">
        <v>611</v>
      </c>
      <c r="G335" s="168" t="s">
        <v>309</v>
      </c>
      <c r="H335" s="168" t="s">
        <v>373</v>
      </c>
      <c r="I335" s="168" t="s">
        <v>377</v>
      </c>
      <c r="J335" s="168" t="s">
        <v>312</v>
      </c>
      <c r="K335" s="168" t="s">
        <v>1849</v>
      </c>
      <c r="L335" s="167" t="s">
        <v>304</v>
      </c>
      <c r="M335" s="167" t="s">
        <v>305</v>
      </c>
      <c r="N335" s="167">
        <v>11</v>
      </c>
      <c r="O335" s="167" t="s">
        <v>376</v>
      </c>
      <c r="P335" s="167" t="s">
        <v>376</v>
      </c>
      <c r="Q335" s="167" t="s">
        <v>911</v>
      </c>
      <c r="R335" s="166" t="s">
        <v>52</v>
      </c>
      <c r="S335" s="169">
        <v>9432</v>
      </c>
      <c r="T335" s="160">
        <v>0</v>
      </c>
      <c r="U335" s="160">
        <v>0</v>
      </c>
      <c r="V335" s="160">
        <v>0</v>
      </c>
      <c r="W335" s="160">
        <v>9432</v>
      </c>
      <c r="X335" s="161">
        <v>0</v>
      </c>
      <c r="Y335" s="160"/>
      <c r="Z335" s="16">
        <v>0</v>
      </c>
      <c r="AA335" s="162">
        <v>0</v>
      </c>
      <c r="AB335" s="162">
        <v>0</v>
      </c>
      <c r="AC335" s="162">
        <v>0</v>
      </c>
      <c r="AD335" s="160"/>
      <c r="AE335" s="145">
        <v>9432</v>
      </c>
      <c r="AF335" s="163">
        <v>1.0529999999999999</v>
      </c>
      <c r="AG335" s="163">
        <v>1.0489999999999999</v>
      </c>
      <c r="AH335" s="163">
        <v>1.0469999999999999</v>
      </c>
      <c r="AI335" s="164">
        <v>9432</v>
      </c>
      <c r="AJ335" s="164">
        <f t="shared" si="39"/>
        <v>0</v>
      </c>
      <c r="AK335" s="229">
        <v>9432</v>
      </c>
      <c r="AL335" s="229">
        <f ca="1">SUMIF('MS &amp; Vacancies combined'!A:M,D335,'MS &amp; Vacancies combined'!M:M)*105.3/100</f>
        <v>11650.951497718543</v>
      </c>
      <c r="AM335" s="229">
        <f t="shared" ca="1" si="41"/>
        <v>12221.84812110675</v>
      </c>
      <c r="AN335" s="229">
        <f t="shared" ca="1" si="42"/>
        <v>12796.274982798766</v>
      </c>
      <c r="AO335" s="166"/>
      <c r="AP335" s="413">
        <f t="shared" ca="1" si="40"/>
        <v>-2218.9514977185427</v>
      </c>
      <c r="AR335" s="231"/>
      <c r="AS335" s="231"/>
      <c r="AU335" s="414">
        <v>9432</v>
      </c>
      <c r="AV335" s="415">
        <v>9432</v>
      </c>
      <c r="AW335" s="414">
        <f t="shared" si="38"/>
        <v>0</v>
      </c>
    </row>
    <row r="336" spans="1:49" s="172" customFormat="1" x14ac:dyDescent="0.3">
      <c r="A336" s="166" t="s">
        <v>54</v>
      </c>
      <c r="B336" s="167" t="s">
        <v>912</v>
      </c>
      <c r="C336" s="167" t="s">
        <v>379</v>
      </c>
      <c r="D336" s="412" t="s">
        <v>3465</v>
      </c>
      <c r="E336" s="168" t="s">
        <v>666</v>
      </c>
      <c r="F336" s="168" t="s">
        <v>611</v>
      </c>
      <c r="G336" s="168" t="s">
        <v>309</v>
      </c>
      <c r="H336" s="168" t="s">
        <v>373</v>
      </c>
      <c r="I336" s="168" t="s">
        <v>380</v>
      </c>
      <c r="J336" s="168" t="s">
        <v>312</v>
      </c>
      <c r="K336" s="168" t="s">
        <v>1849</v>
      </c>
      <c r="L336" s="167" t="s">
        <v>304</v>
      </c>
      <c r="M336" s="167" t="s">
        <v>305</v>
      </c>
      <c r="N336" s="167">
        <v>11</v>
      </c>
      <c r="O336" s="167" t="s">
        <v>379</v>
      </c>
      <c r="P336" s="167" t="s">
        <v>379</v>
      </c>
      <c r="Q336" s="167" t="s">
        <v>912</v>
      </c>
      <c r="R336" s="166" t="s">
        <v>54</v>
      </c>
      <c r="S336" s="169">
        <v>24259</v>
      </c>
      <c r="T336" s="160">
        <v>0</v>
      </c>
      <c r="U336" s="160">
        <v>0</v>
      </c>
      <c r="V336" s="160">
        <v>0</v>
      </c>
      <c r="W336" s="160">
        <v>24259</v>
      </c>
      <c r="X336" s="161">
        <v>0</v>
      </c>
      <c r="Y336" s="160"/>
      <c r="Z336" s="16">
        <v>0</v>
      </c>
      <c r="AA336" s="162">
        <v>0</v>
      </c>
      <c r="AB336" s="162">
        <v>0</v>
      </c>
      <c r="AC336" s="162">
        <v>0</v>
      </c>
      <c r="AD336" s="160"/>
      <c r="AE336" s="145">
        <v>24259</v>
      </c>
      <c r="AF336" s="163">
        <v>1.0529999999999999</v>
      </c>
      <c r="AG336" s="163">
        <v>1.0489999999999999</v>
      </c>
      <c r="AH336" s="163">
        <v>1.0469999999999999</v>
      </c>
      <c r="AI336" s="164">
        <v>24259</v>
      </c>
      <c r="AJ336" s="164">
        <f t="shared" si="39"/>
        <v>0</v>
      </c>
      <c r="AK336" s="229">
        <v>24259</v>
      </c>
      <c r="AL336" s="229">
        <f ca="1">SUMIF('MS &amp; Vacancies combined'!A:L,D336,'MS &amp; Vacancies combined'!L:L)*105.3/100</f>
        <v>11788.083196846688</v>
      </c>
      <c r="AM336" s="229">
        <f t="shared" ca="1" si="41"/>
        <v>12365.699273492175</v>
      </c>
      <c r="AN336" s="229">
        <f t="shared" ca="1" si="42"/>
        <v>12946.887139346307</v>
      </c>
      <c r="AO336" s="166"/>
      <c r="AP336" s="413">
        <f t="shared" ca="1" si="40"/>
        <v>12470.916803153312</v>
      </c>
      <c r="AR336" s="231"/>
      <c r="AS336" s="231"/>
      <c r="AU336" s="414">
        <v>24259</v>
      </c>
      <c r="AV336" s="415">
        <v>24259</v>
      </c>
      <c r="AW336" s="414">
        <f t="shared" si="38"/>
        <v>0</v>
      </c>
    </row>
    <row r="337" spans="1:49" s="172" customFormat="1" x14ac:dyDescent="0.3">
      <c r="A337" s="166" t="s">
        <v>56</v>
      </c>
      <c r="B337" s="167" t="s">
        <v>913</v>
      </c>
      <c r="C337" s="167" t="s">
        <v>385</v>
      </c>
      <c r="D337" s="412" t="s">
        <v>3465</v>
      </c>
      <c r="E337" s="168" t="s">
        <v>666</v>
      </c>
      <c r="F337" s="168" t="s">
        <v>611</v>
      </c>
      <c r="G337" s="168" t="s">
        <v>309</v>
      </c>
      <c r="H337" s="168" t="s">
        <v>373</v>
      </c>
      <c r="I337" s="168" t="s">
        <v>386</v>
      </c>
      <c r="J337" s="168" t="s">
        <v>387</v>
      </c>
      <c r="K337" s="168" t="s">
        <v>1849</v>
      </c>
      <c r="L337" s="167" t="s">
        <v>304</v>
      </c>
      <c r="M337" s="167" t="s">
        <v>305</v>
      </c>
      <c r="N337" s="167">
        <v>11</v>
      </c>
      <c r="O337" s="167" t="s">
        <v>385</v>
      </c>
      <c r="P337" s="167" t="s">
        <v>385</v>
      </c>
      <c r="Q337" s="167" t="s">
        <v>913</v>
      </c>
      <c r="R337" s="166" t="s">
        <v>56</v>
      </c>
      <c r="S337" s="169">
        <v>19512</v>
      </c>
      <c r="T337" s="160">
        <v>1918.07</v>
      </c>
      <c r="U337" s="160">
        <v>0</v>
      </c>
      <c r="V337" s="160">
        <v>1918.07</v>
      </c>
      <c r="W337" s="160">
        <v>17593.93</v>
      </c>
      <c r="X337" s="161">
        <v>0</v>
      </c>
      <c r="Y337" s="160"/>
      <c r="Z337" s="16">
        <v>9.83</v>
      </c>
      <c r="AA337" s="162">
        <v>1918.07</v>
      </c>
      <c r="AB337" s="162">
        <v>479.51749999999998</v>
      </c>
      <c r="AC337" s="162">
        <v>5754.21</v>
      </c>
      <c r="AD337" s="160"/>
      <c r="AE337" s="145">
        <v>19512</v>
      </c>
      <c r="AF337" s="163">
        <v>1.0529999999999999</v>
      </c>
      <c r="AG337" s="163">
        <v>1.0489999999999999</v>
      </c>
      <c r="AH337" s="163">
        <v>1.0469999999999999</v>
      </c>
      <c r="AI337" s="164">
        <v>19512</v>
      </c>
      <c r="AJ337" s="164">
        <f t="shared" si="39"/>
        <v>0</v>
      </c>
      <c r="AK337" s="229">
        <v>19512</v>
      </c>
      <c r="AL337" s="229">
        <f ca="1">SUMIF('MS &amp; Vacancies combined'!A:O,D337,'MS &amp; Vacancies combined'!O:O)*105.3/100</f>
        <v>227473.1770414568</v>
      </c>
      <c r="AM337" s="229">
        <f t="shared" ca="1" si="41"/>
        <v>238619.36271648816</v>
      </c>
      <c r="AN337" s="229">
        <f t="shared" ca="1" si="42"/>
        <v>249834.4727641631</v>
      </c>
      <c r="AO337" s="166"/>
      <c r="AP337" s="413">
        <f t="shared" ca="1" si="40"/>
        <v>-207961.1770414568</v>
      </c>
      <c r="AR337" s="231"/>
      <c r="AS337" s="231"/>
      <c r="AU337" s="414">
        <v>19512</v>
      </c>
      <c r="AV337" s="415">
        <v>19512</v>
      </c>
      <c r="AW337" s="414">
        <f t="shared" si="38"/>
        <v>0</v>
      </c>
    </row>
    <row r="338" spans="1:49" s="172" customFormat="1" x14ac:dyDescent="0.3">
      <c r="A338" s="166" t="s">
        <v>62</v>
      </c>
      <c r="B338" s="167" t="s">
        <v>914</v>
      </c>
      <c r="C338" s="167" t="s">
        <v>395</v>
      </c>
      <c r="D338" s="412" t="s">
        <v>3465</v>
      </c>
      <c r="E338" s="168" t="s">
        <v>666</v>
      </c>
      <c r="F338" s="168" t="s">
        <v>611</v>
      </c>
      <c r="G338" s="168" t="s">
        <v>309</v>
      </c>
      <c r="H338" s="168" t="s">
        <v>373</v>
      </c>
      <c r="I338" s="168" t="s">
        <v>396</v>
      </c>
      <c r="J338" s="168" t="s">
        <v>312</v>
      </c>
      <c r="K338" s="168" t="s">
        <v>1849</v>
      </c>
      <c r="L338" s="167" t="s">
        <v>304</v>
      </c>
      <c r="M338" s="167" t="s">
        <v>305</v>
      </c>
      <c r="N338" s="167">
        <v>11</v>
      </c>
      <c r="O338" s="167" t="s">
        <v>395</v>
      </c>
      <c r="P338" s="167" t="s">
        <v>395</v>
      </c>
      <c r="Q338" s="167" t="s">
        <v>914</v>
      </c>
      <c r="R338" s="166" t="s">
        <v>62</v>
      </c>
      <c r="S338" s="169">
        <v>101091</v>
      </c>
      <c r="T338" s="160">
        <v>0</v>
      </c>
      <c r="U338" s="160">
        <v>0</v>
      </c>
      <c r="V338" s="160">
        <v>0</v>
      </c>
      <c r="W338" s="160">
        <v>101091</v>
      </c>
      <c r="X338" s="161">
        <v>0</v>
      </c>
      <c r="Y338" s="160"/>
      <c r="Z338" s="16">
        <v>0</v>
      </c>
      <c r="AA338" s="162">
        <v>0</v>
      </c>
      <c r="AB338" s="162">
        <v>0</v>
      </c>
      <c r="AC338" s="162">
        <v>0</v>
      </c>
      <c r="AD338" s="160"/>
      <c r="AE338" s="145">
        <v>101091</v>
      </c>
      <c r="AF338" s="163">
        <v>1.0529999999999999</v>
      </c>
      <c r="AG338" s="163">
        <v>1.0489999999999999</v>
      </c>
      <c r="AH338" s="163">
        <v>1.0469999999999999</v>
      </c>
      <c r="AI338" s="164">
        <v>101091</v>
      </c>
      <c r="AJ338" s="164">
        <f t="shared" si="39"/>
        <v>0</v>
      </c>
      <c r="AK338" s="229">
        <v>101091</v>
      </c>
      <c r="AL338" s="229">
        <f ca="1">SUMIF('MS &amp; Vacancies combined'!A:K,D338,'MS &amp; Vacancies combined'!K:K)*105.3/100</f>
        <v>66526.933051972883</v>
      </c>
      <c r="AM338" s="229">
        <f t="shared" ca="1" si="41"/>
        <v>69786.752771519547</v>
      </c>
      <c r="AN338" s="229">
        <f t="shared" ca="1" si="42"/>
        <v>73066.730151780954</v>
      </c>
      <c r="AO338" s="166"/>
      <c r="AP338" s="413">
        <f t="shared" ca="1" si="40"/>
        <v>34564.066948027117</v>
      </c>
      <c r="AR338" s="231"/>
      <c r="AS338" s="231"/>
      <c r="AU338" s="414">
        <v>101091</v>
      </c>
      <c r="AV338" s="415">
        <v>101091</v>
      </c>
      <c r="AW338" s="414">
        <f t="shared" si="38"/>
        <v>0</v>
      </c>
    </row>
    <row r="339" spans="1:49" s="172" customFormat="1" x14ac:dyDescent="0.3">
      <c r="A339" s="166" t="s">
        <v>69</v>
      </c>
      <c r="B339" s="167" t="s">
        <v>915</v>
      </c>
      <c r="C339" s="167" t="s">
        <v>398</v>
      </c>
      <c r="D339" s="412" t="s">
        <v>3465</v>
      </c>
      <c r="E339" s="168" t="s">
        <v>666</v>
      </c>
      <c r="F339" s="168" t="s">
        <v>611</v>
      </c>
      <c r="G339" s="168" t="s">
        <v>309</v>
      </c>
      <c r="H339" s="168" t="s">
        <v>310</v>
      </c>
      <c r="I339" s="168" t="s">
        <v>374</v>
      </c>
      <c r="J339" s="168" t="s">
        <v>312</v>
      </c>
      <c r="K339" s="168" t="s">
        <v>1849</v>
      </c>
      <c r="L339" s="167" t="s">
        <v>304</v>
      </c>
      <c r="M339" s="167" t="s">
        <v>305</v>
      </c>
      <c r="N339" s="167">
        <v>11</v>
      </c>
      <c r="O339" s="167" t="s">
        <v>398</v>
      </c>
      <c r="P339" s="167" t="s">
        <v>398</v>
      </c>
      <c r="Q339" s="167" t="s">
        <v>915</v>
      </c>
      <c r="R339" s="166" t="s">
        <v>69</v>
      </c>
      <c r="S339" s="169">
        <v>259</v>
      </c>
      <c r="T339" s="160">
        <v>32.4</v>
      </c>
      <c r="U339" s="160">
        <v>0</v>
      </c>
      <c r="V339" s="160">
        <v>129.6</v>
      </c>
      <c r="W339" s="160">
        <v>129.4</v>
      </c>
      <c r="X339" s="161">
        <v>0</v>
      </c>
      <c r="Y339" s="160"/>
      <c r="Z339" s="16">
        <v>50.03</v>
      </c>
      <c r="AA339" s="162">
        <v>129.6</v>
      </c>
      <c r="AB339" s="162">
        <v>32.4</v>
      </c>
      <c r="AC339" s="162">
        <v>388.79999999999995</v>
      </c>
      <c r="AD339" s="160"/>
      <c r="AE339" s="145">
        <v>259</v>
      </c>
      <c r="AF339" s="163">
        <v>1.0529999999999999</v>
      </c>
      <c r="AG339" s="163">
        <v>1.0489999999999999</v>
      </c>
      <c r="AH339" s="163">
        <v>1.0469999999999999</v>
      </c>
      <c r="AI339" s="164">
        <v>259</v>
      </c>
      <c r="AJ339" s="164">
        <f t="shared" si="39"/>
        <v>0</v>
      </c>
      <c r="AK339" s="229">
        <v>259</v>
      </c>
      <c r="AL339" s="229">
        <f ca="1">SUMIF('MS &amp; Vacancies combined'!A:N,D339,'MS &amp; Vacancies combined'!N:N)*105.3/100</f>
        <v>125.83027617536028</v>
      </c>
      <c r="AM339" s="229">
        <f t="shared" ca="1" si="41"/>
        <v>131.99595970795292</v>
      </c>
      <c r="AN339" s="229">
        <f t="shared" ca="1" si="42"/>
        <v>138.1997698142267</v>
      </c>
      <c r="AO339" s="166"/>
      <c r="AP339" s="413">
        <f t="shared" ca="1" si="40"/>
        <v>133.16972382463973</v>
      </c>
      <c r="AR339" s="231"/>
      <c r="AS339" s="231"/>
      <c r="AU339" s="414">
        <v>259</v>
      </c>
      <c r="AV339" s="415">
        <v>259</v>
      </c>
      <c r="AW339" s="414">
        <f t="shared" si="38"/>
        <v>0</v>
      </c>
    </row>
    <row r="340" spans="1:49" s="172" customFormat="1" x14ac:dyDescent="0.3">
      <c r="A340" s="166" t="s">
        <v>70</v>
      </c>
      <c r="B340" s="167" t="s">
        <v>916</v>
      </c>
      <c r="C340" s="167" t="s">
        <v>400</v>
      </c>
      <c r="D340" s="412" t="s">
        <v>3465</v>
      </c>
      <c r="E340" s="168" t="s">
        <v>666</v>
      </c>
      <c r="F340" s="168" t="s">
        <v>611</v>
      </c>
      <c r="G340" s="168" t="s">
        <v>309</v>
      </c>
      <c r="H340" s="168" t="s">
        <v>310</v>
      </c>
      <c r="I340" s="168" t="s">
        <v>401</v>
      </c>
      <c r="J340" s="168" t="s">
        <v>312</v>
      </c>
      <c r="K340" s="168" t="s">
        <v>1849</v>
      </c>
      <c r="L340" s="167" t="s">
        <v>304</v>
      </c>
      <c r="M340" s="167" t="s">
        <v>305</v>
      </c>
      <c r="N340" s="167">
        <v>11</v>
      </c>
      <c r="O340" s="167" t="s">
        <v>400</v>
      </c>
      <c r="P340" s="167" t="s">
        <v>400</v>
      </c>
      <c r="Q340" s="167" t="s">
        <v>916</v>
      </c>
      <c r="R340" s="166" t="s">
        <v>70</v>
      </c>
      <c r="S340" s="169">
        <v>20623</v>
      </c>
      <c r="T340" s="160">
        <v>1651.94</v>
      </c>
      <c r="U340" s="160">
        <v>0</v>
      </c>
      <c r="V340" s="160">
        <v>6333.27</v>
      </c>
      <c r="W340" s="160">
        <v>14289.73</v>
      </c>
      <c r="X340" s="161">
        <v>0</v>
      </c>
      <c r="Y340" s="160"/>
      <c r="Z340" s="16">
        <v>30.7</v>
      </c>
      <c r="AA340" s="162">
        <v>6333.27</v>
      </c>
      <c r="AB340" s="162">
        <v>1583.3175000000001</v>
      </c>
      <c r="AC340" s="162">
        <v>18999.810000000001</v>
      </c>
      <c r="AD340" s="160"/>
      <c r="AE340" s="145">
        <v>20623</v>
      </c>
      <c r="AF340" s="163">
        <v>1.0529999999999999</v>
      </c>
      <c r="AG340" s="163">
        <v>1.0489999999999999</v>
      </c>
      <c r="AH340" s="163">
        <v>1.0469999999999999</v>
      </c>
      <c r="AI340" s="164">
        <v>20623</v>
      </c>
      <c r="AJ340" s="164">
        <f t="shared" si="39"/>
        <v>0</v>
      </c>
      <c r="AK340" s="229">
        <v>20623</v>
      </c>
      <c r="AL340" s="229">
        <f ca="1">SUMIF('MS &amp; Vacancies combined'!A:P,D340,'MS &amp; Vacancies combined'!P:P)*105.3/100</f>
        <v>13970.655940914308</v>
      </c>
      <c r="AM340" s="229">
        <f t="shared" ca="1" si="41"/>
        <v>14655.218082019108</v>
      </c>
      <c r="AN340" s="229">
        <f t="shared" ca="1" si="42"/>
        <v>15344.013331874005</v>
      </c>
      <c r="AO340" s="166"/>
      <c r="AP340" s="413">
        <f t="shared" ca="1" si="40"/>
        <v>6652.3440590856917</v>
      </c>
      <c r="AR340" s="231"/>
      <c r="AS340" s="231"/>
      <c r="AU340" s="414">
        <v>20623</v>
      </c>
      <c r="AV340" s="415">
        <v>20623</v>
      </c>
      <c r="AW340" s="414">
        <f t="shared" si="38"/>
        <v>0</v>
      </c>
    </row>
    <row r="341" spans="1:49" s="172" customFormat="1" x14ac:dyDescent="0.3">
      <c r="A341" s="166" t="s">
        <v>71</v>
      </c>
      <c r="B341" s="167" t="s">
        <v>917</v>
      </c>
      <c r="C341" s="167" t="s">
        <v>403</v>
      </c>
      <c r="D341" s="412" t="s">
        <v>3465</v>
      </c>
      <c r="E341" s="168" t="s">
        <v>666</v>
      </c>
      <c r="F341" s="168" t="s">
        <v>611</v>
      </c>
      <c r="G341" s="168" t="s">
        <v>309</v>
      </c>
      <c r="H341" s="168" t="s">
        <v>310</v>
      </c>
      <c r="I341" s="168" t="s">
        <v>404</v>
      </c>
      <c r="J341" s="168" t="s">
        <v>312</v>
      </c>
      <c r="K341" s="168" t="s">
        <v>1849</v>
      </c>
      <c r="L341" s="167" t="s">
        <v>304</v>
      </c>
      <c r="M341" s="167" t="s">
        <v>305</v>
      </c>
      <c r="N341" s="167">
        <v>11</v>
      </c>
      <c r="O341" s="167" t="s">
        <v>403</v>
      </c>
      <c r="P341" s="167" t="s">
        <v>403</v>
      </c>
      <c r="Q341" s="167" t="s">
        <v>917</v>
      </c>
      <c r="R341" s="166" t="s">
        <v>71</v>
      </c>
      <c r="S341" s="169">
        <v>120054</v>
      </c>
      <c r="T341" s="160">
        <v>10235.4</v>
      </c>
      <c r="U341" s="160">
        <v>0</v>
      </c>
      <c r="V341" s="160">
        <v>40941.599999999999</v>
      </c>
      <c r="W341" s="160">
        <v>79112.399999999994</v>
      </c>
      <c r="X341" s="161">
        <v>0</v>
      </c>
      <c r="Y341" s="160"/>
      <c r="Z341" s="16">
        <v>34.1</v>
      </c>
      <c r="AA341" s="162">
        <v>40941.599999999999</v>
      </c>
      <c r="AB341" s="162">
        <v>10235.4</v>
      </c>
      <c r="AC341" s="162">
        <v>122824.79999999999</v>
      </c>
      <c r="AD341" s="160"/>
      <c r="AE341" s="145">
        <v>120054</v>
      </c>
      <c r="AF341" s="163">
        <v>1.0529999999999999</v>
      </c>
      <c r="AG341" s="163">
        <v>1.0489999999999999</v>
      </c>
      <c r="AH341" s="163">
        <v>1.0469999999999999</v>
      </c>
      <c r="AI341" s="164">
        <v>120054</v>
      </c>
      <c r="AJ341" s="164">
        <f t="shared" si="39"/>
        <v>0</v>
      </c>
      <c r="AK341" s="229">
        <v>120054</v>
      </c>
      <c r="AL341" s="229">
        <f ca="1">SUMIF('MS &amp; Vacancies combined'!A:Q,D341,'MS &amp; Vacancies combined'!Q:Q)*105.3/100</f>
        <v>58336.314149076752</v>
      </c>
      <c r="AM341" s="229">
        <f t="shared" ca="1" si="41"/>
        <v>61194.793542381507</v>
      </c>
      <c r="AN341" s="229">
        <f t="shared" ca="1" si="42"/>
        <v>64070.948838873432</v>
      </c>
      <c r="AO341" s="166"/>
      <c r="AP341" s="413">
        <f t="shared" ca="1" si="40"/>
        <v>61717.685850923248</v>
      </c>
      <c r="AR341" s="231"/>
      <c r="AS341" s="231"/>
      <c r="AU341" s="414">
        <v>120054</v>
      </c>
      <c r="AV341" s="415">
        <v>120054</v>
      </c>
      <c r="AW341" s="414">
        <f t="shared" si="38"/>
        <v>0</v>
      </c>
    </row>
    <row r="342" spans="1:49" s="172" customFormat="1" x14ac:dyDescent="0.3">
      <c r="A342" s="166" t="s">
        <v>72</v>
      </c>
      <c r="B342" s="167" t="s">
        <v>918</v>
      </c>
      <c r="C342" s="167" t="s">
        <v>406</v>
      </c>
      <c r="D342" s="412" t="s">
        <v>3465</v>
      </c>
      <c r="E342" s="168" t="s">
        <v>666</v>
      </c>
      <c r="F342" s="168" t="s">
        <v>611</v>
      </c>
      <c r="G342" s="168" t="s">
        <v>309</v>
      </c>
      <c r="H342" s="168" t="s">
        <v>310</v>
      </c>
      <c r="I342" s="168" t="s">
        <v>407</v>
      </c>
      <c r="J342" s="168" t="s">
        <v>312</v>
      </c>
      <c r="K342" s="168" t="s">
        <v>1849</v>
      </c>
      <c r="L342" s="167" t="s">
        <v>304</v>
      </c>
      <c r="M342" s="167" t="s">
        <v>305</v>
      </c>
      <c r="N342" s="167">
        <v>11</v>
      </c>
      <c r="O342" s="167" t="s">
        <v>406</v>
      </c>
      <c r="P342" s="167" t="s">
        <v>406</v>
      </c>
      <c r="Q342" s="167" t="s">
        <v>918</v>
      </c>
      <c r="R342" s="166" t="s">
        <v>72</v>
      </c>
      <c r="S342" s="169">
        <v>219206</v>
      </c>
      <c r="T342" s="160">
        <v>18729.150000000001</v>
      </c>
      <c r="U342" s="160">
        <v>0</v>
      </c>
      <c r="V342" s="160">
        <v>74740.97</v>
      </c>
      <c r="W342" s="160">
        <v>144465.03</v>
      </c>
      <c r="X342" s="161">
        <v>0</v>
      </c>
      <c r="Y342" s="160"/>
      <c r="Z342" s="16">
        <v>34.090000000000003</v>
      </c>
      <c r="AA342" s="162">
        <v>74740.97</v>
      </c>
      <c r="AB342" s="162">
        <v>18685.2425</v>
      </c>
      <c r="AC342" s="162">
        <v>224222.91</v>
      </c>
      <c r="AD342" s="160"/>
      <c r="AE342" s="145">
        <v>219206</v>
      </c>
      <c r="AF342" s="163">
        <v>1.0529999999999999</v>
      </c>
      <c r="AG342" s="163">
        <v>1.0489999999999999</v>
      </c>
      <c r="AH342" s="163">
        <v>1.0469999999999999</v>
      </c>
      <c r="AI342" s="164">
        <v>219206</v>
      </c>
      <c r="AJ342" s="164">
        <f t="shared" si="39"/>
        <v>0</v>
      </c>
      <c r="AK342" s="229">
        <v>219206</v>
      </c>
      <c r="AL342" s="229">
        <f ca="1">SUMIF('MS &amp; Vacancies combined'!A:R,D342,'MS &amp; Vacancies combined'!R:R)*105.3/100</f>
        <v>144257.001629898</v>
      </c>
      <c r="AM342" s="229">
        <f t="shared" ca="1" si="41"/>
        <v>151325.59470976298</v>
      </c>
      <c r="AN342" s="229">
        <f t="shared" ca="1" si="42"/>
        <v>158437.89766112182</v>
      </c>
      <c r="AO342" s="166"/>
      <c r="AP342" s="413">
        <f t="shared" ca="1" si="40"/>
        <v>74948.998370101996</v>
      </c>
      <c r="AR342" s="231"/>
      <c r="AS342" s="231"/>
      <c r="AU342" s="414">
        <v>219206</v>
      </c>
      <c r="AV342" s="415">
        <v>219206</v>
      </c>
      <c r="AW342" s="414">
        <f t="shared" si="38"/>
        <v>0</v>
      </c>
    </row>
    <row r="343" spans="1:49" s="172" customFormat="1" x14ac:dyDescent="0.3">
      <c r="A343" s="166" t="s">
        <v>73</v>
      </c>
      <c r="B343" s="167" t="s">
        <v>919</v>
      </c>
      <c r="C343" s="167" t="s">
        <v>307</v>
      </c>
      <c r="D343" s="412" t="s">
        <v>3465</v>
      </c>
      <c r="E343" s="168" t="s">
        <v>666</v>
      </c>
      <c r="F343" s="168" t="s">
        <v>611</v>
      </c>
      <c r="G343" s="168" t="s">
        <v>309</v>
      </c>
      <c r="H343" s="168" t="s">
        <v>310</v>
      </c>
      <c r="I343" s="168" t="s">
        <v>311</v>
      </c>
      <c r="J343" s="168" t="s">
        <v>312</v>
      </c>
      <c r="K343" s="168" t="s">
        <v>1849</v>
      </c>
      <c r="L343" s="167" t="s">
        <v>304</v>
      </c>
      <c r="M343" s="167" t="s">
        <v>305</v>
      </c>
      <c r="N343" s="167">
        <v>11</v>
      </c>
      <c r="O343" s="167" t="s">
        <v>307</v>
      </c>
      <c r="P343" s="167" t="s">
        <v>307</v>
      </c>
      <c r="Q343" s="167" t="s">
        <v>919</v>
      </c>
      <c r="R343" s="166" t="s">
        <v>73</v>
      </c>
      <c r="S343" s="169">
        <v>4455</v>
      </c>
      <c r="T343" s="160">
        <v>531.36</v>
      </c>
      <c r="U343" s="160">
        <v>0</v>
      </c>
      <c r="V343" s="160">
        <v>2125.44</v>
      </c>
      <c r="W343" s="160">
        <v>2329.56</v>
      </c>
      <c r="X343" s="161">
        <v>0</v>
      </c>
      <c r="Y343" s="160"/>
      <c r="Z343" s="16">
        <v>47.7</v>
      </c>
      <c r="AA343" s="162">
        <v>2125.44</v>
      </c>
      <c r="AB343" s="162">
        <v>531.36</v>
      </c>
      <c r="AC343" s="162">
        <v>6376.32</v>
      </c>
      <c r="AD343" s="160"/>
      <c r="AE343" s="145">
        <v>4455</v>
      </c>
      <c r="AF343" s="163">
        <v>1.0529999999999999</v>
      </c>
      <c r="AG343" s="163">
        <v>1.0489999999999999</v>
      </c>
      <c r="AH343" s="163">
        <v>1.0469999999999999</v>
      </c>
      <c r="AI343" s="164">
        <v>4455</v>
      </c>
      <c r="AJ343" s="164">
        <f t="shared" si="39"/>
        <v>0</v>
      </c>
      <c r="AK343" s="229">
        <v>4455</v>
      </c>
      <c r="AL343" s="229">
        <f ca="1">SUMIF('MS &amp; Vacancies combined'!A:S,D343,'MS &amp; Vacancies combined'!S:S)*105.3/100</f>
        <v>2063.6165292759088</v>
      </c>
      <c r="AM343" s="229">
        <f t="shared" ca="1" si="41"/>
        <v>2164.7337392104282</v>
      </c>
      <c r="AN343" s="229">
        <f t="shared" ca="1" si="42"/>
        <v>2266.4762249533183</v>
      </c>
      <c r="AO343" s="166"/>
      <c r="AP343" s="413">
        <f t="shared" ca="1" si="40"/>
        <v>2391.3834707240912</v>
      </c>
      <c r="AR343" s="231"/>
      <c r="AS343" s="231"/>
      <c r="AU343" s="414">
        <v>4455</v>
      </c>
      <c r="AV343" s="415">
        <v>4455</v>
      </c>
      <c r="AW343" s="414">
        <f t="shared" si="38"/>
        <v>0</v>
      </c>
    </row>
    <row r="344" spans="1:49" hidden="1" x14ac:dyDescent="0.3">
      <c r="A344" s="16" t="s">
        <v>324</v>
      </c>
      <c r="B344" s="39" t="s">
        <v>920</v>
      </c>
      <c r="C344" s="39" t="s">
        <v>76</v>
      </c>
      <c r="D344" s="340" t="s">
        <v>3465</v>
      </c>
      <c r="E344" s="159" t="s">
        <v>666</v>
      </c>
      <c r="F344" s="159" t="s">
        <v>611</v>
      </c>
      <c r="G344" s="159" t="s">
        <v>309</v>
      </c>
      <c r="H344" s="159" t="s">
        <v>325</v>
      </c>
      <c r="I344" s="159" t="s">
        <v>326</v>
      </c>
      <c r="J344" s="159" t="s">
        <v>327</v>
      </c>
      <c r="K344" s="159" t="s">
        <v>1849</v>
      </c>
      <c r="L344" s="39" t="s">
        <v>304</v>
      </c>
      <c r="M344" s="39" t="s">
        <v>305</v>
      </c>
      <c r="N344" s="39">
        <v>11</v>
      </c>
      <c r="O344" s="39" t="s">
        <v>76</v>
      </c>
      <c r="P344" s="39" t="s">
        <v>76</v>
      </c>
      <c r="Q344" s="39" t="s">
        <v>920</v>
      </c>
      <c r="R344" s="16" t="s">
        <v>324</v>
      </c>
      <c r="S344" s="160">
        <v>0</v>
      </c>
      <c r="T344" s="160">
        <v>0</v>
      </c>
      <c r="U344" s="160">
        <v>0</v>
      </c>
      <c r="V344" s="160">
        <v>0</v>
      </c>
      <c r="W344" s="160">
        <v>0</v>
      </c>
      <c r="X344" s="161">
        <v>0</v>
      </c>
      <c r="Y344" s="160"/>
      <c r="Z344" s="16">
        <v>0</v>
      </c>
      <c r="AA344" s="162">
        <v>0</v>
      </c>
      <c r="AB344" s="162">
        <v>0</v>
      </c>
      <c r="AC344" s="162">
        <v>0</v>
      </c>
      <c r="AD344" s="160"/>
      <c r="AE344" s="145">
        <v>0</v>
      </c>
      <c r="AF344" s="163">
        <v>1.0469999999999999</v>
      </c>
      <c r="AG344" s="164">
        <v>1.046</v>
      </c>
      <c r="AH344" s="164">
        <v>1.046</v>
      </c>
      <c r="AI344" s="164">
        <v>0</v>
      </c>
      <c r="AJ344" s="164">
        <f t="shared" si="39"/>
        <v>0</v>
      </c>
      <c r="AK344" s="165">
        <v>15000</v>
      </c>
      <c r="AL344" s="165">
        <f t="shared" ref="AL344:AL349" si="43">AK344</f>
        <v>15000</v>
      </c>
      <c r="AM344" s="165">
        <f t="shared" si="41"/>
        <v>15690</v>
      </c>
      <c r="AN344" s="165">
        <f t="shared" si="42"/>
        <v>16411.740000000002</v>
      </c>
      <c r="AO344" s="16"/>
      <c r="AP344" s="231">
        <f t="shared" si="40"/>
        <v>0</v>
      </c>
      <c r="AR344" s="231"/>
      <c r="AS344" s="231"/>
      <c r="AU344" s="230">
        <v>0</v>
      </c>
      <c r="AV344" s="233">
        <v>0</v>
      </c>
      <c r="AW344" s="230">
        <f t="shared" si="38"/>
        <v>0</v>
      </c>
    </row>
    <row r="345" spans="1:49" hidden="1" x14ac:dyDescent="0.3">
      <c r="A345" s="16" t="s">
        <v>477</v>
      </c>
      <c r="B345" s="39" t="s">
        <v>921</v>
      </c>
      <c r="C345" s="39" t="s">
        <v>78</v>
      </c>
      <c r="D345" s="340" t="s">
        <v>3465</v>
      </c>
      <c r="E345" s="159" t="s">
        <v>666</v>
      </c>
      <c r="F345" s="159" t="s">
        <v>611</v>
      </c>
      <c r="G345" s="159" t="s">
        <v>309</v>
      </c>
      <c r="H345" s="159" t="s">
        <v>330</v>
      </c>
      <c r="I345" s="159" t="s">
        <v>479</v>
      </c>
      <c r="J345" s="159" t="s">
        <v>312</v>
      </c>
      <c r="K345" s="159" t="s">
        <v>1849</v>
      </c>
      <c r="L345" s="39" t="s">
        <v>304</v>
      </c>
      <c r="M345" s="39" t="s">
        <v>305</v>
      </c>
      <c r="N345" s="39">
        <v>11</v>
      </c>
      <c r="O345" s="39" t="s">
        <v>78</v>
      </c>
      <c r="P345" s="39" t="s">
        <v>699</v>
      </c>
      <c r="Q345" s="39" t="s">
        <v>921</v>
      </c>
      <c r="R345" s="16" t="s">
        <v>477</v>
      </c>
      <c r="S345" s="160">
        <v>2534005</v>
      </c>
      <c r="T345" s="160">
        <v>0</v>
      </c>
      <c r="U345" s="160">
        <v>0</v>
      </c>
      <c r="V345" s="160">
        <v>0</v>
      </c>
      <c r="W345" s="160">
        <v>2534005</v>
      </c>
      <c r="X345" s="161">
        <v>0</v>
      </c>
      <c r="Y345" s="160"/>
      <c r="Z345" s="16">
        <v>0</v>
      </c>
      <c r="AA345" s="162">
        <v>0</v>
      </c>
      <c r="AB345" s="162">
        <v>0</v>
      </c>
      <c r="AC345" s="162">
        <v>0</v>
      </c>
      <c r="AD345" s="160"/>
      <c r="AE345" s="145">
        <v>2534005</v>
      </c>
      <c r="AF345" s="163">
        <v>1.0469999999999999</v>
      </c>
      <c r="AG345" s="164">
        <v>1.046</v>
      </c>
      <c r="AH345" s="164">
        <v>1.046</v>
      </c>
      <c r="AI345" s="164">
        <v>2534005</v>
      </c>
      <c r="AJ345" s="164">
        <f t="shared" si="39"/>
        <v>0</v>
      </c>
      <c r="AK345" s="165">
        <v>700000</v>
      </c>
      <c r="AL345" s="165">
        <f t="shared" si="43"/>
        <v>700000</v>
      </c>
      <c r="AM345" s="165">
        <f t="shared" si="41"/>
        <v>732200</v>
      </c>
      <c r="AN345" s="165">
        <f t="shared" si="42"/>
        <v>765881.20000000007</v>
      </c>
      <c r="AO345" s="16"/>
      <c r="AP345" s="231">
        <f t="shared" si="40"/>
        <v>0</v>
      </c>
      <c r="AR345" s="231"/>
      <c r="AS345" s="231"/>
      <c r="AU345" s="230">
        <v>2534005</v>
      </c>
      <c r="AV345" s="233">
        <v>2534005</v>
      </c>
      <c r="AW345" s="230">
        <f t="shared" si="38"/>
        <v>0</v>
      </c>
    </row>
    <row r="346" spans="1:49" hidden="1" x14ac:dyDescent="0.3">
      <c r="A346" s="16" t="s">
        <v>923</v>
      </c>
      <c r="B346" s="39" t="s">
        <v>922</v>
      </c>
      <c r="C346" s="39" t="s">
        <v>82</v>
      </c>
      <c r="D346" s="340" t="s">
        <v>3465</v>
      </c>
      <c r="E346" s="159" t="s">
        <v>666</v>
      </c>
      <c r="F346" s="159" t="s">
        <v>611</v>
      </c>
      <c r="G346" s="159" t="s">
        <v>309</v>
      </c>
      <c r="H346" s="159" t="s">
        <v>334</v>
      </c>
      <c r="I346" s="159" t="s">
        <v>925</v>
      </c>
      <c r="J346" s="159" t="s">
        <v>387</v>
      </c>
      <c r="K346" s="159" t="s">
        <v>1849</v>
      </c>
      <c r="L346" s="39" t="s">
        <v>304</v>
      </c>
      <c r="M346" s="39" t="s">
        <v>305</v>
      </c>
      <c r="N346" s="39">
        <v>11</v>
      </c>
      <c r="O346" s="39" t="s">
        <v>82</v>
      </c>
      <c r="P346" s="39" t="s">
        <v>924</v>
      </c>
      <c r="Q346" s="39" t="s">
        <v>922</v>
      </c>
      <c r="R346" s="16" t="s">
        <v>923</v>
      </c>
      <c r="S346" s="223">
        <v>7506794</v>
      </c>
      <c r="T346" s="160">
        <v>2239673.6800000002</v>
      </c>
      <c r="U346" s="160">
        <v>0</v>
      </c>
      <c r="V346" s="160">
        <v>4426449.17</v>
      </c>
      <c r="W346" s="160">
        <v>3080344.83</v>
      </c>
      <c r="X346" s="161">
        <v>4615699.1900000004</v>
      </c>
      <c r="Y346" s="160"/>
      <c r="Z346" s="16">
        <v>58.96</v>
      </c>
      <c r="AA346" s="162">
        <v>4426449.17</v>
      </c>
      <c r="AB346" s="224">
        <v>1106612.2925</v>
      </c>
      <c r="AC346" s="224">
        <v>13279347.51</v>
      </c>
      <c r="AD346" s="223">
        <v>7115000</v>
      </c>
      <c r="AE346" s="145">
        <v>13121794</v>
      </c>
      <c r="AF346" s="163">
        <v>1.0469999999999999</v>
      </c>
      <c r="AG346" s="164">
        <v>1.046</v>
      </c>
      <c r="AH346" s="164">
        <v>1.046</v>
      </c>
      <c r="AI346" s="164">
        <v>14621794</v>
      </c>
      <c r="AJ346" s="164">
        <f t="shared" si="39"/>
        <v>-1500000</v>
      </c>
      <c r="AK346" s="165">
        <v>9000000</v>
      </c>
      <c r="AL346" s="165">
        <f t="shared" si="43"/>
        <v>9000000</v>
      </c>
      <c r="AM346" s="165">
        <f t="shared" si="41"/>
        <v>9414000</v>
      </c>
      <c r="AN346" s="165">
        <f t="shared" si="42"/>
        <v>9847044</v>
      </c>
      <c r="AO346" s="16" t="s">
        <v>2001</v>
      </c>
      <c r="AP346" s="231">
        <f t="shared" si="40"/>
        <v>0</v>
      </c>
      <c r="AR346" s="231"/>
      <c r="AS346" s="231"/>
      <c r="AU346" s="230">
        <v>7506794</v>
      </c>
      <c r="AV346" s="233">
        <v>14621794</v>
      </c>
      <c r="AW346" s="230">
        <f t="shared" si="38"/>
        <v>0</v>
      </c>
    </row>
    <row r="347" spans="1:49" hidden="1" x14ac:dyDescent="0.3">
      <c r="A347" s="16" t="s">
        <v>83</v>
      </c>
      <c r="B347" s="39" t="s">
        <v>926</v>
      </c>
      <c r="C347" s="39" t="s">
        <v>423</v>
      </c>
      <c r="D347" s="340" t="s">
        <v>3465</v>
      </c>
      <c r="E347" s="159" t="s">
        <v>666</v>
      </c>
      <c r="F347" s="159" t="s">
        <v>611</v>
      </c>
      <c r="G347" s="159" t="s">
        <v>309</v>
      </c>
      <c r="H347" s="159" t="s">
        <v>424</v>
      </c>
      <c r="I347" s="159" t="s">
        <v>425</v>
      </c>
      <c r="J347" s="159" t="s">
        <v>426</v>
      </c>
      <c r="K347" s="159" t="s">
        <v>1849</v>
      </c>
      <c r="L347" s="39" t="s">
        <v>304</v>
      </c>
      <c r="M347" s="39" t="s">
        <v>305</v>
      </c>
      <c r="N347" s="39">
        <v>11</v>
      </c>
      <c r="O347" s="39" t="s">
        <v>423</v>
      </c>
      <c r="P347" s="39" t="s">
        <v>423</v>
      </c>
      <c r="Q347" s="39" t="s">
        <v>926</v>
      </c>
      <c r="R347" s="16" t="s">
        <v>83</v>
      </c>
      <c r="S347" s="160">
        <v>0</v>
      </c>
      <c r="T347" s="160">
        <v>0</v>
      </c>
      <c r="U347" s="160">
        <v>0</v>
      </c>
      <c r="V347" s="160">
        <v>0</v>
      </c>
      <c r="W347" s="160">
        <v>0</v>
      </c>
      <c r="X347" s="161" t="s">
        <v>2163</v>
      </c>
      <c r="Y347" s="160"/>
      <c r="Z347" s="16">
        <v>0</v>
      </c>
      <c r="AA347" s="162">
        <v>0</v>
      </c>
      <c r="AB347" s="162">
        <v>0</v>
      </c>
      <c r="AC347" s="162">
        <v>0</v>
      </c>
      <c r="AD347" s="160"/>
      <c r="AE347" s="145">
        <v>0</v>
      </c>
      <c r="AF347" s="163">
        <v>1.0469999999999999</v>
      </c>
      <c r="AG347" s="164">
        <v>1.046</v>
      </c>
      <c r="AH347" s="164">
        <v>1.046</v>
      </c>
      <c r="AI347" s="164">
        <v>0</v>
      </c>
      <c r="AJ347" s="164">
        <f t="shared" si="39"/>
        <v>0</v>
      </c>
      <c r="AK347" s="165">
        <v>0</v>
      </c>
      <c r="AL347" s="165">
        <f t="shared" si="43"/>
        <v>0</v>
      </c>
      <c r="AM347" s="165">
        <f t="shared" si="41"/>
        <v>0</v>
      </c>
      <c r="AN347" s="165">
        <f t="shared" si="42"/>
        <v>0</v>
      </c>
      <c r="AO347" s="16"/>
      <c r="AP347" s="231">
        <f t="shared" si="40"/>
        <v>0</v>
      </c>
      <c r="AR347" s="231"/>
      <c r="AS347" s="231"/>
      <c r="AU347" s="230">
        <v>0</v>
      </c>
      <c r="AV347" s="233">
        <v>0</v>
      </c>
      <c r="AW347" s="230">
        <f t="shared" si="38"/>
        <v>0</v>
      </c>
    </row>
    <row r="348" spans="1:49" hidden="1" x14ac:dyDescent="0.3">
      <c r="A348" s="16" t="s">
        <v>928</v>
      </c>
      <c r="B348" s="39" t="s">
        <v>927</v>
      </c>
      <c r="C348" s="39" t="s">
        <v>88</v>
      </c>
      <c r="D348" s="340" t="s">
        <v>3465</v>
      </c>
      <c r="E348" s="159" t="s">
        <v>666</v>
      </c>
      <c r="F348" s="159" t="s">
        <v>611</v>
      </c>
      <c r="G348" s="159" t="s">
        <v>309</v>
      </c>
      <c r="H348" s="159" t="s">
        <v>845</v>
      </c>
      <c r="I348" s="159" t="s">
        <v>929</v>
      </c>
      <c r="J348" s="159" t="s">
        <v>312</v>
      </c>
      <c r="K348" s="159" t="s">
        <v>1849</v>
      </c>
      <c r="L348" s="39" t="s">
        <v>304</v>
      </c>
      <c r="M348" s="39" t="s">
        <v>305</v>
      </c>
      <c r="N348" s="39">
        <v>11</v>
      </c>
      <c r="O348" s="39" t="s">
        <v>88</v>
      </c>
      <c r="P348" s="39" t="s">
        <v>88</v>
      </c>
      <c r="Q348" s="39" t="s">
        <v>927</v>
      </c>
      <c r="R348" s="16" t="s">
        <v>928</v>
      </c>
      <c r="S348" s="160">
        <v>240806</v>
      </c>
      <c r="T348" s="160">
        <v>20067.169999999998</v>
      </c>
      <c r="U348" s="160">
        <v>0</v>
      </c>
      <c r="V348" s="160">
        <v>80268.679999999993</v>
      </c>
      <c r="W348" s="160">
        <v>160537.32</v>
      </c>
      <c r="X348" s="161">
        <v>0</v>
      </c>
      <c r="Y348" s="160"/>
      <c r="Z348" s="16">
        <v>33.33</v>
      </c>
      <c r="AA348" s="162">
        <v>80268.679999999993</v>
      </c>
      <c r="AB348" s="162">
        <v>20067.169999999998</v>
      </c>
      <c r="AC348" s="162">
        <v>240806.03999999998</v>
      </c>
      <c r="AD348" s="160"/>
      <c r="AE348" s="145">
        <v>240806</v>
      </c>
      <c r="AF348" s="163">
        <v>1.0469999999999999</v>
      </c>
      <c r="AG348" s="164">
        <v>1.046</v>
      </c>
      <c r="AH348" s="164">
        <v>1.046</v>
      </c>
      <c r="AI348" s="164">
        <v>240806</v>
      </c>
      <c r="AJ348" s="164">
        <f t="shared" si="39"/>
        <v>0</v>
      </c>
      <c r="AK348" s="165">
        <v>240806</v>
      </c>
      <c r="AL348" s="165">
        <f t="shared" si="43"/>
        <v>240806</v>
      </c>
      <c r="AM348" s="165">
        <f t="shared" si="41"/>
        <v>251883.076</v>
      </c>
      <c r="AN348" s="165">
        <f t="shared" si="42"/>
        <v>263469.69749600004</v>
      </c>
      <c r="AO348" s="16"/>
      <c r="AP348" s="231">
        <f t="shared" si="40"/>
        <v>0</v>
      </c>
      <c r="AR348" s="231"/>
      <c r="AS348" s="231"/>
      <c r="AU348" s="230">
        <v>240806</v>
      </c>
      <c r="AV348" s="233">
        <v>240806</v>
      </c>
      <c r="AW348" s="230">
        <f t="shared" si="38"/>
        <v>0</v>
      </c>
    </row>
    <row r="349" spans="1:49" hidden="1" x14ac:dyDescent="0.3">
      <c r="A349" s="16" t="s">
        <v>931</v>
      </c>
      <c r="B349" s="39" t="s">
        <v>930</v>
      </c>
      <c r="C349" s="39" t="s">
        <v>95</v>
      </c>
      <c r="D349" s="340" t="s">
        <v>3465</v>
      </c>
      <c r="E349" s="159" t="s">
        <v>666</v>
      </c>
      <c r="F349" s="159" t="s">
        <v>611</v>
      </c>
      <c r="G349" s="159" t="s">
        <v>309</v>
      </c>
      <c r="H349" s="159" t="s">
        <v>501</v>
      </c>
      <c r="I349" s="159" t="s">
        <v>573</v>
      </c>
      <c r="J349" s="159" t="s">
        <v>312</v>
      </c>
      <c r="K349" s="159" t="s">
        <v>1849</v>
      </c>
      <c r="L349" s="39" t="s">
        <v>304</v>
      </c>
      <c r="M349" s="39" t="s">
        <v>305</v>
      </c>
      <c r="N349" s="39">
        <v>11</v>
      </c>
      <c r="O349" s="39" t="s">
        <v>95</v>
      </c>
      <c r="P349" s="39" t="s">
        <v>932</v>
      </c>
      <c r="Q349" s="39" t="s">
        <v>930</v>
      </c>
      <c r="R349" s="16" t="s">
        <v>931</v>
      </c>
      <c r="S349" s="160">
        <v>0</v>
      </c>
      <c r="T349" s="160">
        <v>0</v>
      </c>
      <c r="U349" s="160">
        <v>0</v>
      </c>
      <c r="V349" s="160">
        <v>0</v>
      </c>
      <c r="W349" s="160">
        <v>0</v>
      </c>
      <c r="X349" s="161">
        <v>0</v>
      </c>
      <c r="Y349" s="160"/>
      <c r="Z349" s="16">
        <v>0</v>
      </c>
      <c r="AA349" s="162">
        <v>0</v>
      </c>
      <c r="AB349" s="162">
        <v>0</v>
      </c>
      <c r="AC349" s="162">
        <v>0</v>
      </c>
      <c r="AD349" s="160"/>
      <c r="AE349" s="145">
        <v>0</v>
      </c>
      <c r="AF349" s="163">
        <v>1.0469999999999999</v>
      </c>
      <c r="AG349" s="164">
        <v>1.046</v>
      </c>
      <c r="AH349" s="164">
        <v>1.046</v>
      </c>
      <c r="AI349" s="164">
        <v>0</v>
      </c>
      <c r="AJ349" s="164">
        <f t="shared" si="39"/>
        <v>0</v>
      </c>
      <c r="AK349" s="165">
        <v>8368453</v>
      </c>
      <c r="AL349" s="165">
        <f t="shared" si="43"/>
        <v>8368453</v>
      </c>
      <c r="AM349" s="165">
        <f>(AL349*AG34)-Sheet1!F6</f>
        <v>12843401.838</v>
      </c>
      <c r="AN349" s="165">
        <f>(AM349*AH349)-Sheet1!E8</f>
        <v>18156198.322548002</v>
      </c>
      <c r="AO349" s="16"/>
      <c r="AP349" s="231">
        <f t="shared" si="40"/>
        <v>0</v>
      </c>
      <c r="AR349" s="231"/>
      <c r="AS349" s="231"/>
      <c r="AU349" s="230">
        <v>0</v>
      </c>
      <c r="AV349" s="233">
        <v>0</v>
      </c>
      <c r="AW349" s="230">
        <f t="shared" si="38"/>
        <v>0</v>
      </c>
    </row>
    <row r="350" spans="1:49" s="172" customFormat="1" x14ac:dyDescent="0.3">
      <c r="A350" s="166" t="s">
        <v>29</v>
      </c>
      <c r="B350" s="167" t="s">
        <v>933</v>
      </c>
      <c r="C350" s="167" t="s">
        <v>934</v>
      </c>
      <c r="D350" s="412" t="s">
        <v>3466</v>
      </c>
      <c r="E350" s="168" t="s">
        <v>310</v>
      </c>
      <c r="F350" s="168" t="s">
        <v>362</v>
      </c>
      <c r="G350" s="168" t="s">
        <v>309</v>
      </c>
      <c r="H350" s="168" t="s">
        <v>363</v>
      </c>
      <c r="I350" s="168" t="s">
        <v>935</v>
      </c>
      <c r="J350" s="168" t="s">
        <v>312</v>
      </c>
      <c r="K350" s="168" t="s">
        <v>1849</v>
      </c>
      <c r="L350" s="167" t="s">
        <v>304</v>
      </c>
      <c r="M350" s="167" t="s">
        <v>305</v>
      </c>
      <c r="N350" s="167">
        <v>11</v>
      </c>
      <c r="O350" s="167" t="s">
        <v>934</v>
      </c>
      <c r="P350" s="167" t="s">
        <v>934</v>
      </c>
      <c r="Q350" s="167" t="s">
        <v>933</v>
      </c>
      <c r="R350" s="166" t="s">
        <v>29</v>
      </c>
      <c r="S350" s="169">
        <v>1751036</v>
      </c>
      <c r="T350" s="160">
        <v>125642.33</v>
      </c>
      <c r="U350" s="160">
        <v>0</v>
      </c>
      <c r="V350" s="160">
        <v>502569.32</v>
      </c>
      <c r="W350" s="160">
        <v>1248466.68</v>
      </c>
      <c r="X350" s="161">
        <v>0</v>
      </c>
      <c r="Y350" s="160"/>
      <c r="Z350" s="16">
        <v>28.7</v>
      </c>
      <c r="AA350" s="162">
        <v>502569.32</v>
      </c>
      <c r="AB350" s="162">
        <v>125642.33</v>
      </c>
      <c r="AC350" s="162">
        <v>1507707.96</v>
      </c>
      <c r="AD350" s="160">
        <v>0</v>
      </c>
      <c r="AE350" s="228">
        <v>1751036</v>
      </c>
      <c r="AF350" s="163">
        <v>1.0529999999999999</v>
      </c>
      <c r="AG350" s="163">
        <v>1.0489999999999999</v>
      </c>
      <c r="AH350" s="163">
        <v>1.0469999999999999</v>
      </c>
      <c r="AI350" s="164">
        <v>1751036</v>
      </c>
      <c r="AJ350" s="164">
        <f t="shared" si="39"/>
        <v>0</v>
      </c>
      <c r="AK350" s="229">
        <v>1751036</v>
      </c>
      <c r="AL350" s="229">
        <f ca="1">SUMIF('SM &amp; Vacancies'!A:K,D350,'SM &amp; Vacancies'!J:J)*105.3/100</f>
        <v>1681374.591</v>
      </c>
      <c r="AM350" s="229">
        <f t="shared" ref="AM350:AN350" ca="1" si="44">AL350*AG350</f>
        <v>1763761.9459589999</v>
      </c>
      <c r="AN350" s="229">
        <f t="shared" ca="1" si="44"/>
        <v>1846658.7574190728</v>
      </c>
      <c r="AO350" s="166"/>
      <c r="AP350" s="413">
        <f t="shared" ca="1" si="40"/>
        <v>69661.408999999985</v>
      </c>
      <c r="AR350" s="231"/>
      <c r="AS350" s="231"/>
      <c r="AU350" s="414">
        <v>1751036</v>
      </c>
      <c r="AV350" s="415">
        <v>1751036</v>
      </c>
      <c r="AW350" s="414">
        <f t="shared" si="38"/>
        <v>0</v>
      </c>
    </row>
    <row r="351" spans="1:49" s="172" customFormat="1" x14ac:dyDescent="0.3">
      <c r="A351" s="166" t="s">
        <v>30</v>
      </c>
      <c r="B351" s="167" t="s">
        <v>936</v>
      </c>
      <c r="C351" s="167" t="s">
        <v>937</v>
      </c>
      <c r="D351" s="412" t="s">
        <v>3466</v>
      </c>
      <c r="E351" s="168" t="s">
        <v>310</v>
      </c>
      <c r="F351" s="168" t="s">
        <v>362</v>
      </c>
      <c r="G351" s="168" t="s">
        <v>309</v>
      </c>
      <c r="H351" s="168" t="s">
        <v>363</v>
      </c>
      <c r="I351" s="168" t="s">
        <v>938</v>
      </c>
      <c r="J351" s="168" t="s">
        <v>312</v>
      </c>
      <c r="K351" s="168" t="s">
        <v>1849</v>
      </c>
      <c r="L351" s="167" t="s">
        <v>304</v>
      </c>
      <c r="M351" s="167" t="s">
        <v>305</v>
      </c>
      <c r="N351" s="167">
        <v>11</v>
      </c>
      <c r="O351" s="167" t="s">
        <v>937</v>
      </c>
      <c r="P351" s="167" t="s">
        <v>937</v>
      </c>
      <c r="Q351" s="167" t="s">
        <v>936</v>
      </c>
      <c r="R351" s="166" t="s">
        <v>30</v>
      </c>
      <c r="S351" s="169">
        <v>15091</v>
      </c>
      <c r="T351" s="160">
        <v>1200</v>
      </c>
      <c r="U351" s="160">
        <v>0</v>
      </c>
      <c r="V351" s="160">
        <v>4800</v>
      </c>
      <c r="W351" s="160">
        <v>10291</v>
      </c>
      <c r="X351" s="161">
        <v>0</v>
      </c>
      <c r="Y351" s="160"/>
      <c r="Z351" s="16">
        <v>31.8</v>
      </c>
      <c r="AA351" s="162">
        <v>4800</v>
      </c>
      <c r="AB351" s="162">
        <v>1200</v>
      </c>
      <c r="AC351" s="162">
        <v>14400</v>
      </c>
      <c r="AD351" s="160"/>
      <c r="AE351" s="228">
        <v>15091</v>
      </c>
      <c r="AF351" s="163">
        <v>1.0529999999999999</v>
      </c>
      <c r="AG351" s="163">
        <v>1.0489999999999999</v>
      </c>
      <c r="AH351" s="163">
        <v>1.0469999999999999</v>
      </c>
      <c r="AI351" s="164">
        <v>15091</v>
      </c>
      <c r="AJ351" s="164">
        <f t="shared" si="39"/>
        <v>0</v>
      </c>
      <c r="AK351" s="229">
        <v>15091</v>
      </c>
      <c r="AL351" s="229">
        <f ca="1">SUMIF('SM &amp; Vacancies'!A:N,D351,'SM &amp; Vacancies'!N:N)*105.3/100</f>
        <v>15163.2</v>
      </c>
      <c r="AM351" s="229">
        <f t="shared" ref="AM351:AN351" ca="1" si="45">AL351*AG351</f>
        <v>15906.1968</v>
      </c>
      <c r="AN351" s="229">
        <f t="shared" ca="1" si="45"/>
        <v>16653.7880496</v>
      </c>
      <c r="AO351" s="166"/>
      <c r="AP351" s="413">
        <f t="shared" ca="1" si="40"/>
        <v>-72.200000000000728</v>
      </c>
      <c r="AR351" s="231"/>
      <c r="AS351" s="231"/>
      <c r="AU351" s="414">
        <v>15091</v>
      </c>
      <c r="AV351" s="415">
        <v>15091</v>
      </c>
      <c r="AW351" s="414">
        <f t="shared" si="38"/>
        <v>0</v>
      </c>
    </row>
    <row r="352" spans="1:49" s="172" customFormat="1" x14ac:dyDescent="0.3">
      <c r="A352" s="166" t="s">
        <v>31</v>
      </c>
      <c r="B352" s="167" t="s">
        <v>939</v>
      </c>
      <c r="C352" s="167" t="s">
        <v>940</v>
      </c>
      <c r="D352" s="412" t="s">
        <v>3466</v>
      </c>
      <c r="E352" s="168" t="s">
        <v>310</v>
      </c>
      <c r="F352" s="168" t="s">
        <v>362</v>
      </c>
      <c r="G352" s="168" t="s">
        <v>309</v>
      </c>
      <c r="H352" s="168" t="s">
        <v>370</v>
      </c>
      <c r="I352" s="168" t="s">
        <v>941</v>
      </c>
      <c r="J352" s="168" t="s">
        <v>312</v>
      </c>
      <c r="K352" s="168" t="s">
        <v>1849</v>
      </c>
      <c r="L352" s="167" t="s">
        <v>304</v>
      </c>
      <c r="M352" s="167" t="s">
        <v>305</v>
      </c>
      <c r="N352" s="167">
        <v>11</v>
      </c>
      <c r="O352" s="167" t="s">
        <v>940</v>
      </c>
      <c r="P352" s="167" t="s">
        <v>940</v>
      </c>
      <c r="Q352" s="167" t="s">
        <v>939</v>
      </c>
      <c r="R352" s="166" t="s">
        <v>31</v>
      </c>
      <c r="S352" s="169">
        <v>0</v>
      </c>
      <c r="T352" s="160">
        <v>177.12</v>
      </c>
      <c r="U352" s="160">
        <v>0</v>
      </c>
      <c r="V352" s="160">
        <v>708.48</v>
      </c>
      <c r="W352" s="160">
        <v>-708.48</v>
      </c>
      <c r="X352" s="161">
        <v>0</v>
      </c>
      <c r="Y352" s="160"/>
      <c r="Z352" s="16">
        <v>0</v>
      </c>
      <c r="AA352" s="162">
        <v>708.48</v>
      </c>
      <c r="AB352" s="162">
        <v>177.12</v>
      </c>
      <c r="AC352" s="162">
        <v>2125.44</v>
      </c>
      <c r="AD352" s="160"/>
      <c r="AE352" s="228">
        <v>0</v>
      </c>
      <c r="AF352" s="163">
        <v>1.0529999999999999</v>
      </c>
      <c r="AG352" s="163">
        <v>1.0489999999999999</v>
      </c>
      <c r="AH352" s="163">
        <v>1.0469999999999999</v>
      </c>
      <c r="AI352" s="164">
        <v>0</v>
      </c>
      <c r="AJ352" s="164">
        <f t="shared" si="39"/>
        <v>0</v>
      </c>
      <c r="AK352" s="229">
        <v>0</v>
      </c>
      <c r="AL352" s="229">
        <f ca="1">SUMIF('SM &amp; Vacancies'!A:T,D352,'SM &amp; Vacancies'!T:T)*105.3/100</f>
        <v>2238.0883199999998</v>
      </c>
      <c r="AM352" s="229">
        <f t="shared" ref="AM352:AN352" ca="1" si="46">AL352*AG352</f>
        <v>2347.7546476799998</v>
      </c>
      <c r="AN352" s="229">
        <f t="shared" ca="1" si="46"/>
        <v>2458.0991161209595</v>
      </c>
      <c r="AO352" s="166"/>
      <c r="AP352" s="413">
        <f t="shared" ca="1" si="40"/>
        <v>-2238.0883199999998</v>
      </c>
      <c r="AR352" s="231"/>
      <c r="AS352" s="231"/>
      <c r="AU352" s="414">
        <v>0</v>
      </c>
      <c r="AV352" s="415">
        <v>0</v>
      </c>
      <c r="AW352" s="414">
        <f t="shared" si="38"/>
        <v>0</v>
      </c>
    </row>
    <row r="353" spans="1:49" s="172" customFormat="1" x14ac:dyDescent="0.3">
      <c r="A353" s="166" t="s">
        <v>50</v>
      </c>
      <c r="B353" s="167" t="s">
        <v>942</v>
      </c>
      <c r="C353" s="167" t="s">
        <v>302</v>
      </c>
      <c r="D353" s="412" t="s">
        <v>3466</v>
      </c>
      <c r="E353" s="168" t="s">
        <v>310</v>
      </c>
      <c r="F353" s="168" t="s">
        <v>362</v>
      </c>
      <c r="G353" s="168" t="s">
        <v>309</v>
      </c>
      <c r="H353" s="168" t="s">
        <v>373</v>
      </c>
      <c r="I353" s="168" t="s">
        <v>374</v>
      </c>
      <c r="J353" s="168" t="s">
        <v>312</v>
      </c>
      <c r="K353" s="168" t="s">
        <v>1849</v>
      </c>
      <c r="L353" s="167" t="s">
        <v>304</v>
      </c>
      <c r="M353" s="167" t="s">
        <v>305</v>
      </c>
      <c r="N353" s="167">
        <v>11</v>
      </c>
      <c r="O353" s="167" t="s">
        <v>302</v>
      </c>
      <c r="P353" s="167" t="s">
        <v>302</v>
      </c>
      <c r="Q353" s="167" t="s">
        <v>942</v>
      </c>
      <c r="R353" s="166" t="s">
        <v>50</v>
      </c>
      <c r="S353" s="169">
        <v>861129</v>
      </c>
      <c r="T353" s="160">
        <v>34992.730000000003</v>
      </c>
      <c r="U353" s="160">
        <v>0</v>
      </c>
      <c r="V353" s="160">
        <v>139970.92000000001</v>
      </c>
      <c r="W353" s="160">
        <v>721158.08</v>
      </c>
      <c r="X353" s="161">
        <v>0</v>
      </c>
      <c r="Y353" s="160"/>
      <c r="Z353" s="16">
        <v>16.25</v>
      </c>
      <c r="AA353" s="162">
        <v>139970.92000000001</v>
      </c>
      <c r="AB353" s="162">
        <v>34992.730000000003</v>
      </c>
      <c r="AC353" s="162">
        <v>419912.76</v>
      </c>
      <c r="AD353" s="160"/>
      <c r="AE353" s="145">
        <v>861129</v>
      </c>
      <c r="AF353" s="163">
        <v>1.0529999999999999</v>
      </c>
      <c r="AG353" s="163">
        <v>1.0489999999999999</v>
      </c>
      <c r="AH353" s="163">
        <v>1.0469999999999999</v>
      </c>
      <c r="AI353" s="164">
        <v>861129</v>
      </c>
      <c r="AJ353" s="164">
        <f t="shared" si="39"/>
        <v>0</v>
      </c>
      <c r="AK353" s="229">
        <v>861129</v>
      </c>
      <c r="AL353" s="229">
        <f ca="1">SUMIF('MS &amp; Vacancies combined'!A:J,D353,'MS &amp; Vacancies combined'!J:J)*105.3/100</f>
        <v>845870.72968586395</v>
      </c>
      <c r="AM353" s="229">
        <f t="shared" ref="AM353:AN353" ca="1" si="47">AL353*AG353</f>
        <v>887318.39544047124</v>
      </c>
      <c r="AN353" s="229">
        <f t="shared" ca="1" si="47"/>
        <v>929022.36002617329</v>
      </c>
      <c r="AO353" s="166"/>
      <c r="AP353" s="413">
        <f t="shared" ca="1" si="40"/>
        <v>15258.270314136054</v>
      </c>
      <c r="AR353" s="231"/>
      <c r="AS353" s="231"/>
      <c r="AU353" s="414">
        <v>861129</v>
      </c>
      <c r="AV353" s="415">
        <v>861129</v>
      </c>
      <c r="AW353" s="414">
        <f t="shared" si="38"/>
        <v>0</v>
      </c>
    </row>
    <row r="354" spans="1:49" s="172" customFormat="1" x14ac:dyDescent="0.3">
      <c r="A354" s="166" t="s">
        <v>52</v>
      </c>
      <c r="B354" s="167" t="s">
        <v>943</v>
      </c>
      <c r="C354" s="167" t="s">
        <v>376</v>
      </c>
      <c r="D354" s="412" t="s">
        <v>3466</v>
      </c>
      <c r="E354" s="168" t="s">
        <v>310</v>
      </c>
      <c r="F354" s="168" t="s">
        <v>362</v>
      </c>
      <c r="G354" s="168" t="s">
        <v>309</v>
      </c>
      <c r="H354" s="168" t="s">
        <v>373</v>
      </c>
      <c r="I354" s="168" t="s">
        <v>377</v>
      </c>
      <c r="J354" s="168" t="s">
        <v>312</v>
      </c>
      <c r="K354" s="168" t="s">
        <v>1849</v>
      </c>
      <c r="L354" s="167" t="s">
        <v>304</v>
      </c>
      <c r="M354" s="167" t="s">
        <v>305</v>
      </c>
      <c r="N354" s="167">
        <v>11</v>
      </c>
      <c r="O354" s="167" t="s">
        <v>376</v>
      </c>
      <c r="P354" s="167" t="s">
        <v>376</v>
      </c>
      <c r="Q354" s="167" t="s">
        <v>943</v>
      </c>
      <c r="R354" s="166" t="s">
        <v>52</v>
      </c>
      <c r="S354" s="169">
        <v>0</v>
      </c>
      <c r="T354" s="160">
        <v>0</v>
      </c>
      <c r="U354" s="160">
        <v>0</v>
      </c>
      <c r="V354" s="160">
        <v>0</v>
      </c>
      <c r="W354" s="160">
        <v>0</v>
      </c>
      <c r="X354" s="161">
        <v>0</v>
      </c>
      <c r="Y354" s="160"/>
      <c r="Z354" s="16">
        <v>0</v>
      </c>
      <c r="AA354" s="162">
        <v>0</v>
      </c>
      <c r="AB354" s="162">
        <v>0</v>
      </c>
      <c r="AC354" s="162">
        <v>0</v>
      </c>
      <c r="AD354" s="160"/>
      <c r="AE354" s="145">
        <v>0</v>
      </c>
      <c r="AF354" s="163">
        <v>1.0529999999999999</v>
      </c>
      <c r="AG354" s="163">
        <v>1.0489999999999999</v>
      </c>
      <c r="AH354" s="163">
        <v>1.0469999999999999</v>
      </c>
      <c r="AI354" s="164">
        <v>0</v>
      </c>
      <c r="AJ354" s="164">
        <f t="shared" si="39"/>
        <v>0</v>
      </c>
      <c r="AK354" s="229">
        <v>0</v>
      </c>
      <c r="AL354" s="229">
        <f ca="1">SUMIF('MS &amp; Vacancies combined'!A:M,D354,'MS &amp; Vacancies combined'!M:M)*105.3/100</f>
        <v>0</v>
      </c>
      <c r="AM354" s="229">
        <f t="shared" ref="AM354:AN354" ca="1" si="48">AL354*AG354</f>
        <v>0</v>
      </c>
      <c r="AN354" s="229">
        <f t="shared" ca="1" si="48"/>
        <v>0</v>
      </c>
      <c r="AO354" s="166"/>
      <c r="AP354" s="413">
        <f t="shared" ca="1" si="40"/>
        <v>0</v>
      </c>
      <c r="AR354" s="231"/>
      <c r="AS354" s="231"/>
      <c r="AU354" s="414">
        <v>0</v>
      </c>
      <c r="AV354" s="415">
        <v>0</v>
      </c>
      <c r="AW354" s="414">
        <f t="shared" si="38"/>
        <v>0</v>
      </c>
    </row>
    <row r="355" spans="1:49" x14ac:dyDescent="0.3">
      <c r="A355" s="16" t="s">
        <v>53</v>
      </c>
      <c r="B355" s="39" t="s">
        <v>945</v>
      </c>
      <c r="C355" s="39" t="s">
        <v>946</v>
      </c>
      <c r="D355" s="340" t="s">
        <v>3466</v>
      </c>
      <c r="E355" s="159" t="s">
        <v>310</v>
      </c>
      <c r="F355" s="159" t="s">
        <v>362</v>
      </c>
      <c r="G355" s="159" t="s">
        <v>309</v>
      </c>
      <c r="H355" s="159" t="s">
        <v>373</v>
      </c>
      <c r="I355" s="159" t="s">
        <v>451</v>
      </c>
      <c r="J355" s="159" t="s">
        <v>312</v>
      </c>
      <c r="K355" s="159" t="s">
        <v>1849</v>
      </c>
      <c r="L355" s="39" t="s">
        <v>304</v>
      </c>
      <c r="M355" s="39" t="s">
        <v>305</v>
      </c>
      <c r="N355" s="39">
        <v>11</v>
      </c>
      <c r="O355" s="39" t="s">
        <v>946</v>
      </c>
      <c r="P355" s="39" t="s">
        <v>946</v>
      </c>
      <c r="Q355" s="39" t="s">
        <v>945</v>
      </c>
      <c r="R355" s="16" t="s">
        <v>53</v>
      </c>
      <c r="S355" s="169">
        <v>0</v>
      </c>
      <c r="T355" s="160">
        <v>0</v>
      </c>
      <c r="U355" s="160">
        <v>0</v>
      </c>
      <c r="V355" s="160">
        <v>0</v>
      </c>
      <c r="W355" s="160">
        <v>0</v>
      </c>
      <c r="X355" s="161">
        <v>0</v>
      </c>
      <c r="Y355" s="160"/>
      <c r="Z355" s="16">
        <v>0</v>
      </c>
      <c r="AA355" s="162">
        <v>0</v>
      </c>
      <c r="AB355" s="162">
        <v>0</v>
      </c>
      <c r="AC355" s="162">
        <v>0</v>
      </c>
      <c r="AD355" s="160"/>
      <c r="AE355" s="145">
        <v>0</v>
      </c>
      <c r="AF355" s="163">
        <v>1.0469999999999999</v>
      </c>
      <c r="AG355" s="164">
        <v>1.046</v>
      </c>
      <c r="AH355" s="164">
        <v>1.046</v>
      </c>
      <c r="AI355" s="164">
        <v>0</v>
      </c>
      <c r="AJ355" s="164">
        <f t="shared" si="39"/>
        <v>0</v>
      </c>
      <c r="AK355" s="165">
        <v>0</v>
      </c>
      <c r="AL355" s="165">
        <v>0</v>
      </c>
      <c r="AM355" s="165">
        <f t="shared" ref="AM355:AM413" si="49">AL355*AG355</f>
        <v>0</v>
      </c>
      <c r="AN355" s="165">
        <f t="shared" ref="AN355:AN413" si="50">AM355*AH355</f>
        <v>0</v>
      </c>
      <c r="AO355" s="16"/>
      <c r="AP355" s="231">
        <f t="shared" si="40"/>
        <v>0</v>
      </c>
      <c r="AR355" s="231"/>
      <c r="AS355" s="231"/>
      <c r="AU355" s="230">
        <v>0</v>
      </c>
      <c r="AV355" s="233">
        <v>0</v>
      </c>
      <c r="AW355" s="230">
        <f t="shared" si="38"/>
        <v>0</v>
      </c>
    </row>
    <row r="356" spans="1:49" s="172" customFormat="1" x14ac:dyDescent="0.3">
      <c r="A356" s="166" t="s">
        <v>54</v>
      </c>
      <c r="B356" s="167" t="s">
        <v>944</v>
      </c>
      <c r="C356" s="167" t="s">
        <v>379</v>
      </c>
      <c r="D356" s="412" t="s">
        <v>3466</v>
      </c>
      <c r="E356" s="168" t="s">
        <v>310</v>
      </c>
      <c r="F356" s="168" t="s">
        <v>362</v>
      </c>
      <c r="G356" s="168" t="s">
        <v>309</v>
      </c>
      <c r="H356" s="168" t="s">
        <v>373</v>
      </c>
      <c r="I356" s="168" t="s">
        <v>380</v>
      </c>
      <c r="J356" s="168" t="s">
        <v>312</v>
      </c>
      <c r="K356" s="168" t="s">
        <v>1849</v>
      </c>
      <c r="L356" s="167" t="s">
        <v>304</v>
      </c>
      <c r="M356" s="167" t="s">
        <v>305</v>
      </c>
      <c r="N356" s="167">
        <v>11</v>
      </c>
      <c r="O356" s="167" t="s">
        <v>379</v>
      </c>
      <c r="P356" s="167" t="s">
        <v>379</v>
      </c>
      <c r="Q356" s="167" t="s">
        <v>944</v>
      </c>
      <c r="R356" s="166" t="s">
        <v>54</v>
      </c>
      <c r="S356" s="169">
        <v>24259</v>
      </c>
      <c r="T356" s="160">
        <v>0</v>
      </c>
      <c r="U356" s="160">
        <v>0</v>
      </c>
      <c r="V356" s="160">
        <v>0</v>
      </c>
      <c r="W356" s="160">
        <v>24259</v>
      </c>
      <c r="X356" s="161">
        <v>0</v>
      </c>
      <c r="Y356" s="160"/>
      <c r="Z356" s="16">
        <v>0</v>
      </c>
      <c r="AA356" s="162">
        <v>0</v>
      </c>
      <c r="AB356" s="162">
        <v>0</v>
      </c>
      <c r="AC356" s="162">
        <v>0</v>
      </c>
      <c r="AD356" s="160"/>
      <c r="AE356" s="145">
        <v>24259</v>
      </c>
      <c r="AF356" s="163">
        <v>1.0529999999999999</v>
      </c>
      <c r="AG356" s="163">
        <v>1.0489999999999999</v>
      </c>
      <c r="AH356" s="163">
        <v>1.0469999999999999</v>
      </c>
      <c r="AI356" s="164">
        <v>24259</v>
      </c>
      <c r="AJ356" s="164">
        <f t="shared" si="39"/>
        <v>0</v>
      </c>
      <c r="AK356" s="229">
        <v>24259</v>
      </c>
      <c r="AL356" s="229">
        <f ca="1">SUMIF('MS &amp; Vacancies combined'!A:L,D356,'MS &amp; Vacancies combined'!L:L)*105.3/100</f>
        <v>23576.166393693376</v>
      </c>
      <c r="AM356" s="229">
        <f t="shared" ca="1" si="49"/>
        <v>24731.39854698435</v>
      </c>
      <c r="AN356" s="229">
        <f t="shared" ca="1" si="50"/>
        <v>25893.774278692614</v>
      </c>
      <c r="AO356" s="166"/>
      <c r="AP356" s="413">
        <f t="shared" ca="1" si="40"/>
        <v>682.83360630662355</v>
      </c>
      <c r="AR356" s="231"/>
      <c r="AS356" s="231"/>
      <c r="AU356" s="414">
        <v>24259</v>
      </c>
      <c r="AV356" s="415">
        <v>24259</v>
      </c>
      <c r="AW356" s="414">
        <f t="shared" si="38"/>
        <v>0</v>
      </c>
    </row>
    <row r="357" spans="1:49" s="172" customFormat="1" x14ac:dyDescent="0.3">
      <c r="A357" s="166" t="s">
        <v>56</v>
      </c>
      <c r="B357" s="167" t="s">
        <v>947</v>
      </c>
      <c r="C357" s="167" t="s">
        <v>385</v>
      </c>
      <c r="D357" s="412" t="s">
        <v>3466</v>
      </c>
      <c r="E357" s="168" t="s">
        <v>310</v>
      </c>
      <c r="F357" s="168" t="s">
        <v>362</v>
      </c>
      <c r="G357" s="168" t="s">
        <v>309</v>
      </c>
      <c r="H357" s="168" t="s">
        <v>373</v>
      </c>
      <c r="I357" s="168" t="s">
        <v>386</v>
      </c>
      <c r="J357" s="168" t="s">
        <v>387</v>
      </c>
      <c r="K357" s="168" t="s">
        <v>1849</v>
      </c>
      <c r="L357" s="167" t="s">
        <v>304</v>
      </c>
      <c r="M357" s="167" t="s">
        <v>305</v>
      </c>
      <c r="N357" s="167">
        <v>11</v>
      </c>
      <c r="O357" s="167" t="s">
        <v>385</v>
      </c>
      <c r="P357" s="167" t="s">
        <v>385</v>
      </c>
      <c r="Q357" s="167" t="s">
        <v>947</v>
      </c>
      <c r="R357" s="166" t="s">
        <v>56</v>
      </c>
      <c r="S357" s="169">
        <v>0</v>
      </c>
      <c r="T357" s="160">
        <v>0</v>
      </c>
      <c r="U357" s="160">
        <v>0</v>
      </c>
      <c r="V357" s="160">
        <v>0</v>
      </c>
      <c r="W357" s="160">
        <v>0</v>
      </c>
      <c r="X357" s="161">
        <v>0</v>
      </c>
      <c r="Y357" s="160"/>
      <c r="Z357" s="16">
        <v>0</v>
      </c>
      <c r="AA357" s="162">
        <v>0</v>
      </c>
      <c r="AB357" s="162">
        <v>0</v>
      </c>
      <c r="AC357" s="162">
        <v>0</v>
      </c>
      <c r="AD357" s="160"/>
      <c r="AE357" s="145">
        <v>0</v>
      </c>
      <c r="AF357" s="163">
        <v>1.0529999999999999</v>
      </c>
      <c r="AG357" s="163">
        <v>1.0489999999999999</v>
      </c>
      <c r="AH357" s="163">
        <v>1.0469999999999999</v>
      </c>
      <c r="AI357" s="164">
        <v>0</v>
      </c>
      <c r="AJ357" s="164">
        <f t="shared" si="39"/>
        <v>0</v>
      </c>
      <c r="AK357" s="229">
        <v>0</v>
      </c>
      <c r="AL357" s="229">
        <f ca="1">SUMIF('MS &amp; Vacancies combined'!A:O,D357,'MS &amp; Vacancies combined'!O:O)*105.3/100</f>
        <v>0</v>
      </c>
      <c r="AM357" s="229">
        <f t="shared" ca="1" si="49"/>
        <v>0</v>
      </c>
      <c r="AN357" s="229">
        <f t="shared" ca="1" si="50"/>
        <v>0</v>
      </c>
      <c r="AO357" s="166"/>
      <c r="AP357" s="413">
        <f t="shared" ca="1" si="40"/>
        <v>0</v>
      </c>
      <c r="AR357" s="231"/>
      <c r="AS357" s="231"/>
      <c r="AU357" s="414">
        <v>0</v>
      </c>
      <c r="AV357" s="415">
        <v>0</v>
      </c>
      <c r="AW357" s="414">
        <f t="shared" si="38"/>
        <v>0</v>
      </c>
    </row>
    <row r="358" spans="1:49" x14ac:dyDescent="0.3">
      <c r="A358" s="16" t="s">
        <v>57</v>
      </c>
      <c r="B358" s="39" t="s">
        <v>948</v>
      </c>
      <c r="C358" s="39" t="s">
        <v>389</v>
      </c>
      <c r="D358" s="340" t="s">
        <v>3466</v>
      </c>
      <c r="E358" s="159" t="s">
        <v>310</v>
      </c>
      <c r="F358" s="159" t="s">
        <v>362</v>
      </c>
      <c r="G358" s="159" t="s">
        <v>309</v>
      </c>
      <c r="H358" s="159" t="s">
        <v>373</v>
      </c>
      <c r="I358" s="159" t="s">
        <v>390</v>
      </c>
      <c r="J358" s="159" t="s">
        <v>312</v>
      </c>
      <c r="K358" s="159" t="s">
        <v>1849</v>
      </c>
      <c r="L358" s="39" t="s">
        <v>304</v>
      </c>
      <c r="M358" s="39" t="s">
        <v>305</v>
      </c>
      <c r="N358" s="39">
        <v>11</v>
      </c>
      <c r="O358" s="39" t="s">
        <v>389</v>
      </c>
      <c r="P358" s="39" t="s">
        <v>389</v>
      </c>
      <c r="Q358" s="39" t="s">
        <v>948</v>
      </c>
      <c r="R358" s="16" t="s">
        <v>57</v>
      </c>
      <c r="S358" s="169">
        <v>0</v>
      </c>
      <c r="T358" s="160">
        <v>0</v>
      </c>
      <c r="U358" s="160">
        <v>0</v>
      </c>
      <c r="V358" s="160">
        <v>0</v>
      </c>
      <c r="W358" s="160">
        <v>0</v>
      </c>
      <c r="X358" s="161">
        <v>0</v>
      </c>
      <c r="Y358" s="160"/>
      <c r="Z358" s="16">
        <v>0</v>
      </c>
      <c r="AA358" s="162">
        <v>0</v>
      </c>
      <c r="AB358" s="162">
        <v>0</v>
      </c>
      <c r="AC358" s="162">
        <v>0</v>
      </c>
      <c r="AD358" s="160"/>
      <c r="AE358" s="145">
        <v>0</v>
      </c>
      <c r="AF358" s="421">
        <v>1.0529999999999999</v>
      </c>
      <c r="AG358" s="421">
        <v>1.0489999999999999</v>
      </c>
      <c r="AH358" s="421">
        <v>1.0469999999999999</v>
      </c>
      <c r="AI358" s="164">
        <v>0</v>
      </c>
      <c r="AJ358" s="164">
        <f t="shared" si="39"/>
        <v>0</v>
      </c>
      <c r="AK358" s="165">
        <v>0</v>
      </c>
      <c r="AL358" s="165">
        <f>AK358*80%</f>
        <v>0</v>
      </c>
      <c r="AM358" s="165">
        <f t="shared" si="49"/>
        <v>0</v>
      </c>
      <c r="AN358" s="165">
        <f t="shared" si="50"/>
        <v>0</v>
      </c>
      <c r="AO358" s="16"/>
      <c r="AP358" s="231">
        <f t="shared" si="40"/>
        <v>0</v>
      </c>
      <c r="AR358" s="231"/>
      <c r="AS358" s="231"/>
      <c r="AU358" s="230">
        <v>0</v>
      </c>
      <c r="AV358" s="233">
        <v>0</v>
      </c>
      <c r="AW358" s="230">
        <f t="shared" si="38"/>
        <v>0</v>
      </c>
    </row>
    <row r="359" spans="1:49" s="172" customFormat="1" x14ac:dyDescent="0.3">
      <c r="A359" s="166" t="s">
        <v>62</v>
      </c>
      <c r="B359" s="167" t="s">
        <v>949</v>
      </c>
      <c r="C359" s="167" t="s">
        <v>395</v>
      </c>
      <c r="D359" s="412" t="s">
        <v>3466</v>
      </c>
      <c r="E359" s="168" t="s">
        <v>310</v>
      </c>
      <c r="F359" s="168" t="s">
        <v>362</v>
      </c>
      <c r="G359" s="168" t="s">
        <v>309</v>
      </c>
      <c r="H359" s="168" t="s">
        <v>373</v>
      </c>
      <c r="I359" s="168" t="s">
        <v>396</v>
      </c>
      <c r="J359" s="168" t="s">
        <v>312</v>
      </c>
      <c r="K359" s="168" t="s">
        <v>1849</v>
      </c>
      <c r="L359" s="167" t="s">
        <v>304</v>
      </c>
      <c r="M359" s="167" t="s">
        <v>305</v>
      </c>
      <c r="N359" s="167">
        <v>11</v>
      </c>
      <c r="O359" s="167" t="s">
        <v>395</v>
      </c>
      <c r="P359" s="167" t="s">
        <v>395</v>
      </c>
      <c r="Q359" s="167" t="s">
        <v>949</v>
      </c>
      <c r="R359" s="166" t="s">
        <v>62</v>
      </c>
      <c r="S359" s="169">
        <v>71761</v>
      </c>
      <c r="T359" s="160">
        <v>0</v>
      </c>
      <c r="U359" s="160">
        <v>0</v>
      </c>
      <c r="V359" s="160">
        <v>0</v>
      </c>
      <c r="W359" s="160">
        <v>71761</v>
      </c>
      <c r="X359" s="161">
        <v>0</v>
      </c>
      <c r="Y359" s="160"/>
      <c r="Z359" s="16">
        <v>0</v>
      </c>
      <c r="AA359" s="162">
        <v>0</v>
      </c>
      <c r="AB359" s="162">
        <v>0</v>
      </c>
      <c r="AC359" s="162">
        <v>0</v>
      </c>
      <c r="AD359" s="160"/>
      <c r="AE359" s="145">
        <v>71761</v>
      </c>
      <c r="AF359" s="163">
        <v>1.0529999999999999</v>
      </c>
      <c r="AG359" s="163">
        <v>1.0489999999999999</v>
      </c>
      <c r="AH359" s="163">
        <v>1.0469999999999999</v>
      </c>
      <c r="AI359" s="164">
        <v>71761</v>
      </c>
      <c r="AJ359" s="164">
        <f t="shared" si="39"/>
        <v>0</v>
      </c>
      <c r="AK359" s="229">
        <v>71761</v>
      </c>
      <c r="AL359" s="229">
        <f ca="1">SUMIF('MS &amp; Vacancies combined'!A:K,D359,'MS &amp; Vacancies combined'!K:K)*105.3/100</f>
        <v>70489.227473822</v>
      </c>
      <c r="AM359" s="229">
        <f t="shared" ca="1" si="49"/>
        <v>73943.199620039275</v>
      </c>
      <c r="AN359" s="229">
        <f t="shared" ca="1" si="50"/>
        <v>77418.530002181113</v>
      </c>
      <c r="AO359" s="166"/>
      <c r="AP359" s="413">
        <f t="shared" ca="1" si="40"/>
        <v>1271.7725261779997</v>
      </c>
      <c r="AR359" s="231"/>
      <c r="AS359" s="231"/>
      <c r="AU359" s="414">
        <v>71761</v>
      </c>
      <c r="AV359" s="415">
        <v>71761</v>
      </c>
      <c r="AW359" s="414">
        <f t="shared" si="38"/>
        <v>0</v>
      </c>
    </row>
    <row r="360" spans="1:49" s="172" customFormat="1" x14ac:dyDescent="0.3">
      <c r="A360" s="166" t="s">
        <v>69</v>
      </c>
      <c r="B360" s="167" t="s">
        <v>950</v>
      </c>
      <c r="C360" s="167" t="s">
        <v>398</v>
      </c>
      <c r="D360" s="412" t="s">
        <v>3466</v>
      </c>
      <c r="E360" s="168" t="s">
        <v>310</v>
      </c>
      <c r="F360" s="168" t="s">
        <v>362</v>
      </c>
      <c r="G360" s="168" t="s">
        <v>309</v>
      </c>
      <c r="H360" s="168" t="s">
        <v>310</v>
      </c>
      <c r="I360" s="168" t="s">
        <v>374</v>
      </c>
      <c r="J360" s="168" t="s">
        <v>312</v>
      </c>
      <c r="K360" s="168" t="s">
        <v>1849</v>
      </c>
      <c r="L360" s="167" t="s">
        <v>304</v>
      </c>
      <c r="M360" s="167" t="s">
        <v>305</v>
      </c>
      <c r="N360" s="167">
        <v>11</v>
      </c>
      <c r="O360" s="167" t="s">
        <v>398</v>
      </c>
      <c r="P360" s="167" t="s">
        <v>398</v>
      </c>
      <c r="Q360" s="167" t="s">
        <v>950</v>
      </c>
      <c r="R360" s="166" t="s">
        <v>69</v>
      </c>
      <c r="S360" s="169">
        <v>259</v>
      </c>
      <c r="T360" s="160">
        <v>21.6</v>
      </c>
      <c r="U360" s="160">
        <v>0</v>
      </c>
      <c r="V360" s="160">
        <v>86.4</v>
      </c>
      <c r="W360" s="160">
        <v>172.6</v>
      </c>
      <c r="X360" s="161">
        <v>0</v>
      </c>
      <c r="Y360" s="160"/>
      <c r="Z360" s="16">
        <v>33.35</v>
      </c>
      <c r="AA360" s="162">
        <v>86.4</v>
      </c>
      <c r="AB360" s="162">
        <v>21.6</v>
      </c>
      <c r="AC360" s="162">
        <v>259.20000000000005</v>
      </c>
      <c r="AD360" s="160"/>
      <c r="AE360" s="145">
        <v>259</v>
      </c>
      <c r="AF360" s="163">
        <v>1.0529999999999999</v>
      </c>
      <c r="AG360" s="163">
        <v>1.0489999999999999</v>
      </c>
      <c r="AH360" s="163">
        <v>1.0469999999999999</v>
      </c>
      <c r="AI360" s="164">
        <v>259</v>
      </c>
      <c r="AJ360" s="164">
        <f t="shared" si="39"/>
        <v>0</v>
      </c>
      <c r="AK360" s="229">
        <v>259</v>
      </c>
      <c r="AL360" s="229">
        <f ca="1">SUMIF('MS &amp; Vacancies combined'!A:N,D360,'MS &amp; Vacancies combined'!N:N)*105.3/100</f>
        <v>251.66055235072056</v>
      </c>
      <c r="AM360" s="229">
        <f t="shared" ca="1" si="49"/>
        <v>263.99191941590584</v>
      </c>
      <c r="AN360" s="229">
        <f t="shared" ca="1" si="50"/>
        <v>276.3995396284534</v>
      </c>
      <c r="AO360" s="166"/>
      <c r="AP360" s="413">
        <f t="shared" ca="1" si="40"/>
        <v>7.3394476492794354</v>
      </c>
      <c r="AR360" s="231"/>
      <c r="AS360" s="231"/>
      <c r="AU360" s="414">
        <v>259</v>
      </c>
      <c r="AV360" s="415">
        <v>259</v>
      </c>
      <c r="AW360" s="414">
        <f t="shared" si="38"/>
        <v>0</v>
      </c>
    </row>
    <row r="361" spans="1:49" s="172" customFormat="1" x14ac:dyDescent="0.3">
      <c r="A361" s="166" t="s">
        <v>70</v>
      </c>
      <c r="B361" s="167" t="s">
        <v>951</v>
      </c>
      <c r="C361" s="167" t="s">
        <v>400</v>
      </c>
      <c r="D361" s="412" t="s">
        <v>3466</v>
      </c>
      <c r="E361" s="168" t="s">
        <v>310</v>
      </c>
      <c r="F361" s="168" t="s">
        <v>362</v>
      </c>
      <c r="G361" s="168" t="s">
        <v>309</v>
      </c>
      <c r="H361" s="168" t="s">
        <v>310</v>
      </c>
      <c r="I361" s="168" t="s">
        <v>401</v>
      </c>
      <c r="J361" s="168" t="s">
        <v>312</v>
      </c>
      <c r="K361" s="168" t="s">
        <v>1849</v>
      </c>
      <c r="L361" s="167" t="s">
        <v>304</v>
      </c>
      <c r="M361" s="167" t="s">
        <v>305</v>
      </c>
      <c r="N361" s="167">
        <v>11</v>
      </c>
      <c r="O361" s="167" t="s">
        <v>400</v>
      </c>
      <c r="P361" s="167" t="s">
        <v>400</v>
      </c>
      <c r="Q361" s="167" t="s">
        <v>951</v>
      </c>
      <c r="R361" s="166" t="s">
        <v>70</v>
      </c>
      <c r="S361" s="169">
        <v>14639</v>
      </c>
      <c r="T361" s="160">
        <v>0</v>
      </c>
      <c r="U361" s="160">
        <v>0</v>
      </c>
      <c r="V361" s="160">
        <v>0</v>
      </c>
      <c r="W361" s="160">
        <v>14639</v>
      </c>
      <c r="X361" s="161">
        <v>0</v>
      </c>
      <c r="Y361" s="160"/>
      <c r="Z361" s="16">
        <v>0</v>
      </c>
      <c r="AA361" s="162">
        <v>0</v>
      </c>
      <c r="AB361" s="162">
        <v>0</v>
      </c>
      <c r="AC361" s="162">
        <v>0</v>
      </c>
      <c r="AD361" s="160"/>
      <c r="AE361" s="145">
        <v>14639</v>
      </c>
      <c r="AF361" s="163">
        <v>1.0529999999999999</v>
      </c>
      <c r="AG361" s="163">
        <v>1.0489999999999999</v>
      </c>
      <c r="AH361" s="163">
        <v>1.0469999999999999</v>
      </c>
      <c r="AI361" s="164">
        <v>14639</v>
      </c>
      <c r="AJ361" s="164">
        <f t="shared" si="39"/>
        <v>0</v>
      </c>
      <c r="AK361" s="229">
        <v>14639</v>
      </c>
      <c r="AL361" s="229">
        <f ca="1">SUMIF('MS &amp; Vacancies combined'!A:P,D361,'MS &amp; Vacancies combined'!P:P)*105.3/100</f>
        <v>14802.737769502621</v>
      </c>
      <c r="AM361" s="229">
        <f t="shared" ca="1" si="49"/>
        <v>15528.071920208247</v>
      </c>
      <c r="AN361" s="229">
        <f t="shared" ca="1" si="50"/>
        <v>16257.891300458034</v>
      </c>
      <c r="AO361" s="166"/>
      <c r="AP361" s="413">
        <f t="shared" ca="1" si="40"/>
        <v>-163.73776950262072</v>
      </c>
      <c r="AR361" s="231"/>
      <c r="AS361" s="231"/>
      <c r="AU361" s="414">
        <v>14639</v>
      </c>
      <c r="AV361" s="415">
        <v>14639</v>
      </c>
      <c r="AW361" s="414">
        <f t="shared" si="38"/>
        <v>0</v>
      </c>
    </row>
    <row r="362" spans="1:49" s="172" customFormat="1" x14ac:dyDescent="0.3">
      <c r="A362" s="166" t="s">
        <v>71</v>
      </c>
      <c r="B362" s="167" t="s">
        <v>952</v>
      </c>
      <c r="C362" s="167" t="s">
        <v>403</v>
      </c>
      <c r="D362" s="412" t="s">
        <v>3466</v>
      </c>
      <c r="E362" s="168" t="s">
        <v>310</v>
      </c>
      <c r="F362" s="168" t="s">
        <v>362</v>
      </c>
      <c r="G362" s="168" t="s">
        <v>309</v>
      </c>
      <c r="H362" s="168" t="s">
        <v>310</v>
      </c>
      <c r="I362" s="168" t="s">
        <v>404</v>
      </c>
      <c r="J362" s="168" t="s">
        <v>312</v>
      </c>
      <c r="K362" s="168" t="s">
        <v>1849</v>
      </c>
      <c r="L362" s="167" t="s">
        <v>304</v>
      </c>
      <c r="M362" s="167" t="s">
        <v>305</v>
      </c>
      <c r="N362" s="167">
        <v>11</v>
      </c>
      <c r="O362" s="167" t="s">
        <v>403</v>
      </c>
      <c r="P362" s="167" t="s">
        <v>403</v>
      </c>
      <c r="Q362" s="167" t="s">
        <v>952</v>
      </c>
      <c r="R362" s="166" t="s">
        <v>71</v>
      </c>
      <c r="S362" s="169">
        <v>120054</v>
      </c>
      <c r="T362" s="160">
        <v>0</v>
      </c>
      <c r="U362" s="160">
        <v>0</v>
      </c>
      <c r="V362" s="160">
        <v>0</v>
      </c>
      <c r="W362" s="160">
        <v>120054</v>
      </c>
      <c r="X362" s="161">
        <v>0</v>
      </c>
      <c r="Y362" s="160"/>
      <c r="Z362" s="16">
        <v>0</v>
      </c>
      <c r="AA362" s="162">
        <v>0</v>
      </c>
      <c r="AB362" s="162">
        <v>0</v>
      </c>
      <c r="AC362" s="162">
        <v>0</v>
      </c>
      <c r="AD362" s="160"/>
      <c r="AE362" s="145">
        <v>120054</v>
      </c>
      <c r="AF362" s="163">
        <v>1.0529999999999999</v>
      </c>
      <c r="AG362" s="163">
        <v>1.0489999999999999</v>
      </c>
      <c r="AH362" s="163">
        <v>1.0469999999999999</v>
      </c>
      <c r="AI362" s="164">
        <v>120054</v>
      </c>
      <c r="AJ362" s="164">
        <f t="shared" si="39"/>
        <v>0</v>
      </c>
      <c r="AK362" s="229">
        <v>120054</v>
      </c>
      <c r="AL362" s="229">
        <f ca="1">SUMIF('MS &amp; Vacancies combined'!A:Q,D362,'MS &amp; Vacancies combined'!Q:Q)*105.3/100</f>
        <v>116672.6282981535</v>
      </c>
      <c r="AM362" s="229">
        <f t="shared" ca="1" si="49"/>
        <v>122389.58708476301</v>
      </c>
      <c r="AN362" s="229">
        <f t="shared" ca="1" si="50"/>
        <v>128141.89767774686</v>
      </c>
      <c r="AO362" s="166"/>
      <c r="AP362" s="413">
        <f t="shared" ca="1" si="40"/>
        <v>3381.3717018464959</v>
      </c>
      <c r="AR362" s="231"/>
      <c r="AS362" s="231"/>
      <c r="AU362" s="414">
        <v>120054</v>
      </c>
      <c r="AV362" s="415">
        <v>120054</v>
      </c>
      <c r="AW362" s="414">
        <f t="shared" si="38"/>
        <v>0</v>
      </c>
    </row>
    <row r="363" spans="1:49" s="172" customFormat="1" x14ac:dyDescent="0.3">
      <c r="A363" s="166" t="s">
        <v>72</v>
      </c>
      <c r="B363" s="167" t="s">
        <v>953</v>
      </c>
      <c r="C363" s="167" t="s">
        <v>406</v>
      </c>
      <c r="D363" s="412" t="s">
        <v>3466</v>
      </c>
      <c r="E363" s="168" t="s">
        <v>310</v>
      </c>
      <c r="F363" s="168" t="s">
        <v>362</v>
      </c>
      <c r="G363" s="168" t="s">
        <v>309</v>
      </c>
      <c r="H363" s="168" t="s">
        <v>310</v>
      </c>
      <c r="I363" s="168" t="s">
        <v>407</v>
      </c>
      <c r="J363" s="168" t="s">
        <v>312</v>
      </c>
      <c r="K363" s="168" t="s">
        <v>1849</v>
      </c>
      <c r="L363" s="167" t="s">
        <v>304</v>
      </c>
      <c r="M363" s="167" t="s">
        <v>305</v>
      </c>
      <c r="N363" s="167">
        <v>11</v>
      </c>
      <c r="O363" s="167" t="s">
        <v>406</v>
      </c>
      <c r="P363" s="167" t="s">
        <v>406</v>
      </c>
      <c r="Q363" s="167" t="s">
        <v>953</v>
      </c>
      <c r="R363" s="166" t="s">
        <v>72</v>
      </c>
      <c r="S363" s="169">
        <v>155606</v>
      </c>
      <c r="T363" s="160">
        <v>6019.02</v>
      </c>
      <c r="U363" s="160">
        <v>0</v>
      </c>
      <c r="V363" s="160">
        <v>24076.080000000002</v>
      </c>
      <c r="W363" s="160">
        <v>131529.92000000001</v>
      </c>
      <c r="X363" s="161">
        <v>0</v>
      </c>
      <c r="Y363" s="160"/>
      <c r="Z363" s="16">
        <v>15.47</v>
      </c>
      <c r="AA363" s="162">
        <v>24076.080000000002</v>
      </c>
      <c r="AB363" s="162">
        <v>6019.02</v>
      </c>
      <c r="AC363" s="162">
        <v>72228.240000000005</v>
      </c>
      <c r="AD363" s="160"/>
      <c r="AE363" s="145">
        <v>155606</v>
      </c>
      <c r="AF363" s="163">
        <v>1.0529999999999999</v>
      </c>
      <c r="AG363" s="163">
        <v>1.0489999999999999</v>
      </c>
      <c r="AH363" s="163">
        <v>1.0469999999999999</v>
      </c>
      <c r="AI363" s="164">
        <v>155606</v>
      </c>
      <c r="AJ363" s="164">
        <f t="shared" si="39"/>
        <v>0</v>
      </c>
      <c r="AK363" s="229">
        <v>155606</v>
      </c>
      <c r="AL363" s="229">
        <f ca="1">SUMIF('MS &amp; Vacancies combined'!A:R,D363,'MS &amp; Vacancies combined'!R:R)*105.3/100</f>
        <v>152848.8408542356</v>
      </c>
      <c r="AM363" s="229">
        <f t="shared" ca="1" si="49"/>
        <v>160338.43405609313</v>
      </c>
      <c r="AN363" s="229">
        <f t="shared" ca="1" si="50"/>
        <v>167874.34045672949</v>
      </c>
      <c r="AO363" s="166"/>
      <c r="AP363" s="413">
        <f t="shared" ca="1" si="40"/>
        <v>2757.1591457643954</v>
      </c>
      <c r="AR363" s="231"/>
      <c r="AS363" s="231"/>
      <c r="AU363" s="414">
        <v>155606</v>
      </c>
      <c r="AV363" s="415">
        <v>155606</v>
      </c>
      <c r="AW363" s="414">
        <f t="shared" si="38"/>
        <v>0</v>
      </c>
    </row>
    <row r="364" spans="1:49" s="172" customFormat="1" x14ac:dyDescent="0.3">
      <c r="A364" s="166" t="s">
        <v>73</v>
      </c>
      <c r="B364" s="167" t="s">
        <v>954</v>
      </c>
      <c r="C364" s="167" t="s">
        <v>307</v>
      </c>
      <c r="D364" s="412" t="s">
        <v>3466</v>
      </c>
      <c r="E364" s="168" t="s">
        <v>310</v>
      </c>
      <c r="F364" s="168" t="s">
        <v>362</v>
      </c>
      <c r="G364" s="168" t="s">
        <v>309</v>
      </c>
      <c r="H364" s="168" t="s">
        <v>310</v>
      </c>
      <c r="I364" s="168" t="s">
        <v>311</v>
      </c>
      <c r="J364" s="168" t="s">
        <v>312</v>
      </c>
      <c r="K364" s="168" t="s">
        <v>1849</v>
      </c>
      <c r="L364" s="167" t="s">
        <v>304</v>
      </c>
      <c r="M364" s="167" t="s">
        <v>305</v>
      </c>
      <c r="N364" s="167">
        <v>11</v>
      </c>
      <c r="O364" s="167" t="s">
        <v>307</v>
      </c>
      <c r="P364" s="167" t="s">
        <v>307</v>
      </c>
      <c r="Q364" s="167" t="s">
        <v>954</v>
      </c>
      <c r="R364" s="166" t="s">
        <v>73</v>
      </c>
      <c r="S364" s="169">
        <v>4455</v>
      </c>
      <c r="T364" s="160">
        <v>177.12</v>
      </c>
      <c r="U364" s="160">
        <v>0</v>
      </c>
      <c r="V364" s="160">
        <v>708.48</v>
      </c>
      <c r="W364" s="160">
        <v>3746.52</v>
      </c>
      <c r="X364" s="161">
        <v>0</v>
      </c>
      <c r="Y364" s="160"/>
      <c r="Z364" s="16">
        <v>15.9</v>
      </c>
      <c r="AA364" s="162">
        <v>708.48</v>
      </c>
      <c r="AB364" s="162">
        <v>177.12</v>
      </c>
      <c r="AC364" s="162">
        <v>2125.44</v>
      </c>
      <c r="AD364" s="160"/>
      <c r="AE364" s="145">
        <v>4455</v>
      </c>
      <c r="AF364" s="163">
        <v>1.0529999999999999</v>
      </c>
      <c r="AG364" s="163">
        <v>1.0489999999999999</v>
      </c>
      <c r="AH364" s="163">
        <v>1.0469999999999999</v>
      </c>
      <c r="AI364" s="164">
        <v>4455</v>
      </c>
      <c r="AJ364" s="164">
        <f t="shared" si="39"/>
        <v>0</v>
      </c>
      <c r="AK364" s="229">
        <v>4455</v>
      </c>
      <c r="AL364" s="229">
        <f ca="1">SUMIF('MS &amp; Vacancies combined'!A:S,D364,'MS &amp; Vacancies combined'!S:S)*105.3/100</f>
        <v>4127.2330585518175</v>
      </c>
      <c r="AM364" s="229">
        <f t="shared" ca="1" si="49"/>
        <v>4329.4674784208564</v>
      </c>
      <c r="AN364" s="229">
        <f t="shared" ca="1" si="50"/>
        <v>4532.9524499066365</v>
      </c>
      <c r="AO364" s="166"/>
      <c r="AP364" s="413">
        <f t="shared" ca="1" si="40"/>
        <v>327.76694144818248</v>
      </c>
      <c r="AR364" s="231"/>
      <c r="AS364" s="231"/>
      <c r="AU364" s="414">
        <v>4455</v>
      </c>
      <c r="AV364" s="415">
        <v>4455</v>
      </c>
      <c r="AW364" s="414">
        <f t="shared" si="38"/>
        <v>0</v>
      </c>
    </row>
    <row r="365" spans="1:49" hidden="1" x14ac:dyDescent="0.3">
      <c r="A365" s="16" t="s">
        <v>324</v>
      </c>
      <c r="B365" s="39" t="s">
        <v>955</v>
      </c>
      <c r="C365" s="39" t="s">
        <v>76</v>
      </c>
      <c r="D365" s="340" t="s">
        <v>3466</v>
      </c>
      <c r="E365" s="159" t="s">
        <v>310</v>
      </c>
      <c r="F365" s="159" t="s">
        <v>362</v>
      </c>
      <c r="G365" s="159" t="s">
        <v>309</v>
      </c>
      <c r="H365" s="159" t="s">
        <v>325</v>
      </c>
      <c r="I365" s="159" t="s">
        <v>326</v>
      </c>
      <c r="J365" s="159" t="s">
        <v>327</v>
      </c>
      <c r="K365" s="159" t="s">
        <v>1849</v>
      </c>
      <c r="L365" s="39" t="s">
        <v>304</v>
      </c>
      <c r="M365" s="39" t="s">
        <v>305</v>
      </c>
      <c r="N365" s="39">
        <v>11</v>
      </c>
      <c r="O365" s="39" t="s">
        <v>76</v>
      </c>
      <c r="P365" s="39" t="s">
        <v>76</v>
      </c>
      <c r="Q365" s="39" t="s">
        <v>955</v>
      </c>
      <c r="R365" s="16" t="s">
        <v>324</v>
      </c>
      <c r="S365" s="160">
        <v>0</v>
      </c>
      <c r="T365" s="160">
        <v>0</v>
      </c>
      <c r="U365" s="160">
        <v>0</v>
      </c>
      <c r="V365" s="160">
        <v>0</v>
      </c>
      <c r="W365" s="160">
        <v>0</v>
      </c>
      <c r="X365" s="161">
        <v>0</v>
      </c>
      <c r="Y365" s="160"/>
      <c r="Z365" s="16">
        <v>0</v>
      </c>
      <c r="AA365" s="162">
        <v>0</v>
      </c>
      <c r="AB365" s="162">
        <v>0</v>
      </c>
      <c r="AC365" s="162">
        <v>0</v>
      </c>
      <c r="AD365" s="160">
        <v>70000</v>
      </c>
      <c r="AE365" s="145">
        <v>70000</v>
      </c>
      <c r="AF365" s="163">
        <v>1.0469999999999999</v>
      </c>
      <c r="AG365" s="164">
        <v>1.046</v>
      </c>
      <c r="AH365" s="164">
        <v>1.046</v>
      </c>
      <c r="AI365" s="164">
        <v>70000</v>
      </c>
      <c r="AJ365" s="164">
        <f t="shared" si="39"/>
        <v>0</v>
      </c>
      <c r="AK365" s="165">
        <v>30000</v>
      </c>
      <c r="AL365" s="165">
        <f>AK365</f>
        <v>30000</v>
      </c>
      <c r="AM365" s="165">
        <f t="shared" si="49"/>
        <v>31380</v>
      </c>
      <c r="AN365" s="165">
        <f t="shared" si="50"/>
        <v>32823.480000000003</v>
      </c>
      <c r="AO365" s="16"/>
      <c r="AP365" s="231">
        <f t="shared" si="40"/>
        <v>0</v>
      </c>
      <c r="AR365" s="231"/>
      <c r="AS365" s="231"/>
      <c r="AU365" s="230">
        <v>0</v>
      </c>
      <c r="AV365" s="233">
        <v>70000</v>
      </c>
      <c r="AW365" s="230">
        <f t="shared" si="38"/>
        <v>0</v>
      </c>
    </row>
    <row r="366" spans="1:49" hidden="1" x14ac:dyDescent="0.3">
      <c r="A366" s="16" t="s">
        <v>477</v>
      </c>
      <c r="B366" s="39" t="s">
        <v>956</v>
      </c>
      <c r="C366" s="39" t="s">
        <v>78</v>
      </c>
      <c r="D366" s="340" t="s">
        <v>3466</v>
      </c>
      <c r="E366" s="159" t="s">
        <v>310</v>
      </c>
      <c r="F366" s="159" t="s">
        <v>362</v>
      </c>
      <c r="G366" s="159" t="s">
        <v>309</v>
      </c>
      <c r="H366" s="159" t="s">
        <v>330</v>
      </c>
      <c r="I366" s="159" t="s">
        <v>479</v>
      </c>
      <c r="J366" s="159" t="s">
        <v>312</v>
      </c>
      <c r="K366" s="159" t="s">
        <v>1849</v>
      </c>
      <c r="L366" s="39" t="s">
        <v>304</v>
      </c>
      <c r="M366" s="39" t="s">
        <v>305</v>
      </c>
      <c r="N366" s="39">
        <v>11</v>
      </c>
      <c r="O366" s="39" t="s">
        <v>78</v>
      </c>
      <c r="P366" s="39" t="s">
        <v>699</v>
      </c>
      <c r="Q366" s="39" t="s">
        <v>956</v>
      </c>
      <c r="R366" s="16" t="s">
        <v>477</v>
      </c>
      <c r="S366" s="160">
        <v>100000</v>
      </c>
      <c r="T366" s="160">
        <v>0</v>
      </c>
      <c r="U366" s="160">
        <v>0</v>
      </c>
      <c r="V366" s="160">
        <v>0</v>
      </c>
      <c r="W366" s="160">
        <v>100000</v>
      </c>
      <c r="X366" s="161">
        <v>0</v>
      </c>
      <c r="Y366" s="160"/>
      <c r="Z366" s="16">
        <v>0</v>
      </c>
      <c r="AA366" s="162">
        <v>0</v>
      </c>
      <c r="AB366" s="162">
        <v>0</v>
      </c>
      <c r="AC366" s="162">
        <v>0</v>
      </c>
      <c r="AD366" s="160"/>
      <c r="AE366" s="145">
        <v>100000</v>
      </c>
      <c r="AF366" s="163">
        <v>1.0469999999999999</v>
      </c>
      <c r="AG366" s="164">
        <v>1.046</v>
      </c>
      <c r="AH366" s="164">
        <v>1.046</v>
      </c>
      <c r="AI366" s="164">
        <v>100000</v>
      </c>
      <c r="AJ366" s="164">
        <f t="shared" si="39"/>
        <v>0</v>
      </c>
      <c r="AK366" s="165">
        <v>100000</v>
      </c>
      <c r="AL366" s="165">
        <f>AK366</f>
        <v>100000</v>
      </c>
      <c r="AM366" s="165">
        <f t="shared" si="49"/>
        <v>104600</v>
      </c>
      <c r="AN366" s="165">
        <f t="shared" si="50"/>
        <v>109411.6</v>
      </c>
      <c r="AO366" s="16"/>
      <c r="AP366" s="231">
        <f t="shared" si="40"/>
        <v>0</v>
      </c>
      <c r="AR366" s="231"/>
      <c r="AS366" s="231"/>
      <c r="AU366" s="230">
        <v>100000</v>
      </c>
      <c r="AV366" s="233">
        <v>100000</v>
      </c>
      <c r="AW366" s="230">
        <f t="shared" si="38"/>
        <v>0</v>
      </c>
    </row>
    <row r="367" spans="1:49" hidden="1" x14ac:dyDescent="0.3">
      <c r="A367" s="16" t="s">
        <v>337</v>
      </c>
      <c r="B367" s="39" t="s">
        <v>957</v>
      </c>
      <c r="C367" s="39" t="s">
        <v>82</v>
      </c>
      <c r="D367" s="340" t="s">
        <v>3466</v>
      </c>
      <c r="E367" s="159" t="s">
        <v>310</v>
      </c>
      <c r="F367" s="159" t="s">
        <v>362</v>
      </c>
      <c r="G367" s="159" t="s">
        <v>309</v>
      </c>
      <c r="H367" s="159" t="s">
        <v>334</v>
      </c>
      <c r="I367" s="159" t="s">
        <v>339</v>
      </c>
      <c r="J367" s="159" t="s">
        <v>312</v>
      </c>
      <c r="K367" s="159" t="s">
        <v>1849</v>
      </c>
      <c r="L367" s="39" t="s">
        <v>304</v>
      </c>
      <c r="M367" s="39" t="s">
        <v>305</v>
      </c>
      <c r="N367" s="39">
        <v>11</v>
      </c>
      <c r="O367" s="39" t="s">
        <v>82</v>
      </c>
      <c r="P367" s="39" t="s">
        <v>338</v>
      </c>
      <c r="Q367" s="39" t="s">
        <v>957</v>
      </c>
      <c r="R367" s="16" t="s">
        <v>337</v>
      </c>
      <c r="S367" s="160">
        <v>0</v>
      </c>
      <c r="T367" s="160">
        <v>0</v>
      </c>
      <c r="U367" s="160">
        <v>0</v>
      </c>
      <c r="V367" s="160">
        <v>0</v>
      </c>
      <c r="W367" s="160">
        <v>0</v>
      </c>
      <c r="X367" s="161">
        <v>0</v>
      </c>
      <c r="Y367" s="160"/>
      <c r="Z367" s="16">
        <v>0</v>
      </c>
      <c r="AA367" s="162">
        <v>0</v>
      </c>
      <c r="AB367" s="162">
        <v>0</v>
      </c>
      <c r="AC367" s="162">
        <v>0</v>
      </c>
      <c r="AD367" s="160"/>
      <c r="AE367" s="145">
        <v>0</v>
      </c>
      <c r="AF367" s="163">
        <v>1.0469999999999999</v>
      </c>
      <c r="AG367" s="164">
        <v>1.046</v>
      </c>
      <c r="AH367" s="164">
        <v>1.046</v>
      </c>
      <c r="AI367" s="164">
        <v>0</v>
      </c>
      <c r="AJ367" s="164">
        <f t="shared" si="39"/>
        <v>0</v>
      </c>
      <c r="AK367" s="165">
        <v>150000</v>
      </c>
      <c r="AL367" s="165">
        <f>AK367</f>
        <v>150000</v>
      </c>
      <c r="AM367" s="165">
        <f t="shared" si="49"/>
        <v>156900</v>
      </c>
      <c r="AN367" s="165">
        <f t="shared" si="50"/>
        <v>164117.4</v>
      </c>
      <c r="AO367" s="16"/>
      <c r="AP367" s="231">
        <f t="shared" si="40"/>
        <v>0</v>
      </c>
      <c r="AR367" s="231"/>
      <c r="AS367" s="231"/>
      <c r="AU367" s="230">
        <v>0</v>
      </c>
      <c r="AV367" s="233">
        <v>0</v>
      </c>
      <c r="AW367" s="230">
        <f t="shared" si="38"/>
        <v>0</v>
      </c>
    </row>
    <row r="368" spans="1:49" hidden="1" x14ac:dyDescent="0.3">
      <c r="A368" s="16" t="s">
        <v>341</v>
      </c>
      <c r="B368" s="39" t="s">
        <v>958</v>
      </c>
      <c r="C368" s="39" t="s">
        <v>82</v>
      </c>
      <c r="D368" s="340" t="s">
        <v>3466</v>
      </c>
      <c r="E368" s="159" t="s">
        <v>310</v>
      </c>
      <c r="F368" s="159" t="s">
        <v>362</v>
      </c>
      <c r="G368" s="159" t="s">
        <v>309</v>
      </c>
      <c r="H368" s="159" t="s">
        <v>334</v>
      </c>
      <c r="I368" s="159" t="s">
        <v>343</v>
      </c>
      <c r="J368" s="159" t="s">
        <v>312</v>
      </c>
      <c r="K368" s="159" t="s">
        <v>1849</v>
      </c>
      <c r="L368" s="39" t="s">
        <v>304</v>
      </c>
      <c r="M368" s="39" t="s">
        <v>305</v>
      </c>
      <c r="N368" s="39">
        <v>11</v>
      </c>
      <c r="O368" s="39" t="s">
        <v>82</v>
      </c>
      <c r="P368" s="39" t="s">
        <v>342</v>
      </c>
      <c r="Q368" s="39" t="s">
        <v>958</v>
      </c>
      <c r="R368" s="16" t="s">
        <v>341</v>
      </c>
      <c r="S368" s="160">
        <v>0</v>
      </c>
      <c r="T368" s="160">
        <v>0</v>
      </c>
      <c r="U368" s="160">
        <v>0</v>
      </c>
      <c r="V368" s="160">
        <v>0</v>
      </c>
      <c r="W368" s="160">
        <v>0</v>
      </c>
      <c r="X368" s="161">
        <v>0</v>
      </c>
      <c r="Y368" s="160"/>
      <c r="Z368" s="16">
        <v>0</v>
      </c>
      <c r="AA368" s="162">
        <v>0</v>
      </c>
      <c r="AB368" s="162">
        <v>0</v>
      </c>
      <c r="AC368" s="162">
        <v>0</v>
      </c>
      <c r="AD368" s="160"/>
      <c r="AE368" s="145">
        <v>0</v>
      </c>
      <c r="AF368" s="163">
        <v>1.0469999999999999</v>
      </c>
      <c r="AG368" s="164">
        <v>1.046</v>
      </c>
      <c r="AH368" s="164">
        <v>1.046</v>
      </c>
      <c r="AI368" s="164">
        <v>0</v>
      </c>
      <c r="AJ368" s="164">
        <f t="shared" si="39"/>
        <v>0</v>
      </c>
      <c r="AK368" s="165">
        <v>0</v>
      </c>
      <c r="AL368" s="165">
        <f>AK368</f>
        <v>0</v>
      </c>
      <c r="AM368" s="165">
        <f t="shared" si="49"/>
        <v>0</v>
      </c>
      <c r="AN368" s="165">
        <f t="shared" si="50"/>
        <v>0</v>
      </c>
      <c r="AO368" s="16"/>
      <c r="AP368" s="231">
        <f t="shared" si="40"/>
        <v>0</v>
      </c>
      <c r="AR368" s="231"/>
      <c r="AS368" s="231"/>
      <c r="AU368" s="230">
        <v>0</v>
      </c>
      <c r="AV368" s="233">
        <v>0</v>
      </c>
      <c r="AW368" s="230">
        <f t="shared" si="38"/>
        <v>0</v>
      </c>
    </row>
    <row r="369" spans="1:49" hidden="1" x14ac:dyDescent="0.3">
      <c r="A369" s="16" t="s">
        <v>345</v>
      </c>
      <c r="B369" s="39" t="s">
        <v>959</v>
      </c>
      <c r="C369" s="39" t="s">
        <v>82</v>
      </c>
      <c r="D369" s="340" t="s">
        <v>3466</v>
      </c>
      <c r="E369" s="159" t="s">
        <v>310</v>
      </c>
      <c r="F369" s="159" t="s">
        <v>362</v>
      </c>
      <c r="G369" s="159" t="s">
        <v>309</v>
      </c>
      <c r="H369" s="159" t="s">
        <v>334</v>
      </c>
      <c r="I369" s="159" t="s">
        <v>347</v>
      </c>
      <c r="J369" s="159" t="s">
        <v>312</v>
      </c>
      <c r="K369" s="159" t="s">
        <v>1849</v>
      </c>
      <c r="L369" s="39" t="s">
        <v>304</v>
      </c>
      <c r="M369" s="39" t="s">
        <v>305</v>
      </c>
      <c r="N369" s="39">
        <v>11</v>
      </c>
      <c r="O369" s="39" t="s">
        <v>82</v>
      </c>
      <c r="P369" s="39" t="s">
        <v>346</v>
      </c>
      <c r="Q369" s="39" t="s">
        <v>959</v>
      </c>
      <c r="R369" s="16" t="s">
        <v>345</v>
      </c>
      <c r="S369" s="160">
        <v>0</v>
      </c>
      <c r="T369" s="160">
        <v>0</v>
      </c>
      <c r="U369" s="160">
        <v>0</v>
      </c>
      <c r="V369" s="160">
        <v>0</v>
      </c>
      <c r="W369" s="160">
        <v>0</v>
      </c>
      <c r="X369" s="161">
        <v>0</v>
      </c>
      <c r="Y369" s="160"/>
      <c r="Z369" s="16">
        <v>0</v>
      </c>
      <c r="AA369" s="162">
        <v>0</v>
      </c>
      <c r="AB369" s="162">
        <v>0</v>
      </c>
      <c r="AC369" s="162">
        <v>0</v>
      </c>
      <c r="AD369" s="160"/>
      <c r="AE369" s="145">
        <v>0</v>
      </c>
      <c r="AF369" s="163">
        <v>1.0469999999999999</v>
      </c>
      <c r="AG369" s="164">
        <v>1.046</v>
      </c>
      <c r="AH369" s="164">
        <v>1.046</v>
      </c>
      <c r="AI369" s="164">
        <v>0</v>
      </c>
      <c r="AJ369" s="164">
        <f t="shared" si="39"/>
        <v>0</v>
      </c>
      <c r="AK369" s="165">
        <v>300000</v>
      </c>
      <c r="AL369" s="165">
        <v>314100</v>
      </c>
      <c r="AM369" s="165">
        <f t="shared" si="49"/>
        <v>328548.60000000003</v>
      </c>
      <c r="AN369" s="165">
        <f t="shared" si="50"/>
        <v>343661.83560000005</v>
      </c>
      <c r="AO369" s="16"/>
      <c r="AP369" s="231">
        <f t="shared" si="40"/>
        <v>-14100</v>
      </c>
      <c r="AR369" s="231"/>
      <c r="AS369" s="231"/>
      <c r="AU369" s="230">
        <v>0</v>
      </c>
      <c r="AV369" s="233">
        <v>0</v>
      </c>
      <c r="AW369" s="230">
        <f t="shared" si="38"/>
        <v>0</v>
      </c>
    </row>
    <row r="370" spans="1:49" hidden="1" x14ac:dyDescent="0.3">
      <c r="A370" s="16" t="s">
        <v>349</v>
      </c>
      <c r="B370" s="39" t="s">
        <v>960</v>
      </c>
      <c r="C370" s="39" t="s">
        <v>82</v>
      </c>
      <c r="D370" s="340" t="s">
        <v>3466</v>
      </c>
      <c r="E370" s="159" t="s">
        <v>310</v>
      </c>
      <c r="F370" s="159" t="s">
        <v>362</v>
      </c>
      <c r="G370" s="159" t="s">
        <v>309</v>
      </c>
      <c r="H370" s="159" t="s">
        <v>334</v>
      </c>
      <c r="I370" s="159" t="s">
        <v>351</v>
      </c>
      <c r="J370" s="159" t="s">
        <v>312</v>
      </c>
      <c r="K370" s="159" t="s">
        <v>1849</v>
      </c>
      <c r="L370" s="39" t="s">
        <v>304</v>
      </c>
      <c r="M370" s="39" t="s">
        <v>305</v>
      </c>
      <c r="N370" s="39">
        <v>11</v>
      </c>
      <c r="O370" s="39" t="s">
        <v>82</v>
      </c>
      <c r="P370" s="39" t="s">
        <v>350</v>
      </c>
      <c r="Q370" s="39" t="s">
        <v>960</v>
      </c>
      <c r="R370" s="16" t="s">
        <v>349</v>
      </c>
      <c r="S370" s="160">
        <v>0</v>
      </c>
      <c r="T370" s="160">
        <v>0</v>
      </c>
      <c r="U370" s="160">
        <v>0</v>
      </c>
      <c r="V370" s="160">
        <v>0</v>
      </c>
      <c r="W370" s="160">
        <v>0</v>
      </c>
      <c r="X370" s="161">
        <v>0</v>
      </c>
      <c r="Y370" s="160"/>
      <c r="Z370" s="16">
        <v>0</v>
      </c>
      <c r="AA370" s="162">
        <v>0</v>
      </c>
      <c r="AB370" s="162">
        <v>0</v>
      </c>
      <c r="AC370" s="162">
        <v>0</v>
      </c>
      <c r="AD370" s="160">
        <v>20685</v>
      </c>
      <c r="AE370" s="145">
        <v>20685</v>
      </c>
      <c r="AF370" s="163">
        <v>1.0469999999999999</v>
      </c>
      <c r="AG370" s="164">
        <v>1.046</v>
      </c>
      <c r="AH370" s="164">
        <v>1.046</v>
      </c>
      <c r="AI370" s="164">
        <v>20685</v>
      </c>
      <c r="AJ370" s="164">
        <f t="shared" si="39"/>
        <v>0</v>
      </c>
      <c r="AK370" s="165">
        <v>150000</v>
      </c>
      <c r="AL370" s="165">
        <v>157050</v>
      </c>
      <c r="AM370" s="165">
        <f t="shared" si="49"/>
        <v>164274.30000000002</v>
      </c>
      <c r="AN370" s="165">
        <f t="shared" si="50"/>
        <v>171830.91780000002</v>
      </c>
      <c r="AO370" s="16"/>
      <c r="AP370" s="231">
        <f t="shared" si="40"/>
        <v>-7050</v>
      </c>
      <c r="AR370" s="231"/>
      <c r="AS370" s="231"/>
      <c r="AU370" s="230">
        <v>0</v>
      </c>
      <c r="AV370" s="233">
        <v>20685</v>
      </c>
      <c r="AW370" s="230">
        <f t="shared" si="38"/>
        <v>0</v>
      </c>
    </row>
    <row r="371" spans="1:49" hidden="1" x14ac:dyDescent="0.3">
      <c r="A371" s="16" t="s">
        <v>353</v>
      </c>
      <c r="B371" s="39" t="s">
        <v>961</v>
      </c>
      <c r="C371" s="39" t="s">
        <v>82</v>
      </c>
      <c r="D371" s="340" t="s">
        <v>3466</v>
      </c>
      <c r="E371" s="159" t="s">
        <v>310</v>
      </c>
      <c r="F371" s="159" t="s">
        <v>362</v>
      </c>
      <c r="G371" s="159" t="s">
        <v>309</v>
      </c>
      <c r="H371" s="159" t="s">
        <v>334</v>
      </c>
      <c r="I371" s="159" t="s">
        <v>355</v>
      </c>
      <c r="J371" s="159" t="s">
        <v>312</v>
      </c>
      <c r="K371" s="159" t="s">
        <v>1849</v>
      </c>
      <c r="L371" s="39" t="s">
        <v>304</v>
      </c>
      <c r="M371" s="39" t="s">
        <v>305</v>
      </c>
      <c r="N371" s="39">
        <v>11</v>
      </c>
      <c r="O371" s="39" t="s">
        <v>82</v>
      </c>
      <c r="P371" s="39" t="s">
        <v>354</v>
      </c>
      <c r="Q371" s="39" t="s">
        <v>961</v>
      </c>
      <c r="R371" s="16" t="s">
        <v>353</v>
      </c>
      <c r="S371" s="160">
        <v>0</v>
      </c>
      <c r="T371" s="160">
        <v>0</v>
      </c>
      <c r="U371" s="160">
        <v>0</v>
      </c>
      <c r="V371" s="160">
        <v>0</v>
      </c>
      <c r="W371" s="160">
        <v>0</v>
      </c>
      <c r="X371" s="161">
        <v>0</v>
      </c>
      <c r="Y371" s="160"/>
      <c r="Z371" s="16">
        <v>0</v>
      </c>
      <c r="AA371" s="162">
        <v>0</v>
      </c>
      <c r="AB371" s="162">
        <v>0</v>
      </c>
      <c r="AC371" s="162">
        <v>0</v>
      </c>
      <c r="AD371" s="160"/>
      <c r="AE371" s="145">
        <v>0</v>
      </c>
      <c r="AF371" s="163">
        <v>1.0469999999999999</v>
      </c>
      <c r="AG371" s="164">
        <v>1.046</v>
      </c>
      <c r="AH371" s="164">
        <v>1.046</v>
      </c>
      <c r="AI371" s="164">
        <v>0</v>
      </c>
      <c r="AJ371" s="164">
        <f t="shared" si="39"/>
        <v>0</v>
      </c>
      <c r="AK371" s="165">
        <v>100000</v>
      </c>
      <c r="AL371" s="165">
        <v>104700</v>
      </c>
      <c r="AM371" s="165">
        <f t="shared" si="49"/>
        <v>109516.2</v>
      </c>
      <c r="AN371" s="165">
        <f t="shared" si="50"/>
        <v>114553.9452</v>
      </c>
      <c r="AO371" s="16" t="s">
        <v>2002</v>
      </c>
      <c r="AP371" s="231">
        <f t="shared" si="40"/>
        <v>-4700</v>
      </c>
      <c r="AR371" s="231"/>
      <c r="AS371" s="231"/>
      <c r="AU371" s="230">
        <v>0</v>
      </c>
      <c r="AV371" s="233">
        <v>0</v>
      </c>
      <c r="AW371" s="230">
        <f t="shared" si="38"/>
        <v>0</v>
      </c>
    </row>
    <row r="372" spans="1:49" hidden="1" x14ac:dyDescent="0.3">
      <c r="A372" s="16" t="s">
        <v>357</v>
      </c>
      <c r="B372" s="39" t="s">
        <v>962</v>
      </c>
      <c r="C372" s="39" t="s">
        <v>82</v>
      </c>
      <c r="D372" s="340" t="s">
        <v>3466</v>
      </c>
      <c r="E372" s="159" t="s">
        <v>310</v>
      </c>
      <c r="F372" s="159" t="s">
        <v>362</v>
      </c>
      <c r="G372" s="159" t="s">
        <v>309</v>
      </c>
      <c r="H372" s="159" t="s">
        <v>334</v>
      </c>
      <c r="I372" s="159" t="s">
        <v>359</v>
      </c>
      <c r="J372" s="159" t="s">
        <v>312</v>
      </c>
      <c r="K372" s="159" t="s">
        <v>1849</v>
      </c>
      <c r="L372" s="39" t="s">
        <v>304</v>
      </c>
      <c r="M372" s="39" t="s">
        <v>305</v>
      </c>
      <c r="N372" s="39">
        <v>11</v>
      </c>
      <c r="O372" s="39" t="s">
        <v>82</v>
      </c>
      <c r="P372" s="39" t="s">
        <v>358</v>
      </c>
      <c r="Q372" s="39" t="s">
        <v>962</v>
      </c>
      <c r="R372" s="16" t="s">
        <v>357</v>
      </c>
      <c r="S372" s="160">
        <v>0</v>
      </c>
      <c r="T372" s="160">
        <v>0</v>
      </c>
      <c r="U372" s="160">
        <v>0</v>
      </c>
      <c r="V372" s="160">
        <v>0</v>
      </c>
      <c r="W372" s="160">
        <v>0</v>
      </c>
      <c r="X372" s="161">
        <v>0</v>
      </c>
      <c r="Y372" s="160"/>
      <c r="Z372" s="16">
        <v>0</v>
      </c>
      <c r="AA372" s="162">
        <v>0</v>
      </c>
      <c r="AB372" s="162">
        <v>0</v>
      </c>
      <c r="AC372" s="162">
        <v>0</v>
      </c>
      <c r="AD372" s="160"/>
      <c r="AE372" s="145">
        <v>0</v>
      </c>
      <c r="AF372" s="163">
        <v>1.0469999999999999</v>
      </c>
      <c r="AG372" s="164">
        <v>1.046</v>
      </c>
      <c r="AH372" s="164">
        <v>1.046</v>
      </c>
      <c r="AI372" s="164">
        <v>0</v>
      </c>
      <c r="AJ372" s="164">
        <f t="shared" si="39"/>
        <v>0</v>
      </c>
      <c r="AK372" s="165">
        <v>150000</v>
      </c>
      <c r="AL372" s="165">
        <v>157050</v>
      </c>
      <c r="AM372" s="165">
        <f t="shared" si="49"/>
        <v>164274.30000000002</v>
      </c>
      <c r="AN372" s="165">
        <f t="shared" si="50"/>
        <v>171830.91780000002</v>
      </c>
      <c r="AO372" s="16" t="s">
        <v>2002</v>
      </c>
      <c r="AP372" s="231">
        <f t="shared" si="40"/>
        <v>-7050</v>
      </c>
      <c r="AR372" s="231"/>
      <c r="AS372" s="231"/>
      <c r="AU372" s="230">
        <v>0</v>
      </c>
      <c r="AV372" s="233">
        <v>0</v>
      </c>
      <c r="AW372" s="230">
        <f t="shared" si="38"/>
        <v>0</v>
      </c>
    </row>
    <row r="373" spans="1:49" hidden="1" x14ac:dyDescent="0.3">
      <c r="A373" s="16" t="s">
        <v>83</v>
      </c>
      <c r="B373" s="39" t="s">
        <v>963</v>
      </c>
      <c r="C373" s="39" t="s">
        <v>423</v>
      </c>
      <c r="D373" s="340" t="s">
        <v>3466</v>
      </c>
      <c r="E373" s="159" t="s">
        <v>310</v>
      </c>
      <c r="F373" s="159" t="s">
        <v>362</v>
      </c>
      <c r="G373" s="159" t="s">
        <v>309</v>
      </c>
      <c r="H373" s="159" t="s">
        <v>424</v>
      </c>
      <c r="I373" s="159" t="s">
        <v>425</v>
      </c>
      <c r="J373" s="159" t="s">
        <v>426</v>
      </c>
      <c r="K373" s="159" t="s">
        <v>1849</v>
      </c>
      <c r="L373" s="39" t="s">
        <v>304</v>
      </c>
      <c r="M373" s="39" t="s">
        <v>305</v>
      </c>
      <c r="N373" s="39">
        <v>11</v>
      </c>
      <c r="O373" s="39" t="s">
        <v>423</v>
      </c>
      <c r="P373" s="39" t="s">
        <v>423</v>
      </c>
      <c r="Q373" s="39" t="s">
        <v>963</v>
      </c>
      <c r="R373" s="16" t="s">
        <v>83</v>
      </c>
      <c r="S373" s="160">
        <v>28000</v>
      </c>
      <c r="T373" s="160">
        <v>0</v>
      </c>
      <c r="U373" s="160">
        <v>0</v>
      </c>
      <c r="V373" s="160">
        <v>0</v>
      </c>
      <c r="W373" s="160">
        <v>28000</v>
      </c>
      <c r="X373" s="161">
        <v>0</v>
      </c>
      <c r="Y373" s="160"/>
      <c r="Z373" s="16">
        <v>0</v>
      </c>
      <c r="AA373" s="162">
        <v>0</v>
      </c>
      <c r="AB373" s="162">
        <v>0</v>
      </c>
      <c r="AC373" s="162">
        <v>0</v>
      </c>
      <c r="AD373" s="160"/>
      <c r="AE373" s="145">
        <v>28000</v>
      </c>
      <c r="AF373" s="163">
        <v>1.0469999999999999</v>
      </c>
      <c r="AG373" s="164">
        <v>1.046</v>
      </c>
      <c r="AH373" s="164">
        <v>1.046</v>
      </c>
      <c r="AI373" s="164">
        <v>28000</v>
      </c>
      <c r="AJ373" s="164">
        <f t="shared" si="39"/>
        <v>0</v>
      </c>
      <c r="AK373" s="165">
        <v>20000</v>
      </c>
      <c r="AL373" s="165">
        <f>AK373</f>
        <v>20000</v>
      </c>
      <c r="AM373" s="165">
        <f t="shared" si="49"/>
        <v>20920</v>
      </c>
      <c r="AN373" s="165">
        <f t="shared" si="50"/>
        <v>21882.32</v>
      </c>
      <c r="AO373" s="16"/>
      <c r="AP373" s="231">
        <f t="shared" si="40"/>
        <v>0</v>
      </c>
      <c r="AR373" s="231"/>
      <c r="AS373" s="231"/>
      <c r="AU373" s="230">
        <v>28000</v>
      </c>
      <c r="AV373" s="233">
        <v>28000</v>
      </c>
      <c r="AW373" s="230">
        <f t="shared" si="38"/>
        <v>0</v>
      </c>
    </row>
    <row r="374" spans="1:49" s="172" customFormat="1" x14ac:dyDescent="0.3">
      <c r="A374" s="166" t="s">
        <v>50</v>
      </c>
      <c r="B374" s="167" t="s">
        <v>964</v>
      </c>
      <c r="C374" s="167" t="s">
        <v>302</v>
      </c>
      <c r="D374" s="412" t="s">
        <v>3467</v>
      </c>
      <c r="E374" s="168" t="s">
        <v>310</v>
      </c>
      <c r="F374" s="168" t="s">
        <v>363</v>
      </c>
      <c r="G374" s="168" t="s">
        <v>309</v>
      </c>
      <c r="H374" s="168" t="s">
        <v>373</v>
      </c>
      <c r="I374" s="168" t="s">
        <v>374</v>
      </c>
      <c r="J374" s="168" t="s">
        <v>312</v>
      </c>
      <c r="K374" s="168" t="s">
        <v>1849</v>
      </c>
      <c r="L374" s="167" t="s">
        <v>304</v>
      </c>
      <c r="M374" s="167" t="s">
        <v>305</v>
      </c>
      <c r="N374" s="167">
        <v>11</v>
      </c>
      <c r="O374" s="167" t="s">
        <v>302</v>
      </c>
      <c r="P374" s="167" t="s">
        <v>302</v>
      </c>
      <c r="Q374" s="167" t="s">
        <v>964</v>
      </c>
      <c r="R374" s="166" t="s">
        <v>50</v>
      </c>
      <c r="S374" s="169">
        <v>1453026</v>
      </c>
      <c r="T374" s="160">
        <v>170975.98</v>
      </c>
      <c r="U374" s="160">
        <v>0</v>
      </c>
      <c r="V374" s="160">
        <v>536707.30000000005</v>
      </c>
      <c r="W374" s="160">
        <v>916318.7</v>
      </c>
      <c r="X374" s="161">
        <v>0</v>
      </c>
      <c r="Y374" s="160"/>
      <c r="Z374" s="16">
        <v>36.93</v>
      </c>
      <c r="AA374" s="162">
        <v>536707.30000000005</v>
      </c>
      <c r="AB374" s="162">
        <v>134176.82500000001</v>
      </c>
      <c r="AC374" s="162">
        <v>1610121.9000000001</v>
      </c>
      <c r="AD374" s="160"/>
      <c r="AE374" s="145">
        <v>1453026</v>
      </c>
      <c r="AF374" s="163">
        <v>1.0529999999999999</v>
      </c>
      <c r="AG374" s="163">
        <v>1.0489999999999999</v>
      </c>
      <c r="AH374" s="163">
        <v>1.0469999999999999</v>
      </c>
      <c r="AI374" s="164">
        <v>1453026</v>
      </c>
      <c r="AJ374" s="164">
        <f t="shared" si="39"/>
        <v>0</v>
      </c>
      <c r="AK374" s="229">
        <v>1453026</v>
      </c>
      <c r="AL374" s="229">
        <f ca="1">SUMIF('MS &amp; Vacancies combined'!A:J,D374,'MS &amp; Vacancies combined'!J:J)*105.3/100</f>
        <v>1412106.9724749851</v>
      </c>
      <c r="AM374" s="229">
        <f t="shared" ca="1" si="49"/>
        <v>1481300.2141262593</v>
      </c>
      <c r="AN374" s="229">
        <f t="shared" ca="1" si="50"/>
        <v>1550921.3241901933</v>
      </c>
      <c r="AO374" s="166"/>
      <c r="AP374" s="413">
        <f t="shared" ca="1" si="40"/>
        <v>40919.027525014943</v>
      </c>
      <c r="AR374" s="231"/>
      <c r="AS374" s="231"/>
      <c r="AU374" s="414">
        <v>1453026</v>
      </c>
      <c r="AV374" s="415">
        <v>1453026</v>
      </c>
      <c r="AW374" s="414">
        <f t="shared" si="38"/>
        <v>0</v>
      </c>
    </row>
    <row r="375" spans="1:49" s="172" customFormat="1" x14ac:dyDescent="0.3">
      <c r="A375" s="166" t="s">
        <v>52</v>
      </c>
      <c r="B375" s="167" t="s">
        <v>965</v>
      </c>
      <c r="C375" s="167" t="s">
        <v>376</v>
      </c>
      <c r="D375" s="412" t="s">
        <v>3467</v>
      </c>
      <c r="E375" s="168" t="s">
        <v>310</v>
      </c>
      <c r="F375" s="168" t="s">
        <v>363</v>
      </c>
      <c r="G375" s="168" t="s">
        <v>309</v>
      </c>
      <c r="H375" s="168" t="s">
        <v>373</v>
      </c>
      <c r="I375" s="168" t="s">
        <v>377</v>
      </c>
      <c r="J375" s="168" t="s">
        <v>312</v>
      </c>
      <c r="K375" s="168" t="s">
        <v>1849</v>
      </c>
      <c r="L375" s="167" t="s">
        <v>304</v>
      </c>
      <c r="M375" s="167" t="s">
        <v>305</v>
      </c>
      <c r="N375" s="167">
        <v>11</v>
      </c>
      <c r="O375" s="167" t="s">
        <v>376</v>
      </c>
      <c r="P375" s="167" t="s">
        <v>376</v>
      </c>
      <c r="Q375" s="167" t="s">
        <v>965</v>
      </c>
      <c r="R375" s="166" t="s">
        <v>52</v>
      </c>
      <c r="S375" s="169">
        <v>12576</v>
      </c>
      <c r="T375" s="160">
        <v>1000</v>
      </c>
      <c r="U375" s="160">
        <v>0</v>
      </c>
      <c r="V375" s="160">
        <v>4000</v>
      </c>
      <c r="W375" s="160">
        <v>8576</v>
      </c>
      <c r="X375" s="161">
        <v>0</v>
      </c>
      <c r="Y375" s="160"/>
      <c r="Z375" s="16">
        <v>31.8</v>
      </c>
      <c r="AA375" s="162">
        <v>4000</v>
      </c>
      <c r="AB375" s="162">
        <v>1000</v>
      </c>
      <c r="AC375" s="162">
        <v>12000</v>
      </c>
      <c r="AD375" s="160"/>
      <c r="AE375" s="145">
        <v>12576</v>
      </c>
      <c r="AF375" s="163">
        <v>1.0529999999999999</v>
      </c>
      <c r="AG375" s="163">
        <v>1.0489999999999999</v>
      </c>
      <c r="AH375" s="163">
        <v>1.0469999999999999</v>
      </c>
      <c r="AI375" s="164">
        <v>12576</v>
      </c>
      <c r="AJ375" s="164">
        <f t="shared" si="39"/>
        <v>0</v>
      </c>
      <c r="AK375" s="229">
        <v>12576</v>
      </c>
      <c r="AL375" s="229">
        <f ca="1">SUMIF('MS &amp; Vacancies combined'!A:M,D375,'MS &amp; Vacancies combined'!M:M)*105.3/100</f>
        <v>11650.951497718543</v>
      </c>
      <c r="AM375" s="229">
        <f t="shared" ca="1" si="49"/>
        <v>12221.84812110675</v>
      </c>
      <c r="AN375" s="229">
        <f t="shared" ca="1" si="50"/>
        <v>12796.274982798766</v>
      </c>
      <c r="AO375" s="166"/>
      <c r="AP375" s="413">
        <f t="shared" ca="1" si="40"/>
        <v>925.04850228145733</v>
      </c>
      <c r="AR375" s="231"/>
      <c r="AS375" s="231"/>
      <c r="AU375" s="414">
        <v>12576</v>
      </c>
      <c r="AV375" s="415">
        <v>12576</v>
      </c>
      <c r="AW375" s="414">
        <f t="shared" si="38"/>
        <v>0</v>
      </c>
    </row>
    <row r="376" spans="1:49" s="172" customFormat="1" x14ac:dyDescent="0.3">
      <c r="A376" s="166" t="s">
        <v>54</v>
      </c>
      <c r="B376" s="167" t="s">
        <v>966</v>
      </c>
      <c r="C376" s="167" t="s">
        <v>379</v>
      </c>
      <c r="D376" s="412" t="s">
        <v>3467</v>
      </c>
      <c r="E376" s="168" t="s">
        <v>310</v>
      </c>
      <c r="F376" s="168" t="s">
        <v>363</v>
      </c>
      <c r="G376" s="168" t="s">
        <v>309</v>
      </c>
      <c r="H376" s="168" t="s">
        <v>373</v>
      </c>
      <c r="I376" s="168" t="s">
        <v>380</v>
      </c>
      <c r="J376" s="168" t="s">
        <v>312</v>
      </c>
      <c r="K376" s="168" t="s">
        <v>1849</v>
      </c>
      <c r="L376" s="167" t="s">
        <v>304</v>
      </c>
      <c r="M376" s="167" t="s">
        <v>305</v>
      </c>
      <c r="N376" s="167">
        <v>11</v>
      </c>
      <c r="O376" s="167" t="s">
        <v>379</v>
      </c>
      <c r="P376" s="167" t="s">
        <v>379</v>
      </c>
      <c r="Q376" s="167" t="s">
        <v>966</v>
      </c>
      <c r="R376" s="166" t="s">
        <v>54</v>
      </c>
      <c r="S376" s="169">
        <v>0</v>
      </c>
      <c r="T376" s="160">
        <v>1011.77</v>
      </c>
      <c r="U376" s="160">
        <v>0</v>
      </c>
      <c r="V376" s="160">
        <v>1011.77</v>
      </c>
      <c r="W376" s="160">
        <v>-1011.77</v>
      </c>
      <c r="X376" s="161">
        <v>0</v>
      </c>
      <c r="Y376" s="160"/>
      <c r="Z376" s="16">
        <v>0</v>
      </c>
      <c r="AA376" s="162">
        <v>1011.77</v>
      </c>
      <c r="AB376" s="162">
        <v>252.9425</v>
      </c>
      <c r="AC376" s="162">
        <v>3035.31</v>
      </c>
      <c r="AD376" s="160"/>
      <c r="AE376" s="145">
        <v>0</v>
      </c>
      <c r="AF376" s="163">
        <v>1.0529999999999999</v>
      </c>
      <c r="AG376" s="163">
        <v>1.0489999999999999</v>
      </c>
      <c r="AH376" s="163">
        <v>1.0469999999999999</v>
      </c>
      <c r="AI376" s="164">
        <v>0</v>
      </c>
      <c r="AJ376" s="164">
        <f t="shared" si="39"/>
        <v>0</v>
      </c>
      <c r="AK376" s="229">
        <v>0</v>
      </c>
      <c r="AL376" s="229">
        <f ca="1">SUMIF('MS &amp; Vacancies combined'!A:L,D376,'MS &amp; Vacancies combined'!L:L)*105.3/100</f>
        <v>0</v>
      </c>
      <c r="AM376" s="229">
        <f t="shared" ca="1" si="49"/>
        <v>0</v>
      </c>
      <c r="AN376" s="229">
        <f t="shared" ca="1" si="50"/>
        <v>0</v>
      </c>
      <c r="AO376" s="166"/>
      <c r="AP376" s="413">
        <f t="shared" ca="1" si="40"/>
        <v>0</v>
      </c>
      <c r="AR376" s="231"/>
      <c r="AS376" s="231"/>
      <c r="AU376" s="414">
        <v>0</v>
      </c>
      <c r="AV376" s="415">
        <v>0</v>
      </c>
      <c r="AW376" s="414">
        <f t="shared" si="38"/>
        <v>0</v>
      </c>
    </row>
    <row r="377" spans="1:49" s="172" customFormat="1" x14ac:dyDescent="0.3">
      <c r="A377" s="166" t="s">
        <v>56</v>
      </c>
      <c r="B377" s="167" t="s">
        <v>967</v>
      </c>
      <c r="C377" s="167" t="s">
        <v>385</v>
      </c>
      <c r="D377" s="412" t="s">
        <v>3467</v>
      </c>
      <c r="E377" s="168" t="s">
        <v>310</v>
      </c>
      <c r="F377" s="168" t="s">
        <v>363</v>
      </c>
      <c r="G377" s="168" t="s">
        <v>309</v>
      </c>
      <c r="H377" s="168" t="s">
        <v>373</v>
      </c>
      <c r="I377" s="168" t="s">
        <v>386</v>
      </c>
      <c r="J377" s="168" t="s">
        <v>387</v>
      </c>
      <c r="K377" s="168" t="s">
        <v>1849</v>
      </c>
      <c r="L377" s="167" t="s">
        <v>304</v>
      </c>
      <c r="M377" s="167" t="s">
        <v>305</v>
      </c>
      <c r="N377" s="167">
        <v>11</v>
      </c>
      <c r="O377" s="167" t="s">
        <v>385</v>
      </c>
      <c r="P377" s="167" t="s">
        <v>385</v>
      </c>
      <c r="Q377" s="167" t="s">
        <v>967</v>
      </c>
      <c r="R377" s="166" t="s">
        <v>56</v>
      </c>
      <c r="S377" s="169">
        <v>0</v>
      </c>
      <c r="T377" s="160">
        <v>36390.35</v>
      </c>
      <c r="U377" s="160">
        <v>0</v>
      </c>
      <c r="V377" s="160">
        <v>98588.25</v>
      </c>
      <c r="W377" s="160">
        <v>-98588.25</v>
      </c>
      <c r="X377" s="161">
        <v>0</v>
      </c>
      <c r="Y377" s="160"/>
      <c r="Z377" s="16">
        <v>0</v>
      </c>
      <c r="AA377" s="162">
        <v>98588.25</v>
      </c>
      <c r="AB377" s="162">
        <v>24647.0625</v>
      </c>
      <c r="AC377" s="162">
        <v>295764.75</v>
      </c>
      <c r="AD377" s="160"/>
      <c r="AE377" s="145">
        <v>0</v>
      </c>
      <c r="AF377" s="163">
        <v>1.0529999999999999</v>
      </c>
      <c r="AG377" s="163">
        <v>1.0489999999999999</v>
      </c>
      <c r="AH377" s="163">
        <v>1.0469999999999999</v>
      </c>
      <c r="AI377" s="164">
        <v>0</v>
      </c>
      <c r="AJ377" s="164">
        <f t="shared" si="39"/>
        <v>0</v>
      </c>
      <c r="AK377" s="229">
        <v>0</v>
      </c>
      <c r="AL377" s="229">
        <f ca="1">SUMIF('MS &amp; Vacancies combined'!A:O,D377,'MS &amp; Vacancies combined'!O:O)*105.3/100</f>
        <v>0</v>
      </c>
      <c r="AM377" s="229">
        <f t="shared" ca="1" si="49"/>
        <v>0</v>
      </c>
      <c r="AN377" s="229">
        <f t="shared" ca="1" si="50"/>
        <v>0</v>
      </c>
      <c r="AO377" s="166"/>
      <c r="AP377" s="413">
        <f t="shared" ca="1" si="40"/>
        <v>0</v>
      </c>
      <c r="AR377" s="231"/>
      <c r="AS377" s="231"/>
      <c r="AU377" s="414">
        <v>0</v>
      </c>
      <c r="AV377" s="415">
        <v>0</v>
      </c>
      <c r="AW377" s="414">
        <f t="shared" si="38"/>
        <v>0</v>
      </c>
    </row>
    <row r="378" spans="1:49" x14ac:dyDescent="0.3">
      <c r="A378" s="16" t="s">
        <v>61</v>
      </c>
      <c r="B378" s="39" t="s">
        <v>968</v>
      </c>
      <c r="C378" s="39" t="s">
        <v>460</v>
      </c>
      <c r="D378" s="340" t="s">
        <v>3467</v>
      </c>
      <c r="E378" s="159" t="s">
        <v>310</v>
      </c>
      <c r="F378" s="159" t="s">
        <v>363</v>
      </c>
      <c r="G378" s="159" t="s">
        <v>309</v>
      </c>
      <c r="H378" s="159" t="s">
        <v>373</v>
      </c>
      <c r="I378" s="159" t="s">
        <v>461</v>
      </c>
      <c r="J378" s="159" t="s">
        <v>312</v>
      </c>
      <c r="K378" s="159" t="s">
        <v>1849</v>
      </c>
      <c r="L378" s="39" t="s">
        <v>304</v>
      </c>
      <c r="M378" s="39" t="s">
        <v>305</v>
      </c>
      <c r="N378" s="39">
        <v>11</v>
      </c>
      <c r="O378" s="39" t="s">
        <v>460</v>
      </c>
      <c r="P378" s="39" t="s">
        <v>460</v>
      </c>
      <c r="Q378" s="39" t="s">
        <v>968</v>
      </c>
      <c r="R378" s="16" t="s">
        <v>61</v>
      </c>
      <c r="S378" s="169">
        <v>0</v>
      </c>
      <c r="T378" s="160">
        <v>0</v>
      </c>
      <c r="U378" s="160">
        <v>0</v>
      </c>
      <c r="V378" s="160">
        <v>0</v>
      </c>
      <c r="W378" s="160">
        <v>0</v>
      </c>
      <c r="X378" s="161">
        <v>0</v>
      </c>
      <c r="Y378" s="160"/>
      <c r="Z378" s="16">
        <v>0</v>
      </c>
      <c r="AA378" s="162">
        <v>0</v>
      </c>
      <c r="AB378" s="162">
        <v>0</v>
      </c>
      <c r="AC378" s="162">
        <v>0</v>
      </c>
      <c r="AD378" s="160"/>
      <c r="AE378" s="145">
        <v>0</v>
      </c>
      <c r="AF378" s="163">
        <v>1.0469999999999999</v>
      </c>
      <c r="AG378" s="164">
        <v>1.046</v>
      </c>
      <c r="AH378" s="164">
        <v>1.046</v>
      </c>
      <c r="AI378" s="164">
        <v>0</v>
      </c>
      <c r="AJ378" s="164">
        <f t="shared" si="39"/>
        <v>0</v>
      </c>
      <c r="AK378" s="165">
        <v>0</v>
      </c>
      <c r="AL378" s="165">
        <v>0</v>
      </c>
      <c r="AM378" s="165">
        <f t="shared" si="49"/>
        <v>0</v>
      </c>
      <c r="AN378" s="165">
        <f t="shared" si="50"/>
        <v>0</v>
      </c>
      <c r="AO378" s="16"/>
      <c r="AP378" s="231">
        <f t="shared" si="40"/>
        <v>0</v>
      </c>
      <c r="AR378" s="231"/>
      <c r="AS378" s="231"/>
      <c r="AU378" s="230">
        <v>0</v>
      </c>
      <c r="AV378" s="233">
        <v>0</v>
      </c>
      <c r="AW378" s="230">
        <f t="shared" si="38"/>
        <v>0</v>
      </c>
    </row>
    <row r="379" spans="1:49" s="172" customFormat="1" x14ac:dyDescent="0.3">
      <c r="A379" s="166" t="s">
        <v>62</v>
      </c>
      <c r="B379" s="167" t="s">
        <v>969</v>
      </c>
      <c r="C379" s="167" t="s">
        <v>395</v>
      </c>
      <c r="D379" s="412" t="s">
        <v>3467</v>
      </c>
      <c r="E379" s="168" t="s">
        <v>310</v>
      </c>
      <c r="F379" s="168" t="s">
        <v>363</v>
      </c>
      <c r="G379" s="168" t="s">
        <v>309</v>
      </c>
      <c r="H379" s="168" t="s">
        <v>373</v>
      </c>
      <c r="I379" s="168" t="s">
        <v>396</v>
      </c>
      <c r="J379" s="168" t="s">
        <v>312</v>
      </c>
      <c r="K379" s="168" t="s">
        <v>1849</v>
      </c>
      <c r="L379" s="167" t="s">
        <v>304</v>
      </c>
      <c r="M379" s="167" t="s">
        <v>305</v>
      </c>
      <c r="N379" s="167">
        <v>11</v>
      </c>
      <c r="O379" s="167" t="s">
        <v>395</v>
      </c>
      <c r="P379" s="167" t="s">
        <v>395</v>
      </c>
      <c r="Q379" s="167" t="s">
        <v>969</v>
      </c>
      <c r="R379" s="166" t="s">
        <v>62</v>
      </c>
      <c r="S379" s="169">
        <v>0</v>
      </c>
      <c r="T379" s="160">
        <v>0</v>
      </c>
      <c r="U379" s="160">
        <v>0</v>
      </c>
      <c r="V379" s="160">
        <v>0</v>
      </c>
      <c r="W379" s="160">
        <v>0</v>
      </c>
      <c r="X379" s="161">
        <v>0</v>
      </c>
      <c r="Y379" s="160"/>
      <c r="Z379" s="16">
        <v>0</v>
      </c>
      <c r="AA379" s="162">
        <v>0</v>
      </c>
      <c r="AB379" s="162">
        <v>0</v>
      </c>
      <c r="AC379" s="162">
        <v>0</v>
      </c>
      <c r="AD379" s="160"/>
      <c r="AE379" s="145">
        <v>0</v>
      </c>
      <c r="AF379" s="163">
        <v>1.0529999999999999</v>
      </c>
      <c r="AG379" s="163">
        <v>1.0489999999999999</v>
      </c>
      <c r="AH379" s="163">
        <v>1.0469999999999999</v>
      </c>
      <c r="AI379" s="164">
        <v>0</v>
      </c>
      <c r="AJ379" s="164">
        <f t="shared" si="39"/>
        <v>0</v>
      </c>
      <c r="AK379" s="229">
        <v>0</v>
      </c>
      <c r="AL379" s="229">
        <f ca="1">SUMIF('MS &amp; Vacancies combined'!A:K,D379,'MS &amp; Vacancies combined'!K:K)*105.3/100</f>
        <v>0</v>
      </c>
      <c r="AM379" s="229">
        <f t="shared" ca="1" si="49"/>
        <v>0</v>
      </c>
      <c r="AN379" s="229">
        <f t="shared" ca="1" si="50"/>
        <v>0</v>
      </c>
      <c r="AO379" s="166"/>
      <c r="AP379" s="413">
        <f t="shared" ca="1" si="40"/>
        <v>0</v>
      </c>
      <c r="AR379" s="231"/>
      <c r="AS379" s="231"/>
      <c r="AU379" s="414">
        <v>0</v>
      </c>
      <c r="AV379" s="415">
        <v>0</v>
      </c>
      <c r="AW379" s="414">
        <f t="shared" si="38"/>
        <v>0</v>
      </c>
    </row>
    <row r="380" spans="1:49" s="172" customFormat="1" x14ac:dyDescent="0.3">
      <c r="A380" s="166" t="s">
        <v>69</v>
      </c>
      <c r="B380" s="167" t="s">
        <v>970</v>
      </c>
      <c r="C380" s="167" t="s">
        <v>398</v>
      </c>
      <c r="D380" s="412" t="s">
        <v>3467</v>
      </c>
      <c r="E380" s="168" t="s">
        <v>310</v>
      </c>
      <c r="F380" s="168" t="s">
        <v>363</v>
      </c>
      <c r="G380" s="168" t="s">
        <v>309</v>
      </c>
      <c r="H380" s="168" t="s">
        <v>310</v>
      </c>
      <c r="I380" s="168" t="s">
        <v>374</v>
      </c>
      <c r="J380" s="168" t="s">
        <v>312</v>
      </c>
      <c r="K380" s="168" t="s">
        <v>1849</v>
      </c>
      <c r="L380" s="167" t="s">
        <v>304</v>
      </c>
      <c r="M380" s="167" t="s">
        <v>305</v>
      </c>
      <c r="N380" s="167">
        <v>11</v>
      </c>
      <c r="O380" s="167" t="s">
        <v>398</v>
      </c>
      <c r="P380" s="167" t="s">
        <v>398</v>
      </c>
      <c r="Q380" s="167" t="s">
        <v>970</v>
      </c>
      <c r="R380" s="166" t="s">
        <v>69</v>
      </c>
      <c r="S380" s="169">
        <v>0</v>
      </c>
      <c r="T380" s="160">
        <v>32.4</v>
      </c>
      <c r="U380" s="160">
        <v>0</v>
      </c>
      <c r="V380" s="160">
        <v>97.2</v>
      </c>
      <c r="W380" s="160">
        <v>-97.2</v>
      </c>
      <c r="X380" s="161">
        <v>0</v>
      </c>
      <c r="Y380" s="160"/>
      <c r="Z380" s="16">
        <v>0</v>
      </c>
      <c r="AA380" s="162">
        <v>97.2</v>
      </c>
      <c r="AB380" s="162">
        <v>24.3</v>
      </c>
      <c r="AC380" s="162">
        <v>291.60000000000002</v>
      </c>
      <c r="AD380" s="160"/>
      <c r="AE380" s="145">
        <v>0</v>
      </c>
      <c r="AF380" s="163">
        <v>1.0529999999999999</v>
      </c>
      <c r="AG380" s="163">
        <v>1.0489999999999999</v>
      </c>
      <c r="AH380" s="163">
        <v>1.0469999999999999</v>
      </c>
      <c r="AI380" s="164">
        <v>0</v>
      </c>
      <c r="AJ380" s="164">
        <f t="shared" si="39"/>
        <v>0</v>
      </c>
      <c r="AK380" s="229">
        <v>0</v>
      </c>
      <c r="AL380" s="229">
        <f ca="1">SUMIF('MS &amp; Vacancies combined'!A:N,D380,'MS &amp; Vacancies combined'!N:N)*105.3/100</f>
        <v>0</v>
      </c>
      <c r="AM380" s="229">
        <f t="shared" ca="1" si="49"/>
        <v>0</v>
      </c>
      <c r="AN380" s="229">
        <f t="shared" ca="1" si="50"/>
        <v>0</v>
      </c>
      <c r="AO380" s="166"/>
      <c r="AP380" s="413">
        <f t="shared" ca="1" si="40"/>
        <v>0</v>
      </c>
      <c r="AR380" s="231"/>
      <c r="AS380" s="231"/>
      <c r="AU380" s="414">
        <v>0</v>
      </c>
      <c r="AV380" s="415">
        <v>0</v>
      </c>
      <c r="AW380" s="414">
        <f t="shared" si="38"/>
        <v>0</v>
      </c>
    </row>
    <row r="381" spans="1:49" s="172" customFormat="1" x14ac:dyDescent="0.3">
      <c r="A381" s="166" t="s">
        <v>70</v>
      </c>
      <c r="B381" s="167" t="s">
        <v>971</v>
      </c>
      <c r="C381" s="167" t="s">
        <v>400</v>
      </c>
      <c r="D381" s="412" t="s">
        <v>3467</v>
      </c>
      <c r="E381" s="168" t="s">
        <v>310</v>
      </c>
      <c r="F381" s="168" t="s">
        <v>363</v>
      </c>
      <c r="G381" s="168" t="s">
        <v>309</v>
      </c>
      <c r="H381" s="168" t="s">
        <v>310</v>
      </c>
      <c r="I381" s="168" t="s">
        <v>401</v>
      </c>
      <c r="J381" s="168" t="s">
        <v>312</v>
      </c>
      <c r="K381" s="168" t="s">
        <v>1849</v>
      </c>
      <c r="L381" s="167" t="s">
        <v>304</v>
      </c>
      <c r="M381" s="167" t="s">
        <v>305</v>
      </c>
      <c r="N381" s="167">
        <v>11</v>
      </c>
      <c r="O381" s="167" t="s">
        <v>400</v>
      </c>
      <c r="P381" s="167" t="s">
        <v>400</v>
      </c>
      <c r="Q381" s="167" t="s">
        <v>971</v>
      </c>
      <c r="R381" s="166" t="s">
        <v>70</v>
      </c>
      <c r="S381" s="169">
        <v>0</v>
      </c>
      <c r="T381" s="160">
        <v>129.49</v>
      </c>
      <c r="U381" s="160">
        <v>0</v>
      </c>
      <c r="V381" s="160">
        <v>517.96</v>
      </c>
      <c r="W381" s="160">
        <v>-517.96</v>
      </c>
      <c r="X381" s="161">
        <v>0</v>
      </c>
      <c r="Y381" s="160"/>
      <c r="Z381" s="16">
        <v>0</v>
      </c>
      <c r="AA381" s="162">
        <v>517.96</v>
      </c>
      <c r="AB381" s="162">
        <v>129.49</v>
      </c>
      <c r="AC381" s="162">
        <v>1553.88</v>
      </c>
      <c r="AD381" s="160"/>
      <c r="AE381" s="145">
        <v>0</v>
      </c>
      <c r="AF381" s="163">
        <v>1.0529999999999999</v>
      </c>
      <c r="AG381" s="163">
        <v>1.0489999999999999</v>
      </c>
      <c r="AH381" s="163">
        <v>1.0469999999999999</v>
      </c>
      <c r="AI381" s="164">
        <v>0</v>
      </c>
      <c r="AJ381" s="164">
        <f t="shared" si="39"/>
        <v>0</v>
      </c>
      <c r="AK381" s="229">
        <v>0</v>
      </c>
      <c r="AL381" s="229">
        <f ca="1">SUMIF('MS &amp; Vacancies combined'!A:P,D381,'MS &amp; Vacancies combined'!P:P)*105.3/100</f>
        <v>0</v>
      </c>
      <c r="AM381" s="229">
        <f t="shared" ca="1" si="49"/>
        <v>0</v>
      </c>
      <c r="AN381" s="229">
        <f t="shared" ca="1" si="50"/>
        <v>0</v>
      </c>
      <c r="AO381" s="166"/>
      <c r="AP381" s="413">
        <f t="shared" ca="1" si="40"/>
        <v>0</v>
      </c>
      <c r="AR381" s="231"/>
      <c r="AS381" s="231"/>
      <c r="AU381" s="414">
        <v>0</v>
      </c>
      <c r="AV381" s="415">
        <v>0</v>
      </c>
      <c r="AW381" s="414">
        <f t="shared" si="38"/>
        <v>0</v>
      </c>
    </row>
    <row r="382" spans="1:49" s="172" customFormat="1" x14ac:dyDescent="0.3">
      <c r="A382" s="166" t="s">
        <v>71</v>
      </c>
      <c r="B382" s="167" t="s">
        <v>972</v>
      </c>
      <c r="C382" s="167" t="s">
        <v>403</v>
      </c>
      <c r="D382" s="412" t="s">
        <v>3467</v>
      </c>
      <c r="E382" s="168" t="s">
        <v>310</v>
      </c>
      <c r="F382" s="168" t="s">
        <v>363</v>
      </c>
      <c r="G382" s="168" t="s">
        <v>309</v>
      </c>
      <c r="H382" s="168" t="s">
        <v>310</v>
      </c>
      <c r="I382" s="168" t="s">
        <v>404</v>
      </c>
      <c r="J382" s="168" t="s">
        <v>312</v>
      </c>
      <c r="K382" s="168" t="s">
        <v>1849</v>
      </c>
      <c r="L382" s="167" t="s">
        <v>304</v>
      </c>
      <c r="M382" s="167" t="s">
        <v>305</v>
      </c>
      <c r="N382" s="167">
        <v>11</v>
      </c>
      <c r="O382" s="167" t="s">
        <v>403</v>
      </c>
      <c r="P382" s="167" t="s">
        <v>403</v>
      </c>
      <c r="Q382" s="167" t="s">
        <v>972</v>
      </c>
      <c r="R382" s="166" t="s">
        <v>71</v>
      </c>
      <c r="S382" s="169">
        <v>0</v>
      </c>
      <c r="T382" s="160">
        <v>8708.4</v>
      </c>
      <c r="U382" s="160">
        <v>0</v>
      </c>
      <c r="V382" s="160">
        <v>28272.6</v>
      </c>
      <c r="W382" s="160">
        <v>-28272.6</v>
      </c>
      <c r="X382" s="161">
        <v>0</v>
      </c>
      <c r="Y382" s="160"/>
      <c r="Z382" s="16">
        <v>0</v>
      </c>
      <c r="AA382" s="162">
        <v>28272.6</v>
      </c>
      <c r="AB382" s="162">
        <v>7068.15</v>
      </c>
      <c r="AC382" s="162">
        <v>84817.799999999988</v>
      </c>
      <c r="AD382" s="160"/>
      <c r="AE382" s="145">
        <v>0</v>
      </c>
      <c r="AF382" s="163">
        <v>1.0529999999999999</v>
      </c>
      <c r="AG382" s="163">
        <v>1.0489999999999999</v>
      </c>
      <c r="AH382" s="163">
        <v>1.0469999999999999</v>
      </c>
      <c r="AI382" s="164">
        <v>0</v>
      </c>
      <c r="AJ382" s="164">
        <f t="shared" si="39"/>
        <v>0</v>
      </c>
      <c r="AK382" s="229">
        <v>0</v>
      </c>
      <c r="AL382" s="229">
        <f ca="1">SUMIF('MS &amp; Vacancies combined'!A:Q,D382,'MS &amp; Vacancies combined'!Q:Q)*105.3/100</f>
        <v>0</v>
      </c>
      <c r="AM382" s="229">
        <f t="shared" ca="1" si="49"/>
        <v>0</v>
      </c>
      <c r="AN382" s="229">
        <f t="shared" ca="1" si="50"/>
        <v>0</v>
      </c>
      <c r="AO382" s="166"/>
      <c r="AP382" s="413">
        <f t="shared" ca="1" si="40"/>
        <v>0</v>
      </c>
      <c r="AR382" s="231"/>
      <c r="AS382" s="231"/>
      <c r="AU382" s="414">
        <v>0</v>
      </c>
      <c r="AV382" s="415">
        <v>0</v>
      </c>
      <c r="AW382" s="414">
        <f t="shared" si="38"/>
        <v>0</v>
      </c>
    </row>
    <row r="383" spans="1:49" s="172" customFormat="1" x14ac:dyDescent="0.3">
      <c r="A383" s="166" t="s">
        <v>72</v>
      </c>
      <c r="B383" s="167" t="s">
        <v>973</v>
      </c>
      <c r="C383" s="167" t="s">
        <v>406</v>
      </c>
      <c r="D383" s="412" t="s">
        <v>3467</v>
      </c>
      <c r="E383" s="168" t="s">
        <v>310</v>
      </c>
      <c r="F383" s="168" t="s">
        <v>363</v>
      </c>
      <c r="G383" s="168" t="s">
        <v>309</v>
      </c>
      <c r="H383" s="168" t="s">
        <v>310</v>
      </c>
      <c r="I383" s="168" t="s">
        <v>407</v>
      </c>
      <c r="J383" s="168" t="s">
        <v>312</v>
      </c>
      <c r="K383" s="168" t="s">
        <v>1849</v>
      </c>
      <c r="L383" s="167" t="s">
        <v>304</v>
      </c>
      <c r="M383" s="167" t="s">
        <v>305</v>
      </c>
      <c r="N383" s="167">
        <v>11</v>
      </c>
      <c r="O383" s="167" t="s">
        <v>406</v>
      </c>
      <c r="P383" s="167" t="s">
        <v>406</v>
      </c>
      <c r="Q383" s="167" t="s">
        <v>973</v>
      </c>
      <c r="R383" s="166" t="s">
        <v>72</v>
      </c>
      <c r="S383" s="169">
        <v>0</v>
      </c>
      <c r="T383" s="160">
        <v>12882.29</v>
      </c>
      <c r="U383" s="160">
        <v>0</v>
      </c>
      <c r="V383" s="160">
        <v>25256.27</v>
      </c>
      <c r="W383" s="160">
        <v>-25256.27</v>
      </c>
      <c r="X383" s="161">
        <v>0</v>
      </c>
      <c r="Y383" s="160"/>
      <c r="Z383" s="16">
        <v>0</v>
      </c>
      <c r="AA383" s="162">
        <v>25256.27</v>
      </c>
      <c r="AB383" s="162">
        <v>6314.0675000000001</v>
      </c>
      <c r="AC383" s="162">
        <v>75768.81</v>
      </c>
      <c r="AD383" s="160"/>
      <c r="AE383" s="145">
        <v>0</v>
      </c>
      <c r="AF383" s="163">
        <v>1.0529999999999999</v>
      </c>
      <c r="AG383" s="163">
        <v>1.0489999999999999</v>
      </c>
      <c r="AH383" s="163">
        <v>1.0469999999999999</v>
      </c>
      <c r="AI383" s="164">
        <v>0</v>
      </c>
      <c r="AJ383" s="164">
        <f t="shared" si="39"/>
        <v>0</v>
      </c>
      <c r="AK383" s="229">
        <v>0</v>
      </c>
      <c r="AL383" s="229">
        <f ca="1">SUMIF('MS &amp; Vacancies combined'!A:R,D383,'MS &amp; Vacancies combined'!R:R)*105.3/100</f>
        <v>0</v>
      </c>
      <c r="AM383" s="229">
        <f t="shared" ca="1" si="49"/>
        <v>0</v>
      </c>
      <c r="AN383" s="229">
        <f t="shared" ca="1" si="50"/>
        <v>0</v>
      </c>
      <c r="AO383" s="166"/>
      <c r="AP383" s="413">
        <f t="shared" ca="1" si="40"/>
        <v>0</v>
      </c>
      <c r="AR383" s="231"/>
      <c r="AS383" s="231"/>
      <c r="AU383" s="414">
        <v>0</v>
      </c>
      <c r="AV383" s="415">
        <v>0</v>
      </c>
      <c r="AW383" s="414">
        <f t="shared" si="38"/>
        <v>0</v>
      </c>
    </row>
    <row r="384" spans="1:49" s="172" customFormat="1" x14ac:dyDescent="0.3">
      <c r="A384" s="166" t="s">
        <v>73</v>
      </c>
      <c r="B384" s="167" t="s">
        <v>974</v>
      </c>
      <c r="C384" s="167" t="s">
        <v>307</v>
      </c>
      <c r="D384" s="412" t="s">
        <v>3467</v>
      </c>
      <c r="E384" s="168" t="s">
        <v>310</v>
      </c>
      <c r="F384" s="168" t="s">
        <v>363</v>
      </c>
      <c r="G384" s="168" t="s">
        <v>309</v>
      </c>
      <c r="H384" s="168" t="s">
        <v>310</v>
      </c>
      <c r="I384" s="168" t="s">
        <v>311</v>
      </c>
      <c r="J384" s="168" t="s">
        <v>312</v>
      </c>
      <c r="K384" s="168" t="s">
        <v>1849</v>
      </c>
      <c r="L384" s="167" t="s">
        <v>304</v>
      </c>
      <c r="M384" s="167" t="s">
        <v>305</v>
      </c>
      <c r="N384" s="167">
        <v>11</v>
      </c>
      <c r="O384" s="167" t="s">
        <v>307</v>
      </c>
      <c r="P384" s="167" t="s">
        <v>307</v>
      </c>
      <c r="Q384" s="167" t="s">
        <v>974</v>
      </c>
      <c r="R384" s="166" t="s">
        <v>73</v>
      </c>
      <c r="S384" s="169">
        <v>0</v>
      </c>
      <c r="T384" s="160">
        <v>531.36</v>
      </c>
      <c r="U384" s="160">
        <v>0</v>
      </c>
      <c r="V384" s="160">
        <v>1594.08</v>
      </c>
      <c r="W384" s="160">
        <v>-1594.08</v>
      </c>
      <c r="X384" s="161">
        <v>0</v>
      </c>
      <c r="Y384" s="160"/>
      <c r="Z384" s="16">
        <v>0</v>
      </c>
      <c r="AA384" s="162">
        <v>1594.08</v>
      </c>
      <c r="AB384" s="162">
        <v>398.52</v>
      </c>
      <c r="AC384" s="162">
        <v>4782.24</v>
      </c>
      <c r="AD384" s="160"/>
      <c r="AE384" s="145">
        <v>0</v>
      </c>
      <c r="AF384" s="163">
        <v>1.0529999999999999</v>
      </c>
      <c r="AG384" s="163">
        <v>1.0489999999999999</v>
      </c>
      <c r="AH384" s="163">
        <v>1.0469999999999999</v>
      </c>
      <c r="AI384" s="164">
        <v>0</v>
      </c>
      <c r="AJ384" s="164">
        <f t="shared" si="39"/>
        <v>0</v>
      </c>
      <c r="AK384" s="229">
        <v>0</v>
      </c>
      <c r="AL384" s="229">
        <f ca="1">SUMIF('MS &amp; Vacancies combined'!A:S,D384,'MS &amp; Vacancies combined'!S:S)*105.3/100</f>
        <v>0</v>
      </c>
      <c r="AM384" s="229">
        <f t="shared" ca="1" si="49"/>
        <v>0</v>
      </c>
      <c r="AN384" s="229">
        <f t="shared" ca="1" si="50"/>
        <v>0</v>
      </c>
      <c r="AO384" s="166"/>
      <c r="AP384" s="413">
        <f t="shared" ca="1" si="40"/>
        <v>0</v>
      </c>
      <c r="AR384" s="231"/>
      <c r="AS384" s="231"/>
      <c r="AU384" s="414">
        <v>0</v>
      </c>
      <c r="AV384" s="415">
        <v>0</v>
      </c>
      <c r="AW384" s="414">
        <f t="shared" si="38"/>
        <v>0</v>
      </c>
    </row>
    <row r="385" spans="1:49" hidden="1" x14ac:dyDescent="0.3">
      <c r="A385" s="16" t="s">
        <v>324</v>
      </c>
      <c r="B385" s="39" t="s">
        <v>975</v>
      </c>
      <c r="C385" s="39" t="s">
        <v>76</v>
      </c>
      <c r="D385" s="340" t="s">
        <v>3467</v>
      </c>
      <c r="E385" s="159" t="s">
        <v>310</v>
      </c>
      <c r="F385" s="159" t="s">
        <v>363</v>
      </c>
      <c r="G385" s="159" t="s">
        <v>309</v>
      </c>
      <c r="H385" s="159" t="s">
        <v>325</v>
      </c>
      <c r="I385" s="159" t="s">
        <v>326</v>
      </c>
      <c r="J385" s="159" t="s">
        <v>327</v>
      </c>
      <c r="K385" s="159" t="s">
        <v>1849</v>
      </c>
      <c r="L385" s="39" t="s">
        <v>304</v>
      </c>
      <c r="M385" s="39" t="s">
        <v>305</v>
      </c>
      <c r="N385" s="39">
        <v>11</v>
      </c>
      <c r="O385" s="39" t="s">
        <v>76</v>
      </c>
      <c r="P385" s="39" t="s">
        <v>76</v>
      </c>
      <c r="Q385" s="39" t="s">
        <v>975</v>
      </c>
      <c r="R385" s="16" t="s">
        <v>324</v>
      </c>
      <c r="S385" s="160">
        <v>15720</v>
      </c>
      <c r="T385" s="160">
        <v>0</v>
      </c>
      <c r="U385" s="160">
        <v>0</v>
      </c>
      <c r="V385" s="160">
        <v>0</v>
      </c>
      <c r="W385" s="160">
        <v>15720</v>
      </c>
      <c r="X385" s="161">
        <v>0</v>
      </c>
      <c r="Y385" s="160"/>
      <c r="Z385" s="16">
        <v>0</v>
      </c>
      <c r="AA385" s="162">
        <v>0</v>
      </c>
      <c r="AB385" s="162">
        <v>0</v>
      </c>
      <c r="AC385" s="162">
        <v>0</v>
      </c>
      <c r="AD385" s="160"/>
      <c r="AE385" s="145">
        <v>15720</v>
      </c>
      <c r="AF385" s="163">
        <v>1.0469999999999999</v>
      </c>
      <c r="AG385" s="164">
        <v>1.046</v>
      </c>
      <c r="AH385" s="164">
        <v>1.046</v>
      </c>
      <c r="AI385" s="164">
        <v>15720</v>
      </c>
      <c r="AJ385" s="164">
        <f t="shared" si="39"/>
        <v>0</v>
      </c>
      <c r="AK385" s="165">
        <v>16000</v>
      </c>
      <c r="AL385" s="165">
        <f>AK385</f>
        <v>16000</v>
      </c>
      <c r="AM385" s="165">
        <f t="shared" si="49"/>
        <v>16736</v>
      </c>
      <c r="AN385" s="165">
        <f t="shared" si="50"/>
        <v>17505.856</v>
      </c>
      <c r="AO385" s="16"/>
      <c r="AP385" s="231">
        <f t="shared" si="40"/>
        <v>0</v>
      </c>
      <c r="AR385" s="231"/>
      <c r="AS385" s="231"/>
      <c r="AU385" s="230">
        <v>15720</v>
      </c>
      <c r="AV385" s="233">
        <v>15720</v>
      </c>
      <c r="AW385" s="230">
        <f t="shared" si="38"/>
        <v>0</v>
      </c>
    </row>
    <row r="386" spans="1:49" hidden="1" x14ac:dyDescent="0.3">
      <c r="A386" s="16" t="s">
        <v>341</v>
      </c>
      <c r="B386" s="39" t="s">
        <v>976</v>
      </c>
      <c r="C386" s="39" t="s">
        <v>82</v>
      </c>
      <c r="D386" s="340" t="s">
        <v>3467</v>
      </c>
      <c r="E386" s="159" t="s">
        <v>310</v>
      </c>
      <c r="F386" s="159" t="s">
        <v>363</v>
      </c>
      <c r="G386" s="159" t="s">
        <v>309</v>
      </c>
      <c r="H386" s="159" t="s">
        <v>334</v>
      </c>
      <c r="I386" s="159" t="s">
        <v>343</v>
      </c>
      <c r="J386" s="159" t="s">
        <v>312</v>
      </c>
      <c r="K386" s="159" t="s">
        <v>1849</v>
      </c>
      <c r="L386" s="39" t="s">
        <v>304</v>
      </c>
      <c r="M386" s="39" t="s">
        <v>305</v>
      </c>
      <c r="N386" s="39">
        <v>11</v>
      </c>
      <c r="O386" s="39" t="s">
        <v>82</v>
      </c>
      <c r="P386" s="39" t="s">
        <v>342</v>
      </c>
      <c r="Q386" s="39" t="s">
        <v>976</v>
      </c>
      <c r="R386" s="16" t="s">
        <v>341</v>
      </c>
      <c r="S386" s="160">
        <v>0</v>
      </c>
      <c r="T386" s="160">
        <v>0</v>
      </c>
      <c r="U386" s="160">
        <v>0</v>
      </c>
      <c r="V386" s="160">
        <v>0</v>
      </c>
      <c r="W386" s="160">
        <v>0</v>
      </c>
      <c r="X386" s="161">
        <v>0</v>
      </c>
      <c r="Y386" s="160"/>
      <c r="Z386" s="16">
        <v>0</v>
      </c>
      <c r="AA386" s="162">
        <v>0</v>
      </c>
      <c r="AB386" s="162">
        <v>0</v>
      </c>
      <c r="AC386" s="162">
        <v>0</v>
      </c>
      <c r="AD386" s="160"/>
      <c r="AE386" s="145">
        <v>0</v>
      </c>
      <c r="AF386" s="163">
        <v>1.0469999999999999</v>
      </c>
      <c r="AG386" s="164">
        <v>1.046</v>
      </c>
      <c r="AH386" s="164">
        <v>1.046</v>
      </c>
      <c r="AI386" s="164">
        <v>0</v>
      </c>
      <c r="AJ386" s="164">
        <f t="shared" si="39"/>
        <v>0</v>
      </c>
      <c r="AK386" s="165">
        <v>0</v>
      </c>
      <c r="AL386" s="165">
        <v>0</v>
      </c>
      <c r="AM386" s="165">
        <f t="shared" si="49"/>
        <v>0</v>
      </c>
      <c r="AN386" s="165">
        <f t="shared" si="50"/>
        <v>0</v>
      </c>
      <c r="AO386" s="16"/>
      <c r="AP386" s="231">
        <f t="shared" si="40"/>
        <v>0</v>
      </c>
      <c r="AR386" s="231"/>
      <c r="AS386" s="231"/>
      <c r="AU386" s="230">
        <v>0</v>
      </c>
      <c r="AV386" s="233">
        <v>0</v>
      </c>
      <c r="AW386" s="230">
        <f t="shared" ref="AW386:AW449" si="51">AU386-S386</f>
        <v>0</v>
      </c>
    </row>
    <row r="387" spans="1:49" hidden="1" x14ac:dyDescent="0.3">
      <c r="A387" s="16" t="s">
        <v>345</v>
      </c>
      <c r="B387" s="39" t="s">
        <v>977</v>
      </c>
      <c r="C387" s="39" t="s">
        <v>82</v>
      </c>
      <c r="D387" s="340" t="s">
        <v>3467</v>
      </c>
      <c r="E387" s="159" t="s">
        <v>310</v>
      </c>
      <c r="F387" s="159" t="s">
        <v>363</v>
      </c>
      <c r="G387" s="159" t="s">
        <v>309</v>
      </c>
      <c r="H387" s="159" t="s">
        <v>334</v>
      </c>
      <c r="I387" s="159" t="s">
        <v>347</v>
      </c>
      <c r="J387" s="159" t="s">
        <v>312</v>
      </c>
      <c r="K387" s="159" t="s">
        <v>1849</v>
      </c>
      <c r="L387" s="39" t="s">
        <v>304</v>
      </c>
      <c r="M387" s="39" t="s">
        <v>305</v>
      </c>
      <c r="N387" s="39">
        <v>11</v>
      </c>
      <c r="O387" s="39" t="s">
        <v>82</v>
      </c>
      <c r="P387" s="39" t="s">
        <v>346</v>
      </c>
      <c r="Q387" s="39" t="s">
        <v>977</v>
      </c>
      <c r="R387" s="16" t="s">
        <v>345</v>
      </c>
      <c r="S387" s="160">
        <v>0</v>
      </c>
      <c r="T387" s="160">
        <v>0</v>
      </c>
      <c r="U387" s="160">
        <v>0</v>
      </c>
      <c r="V387" s="160">
        <v>0</v>
      </c>
      <c r="W387" s="160">
        <v>0</v>
      </c>
      <c r="X387" s="161">
        <v>0</v>
      </c>
      <c r="Y387" s="160"/>
      <c r="Z387" s="16">
        <v>0</v>
      </c>
      <c r="AA387" s="162">
        <v>0</v>
      </c>
      <c r="AB387" s="162">
        <v>0</v>
      </c>
      <c r="AC387" s="162">
        <v>0</v>
      </c>
      <c r="AD387" s="160">
        <v>30000</v>
      </c>
      <c r="AE387" s="145">
        <v>30000</v>
      </c>
      <c r="AF387" s="163">
        <v>1.0469999999999999</v>
      </c>
      <c r="AG387" s="164">
        <v>1.046</v>
      </c>
      <c r="AH387" s="164">
        <v>1.046</v>
      </c>
      <c r="AI387" s="164">
        <v>30000</v>
      </c>
      <c r="AJ387" s="164">
        <f t="shared" si="39"/>
        <v>0</v>
      </c>
      <c r="AK387" s="165">
        <v>30000</v>
      </c>
      <c r="AL387" s="165">
        <f>AK387</f>
        <v>30000</v>
      </c>
      <c r="AM387" s="165">
        <f t="shared" si="49"/>
        <v>31380</v>
      </c>
      <c r="AN387" s="165">
        <f t="shared" si="50"/>
        <v>32823.480000000003</v>
      </c>
      <c r="AO387" s="16" t="s">
        <v>2003</v>
      </c>
      <c r="AP387" s="231">
        <f t="shared" si="40"/>
        <v>0</v>
      </c>
      <c r="AR387" s="231"/>
      <c r="AS387" s="231"/>
      <c r="AU387" s="230">
        <v>0</v>
      </c>
      <c r="AV387" s="233">
        <v>30000</v>
      </c>
      <c r="AW387" s="230">
        <f t="shared" si="51"/>
        <v>0</v>
      </c>
    </row>
    <row r="388" spans="1:49" hidden="1" x14ac:dyDescent="0.3">
      <c r="A388" s="16" t="s">
        <v>349</v>
      </c>
      <c r="B388" s="39" t="s">
        <v>978</v>
      </c>
      <c r="C388" s="39" t="s">
        <v>82</v>
      </c>
      <c r="D388" s="340" t="s">
        <v>3467</v>
      </c>
      <c r="E388" s="159" t="s">
        <v>310</v>
      </c>
      <c r="F388" s="159" t="s">
        <v>363</v>
      </c>
      <c r="G388" s="159" t="s">
        <v>309</v>
      </c>
      <c r="H388" s="159" t="s">
        <v>334</v>
      </c>
      <c r="I388" s="159" t="s">
        <v>351</v>
      </c>
      <c r="J388" s="159" t="s">
        <v>312</v>
      </c>
      <c r="K388" s="159" t="s">
        <v>1849</v>
      </c>
      <c r="L388" s="39" t="s">
        <v>304</v>
      </c>
      <c r="M388" s="39" t="s">
        <v>305</v>
      </c>
      <c r="N388" s="39">
        <v>11</v>
      </c>
      <c r="O388" s="39" t="s">
        <v>82</v>
      </c>
      <c r="P388" s="39" t="s">
        <v>350</v>
      </c>
      <c r="Q388" s="39" t="s">
        <v>978</v>
      </c>
      <c r="R388" s="16" t="s">
        <v>349</v>
      </c>
      <c r="S388" s="160">
        <v>0</v>
      </c>
      <c r="T388" s="160">
        <v>0</v>
      </c>
      <c r="U388" s="160">
        <v>0</v>
      </c>
      <c r="V388" s="160">
        <v>0</v>
      </c>
      <c r="W388" s="160">
        <v>0</v>
      </c>
      <c r="X388" s="161">
        <v>0</v>
      </c>
      <c r="Y388" s="160"/>
      <c r="Z388" s="16">
        <v>0</v>
      </c>
      <c r="AA388" s="162">
        <v>0</v>
      </c>
      <c r="AB388" s="162">
        <v>0</v>
      </c>
      <c r="AC388" s="162">
        <v>0</v>
      </c>
      <c r="AD388" s="160">
        <v>3700</v>
      </c>
      <c r="AE388" s="145">
        <v>3700</v>
      </c>
      <c r="AF388" s="163">
        <v>1.0469999999999999</v>
      </c>
      <c r="AG388" s="164">
        <v>1.046</v>
      </c>
      <c r="AH388" s="164">
        <v>1.046</v>
      </c>
      <c r="AI388" s="164">
        <v>3700</v>
      </c>
      <c r="AJ388" s="164">
        <f t="shared" si="39"/>
        <v>0</v>
      </c>
      <c r="AK388" s="165">
        <v>12500</v>
      </c>
      <c r="AL388" s="165">
        <f>AK388</f>
        <v>12500</v>
      </c>
      <c r="AM388" s="165">
        <f t="shared" si="49"/>
        <v>13075</v>
      </c>
      <c r="AN388" s="165">
        <f t="shared" si="50"/>
        <v>13676.45</v>
      </c>
      <c r="AO388" s="16" t="s">
        <v>2003</v>
      </c>
      <c r="AP388" s="231">
        <f t="shared" si="40"/>
        <v>0</v>
      </c>
      <c r="AR388" s="231"/>
      <c r="AS388" s="231"/>
      <c r="AU388" s="230">
        <v>0</v>
      </c>
      <c r="AV388" s="233">
        <v>3700</v>
      </c>
      <c r="AW388" s="230">
        <f t="shared" si="51"/>
        <v>0</v>
      </c>
    </row>
    <row r="389" spans="1:49" hidden="1" x14ac:dyDescent="0.3">
      <c r="A389" s="16" t="s">
        <v>353</v>
      </c>
      <c r="B389" s="39" t="s">
        <v>979</v>
      </c>
      <c r="C389" s="39" t="s">
        <v>82</v>
      </c>
      <c r="D389" s="340" t="s">
        <v>3467</v>
      </c>
      <c r="E389" s="159" t="s">
        <v>310</v>
      </c>
      <c r="F389" s="159" t="s">
        <v>363</v>
      </c>
      <c r="G389" s="159" t="s">
        <v>309</v>
      </c>
      <c r="H389" s="159" t="s">
        <v>334</v>
      </c>
      <c r="I389" s="159" t="s">
        <v>355</v>
      </c>
      <c r="J389" s="159" t="s">
        <v>312</v>
      </c>
      <c r="K389" s="159" t="s">
        <v>1849</v>
      </c>
      <c r="L389" s="39" t="s">
        <v>304</v>
      </c>
      <c r="M389" s="39" t="s">
        <v>305</v>
      </c>
      <c r="N389" s="39">
        <v>11</v>
      </c>
      <c r="O389" s="39" t="s">
        <v>82</v>
      </c>
      <c r="P389" s="39" t="s">
        <v>354</v>
      </c>
      <c r="Q389" s="39" t="s">
        <v>979</v>
      </c>
      <c r="R389" s="16" t="s">
        <v>353</v>
      </c>
      <c r="S389" s="160">
        <v>0</v>
      </c>
      <c r="T389" s="160">
        <v>0</v>
      </c>
      <c r="U389" s="160">
        <v>0</v>
      </c>
      <c r="V389" s="160">
        <v>0</v>
      </c>
      <c r="W389" s="160">
        <v>0</v>
      </c>
      <c r="X389" s="161">
        <v>0</v>
      </c>
      <c r="Y389" s="160"/>
      <c r="Z389" s="16">
        <v>0</v>
      </c>
      <c r="AA389" s="162">
        <v>0</v>
      </c>
      <c r="AB389" s="162">
        <v>0</v>
      </c>
      <c r="AC389" s="162">
        <v>0</v>
      </c>
      <c r="AD389" s="160">
        <v>8000</v>
      </c>
      <c r="AE389" s="145">
        <v>8000</v>
      </c>
      <c r="AF389" s="163">
        <v>1.0469999999999999</v>
      </c>
      <c r="AG389" s="164">
        <v>1.046</v>
      </c>
      <c r="AH389" s="164">
        <v>1.046</v>
      </c>
      <c r="AI389" s="164">
        <v>8000</v>
      </c>
      <c r="AJ389" s="164">
        <f t="shared" si="39"/>
        <v>0</v>
      </c>
      <c r="AK389" s="165">
        <v>10000</v>
      </c>
      <c r="AL389" s="165">
        <f>AK389</f>
        <v>10000</v>
      </c>
      <c r="AM389" s="165">
        <f t="shared" si="49"/>
        <v>10460</v>
      </c>
      <c r="AN389" s="165">
        <f t="shared" si="50"/>
        <v>10941.16</v>
      </c>
      <c r="AO389" s="16" t="s">
        <v>2003</v>
      </c>
      <c r="AP389" s="231">
        <f t="shared" si="40"/>
        <v>0</v>
      </c>
      <c r="AR389" s="231"/>
      <c r="AS389" s="231"/>
      <c r="AU389" s="230">
        <v>0</v>
      </c>
      <c r="AV389" s="233">
        <v>8000</v>
      </c>
      <c r="AW389" s="230">
        <f t="shared" si="51"/>
        <v>0</v>
      </c>
    </row>
    <row r="390" spans="1:49" hidden="1" x14ac:dyDescent="0.3">
      <c r="A390" s="16" t="s">
        <v>357</v>
      </c>
      <c r="B390" s="39" t="s">
        <v>980</v>
      </c>
      <c r="C390" s="39" t="s">
        <v>82</v>
      </c>
      <c r="D390" s="340" t="s">
        <v>3467</v>
      </c>
      <c r="E390" s="159" t="s">
        <v>310</v>
      </c>
      <c r="F390" s="159" t="s">
        <v>363</v>
      </c>
      <c r="G390" s="159" t="s">
        <v>309</v>
      </c>
      <c r="H390" s="159" t="s">
        <v>334</v>
      </c>
      <c r="I390" s="159" t="s">
        <v>359</v>
      </c>
      <c r="J390" s="159" t="s">
        <v>312</v>
      </c>
      <c r="K390" s="159" t="s">
        <v>1849</v>
      </c>
      <c r="L390" s="39" t="s">
        <v>304</v>
      </c>
      <c r="M390" s="39" t="s">
        <v>305</v>
      </c>
      <c r="N390" s="39">
        <v>11</v>
      </c>
      <c r="O390" s="39" t="s">
        <v>82</v>
      </c>
      <c r="P390" s="39" t="s">
        <v>358</v>
      </c>
      <c r="Q390" s="39" t="s">
        <v>980</v>
      </c>
      <c r="R390" s="16" t="s">
        <v>357</v>
      </c>
      <c r="S390" s="160">
        <v>0</v>
      </c>
      <c r="T390" s="160">
        <v>0</v>
      </c>
      <c r="U390" s="160">
        <v>0</v>
      </c>
      <c r="V390" s="160">
        <v>0</v>
      </c>
      <c r="W390" s="160">
        <v>0</v>
      </c>
      <c r="X390" s="161">
        <v>0</v>
      </c>
      <c r="Y390" s="160"/>
      <c r="Z390" s="16">
        <v>0</v>
      </c>
      <c r="AA390" s="162">
        <v>0</v>
      </c>
      <c r="AB390" s="162">
        <v>0</v>
      </c>
      <c r="AC390" s="162">
        <v>0</v>
      </c>
      <c r="AD390" s="160">
        <v>18000</v>
      </c>
      <c r="AE390" s="145">
        <v>18000</v>
      </c>
      <c r="AF390" s="163">
        <v>1.0469999999999999</v>
      </c>
      <c r="AG390" s="164">
        <v>1.046</v>
      </c>
      <c r="AH390" s="164">
        <v>1.046</v>
      </c>
      <c r="AI390" s="164">
        <v>18000</v>
      </c>
      <c r="AJ390" s="164">
        <f t="shared" si="39"/>
        <v>0</v>
      </c>
      <c r="AK390" s="165">
        <v>25000</v>
      </c>
      <c r="AL390" s="165">
        <f>AK390</f>
        <v>25000</v>
      </c>
      <c r="AM390" s="165">
        <f t="shared" si="49"/>
        <v>26150</v>
      </c>
      <c r="AN390" s="165">
        <f t="shared" si="50"/>
        <v>27352.9</v>
      </c>
      <c r="AO390" s="16" t="s">
        <v>2003</v>
      </c>
      <c r="AP390" s="231">
        <f t="shared" si="40"/>
        <v>0</v>
      </c>
      <c r="AR390" s="231"/>
      <c r="AS390" s="231"/>
      <c r="AU390" s="230">
        <v>0</v>
      </c>
      <c r="AV390" s="233">
        <v>18000</v>
      </c>
      <c r="AW390" s="230">
        <f t="shared" si="51"/>
        <v>0</v>
      </c>
    </row>
    <row r="391" spans="1:49" hidden="1" x14ac:dyDescent="0.3">
      <c r="A391" s="16" t="s">
        <v>83</v>
      </c>
      <c r="B391" s="39" t="s">
        <v>981</v>
      </c>
      <c r="C391" s="39" t="s">
        <v>423</v>
      </c>
      <c r="D391" s="340" t="s">
        <v>3467</v>
      </c>
      <c r="E391" s="159" t="s">
        <v>310</v>
      </c>
      <c r="F391" s="159" t="s">
        <v>363</v>
      </c>
      <c r="G391" s="159" t="s">
        <v>309</v>
      </c>
      <c r="H391" s="159" t="s">
        <v>424</v>
      </c>
      <c r="I391" s="159" t="s">
        <v>425</v>
      </c>
      <c r="J391" s="159" t="s">
        <v>426</v>
      </c>
      <c r="K391" s="159" t="s">
        <v>1849</v>
      </c>
      <c r="L391" s="39" t="s">
        <v>304</v>
      </c>
      <c r="M391" s="39" t="s">
        <v>305</v>
      </c>
      <c r="N391" s="39">
        <v>11</v>
      </c>
      <c r="O391" s="39" t="s">
        <v>423</v>
      </c>
      <c r="P391" s="39" t="s">
        <v>423</v>
      </c>
      <c r="Q391" s="39" t="s">
        <v>981</v>
      </c>
      <c r="R391" s="16" t="s">
        <v>83</v>
      </c>
      <c r="S391" s="160">
        <v>19000</v>
      </c>
      <c r="T391" s="160">
        <v>0</v>
      </c>
      <c r="U391" s="160">
        <v>0</v>
      </c>
      <c r="V391" s="160">
        <v>14116.94</v>
      </c>
      <c r="W391" s="160">
        <v>4883.0600000000004</v>
      </c>
      <c r="X391" s="161">
        <v>0</v>
      </c>
      <c r="Y391" s="160"/>
      <c r="Z391" s="16">
        <v>74.290000000000006</v>
      </c>
      <c r="AA391" s="162">
        <v>14116.94</v>
      </c>
      <c r="AB391" s="162">
        <v>3529.2350000000001</v>
      </c>
      <c r="AC391" s="162">
        <v>42350.82</v>
      </c>
      <c r="AD391" s="160">
        <v>10000</v>
      </c>
      <c r="AE391" s="145">
        <v>29000</v>
      </c>
      <c r="AF391" s="163">
        <v>1.0469999999999999</v>
      </c>
      <c r="AG391" s="164">
        <v>1.046</v>
      </c>
      <c r="AH391" s="164">
        <v>1.046</v>
      </c>
      <c r="AI391" s="164">
        <v>29000</v>
      </c>
      <c r="AJ391" s="164">
        <f t="shared" ref="AJ391:AJ454" si="52">AE391-AI391</f>
        <v>0</v>
      </c>
      <c r="AK391" s="165">
        <v>30000</v>
      </c>
      <c r="AL391" s="165">
        <f>AK391</f>
        <v>30000</v>
      </c>
      <c r="AM391" s="165">
        <f t="shared" si="49"/>
        <v>31380</v>
      </c>
      <c r="AN391" s="165">
        <f t="shared" si="50"/>
        <v>32823.480000000003</v>
      </c>
      <c r="AO391" s="16" t="s">
        <v>2003</v>
      </c>
      <c r="AP391" s="231">
        <f t="shared" ref="AP391:AP454" si="53">AK391-AL391</f>
        <v>0</v>
      </c>
      <c r="AR391" s="231"/>
      <c r="AS391" s="231"/>
      <c r="AU391" s="230">
        <v>19000</v>
      </c>
      <c r="AV391" s="233">
        <v>29000</v>
      </c>
      <c r="AW391" s="230">
        <f t="shared" si="51"/>
        <v>0</v>
      </c>
    </row>
    <row r="392" spans="1:49" s="172" customFormat="1" x14ac:dyDescent="0.3">
      <c r="A392" s="166" t="s">
        <v>50</v>
      </c>
      <c r="B392" s="167" t="s">
        <v>982</v>
      </c>
      <c r="C392" s="167" t="s">
        <v>302</v>
      </c>
      <c r="D392" s="412" t="s">
        <v>3468</v>
      </c>
      <c r="E392" s="168" t="s">
        <v>310</v>
      </c>
      <c r="F392" s="168" t="s">
        <v>542</v>
      </c>
      <c r="G392" s="168" t="s">
        <v>309</v>
      </c>
      <c r="H392" s="168" t="s">
        <v>373</v>
      </c>
      <c r="I392" s="168" t="s">
        <v>374</v>
      </c>
      <c r="J392" s="168" t="s">
        <v>312</v>
      </c>
      <c r="K392" s="168" t="s">
        <v>1849</v>
      </c>
      <c r="L392" s="167" t="s">
        <v>304</v>
      </c>
      <c r="M392" s="167" t="s">
        <v>305</v>
      </c>
      <c r="N392" s="167">
        <v>11</v>
      </c>
      <c r="O392" s="167" t="s">
        <v>302</v>
      </c>
      <c r="P392" s="167" t="s">
        <v>302</v>
      </c>
      <c r="Q392" s="167" t="s">
        <v>982</v>
      </c>
      <c r="R392" s="166" t="s">
        <v>50</v>
      </c>
      <c r="S392" s="169">
        <v>8299657</v>
      </c>
      <c r="T392" s="160">
        <v>715283.59</v>
      </c>
      <c r="U392" s="160">
        <v>0</v>
      </c>
      <c r="V392" s="160">
        <v>2966271.29</v>
      </c>
      <c r="W392" s="160">
        <v>5333385.71</v>
      </c>
      <c r="X392" s="161">
        <v>0</v>
      </c>
      <c r="Y392" s="160"/>
      <c r="Z392" s="16">
        <v>35.729999999999997</v>
      </c>
      <c r="AA392" s="162">
        <v>2966271.29</v>
      </c>
      <c r="AB392" s="162">
        <v>741567.82250000001</v>
      </c>
      <c r="AC392" s="162">
        <v>8898813.870000001</v>
      </c>
      <c r="AD392" s="160"/>
      <c r="AE392" s="145">
        <v>8299657</v>
      </c>
      <c r="AF392" s="163">
        <v>1.0529999999999999</v>
      </c>
      <c r="AG392" s="163">
        <v>1.0489999999999999</v>
      </c>
      <c r="AH392" s="163">
        <v>1.0469999999999999</v>
      </c>
      <c r="AI392" s="164">
        <v>8299657</v>
      </c>
      <c r="AJ392" s="164">
        <f t="shared" si="52"/>
        <v>0</v>
      </c>
      <c r="AK392" s="229">
        <v>8299657</v>
      </c>
      <c r="AL392" s="229">
        <f ca="1">SUMIF('MS &amp; Vacancies combined'!A:J,D392,'MS &amp; Vacancies combined'!J:J)*105.3/100</f>
        <v>8545646.6969346162</v>
      </c>
      <c r="AM392" s="229">
        <f t="shared" ca="1" si="49"/>
        <v>8964383.3850844111</v>
      </c>
      <c r="AN392" s="229">
        <f t="shared" ca="1" si="50"/>
        <v>9385709.4041833784</v>
      </c>
      <c r="AO392" s="166"/>
      <c r="AP392" s="413">
        <f t="shared" ca="1" si="53"/>
        <v>-245989.69693461619</v>
      </c>
      <c r="AR392" s="231"/>
      <c r="AS392" s="231"/>
      <c r="AU392" s="414">
        <v>8299657</v>
      </c>
      <c r="AV392" s="415">
        <v>8299657</v>
      </c>
      <c r="AW392" s="414">
        <f t="shared" si="51"/>
        <v>0</v>
      </c>
    </row>
    <row r="393" spans="1:49" s="172" customFormat="1" x14ac:dyDescent="0.3">
      <c r="A393" s="166" t="s">
        <v>52</v>
      </c>
      <c r="B393" s="167" t="s">
        <v>983</v>
      </c>
      <c r="C393" s="167" t="s">
        <v>376</v>
      </c>
      <c r="D393" s="412" t="s">
        <v>3468</v>
      </c>
      <c r="E393" s="168" t="s">
        <v>310</v>
      </c>
      <c r="F393" s="168" t="s">
        <v>542</v>
      </c>
      <c r="G393" s="168" t="s">
        <v>309</v>
      </c>
      <c r="H393" s="168" t="s">
        <v>373</v>
      </c>
      <c r="I393" s="168" t="s">
        <v>377</v>
      </c>
      <c r="J393" s="168" t="s">
        <v>312</v>
      </c>
      <c r="K393" s="168" t="s">
        <v>1849</v>
      </c>
      <c r="L393" s="167" t="s">
        <v>304</v>
      </c>
      <c r="M393" s="167" t="s">
        <v>305</v>
      </c>
      <c r="N393" s="167">
        <v>11</v>
      </c>
      <c r="O393" s="167" t="s">
        <v>376</v>
      </c>
      <c r="P393" s="167" t="s">
        <v>376</v>
      </c>
      <c r="Q393" s="167" t="s">
        <v>983</v>
      </c>
      <c r="R393" s="166" t="s">
        <v>52</v>
      </c>
      <c r="S393" s="169">
        <v>28296</v>
      </c>
      <c r="T393" s="160">
        <v>2250</v>
      </c>
      <c r="U393" s="160">
        <v>0</v>
      </c>
      <c r="V393" s="160">
        <v>9000</v>
      </c>
      <c r="W393" s="160">
        <v>19296</v>
      </c>
      <c r="X393" s="161">
        <v>0</v>
      </c>
      <c r="Y393" s="160"/>
      <c r="Z393" s="16">
        <v>31.8</v>
      </c>
      <c r="AA393" s="162">
        <v>9000</v>
      </c>
      <c r="AB393" s="162">
        <v>2250</v>
      </c>
      <c r="AC393" s="162">
        <v>27000</v>
      </c>
      <c r="AD393" s="160"/>
      <c r="AE393" s="145">
        <v>28296</v>
      </c>
      <c r="AF393" s="163">
        <v>1.0529999999999999</v>
      </c>
      <c r="AG393" s="163">
        <v>1.0489999999999999</v>
      </c>
      <c r="AH393" s="163">
        <v>1.0469999999999999</v>
      </c>
      <c r="AI393" s="164">
        <v>28296</v>
      </c>
      <c r="AJ393" s="164">
        <f t="shared" si="52"/>
        <v>0</v>
      </c>
      <c r="AK393" s="229">
        <v>28296</v>
      </c>
      <c r="AL393" s="229">
        <f ca="1">SUMIF('MS &amp; Vacancies combined'!A:M,D393,'MS &amp; Vacancies combined'!M:M)*105.3/100</f>
        <v>26214.640869866722</v>
      </c>
      <c r="AM393" s="229">
        <f t="shared" ca="1" si="49"/>
        <v>27499.158272490189</v>
      </c>
      <c r="AN393" s="229">
        <f t="shared" ca="1" si="50"/>
        <v>28791.618711297226</v>
      </c>
      <c r="AO393" s="166"/>
      <c r="AP393" s="413">
        <f t="shared" ca="1" si="53"/>
        <v>2081.3591301332781</v>
      </c>
      <c r="AR393" s="231"/>
      <c r="AS393" s="231"/>
      <c r="AU393" s="414">
        <v>28296</v>
      </c>
      <c r="AV393" s="415">
        <v>28296</v>
      </c>
      <c r="AW393" s="414">
        <f t="shared" si="51"/>
        <v>0</v>
      </c>
    </row>
    <row r="394" spans="1:49" s="172" customFormat="1" x14ac:dyDescent="0.3">
      <c r="A394" s="166" t="s">
        <v>54</v>
      </c>
      <c r="B394" s="167" t="s">
        <v>984</v>
      </c>
      <c r="C394" s="167" t="s">
        <v>379</v>
      </c>
      <c r="D394" s="412" t="s">
        <v>3468</v>
      </c>
      <c r="E394" s="168" t="s">
        <v>310</v>
      </c>
      <c r="F394" s="168" t="s">
        <v>542</v>
      </c>
      <c r="G394" s="168" t="s">
        <v>309</v>
      </c>
      <c r="H394" s="168" t="s">
        <v>373</v>
      </c>
      <c r="I394" s="168" t="s">
        <v>380</v>
      </c>
      <c r="J394" s="168" t="s">
        <v>312</v>
      </c>
      <c r="K394" s="168" t="s">
        <v>1849</v>
      </c>
      <c r="L394" s="167" t="s">
        <v>304</v>
      </c>
      <c r="M394" s="167" t="s">
        <v>305</v>
      </c>
      <c r="N394" s="167">
        <v>11</v>
      </c>
      <c r="O394" s="167" t="s">
        <v>379</v>
      </c>
      <c r="P394" s="167" t="s">
        <v>379</v>
      </c>
      <c r="Q394" s="167" t="s">
        <v>984</v>
      </c>
      <c r="R394" s="166" t="s">
        <v>54</v>
      </c>
      <c r="S394" s="169">
        <v>181945</v>
      </c>
      <c r="T394" s="160">
        <v>7082.39</v>
      </c>
      <c r="U394" s="160">
        <v>0</v>
      </c>
      <c r="V394" s="160">
        <v>31364.87</v>
      </c>
      <c r="W394" s="160">
        <v>150580.13</v>
      </c>
      <c r="X394" s="161">
        <v>0</v>
      </c>
      <c r="Y394" s="160"/>
      <c r="Z394" s="16">
        <v>17.23</v>
      </c>
      <c r="AA394" s="162">
        <v>31364.87</v>
      </c>
      <c r="AB394" s="162">
        <v>7841.2174999999997</v>
      </c>
      <c r="AC394" s="162">
        <v>94094.61</v>
      </c>
      <c r="AD394" s="160"/>
      <c r="AE394" s="145">
        <v>181945</v>
      </c>
      <c r="AF394" s="163">
        <v>1.0529999999999999</v>
      </c>
      <c r="AG394" s="163">
        <v>1.0489999999999999</v>
      </c>
      <c r="AH394" s="163">
        <v>1.0469999999999999</v>
      </c>
      <c r="AI394" s="164">
        <v>181945</v>
      </c>
      <c r="AJ394" s="164">
        <f t="shared" si="52"/>
        <v>0</v>
      </c>
      <c r="AK394" s="229">
        <v>181945</v>
      </c>
      <c r="AL394" s="229">
        <f ca="1">SUMIF('MS &amp; Vacancies combined'!A:L,D394,'MS &amp; Vacancies combined'!L:L)*105.3/100</f>
        <v>188609.33114954698</v>
      </c>
      <c r="AM394" s="229">
        <f t="shared" ca="1" si="49"/>
        <v>197851.18837587477</v>
      </c>
      <c r="AN394" s="229">
        <f t="shared" ca="1" si="50"/>
        <v>207150.19422954088</v>
      </c>
      <c r="AO394" s="166"/>
      <c r="AP394" s="413">
        <f t="shared" ca="1" si="53"/>
        <v>-6664.3311495469825</v>
      </c>
      <c r="AR394" s="231"/>
      <c r="AS394" s="231"/>
      <c r="AU394" s="414">
        <v>181945</v>
      </c>
      <c r="AV394" s="415">
        <v>181945</v>
      </c>
      <c r="AW394" s="414">
        <f t="shared" si="51"/>
        <v>0</v>
      </c>
    </row>
    <row r="395" spans="1:49" x14ac:dyDescent="0.3">
      <c r="A395" s="16" t="s">
        <v>55</v>
      </c>
      <c r="B395" s="39" t="s">
        <v>985</v>
      </c>
      <c r="C395" s="39" t="s">
        <v>382</v>
      </c>
      <c r="D395" s="340" t="s">
        <v>3468</v>
      </c>
      <c r="E395" s="159" t="s">
        <v>310</v>
      </c>
      <c r="F395" s="159" t="s">
        <v>542</v>
      </c>
      <c r="G395" s="159" t="s">
        <v>309</v>
      </c>
      <c r="H395" s="159" t="s">
        <v>373</v>
      </c>
      <c r="I395" s="159" t="s">
        <v>383</v>
      </c>
      <c r="J395" s="159" t="s">
        <v>312</v>
      </c>
      <c r="K395" s="159" t="s">
        <v>1849</v>
      </c>
      <c r="L395" s="39" t="s">
        <v>304</v>
      </c>
      <c r="M395" s="39" t="s">
        <v>305</v>
      </c>
      <c r="N395" s="39">
        <v>11</v>
      </c>
      <c r="O395" s="39" t="s">
        <v>382</v>
      </c>
      <c r="P395" s="39" t="s">
        <v>382</v>
      </c>
      <c r="Q395" s="39" t="s">
        <v>985</v>
      </c>
      <c r="R395" s="16" t="s">
        <v>55</v>
      </c>
      <c r="S395" s="169">
        <v>484309</v>
      </c>
      <c r="T395" s="160">
        <v>0</v>
      </c>
      <c r="U395" s="160">
        <v>0</v>
      </c>
      <c r="V395" s="160">
        <v>0</v>
      </c>
      <c r="W395" s="160">
        <v>484309</v>
      </c>
      <c r="X395" s="161">
        <v>0</v>
      </c>
      <c r="Y395" s="160"/>
      <c r="Z395" s="16">
        <v>0</v>
      </c>
      <c r="AA395" s="162">
        <v>0</v>
      </c>
      <c r="AB395" s="162">
        <v>0</v>
      </c>
      <c r="AC395" s="162">
        <v>0</v>
      </c>
      <c r="AD395" s="160"/>
      <c r="AE395" s="145">
        <v>484309</v>
      </c>
      <c r="AF395" s="421">
        <v>1.0529999999999999</v>
      </c>
      <c r="AG395" s="421">
        <v>1.0489999999999999</v>
      </c>
      <c r="AH395" s="421">
        <v>1.0469999999999999</v>
      </c>
      <c r="AI395" s="164">
        <v>484309</v>
      </c>
      <c r="AJ395" s="164">
        <f t="shared" si="52"/>
        <v>0</v>
      </c>
      <c r="AK395" s="165">
        <v>484309</v>
      </c>
      <c r="AL395" s="165">
        <f>507071.523-100000</f>
        <v>407071.52299999999</v>
      </c>
      <c r="AM395" s="165">
        <f t="shared" si="49"/>
        <v>427018.02762699994</v>
      </c>
      <c r="AN395" s="165">
        <f t="shared" si="50"/>
        <v>447087.87492546893</v>
      </c>
      <c r="AO395" s="16"/>
      <c r="AP395" s="231">
        <f t="shared" si="53"/>
        <v>77237.477000000014</v>
      </c>
      <c r="AR395" s="231"/>
      <c r="AS395" s="231"/>
      <c r="AU395" s="230">
        <v>484309</v>
      </c>
      <c r="AV395" s="233">
        <v>484309</v>
      </c>
      <c r="AW395" s="230">
        <f t="shared" si="51"/>
        <v>0</v>
      </c>
    </row>
    <row r="396" spans="1:49" s="172" customFormat="1" x14ac:dyDescent="0.3">
      <c r="A396" s="166" t="s">
        <v>56</v>
      </c>
      <c r="B396" s="167" t="s">
        <v>986</v>
      </c>
      <c r="C396" s="167" t="s">
        <v>385</v>
      </c>
      <c r="D396" s="412" t="s">
        <v>3468</v>
      </c>
      <c r="E396" s="168" t="s">
        <v>310</v>
      </c>
      <c r="F396" s="168" t="s">
        <v>542</v>
      </c>
      <c r="G396" s="168" t="s">
        <v>309</v>
      </c>
      <c r="H396" s="168" t="s">
        <v>373</v>
      </c>
      <c r="I396" s="168" t="s">
        <v>386</v>
      </c>
      <c r="J396" s="168" t="s">
        <v>387</v>
      </c>
      <c r="K396" s="168" t="s">
        <v>1849</v>
      </c>
      <c r="L396" s="167" t="s">
        <v>304</v>
      </c>
      <c r="M396" s="167" t="s">
        <v>305</v>
      </c>
      <c r="N396" s="167">
        <v>11</v>
      </c>
      <c r="O396" s="167" t="s">
        <v>385</v>
      </c>
      <c r="P396" s="167" t="s">
        <v>385</v>
      </c>
      <c r="Q396" s="167" t="s">
        <v>986</v>
      </c>
      <c r="R396" s="166" t="s">
        <v>56</v>
      </c>
      <c r="S396" s="169">
        <v>112863</v>
      </c>
      <c r="T396" s="160">
        <v>135085.85</v>
      </c>
      <c r="U396" s="160">
        <v>0</v>
      </c>
      <c r="V396" s="160">
        <v>571357.65</v>
      </c>
      <c r="W396" s="160">
        <v>-458494.65</v>
      </c>
      <c r="X396" s="161">
        <v>0</v>
      </c>
      <c r="Y396" s="160"/>
      <c r="Z396" s="16">
        <v>506.23</v>
      </c>
      <c r="AA396" s="162">
        <v>571357.65</v>
      </c>
      <c r="AB396" s="162">
        <v>142839.41250000001</v>
      </c>
      <c r="AC396" s="162">
        <v>1714072.9500000002</v>
      </c>
      <c r="AD396" s="160"/>
      <c r="AE396" s="145">
        <v>112863</v>
      </c>
      <c r="AF396" s="163">
        <v>1.0529999999999999</v>
      </c>
      <c r="AG396" s="163">
        <v>1.0489999999999999</v>
      </c>
      <c r="AH396" s="163">
        <v>1.0469999999999999</v>
      </c>
      <c r="AI396" s="164">
        <v>112863</v>
      </c>
      <c r="AJ396" s="164">
        <f t="shared" si="52"/>
        <v>0</v>
      </c>
      <c r="AK396" s="229">
        <v>112863</v>
      </c>
      <c r="AL396" s="229">
        <f ca="1">SUMIF('MS &amp; Vacancies combined'!A:O,D396,'MS &amp; Vacancies combined'!O:O)*105.3/100</f>
        <v>1486719.665866375</v>
      </c>
      <c r="AM396" s="229">
        <f ca="1">AL396*AG396</f>
        <v>1559568.9294938273</v>
      </c>
      <c r="AN396" s="229">
        <f ca="1">AM396*AH396</f>
        <v>1632868.669180037</v>
      </c>
      <c r="AO396" s="166"/>
      <c r="AP396" s="413">
        <f t="shared" ca="1" si="53"/>
        <v>-1373856.665866375</v>
      </c>
      <c r="AR396" s="231"/>
      <c r="AS396" s="231"/>
      <c r="AU396" s="414">
        <v>112863</v>
      </c>
      <c r="AV396" s="415">
        <v>112863</v>
      </c>
      <c r="AW396" s="414">
        <f t="shared" si="51"/>
        <v>0</v>
      </c>
    </row>
    <row r="397" spans="1:49" x14ac:dyDescent="0.3">
      <c r="A397" s="16" t="s">
        <v>57</v>
      </c>
      <c r="B397" s="39" t="s">
        <v>987</v>
      </c>
      <c r="C397" s="39" t="s">
        <v>389</v>
      </c>
      <c r="D397" s="340" t="s">
        <v>3468</v>
      </c>
      <c r="E397" s="159" t="s">
        <v>310</v>
      </c>
      <c r="F397" s="159" t="s">
        <v>542</v>
      </c>
      <c r="G397" s="159" t="s">
        <v>309</v>
      </c>
      <c r="H397" s="159" t="s">
        <v>373</v>
      </c>
      <c r="I397" s="159" t="s">
        <v>390</v>
      </c>
      <c r="J397" s="159" t="s">
        <v>312</v>
      </c>
      <c r="K397" s="159" t="s">
        <v>1849</v>
      </c>
      <c r="L397" s="39" t="s">
        <v>304</v>
      </c>
      <c r="M397" s="39" t="s">
        <v>305</v>
      </c>
      <c r="N397" s="39">
        <v>11</v>
      </c>
      <c r="O397" s="39" t="s">
        <v>389</v>
      </c>
      <c r="P397" s="39" t="s">
        <v>389</v>
      </c>
      <c r="Q397" s="39" t="s">
        <v>987</v>
      </c>
      <c r="R397" s="16" t="s">
        <v>57</v>
      </c>
      <c r="S397" s="169">
        <v>954</v>
      </c>
      <c r="T397" s="160">
        <v>0</v>
      </c>
      <c r="U397" s="160">
        <v>0</v>
      </c>
      <c r="V397" s="160">
        <v>0</v>
      </c>
      <c r="W397" s="160">
        <v>954</v>
      </c>
      <c r="X397" s="161">
        <v>0</v>
      </c>
      <c r="Y397" s="160"/>
      <c r="Z397" s="16">
        <v>0</v>
      </c>
      <c r="AA397" s="162">
        <v>0</v>
      </c>
      <c r="AB397" s="162">
        <v>0</v>
      </c>
      <c r="AC397" s="162">
        <v>0</v>
      </c>
      <c r="AD397" s="160"/>
      <c r="AE397" s="145">
        <v>954</v>
      </c>
      <c r="AF397" s="421">
        <v>1.0529999999999999</v>
      </c>
      <c r="AG397" s="421">
        <v>1.0489999999999999</v>
      </c>
      <c r="AH397" s="421">
        <v>1.0469999999999999</v>
      </c>
      <c r="AI397" s="164">
        <v>954</v>
      </c>
      <c r="AJ397" s="164">
        <f t="shared" si="52"/>
        <v>0</v>
      </c>
      <c r="AK397" s="165">
        <v>954</v>
      </c>
      <c r="AL397" s="165">
        <f>AK397*80%</f>
        <v>763.2</v>
      </c>
      <c r="AM397" s="165">
        <f t="shared" si="49"/>
        <v>800.59680000000003</v>
      </c>
      <c r="AN397" s="165">
        <f t="shared" si="50"/>
        <v>838.22484959999997</v>
      </c>
      <c r="AO397" s="16"/>
      <c r="AP397" s="231">
        <f t="shared" si="53"/>
        <v>190.79999999999995</v>
      </c>
      <c r="AR397" s="231"/>
      <c r="AS397" s="231"/>
      <c r="AU397" s="230">
        <v>954</v>
      </c>
      <c r="AV397" s="233">
        <v>954</v>
      </c>
      <c r="AW397" s="230">
        <f t="shared" si="51"/>
        <v>0</v>
      </c>
    </row>
    <row r="398" spans="1:49" x14ac:dyDescent="0.3">
      <c r="A398" s="16" t="s">
        <v>60</v>
      </c>
      <c r="B398" s="39" t="s">
        <v>988</v>
      </c>
      <c r="C398" s="39" t="s">
        <v>392</v>
      </c>
      <c r="D398" s="340" t="s">
        <v>3468</v>
      </c>
      <c r="E398" s="159" t="s">
        <v>310</v>
      </c>
      <c r="F398" s="159" t="s">
        <v>542</v>
      </c>
      <c r="G398" s="159" t="s">
        <v>309</v>
      </c>
      <c r="H398" s="159" t="s">
        <v>373</v>
      </c>
      <c r="I398" s="159" t="s">
        <v>393</v>
      </c>
      <c r="J398" s="159" t="s">
        <v>312</v>
      </c>
      <c r="K398" s="159" t="s">
        <v>1849</v>
      </c>
      <c r="L398" s="39" t="s">
        <v>304</v>
      </c>
      <c r="M398" s="39" t="s">
        <v>305</v>
      </c>
      <c r="N398" s="39">
        <v>11</v>
      </c>
      <c r="O398" s="39" t="s">
        <v>392</v>
      </c>
      <c r="P398" s="39" t="s">
        <v>392</v>
      </c>
      <c r="Q398" s="39" t="s">
        <v>988</v>
      </c>
      <c r="R398" s="16" t="s">
        <v>60</v>
      </c>
      <c r="S398" s="169">
        <v>0</v>
      </c>
      <c r="T398" s="160">
        <v>0</v>
      </c>
      <c r="U398" s="160">
        <v>0</v>
      </c>
      <c r="V398" s="160">
        <v>0</v>
      </c>
      <c r="W398" s="160">
        <v>0</v>
      </c>
      <c r="X398" s="161">
        <v>0</v>
      </c>
      <c r="Y398" s="160"/>
      <c r="Z398" s="16">
        <v>0</v>
      </c>
      <c r="AA398" s="162">
        <v>0</v>
      </c>
      <c r="AB398" s="162">
        <v>0</v>
      </c>
      <c r="AC398" s="162">
        <v>0</v>
      </c>
      <c r="AD398" s="160"/>
      <c r="AE398" s="145">
        <v>0</v>
      </c>
      <c r="AF398" s="421">
        <v>1.0529999999999999</v>
      </c>
      <c r="AG398" s="421">
        <v>1.0489999999999999</v>
      </c>
      <c r="AH398" s="421">
        <v>1.0469999999999999</v>
      </c>
      <c r="AI398" s="164">
        <v>0</v>
      </c>
      <c r="AJ398" s="164">
        <f t="shared" si="52"/>
        <v>0</v>
      </c>
      <c r="AK398" s="165">
        <v>0</v>
      </c>
      <c r="AL398" s="165">
        <f>AK398*AF398</f>
        <v>0</v>
      </c>
      <c r="AM398" s="165">
        <f t="shared" si="49"/>
        <v>0</v>
      </c>
      <c r="AN398" s="165">
        <f t="shared" si="50"/>
        <v>0</v>
      </c>
      <c r="AO398" s="16"/>
      <c r="AP398" s="231">
        <f t="shared" si="53"/>
        <v>0</v>
      </c>
      <c r="AR398" s="231"/>
      <c r="AS398" s="231"/>
      <c r="AU398" s="230">
        <v>0</v>
      </c>
      <c r="AV398" s="233">
        <v>0</v>
      </c>
      <c r="AW398" s="230">
        <f t="shared" si="51"/>
        <v>0</v>
      </c>
    </row>
    <row r="399" spans="1:49" x14ac:dyDescent="0.3">
      <c r="A399" s="16" t="s">
        <v>61</v>
      </c>
      <c r="B399" s="39" t="s">
        <v>989</v>
      </c>
      <c r="C399" s="39" t="s">
        <v>460</v>
      </c>
      <c r="D399" s="340" t="s">
        <v>3468</v>
      </c>
      <c r="E399" s="159" t="s">
        <v>310</v>
      </c>
      <c r="F399" s="159" t="s">
        <v>542</v>
      </c>
      <c r="G399" s="159" t="s">
        <v>309</v>
      </c>
      <c r="H399" s="159" t="s">
        <v>373</v>
      </c>
      <c r="I399" s="159" t="s">
        <v>461</v>
      </c>
      <c r="J399" s="159" t="s">
        <v>312</v>
      </c>
      <c r="K399" s="159" t="s">
        <v>1849</v>
      </c>
      <c r="L399" s="39" t="s">
        <v>304</v>
      </c>
      <c r="M399" s="39" t="s">
        <v>305</v>
      </c>
      <c r="N399" s="39">
        <v>11</v>
      </c>
      <c r="O399" s="39" t="s">
        <v>460</v>
      </c>
      <c r="P399" s="39" t="s">
        <v>460</v>
      </c>
      <c r="Q399" s="39" t="s">
        <v>989</v>
      </c>
      <c r="R399" s="16" t="s">
        <v>61</v>
      </c>
      <c r="S399" s="169">
        <v>0</v>
      </c>
      <c r="T399" s="160">
        <v>1479</v>
      </c>
      <c r="U399" s="160">
        <v>0</v>
      </c>
      <c r="V399" s="160">
        <v>63683.16</v>
      </c>
      <c r="W399" s="160">
        <v>-63683.16</v>
      </c>
      <c r="X399" s="161">
        <v>0</v>
      </c>
      <c r="Y399" s="160"/>
      <c r="Z399" s="16">
        <v>0</v>
      </c>
      <c r="AA399" s="162">
        <v>63683.16</v>
      </c>
      <c r="AB399" s="162">
        <v>15920.79</v>
      </c>
      <c r="AC399" s="162">
        <v>191049.48</v>
      </c>
      <c r="AD399" s="160"/>
      <c r="AE399" s="145">
        <v>0</v>
      </c>
      <c r="AF399" s="163">
        <v>1.0469999999999999</v>
      </c>
      <c r="AG399" s="164">
        <v>1.046</v>
      </c>
      <c r="AH399" s="164">
        <v>1.046</v>
      </c>
      <c r="AI399" s="164">
        <v>0</v>
      </c>
      <c r="AJ399" s="164">
        <f t="shared" si="52"/>
        <v>0</v>
      </c>
      <c r="AK399" s="165">
        <v>0</v>
      </c>
      <c r="AL399" s="165">
        <v>0</v>
      </c>
      <c r="AM399" s="165">
        <f t="shared" si="49"/>
        <v>0</v>
      </c>
      <c r="AN399" s="165">
        <f t="shared" si="50"/>
        <v>0</v>
      </c>
      <c r="AO399" s="16"/>
      <c r="AP399" s="231">
        <f t="shared" si="53"/>
        <v>0</v>
      </c>
      <c r="AR399" s="231"/>
      <c r="AS399" s="231"/>
      <c r="AU399" s="230">
        <v>0</v>
      </c>
      <c r="AV399" s="233">
        <v>0</v>
      </c>
      <c r="AW399" s="230">
        <f t="shared" si="51"/>
        <v>0</v>
      </c>
    </row>
    <row r="400" spans="1:49" s="172" customFormat="1" x14ac:dyDescent="0.3">
      <c r="A400" s="166" t="s">
        <v>62</v>
      </c>
      <c r="B400" s="167" t="s">
        <v>990</v>
      </c>
      <c r="C400" s="167" t="s">
        <v>395</v>
      </c>
      <c r="D400" s="412" t="s">
        <v>3468</v>
      </c>
      <c r="E400" s="168" t="s">
        <v>310</v>
      </c>
      <c r="F400" s="168" t="s">
        <v>542</v>
      </c>
      <c r="G400" s="168" t="s">
        <v>309</v>
      </c>
      <c r="H400" s="168" t="s">
        <v>373</v>
      </c>
      <c r="I400" s="168" t="s">
        <v>396</v>
      </c>
      <c r="J400" s="168" t="s">
        <v>312</v>
      </c>
      <c r="K400" s="168" t="s">
        <v>1849</v>
      </c>
      <c r="L400" s="167" t="s">
        <v>304</v>
      </c>
      <c r="M400" s="167" t="s">
        <v>305</v>
      </c>
      <c r="N400" s="167">
        <v>11</v>
      </c>
      <c r="O400" s="167" t="s">
        <v>395</v>
      </c>
      <c r="P400" s="167" t="s">
        <v>395</v>
      </c>
      <c r="Q400" s="167" t="s">
        <v>990</v>
      </c>
      <c r="R400" s="166" t="s">
        <v>62</v>
      </c>
      <c r="S400" s="169">
        <v>691638</v>
      </c>
      <c r="T400" s="160">
        <v>0</v>
      </c>
      <c r="U400" s="160">
        <v>0</v>
      </c>
      <c r="V400" s="160">
        <v>185104</v>
      </c>
      <c r="W400" s="160">
        <v>506534</v>
      </c>
      <c r="X400" s="161">
        <v>0</v>
      </c>
      <c r="Y400" s="160"/>
      <c r="Z400" s="16">
        <v>26.76</v>
      </c>
      <c r="AA400" s="162">
        <v>185104</v>
      </c>
      <c r="AB400" s="162">
        <v>46276</v>
      </c>
      <c r="AC400" s="162">
        <v>555312</v>
      </c>
      <c r="AD400" s="160"/>
      <c r="AE400" s="145">
        <v>691638</v>
      </c>
      <c r="AF400" s="163">
        <v>1.0529999999999999</v>
      </c>
      <c r="AG400" s="163">
        <v>1.0489999999999999</v>
      </c>
      <c r="AH400" s="163">
        <v>1.0469999999999999</v>
      </c>
      <c r="AI400" s="164">
        <v>691638</v>
      </c>
      <c r="AJ400" s="164">
        <f t="shared" si="52"/>
        <v>0</v>
      </c>
      <c r="AK400" s="229">
        <v>691638</v>
      </c>
      <c r="AL400" s="229">
        <f ca="1">SUMIF('MS &amp; Vacancies combined'!A:K,D400,'MS &amp; Vacancies combined'!K:K)*105.3/100</f>
        <v>712137.22474455135</v>
      </c>
      <c r="AM400" s="229">
        <f ca="1">AL400*AG400</f>
        <v>747031.94875703426</v>
      </c>
      <c r="AN400" s="229">
        <f ca="1">AM400*AH400</f>
        <v>782142.45034861483</v>
      </c>
      <c r="AO400" s="166"/>
      <c r="AP400" s="413">
        <f t="shared" ca="1" si="53"/>
        <v>-20499.224744551349</v>
      </c>
      <c r="AR400" s="231"/>
      <c r="AS400" s="231"/>
      <c r="AU400" s="414">
        <v>691638</v>
      </c>
      <c r="AV400" s="415">
        <v>691638</v>
      </c>
      <c r="AW400" s="414">
        <f t="shared" si="51"/>
        <v>0</v>
      </c>
    </row>
    <row r="401" spans="1:49" x14ac:dyDescent="0.3">
      <c r="A401" s="16" t="s">
        <v>64</v>
      </c>
      <c r="B401" s="39" t="s">
        <v>991</v>
      </c>
      <c r="C401" s="39" t="s">
        <v>464</v>
      </c>
      <c r="D401" s="340" t="s">
        <v>3468</v>
      </c>
      <c r="E401" s="159" t="s">
        <v>310</v>
      </c>
      <c r="F401" s="159" t="s">
        <v>542</v>
      </c>
      <c r="G401" s="159" t="s">
        <v>309</v>
      </c>
      <c r="H401" s="159" t="s">
        <v>373</v>
      </c>
      <c r="I401" s="159" t="s">
        <v>465</v>
      </c>
      <c r="J401" s="159" t="s">
        <v>312</v>
      </c>
      <c r="K401" s="159" t="s">
        <v>1849</v>
      </c>
      <c r="L401" s="39" t="s">
        <v>304</v>
      </c>
      <c r="M401" s="39" t="s">
        <v>305</v>
      </c>
      <c r="N401" s="39">
        <v>11</v>
      </c>
      <c r="O401" s="39" t="s">
        <v>464</v>
      </c>
      <c r="P401" s="39" t="s">
        <v>464</v>
      </c>
      <c r="Q401" s="39" t="s">
        <v>991</v>
      </c>
      <c r="R401" s="16" t="s">
        <v>64</v>
      </c>
      <c r="S401" s="169">
        <v>0</v>
      </c>
      <c r="T401" s="160">
        <v>0</v>
      </c>
      <c r="U401" s="160">
        <v>0</v>
      </c>
      <c r="V401" s="160">
        <v>0</v>
      </c>
      <c r="W401" s="160">
        <v>0</v>
      </c>
      <c r="X401" s="161">
        <v>0</v>
      </c>
      <c r="Y401" s="160"/>
      <c r="Z401" s="16">
        <v>0</v>
      </c>
      <c r="AA401" s="162">
        <v>0</v>
      </c>
      <c r="AB401" s="162">
        <v>0</v>
      </c>
      <c r="AC401" s="162">
        <v>0</v>
      </c>
      <c r="AD401" s="160"/>
      <c r="AE401" s="145">
        <v>0</v>
      </c>
      <c r="AF401" s="421">
        <v>1.0529999999999999</v>
      </c>
      <c r="AG401" s="421">
        <v>1.0489999999999999</v>
      </c>
      <c r="AH401" s="421">
        <v>1.0469999999999999</v>
      </c>
      <c r="AI401" s="164">
        <v>0</v>
      </c>
      <c r="AJ401" s="164">
        <f t="shared" si="52"/>
        <v>0</v>
      </c>
      <c r="AK401" s="165">
        <v>0</v>
      </c>
      <c r="AL401" s="165">
        <f>AK401*AF401</f>
        <v>0</v>
      </c>
      <c r="AM401" s="165">
        <f t="shared" si="49"/>
        <v>0</v>
      </c>
      <c r="AN401" s="165">
        <f t="shared" si="50"/>
        <v>0</v>
      </c>
      <c r="AO401" s="16"/>
      <c r="AP401" s="231">
        <f t="shared" si="53"/>
        <v>0</v>
      </c>
      <c r="AR401" s="231"/>
      <c r="AS401" s="231"/>
      <c r="AU401" s="230">
        <v>0</v>
      </c>
      <c r="AV401" s="233">
        <v>0</v>
      </c>
      <c r="AW401" s="230">
        <f t="shared" si="51"/>
        <v>0</v>
      </c>
    </row>
    <row r="402" spans="1:49" x14ac:dyDescent="0.3">
      <c r="A402" s="16" t="s">
        <v>65</v>
      </c>
      <c r="B402" s="39" t="s">
        <v>992</v>
      </c>
      <c r="C402" s="39" t="s">
        <v>467</v>
      </c>
      <c r="D402" s="340" t="s">
        <v>3468</v>
      </c>
      <c r="E402" s="159" t="s">
        <v>310</v>
      </c>
      <c r="F402" s="159" t="s">
        <v>542</v>
      </c>
      <c r="G402" s="159" t="s">
        <v>309</v>
      </c>
      <c r="H402" s="159" t="s">
        <v>373</v>
      </c>
      <c r="I402" s="159" t="s">
        <v>468</v>
      </c>
      <c r="J402" s="159" t="s">
        <v>312</v>
      </c>
      <c r="K402" s="159" t="s">
        <v>1849</v>
      </c>
      <c r="L402" s="39" t="s">
        <v>304</v>
      </c>
      <c r="M402" s="39" t="s">
        <v>305</v>
      </c>
      <c r="N402" s="39">
        <v>11</v>
      </c>
      <c r="O402" s="39" t="s">
        <v>467</v>
      </c>
      <c r="P402" s="39" t="s">
        <v>467</v>
      </c>
      <c r="Q402" s="39" t="s">
        <v>992</v>
      </c>
      <c r="R402" s="16" t="s">
        <v>65</v>
      </c>
      <c r="S402" s="169">
        <v>0</v>
      </c>
      <c r="T402" s="160">
        <v>0</v>
      </c>
      <c r="U402" s="160">
        <v>0</v>
      </c>
      <c r="V402" s="160">
        <v>0</v>
      </c>
      <c r="W402" s="160">
        <v>0</v>
      </c>
      <c r="X402" s="161">
        <v>0</v>
      </c>
      <c r="Y402" s="160"/>
      <c r="Z402" s="16">
        <v>0</v>
      </c>
      <c r="AA402" s="162">
        <v>0</v>
      </c>
      <c r="AB402" s="162">
        <v>0</v>
      </c>
      <c r="AC402" s="162">
        <v>0</v>
      </c>
      <c r="AD402" s="160"/>
      <c r="AE402" s="145">
        <v>0</v>
      </c>
      <c r="AF402" s="163">
        <v>1.0469999999999999</v>
      </c>
      <c r="AG402" s="164">
        <v>1.046</v>
      </c>
      <c r="AH402" s="164">
        <v>1.046</v>
      </c>
      <c r="AI402" s="164">
        <v>0</v>
      </c>
      <c r="AJ402" s="164">
        <f t="shared" si="52"/>
        <v>0</v>
      </c>
      <c r="AK402" s="165">
        <v>0</v>
      </c>
      <c r="AL402" s="165">
        <v>0</v>
      </c>
      <c r="AM402" s="165">
        <f t="shared" si="49"/>
        <v>0</v>
      </c>
      <c r="AN402" s="165">
        <f t="shared" si="50"/>
        <v>0</v>
      </c>
      <c r="AO402" s="16"/>
      <c r="AP402" s="231">
        <f t="shared" si="53"/>
        <v>0</v>
      </c>
      <c r="AR402" s="231"/>
      <c r="AS402" s="231"/>
      <c r="AU402" s="230">
        <v>0</v>
      </c>
      <c r="AV402" s="233">
        <v>0</v>
      </c>
      <c r="AW402" s="230">
        <f t="shared" si="51"/>
        <v>0</v>
      </c>
    </row>
    <row r="403" spans="1:49" s="172" customFormat="1" x14ac:dyDescent="0.3">
      <c r="A403" s="166" t="s">
        <v>69</v>
      </c>
      <c r="B403" s="167" t="s">
        <v>993</v>
      </c>
      <c r="C403" s="167" t="s">
        <v>398</v>
      </c>
      <c r="D403" s="412" t="s">
        <v>3468</v>
      </c>
      <c r="E403" s="168" t="s">
        <v>310</v>
      </c>
      <c r="F403" s="168" t="s">
        <v>542</v>
      </c>
      <c r="G403" s="168" t="s">
        <v>309</v>
      </c>
      <c r="H403" s="168" t="s">
        <v>310</v>
      </c>
      <c r="I403" s="168" t="s">
        <v>374</v>
      </c>
      <c r="J403" s="168" t="s">
        <v>312</v>
      </c>
      <c r="K403" s="168" t="s">
        <v>1849</v>
      </c>
      <c r="L403" s="167" t="s">
        <v>304</v>
      </c>
      <c r="M403" s="167" t="s">
        <v>305</v>
      </c>
      <c r="N403" s="167">
        <v>11</v>
      </c>
      <c r="O403" s="167" t="s">
        <v>398</v>
      </c>
      <c r="P403" s="167" t="s">
        <v>398</v>
      </c>
      <c r="Q403" s="167" t="s">
        <v>993</v>
      </c>
      <c r="R403" s="166" t="s">
        <v>69</v>
      </c>
      <c r="S403" s="169">
        <v>1943</v>
      </c>
      <c r="T403" s="160">
        <v>162</v>
      </c>
      <c r="U403" s="160">
        <v>0</v>
      </c>
      <c r="V403" s="160">
        <v>680.4</v>
      </c>
      <c r="W403" s="160">
        <v>1262.5999999999999</v>
      </c>
      <c r="X403" s="161">
        <v>0</v>
      </c>
      <c r="Y403" s="160"/>
      <c r="Z403" s="16">
        <v>35.01</v>
      </c>
      <c r="AA403" s="162">
        <v>680.4</v>
      </c>
      <c r="AB403" s="162">
        <v>170.1</v>
      </c>
      <c r="AC403" s="162">
        <v>2041.1999999999998</v>
      </c>
      <c r="AD403" s="160"/>
      <c r="AE403" s="145">
        <v>1943</v>
      </c>
      <c r="AF403" s="163">
        <v>1.0529999999999999</v>
      </c>
      <c r="AG403" s="163">
        <v>1.0489999999999999</v>
      </c>
      <c r="AH403" s="163">
        <v>1.0469999999999999</v>
      </c>
      <c r="AI403" s="164">
        <v>1943</v>
      </c>
      <c r="AJ403" s="164">
        <f t="shared" si="52"/>
        <v>0</v>
      </c>
      <c r="AK403" s="229">
        <v>1943</v>
      </c>
      <c r="AL403" s="229">
        <f ca="1">SUMIF('MS &amp; Vacancies combined'!A:N,D403,'MS &amp; Vacancies combined'!N:N)*105.3/100</f>
        <v>2013.2844188057641</v>
      </c>
      <c r="AM403" s="229">
        <f t="shared" ca="1" si="49"/>
        <v>2111.9353553272463</v>
      </c>
      <c r="AN403" s="229">
        <f t="shared" ca="1" si="50"/>
        <v>2211.1963170276267</v>
      </c>
      <c r="AO403" s="166"/>
      <c r="AP403" s="413">
        <f t="shared" ca="1" si="53"/>
        <v>-70.284418805764062</v>
      </c>
      <c r="AR403" s="231"/>
      <c r="AS403" s="231"/>
      <c r="AU403" s="414">
        <v>1943</v>
      </c>
      <c r="AV403" s="415">
        <v>1943</v>
      </c>
      <c r="AW403" s="414">
        <f t="shared" si="51"/>
        <v>0</v>
      </c>
    </row>
    <row r="404" spans="1:49" s="172" customFormat="1" x14ac:dyDescent="0.3">
      <c r="A404" s="166" t="s">
        <v>70</v>
      </c>
      <c r="B404" s="167" t="s">
        <v>994</v>
      </c>
      <c r="C404" s="167" t="s">
        <v>400</v>
      </c>
      <c r="D404" s="412" t="s">
        <v>3468</v>
      </c>
      <c r="E404" s="168" t="s">
        <v>310</v>
      </c>
      <c r="F404" s="168" t="s">
        <v>542</v>
      </c>
      <c r="G404" s="168" t="s">
        <v>309</v>
      </c>
      <c r="H404" s="168" t="s">
        <v>310</v>
      </c>
      <c r="I404" s="168" t="s">
        <v>401</v>
      </c>
      <c r="J404" s="168" t="s">
        <v>312</v>
      </c>
      <c r="K404" s="168" t="s">
        <v>1849</v>
      </c>
      <c r="L404" s="167" t="s">
        <v>304</v>
      </c>
      <c r="M404" s="167" t="s">
        <v>305</v>
      </c>
      <c r="N404" s="167">
        <v>11</v>
      </c>
      <c r="O404" s="167" t="s">
        <v>400</v>
      </c>
      <c r="P404" s="167" t="s">
        <v>400</v>
      </c>
      <c r="Q404" s="167" t="s">
        <v>994</v>
      </c>
      <c r="R404" s="166" t="s">
        <v>70</v>
      </c>
      <c r="S404" s="169">
        <v>141094</v>
      </c>
      <c r="T404" s="160">
        <v>5911.97</v>
      </c>
      <c r="U404" s="160">
        <v>0</v>
      </c>
      <c r="V404" s="160">
        <v>21646.560000000001</v>
      </c>
      <c r="W404" s="160">
        <v>119447.44</v>
      </c>
      <c r="X404" s="161">
        <v>0</v>
      </c>
      <c r="Y404" s="160"/>
      <c r="Z404" s="16">
        <v>15.34</v>
      </c>
      <c r="AA404" s="162">
        <v>21646.560000000001</v>
      </c>
      <c r="AB404" s="162">
        <v>5411.64</v>
      </c>
      <c r="AC404" s="162">
        <v>64939.680000000008</v>
      </c>
      <c r="AD404" s="160"/>
      <c r="AE404" s="145">
        <v>141094</v>
      </c>
      <c r="AF404" s="163">
        <v>1.0529999999999999</v>
      </c>
      <c r="AG404" s="163">
        <v>1.0489999999999999</v>
      </c>
      <c r="AH404" s="163">
        <v>1.0469999999999999</v>
      </c>
      <c r="AI404" s="164">
        <v>141094</v>
      </c>
      <c r="AJ404" s="164">
        <f t="shared" si="52"/>
        <v>0</v>
      </c>
      <c r="AK404" s="229">
        <v>141094</v>
      </c>
      <c r="AL404" s="229">
        <f ca="1">SUMIF('MS &amp; Vacancies combined'!A:P,D404,'MS &amp; Vacancies combined'!P:P)*105.3/100</f>
        <v>149548.81719635578</v>
      </c>
      <c r="AM404" s="229">
        <f t="shared" ca="1" si="49"/>
        <v>156876.7092389772</v>
      </c>
      <c r="AN404" s="229">
        <f t="shared" ca="1" si="50"/>
        <v>164249.91457320913</v>
      </c>
      <c r="AO404" s="166"/>
      <c r="AP404" s="413">
        <f t="shared" ca="1" si="53"/>
        <v>-8454.8171963557834</v>
      </c>
      <c r="AR404" s="231"/>
      <c r="AS404" s="231"/>
      <c r="AU404" s="414">
        <v>141094</v>
      </c>
      <c r="AV404" s="415">
        <v>141094</v>
      </c>
      <c r="AW404" s="414">
        <f t="shared" si="51"/>
        <v>0</v>
      </c>
    </row>
    <row r="405" spans="1:49" s="172" customFormat="1" x14ac:dyDescent="0.3">
      <c r="A405" s="166" t="s">
        <v>71</v>
      </c>
      <c r="B405" s="167" t="s">
        <v>995</v>
      </c>
      <c r="C405" s="167" t="s">
        <v>403</v>
      </c>
      <c r="D405" s="412" t="s">
        <v>3468</v>
      </c>
      <c r="E405" s="168" t="s">
        <v>310</v>
      </c>
      <c r="F405" s="168" t="s">
        <v>542</v>
      </c>
      <c r="G405" s="168" t="s">
        <v>309</v>
      </c>
      <c r="H405" s="168" t="s">
        <v>310</v>
      </c>
      <c r="I405" s="168" t="s">
        <v>404</v>
      </c>
      <c r="J405" s="168" t="s">
        <v>312</v>
      </c>
      <c r="K405" s="168" t="s">
        <v>1849</v>
      </c>
      <c r="L405" s="167" t="s">
        <v>304</v>
      </c>
      <c r="M405" s="167" t="s">
        <v>305</v>
      </c>
      <c r="N405" s="167">
        <v>11</v>
      </c>
      <c r="O405" s="167" t="s">
        <v>403</v>
      </c>
      <c r="P405" s="167" t="s">
        <v>403</v>
      </c>
      <c r="Q405" s="167" t="s">
        <v>995</v>
      </c>
      <c r="R405" s="166" t="s">
        <v>71</v>
      </c>
      <c r="S405" s="169">
        <v>900401</v>
      </c>
      <c r="T405" s="160">
        <v>55051.199999999997</v>
      </c>
      <c r="U405" s="160">
        <v>0</v>
      </c>
      <c r="V405" s="160">
        <v>226765.8</v>
      </c>
      <c r="W405" s="160">
        <v>673635.2</v>
      </c>
      <c r="X405" s="161">
        <v>0</v>
      </c>
      <c r="Y405" s="160"/>
      <c r="Z405" s="16">
        <v>25.18</v>
      </c>
      <c r="AA405" s="162">
        <v>226765.8</v>
      </c>
      <c r="AB405" s="162">
        <v>56691.45</v>
      </c>
      <c r="AC405" s="162">
        <v>680297.39999999991</v>
      </c>
      <c r="AD405" s="160"/>
      <c r="AE405" s="145">
        <v>900401</v>
      </c>
      <c r="AF405" s="163">
        <v>1.0529999999999999</v>
      </c>
      <c r="AG405" s="163">
        <v>1.0489999999999999</v>
      </c>
      <c r="AH405" s="163">
        <v>1.0469999999999999</v>
      </c>
      <c r="AI405" s="164">
        <v>900401</v>
      </c>
      <c r="AJ405" s="164">
        <f t="shared" si="52"/>
        <v>0</v>
      </c>
      <c r="AK405" s="229">
        <v>900401</v>
      </c>
      <c r="AL405" s="229">
        <f ca="1">SUMIF('MS &amp; Vacancies combined'!A:Q,D405,'MS &amp; Vacancies combined'!Q:Q)*105.3/100</f>
        <v>933381.02638522803</v>
      </c>
      <c r="AM405" s="229">
        <f t="shared" ca="1" si="49"/>
        <v>979116.69667810411</v>
      </c>
      <c r="AN405" s="229">
        <f t="shared" ca="1" si="50"/>
        <v>1025135.1814219749</v>
      </c>
      <c r="AO405" s="166"/>
      <c r="AP405" s="413">
        <f t="shared" ca="1" si="53"/>
        <v>-32980.026385228033</v>
      </c>
      <c r="AR405" s="231"/>
      <c r="AS405" s="231"/>
      <c r="AU405" s="414">
        <v>900401</v>
      </c>
      <c r="AV405" s="415">
        <v>900401</v>
      </c>
      <c r="AW405" s="414">
        <f t="shared" si="51"/>
        <v>0</v>
      </c>
    </row>
    <row r="406" spans="1:49" s="172" customFormat="1" x14ac:dyDescent="0.3">
      <c r="A406" s="166" t="s">
        <v>72</v>
      </c>
      <c r="B406" s="167" t="s">
        <v>996</v>
      </c>
      <c r="C406" s="167" t="s">
        <v>406</v>
      </c>
      <c r="D406" s="412" t="s">
        <v>3468</v>
      </c>
      <c r="E406" s="168" t="s">
        <v>310</v>
      </c>
      <c r="F406" s="168" t="s">
        <v>542</v>
      </c>
      <c r="G406" s="168" t="s">
        <v>309</v>
      </c>
      <c r="H406" s="168" t="s">
        <v>310</v>
      </c>
      <c r="I406" s="168" t="s">
        <v>407</v>
      </c>
      <c r="J406" s="168" t="s">
        <v>312</v>
      </c>
      <c r="K406" s="168" t="s">
        <v>1849</v>
      </c>
      <c r="L406" s="167" t="s">
        <v>304</v>
      </c>
      <c r="M406" s="167" t="s">
        <v>305</v>
      </c>
      <c r="N406" s="167">
        <v>11</v>
      </c>
      <c r="O406" s="167" t="s">
        <v>406</v>
      </c>
      <c r="P406" s="167" t="s">
        <v>406</v>
      </c>
      <c r="Q406" s="167" t="s">
        <v>996</v>
      </c>
      <c r="R406" s="166" t="s">
        <v>72</v>
      </c>
      <c r="S406" s="169">
        <v>1499748</v>
      </c>
      <c r="T406" s="160">
        <v>139203.25</v>
      </c>
      <c r="U406" s="160">
        <v>0</v>
      </c>
      <c r="V406" s="160">
        <v>566730.81999999995</v>
      </c>
      <c r="W406" s="160">
        <v>933017.18</v>
      </c>
      <c r="X406" s="161">
        <v>0</v>
      </c>
      <c r="Y406" s="160"/>
      <c r="Z406" s="16">
        <v>37.78</v>
      </c>
      <c r="AA406" s="162">
        <v>566730.81999999995</v>
      </c>
      <c r="AB406" s="162">
        <v>141682.70499999999</v>
      </c>
      <c r="AC406" s="162">
        <v>1700192.46</v>
      </c>
      <c r="AD406" s="160"/>
      <c r="AE406" s="145">
        <v>1499748</v>
      </c>
      <c r="AF406" s="163">
        <v>1.0529999999999999</v>
      </c>
      <c r="AG406" s="163">
        <v>1.0489999999999999</v>
      </c>
      <c r="AH406" s="163">
        <v>1.0469999999999999</v>
      </c>
      <c r="AI406" s="164">
        <v>1499748</v>
      </c>
      <c r="AJ406" s="164">
        <f t="shared" si="52"/>
        <v>0</v>
      </c>
      <c r="AK406" s="229">
        <v>1499748</v>
      </c>
      <c r="AL406" s="229">
        <f ca="1">SUMIF('MS &amp; Vacancies combined'!A:R,D406,'MS &amp; Vacancies combined'!R:R)*105.3/100</f>
        <v>1544198.3581360849</v>
      </c>
      <c r="AM406" s="229">
        <f t="shared" ca="1" si="49"/>
        <v>1619864.0776847529</v>
      </c>
      <c r="AN406" s="229">
        <f t="shared" ca="1" si="50"/>
        <v>1695997.6893359362</v>
      </c>
      <c r="AO406" s="166"/>
      <c r="AP406" s="413">
        <f t="shared" ca="1" si="53"/>
        <v>-44450.358136084862</v>
      </c>
      <c r="AR406" s="231"/>
      <c r="AS406" s="231"/>
      <c r="AU406" s="414">
        <v>1499748</v>
      </c>
      <c r="AV406" s="415">
        <v>1499748</v>
      </c>
      <c r="AW406" s="414">
        <f t="shared" si="51"/>
        <v>0</v>
      </c>
    </row>
    <row r="407" spans="1:49" s="172" customFormat="1" x14ac:dyDescent="0.3">
      <c r="A407" s="166" t="s">
        <v>73</v>
      </c>
      <c r="B407" s="167" t="s">
        <v>997</v>
      </c>
      <c r="C407" s="167" t="s">
        <v>307</v>
      </c>
      <c r="D407" s="412" t="s">
        <v>3468</v>
      </c>
      <c r="E407" s="168" t="s">
        <v>310</v>
      </c>
      <c r="F407" s="168" t="s">
        <v>542</v>
      </c>
      <c r="G407" s="168" t="s">
        <v>309</v>
      </c>
      <c r="H407" s="168" t="s">
        <v>310</v>
      </c>
      <c r="I407" s="168" t="s">
        <v>311</v>
      </c>
      <c r="J407" s="168" t="s">
        <v>312</v>
      </c>
      <c r="K407" s="168" t="s">
        <v>1849</v>
      </c>
      <c r="L407" s="167" t="s">
        <v>304</v>
      </c>
      <c r="M407" s="167" t="s">
        <v>305</v>
      </c>
      <c r="N407" s="167">
        <v>11</v>
      </c>
      <c r="O407" s="167" t="s">
        <v>307</v>
      </c>
      <c r="P407" s="167" t="s">
        <v>307</v>
      </c>
      <c r="Q407" s="167" t="s">
        <v>997</v>
      </c>
      <c r="R407" s="166" t="s">
        <v>73</v>
      </c>
      <c r="S407" s="169">
        <v>33412</v>
      </c>
      <c r="T407" s="160">
        <v>2656.8</v>
      </c>
      <c r="U407" s="160">
        <v>0</v>
      </c>
      <c r="V407" s="160">
        <v>11158.56</v>
      </c>
      <c r="W407" s="160">
        <v>22253.439999999999</v>
      </c>
      <c r="X407" s="161">
        <v>0</v>
      </c>
      <c r="Y407" s="160"/>
      <c r="Z407" s="16">
        <v>33.39</v>
      </c>
      <c r="AA407" s="162">
        <v>11158.56</v>
      </c>
      <c r="AB407" s="162">
        <v>2789.64</v>
      </c>
      <c r="AC407" s="162">
        <v>33475.68</v>
      </c>
      <c r="AD407" s="160"/>
      <c r="AE407" s="145">
        <v>33412</v>
      </c>
      <c r="AF407" s="163">
        <v>1.0529999999999999</v>
      </c>
      <c r="AG407" s="163">
        <v>1.0489999999999999</v>
      </c>
      <c r="AH407" s="163">
        <v>1.0469999999999999</v>
      </c>
      <c r="AI407" s="164">
        <v>33412</v>
      </c>
      <c r="AJ407" s="164">
        <f t="shared" si="52"/>
        <v>0</v>
      </c>
      <c r="AK407" s="229">
        <v>33412</v>
      </c>
      <c r="AL407" s="229">
        <f ca="1">SUMIF('MS &amp; Vacancies combined'!A:S,D407,'MS &amp; Vacancies combined'!S:S)*105.3/100</f>
        <v>33017.86446841454</v>
      </c>
      <c r="AM407" s="229">
        <f t="shared" ca="1" si="49"/>
        <v>34635.739827366851</v>
      </c>
      <c r="AN407" s="229">
        <f t="shared" ca="1" si="50"/>
        <v>36263.619599253092</v>
      </c>
      <c r="AO407" s="166"/>
      <c r="AP407" s="413">
        <f t="shared" ca="1" si="53"/>
        <v>394.13553158545983</v>
      </c>
      <c r="AR407" s="231"/>
      <c r="AS407" s="231"/>
      <c r="AU407" s="414">
        <v>33412</v>
      </c>
      <c r="AV407" s="415">
        <v>33412</v>
      </c>
      <c r="AW407" s="414">
        <f t="shared" si="51"/>
        <v>0</v>
      </c>
    </row>
    <row r="408" spans="1:49" hidden="1" x14ac:dyDescent="0.3">
      <c r="A408" s="16" t="s">
        <v>324</v>
      </c>
      <c r="B408" s="39" t="s">
        <v>998</v>
      </c>
      <c r="C408" s="39" t="s">
        <v>76</v>
      </c>
      <c r="D408" s="340" t="s">
        <v>3468</v>
      </c>
      <c r="E408" s="159" t="s">
        <v>310</v>
      </c>
      <c r="F408" s="159" t="s">
        <v>542</v>
      </c>
      <c r="G408" s="159" t="s">
        <v>309</v>
      </c>
      <c r="H408" s="159" t="s">
        <v>325</v>
      </c>
      <c r="I408" s="159" t="s">
        <v>326</v>
      </c>
      <c r="J408" s="159" t="s">
        <v>327</v>
      </c>
      <c r="K408" s="159" t="s">
        <v>1849</v>
      </c>
      <c r="L408" s="39" t="s">
        <v>304</v>
      </c>
      <c r="M408" s="39" t="s">
        <v>305</v>
      </c>
      <c r="N408" s="39">
        <v>11</v>
      </c>
      <c r="O408" s="39" t="s">
        <v>76</v>
      </c>
      <c r="P408" s="39" t="s">
        <v>76</v>
      </c>
      <c r="Q408" s="39" t="s">
        <v>998</v>
      </c>
      <c r="R408" s="16" t="s">
        <v>324</v>
      </c>
      <c r="S408" s="160">
        <v>90000</v>
      </c>
      <c r="T408" s="160">
        <v>17174.919999999998</v>
      </c>
      <c r="U408" s="160">
        <v>0</v>
      </c>
      <c r="V408" s="160">
        <v>17174.919999999998</v>
      </c>
      <c r="W408" s="160">
        <v>72825.08</v>
      </c>
      <c r="X408" s="161">
        <v>2307.8000000000002</v>
      </c>
      <c r="Y408" s="160"/>
      <c r="Z408" s="16">
        <v>19.079999999999998</v>
      </c>
      <c r="AA408" s="162">
        <v>17174.919999999998</v>
      </c>
      <c r="AB408" s="162">
        <v>4293.7299999999996</v>
      </c>
      <c r="AC408" s="162">
        <v>51524.759999999995</v>
      </c>
      <c r="AD408" s="160">
        <v>-47062.7</v>
      </c>
      <c r="AE408" s="145">
        <v>42937.3</v>
      </c>
      <c r="AF408" s="163">
        <v>1.0469999999999999</v>
      </c>
      <c r="AG408" s="164">
        <v>1.046</v>
      </c>
      <c r="AH408" s="164">
        <v>1.046</v>
      </c>
      <c r="AI408" s="164">
        <v>42937.3</v>
      </c>
      <c r="AJ408" s="164">
        <f t="shared" si="52"/>
        <v>0</v>
      </c>
      <c r="AK408" s="165">
        <v>50000</v>
      </c>
      <c r="AL408" s="165">
        <f>AK408</f>
        <v>50000</v>
      </c>
      <c r="AM408" s="165">
        <f t="shared" si="49"/>
        <v>52300</v>
      </c>
      <c r="AN408" s="165">
        <f t="shared" si="50"/>
        <v>54705.8</v>
      </c>
      <c r="AO408" s="16"/>
      <c r="AP408" s="231">
        <f t="shared" si="53"/>
        <v>0</v>
      </c>
      <c r="AR408" s="231"/>
      <c r="AS408" s="231"/>
      <c r="AU408" s="230">
        <v>90000</v>
      </c>
      <c r="AV408" s="233">
        <v>42937.3</v>
      </c>
      <c r="AW408" s="230">
        <f t="shared" si="51"/>
        <v>0</v>
      </c>
    </row>
    <row r="409" spans="1:49" hidden="1" x14ac:dyDescent="0.3">
      <c r="A409" s="16" t="s">
        <v>1000</v>
      </c>
      <c r="B409" s="39" t="s">
        <v>999</v>
      </c>
      <c r="C409" s="39" t="s">
        <v>78</v>
      </c>
      <c r="D409" s="340" t="s">
        <v>3468</v>
      </c>
      <c r="E409" s="159" t="s">
        <v>310</v>
      </c>
      <c r="F409" s="159" t="s">
        <v>542</v>
      </c>
      <c r="G409" s="159" t="s">
        <v>309</v>
      </c>
      <c r="H409" s="159" t="s">
        <v>330</v>
      </c>
      <c r="I409" s="159" t="s">
        <v>1002</v>
      </c>
      <c r="J409" s="159" t="s">
        <v>312</v>
      </c>
      <c r="K409" s="159" t="s">
        <v>1849</v>
      </c>
      <c r="L409" s="39">
        <v>414</v>
      </c>
      <c r="M409" s="39" t="s">
        <v>305</v>
      </c>
      <c r="N409" s="39">
        <v>11</v>
      </c>
      <c r="O409" s="39" t="s">
        <v>78</v>
      </c>
      <c r="P409" s="39" t="s">
        <v>1001</v>
      </c>
      <c r="Q409" s="39" t="s">
        <v>999</v>
      </c>
      <c r="R409" s="16" t="s">
        <v>1000</v>
      </c>
      <c r="S409" s="160">
        <v>0</v>
      </c>
      <c r="T409" s="160">
        <v>0</v>
      </c>
      <c r="U409" s="160">
        <v>0</v>
      </c>
      <c r="V409" s="160">
        <v>0</v>
      </c>
      <c r="W409" s="160">
        <v>0</v>
      </c>
      <c r="X409" s="161">
        <v>0</v>
      </c>
      <c r="Y409" s="160"/>
      <c r="Z409" s="16">
        <v>0</v>
      </c>
      <c r="AA409" s="162">
        <v>0</v>
      </c>
      <c r="AB409" s="162">
        <v>0</v>
      </c>
      <c r="AC409" s="162">
        <v>0</v>
      </c>
      <c r="AD409" s="160"/>
      <c r="AE409" s="145">
        <v>0</v>
      </c>
      <c r="AF409" s="163">
        <v>1.0469999999999999</v>
      </c>
      <c r="AG409" s="164">
        <v>1.046</v>
      </c>
      <c r="AH409" s="164">
        <v>1.046</v>
      </c>
      <c r="AI409" s="164">
        <v>0</v>
      </c>
      <c r="AJ409" s="164">
        <f t="shared" si="52"/>
        <v>0</v>
      </c>
      <c r="AK409" s="165">
        <v>0</v>
      </c>
      <c r="AL409" s="165">
        <v>0</v>
      </c>
      <c r="AM409" s="165">
        <f t="shared" si="49"/>
        <v>0</v>
      </c>
      <c r="AN409" s="165">
        <f t="shared" si="50"/>
        <v>0</v>
      </c>
      <c r="AO409" s="16"/>
      <c r="AP409" s="231">
        <f t="shared" si="53"/>
        <v>0</v>
      </c>
      <c r="AR409" s="231"/>
      <c r="AS409" s="231"/>
      <c r="AU409" s="230">
        <v>0</v>
      </c>
      <c r="AV409" s="233">
        <v>0</v>
      </c>
      <c r="AW409" s="230">
        <f t="shared" si="51"/>
        <v>0</v>
      </c>
    </row>
    <row r="410" spans="1:49" hidden="1" x14ac:dyDescent="0.3">
      <c r="A410" s="16" t="s">
        <v>1004</v>
      </c>
      <c r="B410" s="39" t="s">
        <v>1003</v>
      </c>
      <c r="C410" s="39" t="s">
        <v>80</v>
      </c>
      <c r="D410" s="340" t="s">
        <v>3468</v>
      </c>
      <c r="E410" s="159" t="s">
        <v>310</v>
      </c>
      <c r="F410" s="159" t="s">
        <v>542</v>
      </c>
      <c r="G410" s="159" t="s">
        <v>309</v>
      </c>
      <c r="H410" s="159" t="s">
        <v>413</v>
      </c>
      <c r="I410" s="159" t="s">
        <v>1006</v>
      </c>
      <c r="J410" s="159" t="s">
        <v>312</v>
      </c>
      <c r="K410" s="159" t="s">
        <v>1849</v>
      </c>
      <c r="L410" s="39">
        <v>417</v>
      </c>
      <c r="M410" s="39" t="s">
        <v>305</v>
      </c>
      <c r="N410" s="39">
        <v>11</v>
      </c>
      <c r="O410" s="39" t="s">
        <v>80</v>
      </c>
      <c r="P410" s="39" t="s">
        <v>1005</v>
      </c>
      <c r="Q410" s="39" t="s">
        <v>1003</v>
      </c>
      <c r="R410" s="16" t="s">
        <v>1004</v>
      </c>
      <c r="S410" s="160">
        <v>2930000</v>
      </c>
      <c r="T410" s="160">
        <v>70225</v>
      </c>
      <c r="U410" s="160">
        <v>0</v>
      </c>
      <c r="V410" s="160">
        <v>70225</v>
      </c>
      <c r="W410" s="160">
        <v>2859775</v>
      </c>
      <c r="X410" s="161">
        <v>70225</v>
      </c>
      <c r="Y410" s="160"/>
      <c r="Z410" s="16">
        <v>2.39</v>
      </c>
      <c r="AA410" s="162">
        <v>70225</v>
      </c>
      <c r="AB410" s="162">
        <v>17556.25</v>
      </c>
      <c r="AC410" s="162">
        <v>210675</v>
      </c>
      <c r="AD410" s="145">
        <v>0</v>
      </c>
      <c r="AE410" s="145">
        <v>2930000</v>
      </c>
      <c r="AF410" s="163">
        <v>1.0469999999999999</v>
      </c>
      <c r="AG410" s="164">
        <v>1.046</v>
      </c>
      <c r="AH410" s="164">
        <v>1.046</v>
      </c>
      <c r="AI410" s="164">
        <v>2930000</v>
      </c>
      <c r="AJ410" s="164">
        <f t="shared" si="52"/>
        <v>0</v>
      </c>
      <c r="AK410" s="165">
        <v>3500000</v>
      </c>
      <c r="AL410" s="165">
        <f t="shared" ref="AL410:AL420" si="54">AK410</f>
        <v>3500000</v>
      </c>
      <c r="AM410" s="165">
        <f t="shared" si="49"/>
        <v>3661000</v>
      </c>
      <c r="AN410" s="165">
        <f t="shared" si="50"/>
        <v>3829406</v>
      </c>
      <c r="AO410" s="16"/>
      <c r="AP410" s="231">
        <f t="shared" si="53"/>
        <v>0</v>
      </c>
      <c r="AR410" s="231"/>
      <c r="AS410" s="231"/>
      <c r="AU410" s="230">
        <v>2930000</v>
      </c>
      <c r="AV410" s="233">
        <v>2930000</v>
      </c>
      <c r="AW410" s="230">
        <f t="shared" si="51"/>
        <v>0</v>
      </c>
    </row>
    <row r="411" spans="1:49" s="238" customFormat="1" hidden="1" x14ac:dyDescent="0.3">
      <c r="A411" s="236" t="s">
        <v>1008</v>
      </c>
      <c r="B411" s="252" t="s">
        <v>1007</v>
      </c>
      <c r="C411" s="252" t="s">
        <v>82</v>
      </c>
      <c r="D411" s="340" t="s">
        <v>3468</v>
      </c>
      <c r="E411" s="253" t="s">
        <v>310</v>
      </c>
      <c r="F411" s="253" t="s">
        <v>542</v>
      </c>
      <c r="G411" s="253" t="s">
        <v>309</v>
      </c>
      <c r="H411" s="253" t="s">
        <v>334</v>
      </c>
      <c r="I411" s="253" t="s">
        <v>672</v>
      </c>
      <c r="J411" s="253" t="s">
        <v>312</v>
      </c>
      <c r="K411" s="253" t="s">
        <v>1849</v>
      </c>
      <c r="L411" s="252" t="s">
        <v>304</v>
      </c>
      <c r="M411" s="252" t="s">
        <v>305</v>
      </c>
      <c r="N411" s="252">
        <v>11</v>
      </c>
      <c r="O411" s="252" t="s">
        <v>82</v>
      </c>
      <c r="P411" s="252" t="s">
        <v>1009</v>
      </c>
      <c r="Q411" s="252" t="s">
        <v>1007</v>
      </c>
      <c r="R411" s="236" t="s">
        <v>1008</v>
      </c>
      <c r="S411" s="160">
        <v>1000000</v>
      </c>
      <c r="T411" s="160">
        <v>26240</v>
      </c>
      <c r="U411" s="160">
        <v>0</v>
      </c>
      <c r="V411" s="160">
        <v>102713</v>
      </c>
      <c r="W411" s="160">
        <v>897287</v>
      </c>
      <c r="X411" s="161">
        <v>126396</v>
      </c>
      <c r="Y411" s="160"/>
      <c r="Z411" s="16">
        <v>10.27</v>
      </c>
      <c r="AA411" s="162">
        <v>102713</v>
      </c>
      <c r="AB411" s="162">
        <v>25678.25</v>
      </c>
      <c r="AC411" s="162">
        <v>308139</v>
      </c>
      <c r="AD411" s="160"/>
      <c r="AE411" s="254">
        <v>1000000</v>
      </c>
      <c r="AF411" s="163">
        <v>1.0469999999999999</v>
      </c>
      <c r="AG411" s="164">
        <v>1.046</v>
      </c>
      <c r="AH411" s="164">
        <v>1.046</v>
      </c>
      <c r="AI411" s="234">
        <v>1000000</v>
      </c>
      <c r="AJ411" s="164">
        <f t="shared" si="52"/>
        <v>0</v>
      </c>
      <c r="AK411" s="235">
        <v>2500000</v>
      </c>
      <c r="AL411" s="235">
        <f t="shared" si="54"/>
        <v>2500000</v>
      </c>
      <c r="AM411" s="235">
        <f t="shared" si="49"/>
        <v>2615000</v>
      </c>
      <c r="AN411" s="235">
        <f t="shared" si="50"/>
        <v>2735290</v>
      </c>
      <c r="AO411" s="236"/>
      <c r="AP411" s="237">
        <f t="shared" si="53"/>
        <v>0</v>
      </c>
      <c r="AR411" s="231"/>
      <c r="AS411" s="231"/>
      <c r="AU411" s="239">
        <v>1000000</v>
      </c>
      <c r="AV411" s="240">
        <v>1000000</v>
      </c>
      <c r="AW411" s="239">
        <f t="shared" si="51"/>
        <v>0</v>
      </c>
    </row>
    <row r="412" spans="1:49" hidden="1" x14ac:dyDescent="0.3">
      <c r="A412" s="16" t="s">
        <v>1011</v>
      </c>
      <c r="B412" s="39" t="s">
        <v>1010</v>
      </c>
      <c r="C412" s="39" t="s">
        <v>82</v>
      </c>
      <c r="D412" s="340" t="s">
        <v>3468</v>
      </c>
      <c r="E412" s="159" t="s">
        <v>310</v>
      </c>
      <c r="F412" s="159" t="s">
        <v>542</v>
      </c>
      <c r="G412" s="159" t="s">
        <v>309</v>
      </c>
      <c r="H412" s="159" t="s">
        <v>334</v>
      </c>
      <c r="I412" s="159" t="s">
        <v>1013</v>
      </c>
      <c r="J412" s="159" t="s">
        <v>312</v>
      </c>
      <c r="K412" s="159" t="s">
        <v>1849</v>
      </c>
      <c r="L412" s="39" t="s">
        <v>304</v>
      </c>
      <c r="M412" s="39" t="s">
        <v>305</v>
      </c>
      <c r="N412" s="39">
        <v>11</v>
      </c>
      <c r="O412" s="39" t="s">
        <v>82</v>
      </c>
      <c r="P412" s="39" t="s">
        <v>1012</v>
      </c>
      <c r="Q412" s="39" t="s">
        <v>1010</v>
      </c>
      <c r="R412" s="16" t="s">
        <v>1011</v>
      </c>
      <c r="S412" s="160">
        <v>0</v>
      </c>
      <c r="T412" s="160">
        <v>0</v>
      </c>
      <c r="U412" s="160">
        <v>0</v>
      </c>
      <c r="V412" s="160">
        <v>0</v>
      </c>
      <c r="W412" s="160">
        <v>0</v>
      </c>
      <c r="X412" s="161">
        <v>0</v>
      </c>
      <c r="Y412" s="160"/>
      <c r="Z412" s="16">
        <v>0</v>
      </c>
      <c r="AA412" s="162">
        <v>0</v>
      </c>
      <c r="AB412" s="162">
        <v>0</v>
      </c>
      <c r="AC412" s="162">
        <v>0</v>
      </c>
      <c r="AD412" s="160"/>
      <c r="AE412" s="145">
        <v>0</v>
      </c>
      <c r="AF412" s="163">
        <v>1.0469999999999999</v>
      </c>
      <c r="AG412" s="164">
        <v>1.046</v>
      </c>
      <c r="AH412" s="164">
        <v>1.046</v>
      </c>
      <c r="AI412" s="164">
        <v>0</v>
      </c>
      <c r="AJ412" s="164">
        <f t="shared" si="52"/>
        <v>0</v>
      </c>
      <c r="AK412" s="165">
        <v>0</v>
      </c>
      <c r="AL412" s="165">
        <f t="shared" si="54"/>
        <v>0</v>
      </c>
      <c r="AM412" s="165">
        <f t="shared" si="49"/>
        <v>0</v>
      </c>
      <c r="AN412" s="165">
        <f t="shared" si="50"/>
        <v>0</v>
      </c>
      <c r="AO412" s="16"/>
      <c r="AP412" s="231">
        <f t="shared" si="53"/>
        <v>0</v>
      </c>
      <c r="AR412" s="231"/>
      <c r="AS412" s="231"/>
      <c r="AU412" s="230">
        <v>0</v>
      </c>
      <c r="AV412" s="233">
        <v>0</v>
      </c>
      <c r="AW412" s="230">
        <f t="shared" si="51"/>
        <v>0</v>
      </c>
    </row>
    <row r="413" spans="1:49" hidden="1" x14ac:dyDescent="0.3">
      <c r="A413" s="16" t="s">
        <v>333</v>
      </c>
      <c r="B413" s="39" t="s">
        <v>1014</v>
      </c>
      <c r="C413" s="39" t="s">
        <v>82</v>
      </c>
      <c r="D413" s="340" t="s">
        <v>3468</v>
      </c>
      <c r="E413" s="159" t="s">
        <v>310</v>
      </c>
      <c r="F413" s="159" t="s">
        <v>542</v>
      </c>
      <c r="G413" s="159" t="s">
        <v>309</v>
      </c>
      <c r="H413" s="159" t="s">
        <v>334</v>
      </c>
      <c r="I413" s="159" t="s">
        <v>335</v>
      </c>
      <c r="J413" s="159" t="s">
        <v>312</v>
      </c>
      <c r="K413" s="159" t="s">
        <v>1849</v>
      </c>
      <c r="L413" s="39" t="s">
        <v>304</v>
      </c>
      <c r="M413" s="39" t="s">
        <v>305</v>
      </c>
      <c r="N413" s="39">
        <v>11</v>
      </c>
      <c r="O413" s="39" t="s">
        <v>82</v>
      </c>
      <c r="P413" s="39" t="s">
        <v>82</v>
      </c>
      <c r="Q413" s="39" t="s">
        <v>1014</v>
      </c>
      <c r="R413" s="16" t="s">
        <v>333</v>
      </c>
      <c r="S413" s="160">
        <v>204000</v>
      </c>
      <c r="T413" s="160">
        <v>12182.5</v>
      </c>
      <c r="U413" s="160">
        <v>0</v>
      </c>
      <c r="V413" s="160">
        <v>23387.7</v>
      </c>
      <c r="W413" s="160">
        <v>180612.3</v>
      </c>
      <c r="X413" s="161">
        <v>23387.7</v>
      </c>
      <c r="Y413" s="160"/>
      <c r="Z413" s="16">
        <v>11.46</v>
      </c>
      <c r="AA413" s="162">
        <v>23387.7</v>
      </c>
      <c r="AB413" s="162">
        <v>5846.9250000000002</v>
      </c>
      <c r="AC413" s="162">
        <v>70163.100000000006</v>
      </c>
      <c r="AD413" s="160"/>
      <c r="AE413" s="145">
        <v>204000</v>
      </c>
      <c r="AF413" s="163">
        <v>1.0469999999999999</v>
      </c>
      <c r="AG413" s="164">
        <v>1.046</v>
      </c>
      <c r="AH413" s="164">
        <v>1.046</v>
      </c>
      <c r="AI413" s="164">
        <v>204000</v>
      </c>
      <c r="AJ413" s="164">
        <f t="shared" si="52"/>
        <v>0</v>
      </c>
      <c r="AK413" s="165">
        <v>300000</v>
      </c>
      <c r="AL413" s="165">
        <f t="shared" si="54"/>
        <v>300000</v>
      </c>
      <c r="AM413" s="165">
        <f t="shared" si="49"/>
        <v>313800</v>
      </c>
      <c r="AN413" s="165">
        <f t="shared" si="50"/>
        <v>328234.8</v>
      </c>
      <c r="AO413" s="16"/>
      <c r="AP413" s="231">
        <f t="shared" si="53"/>
        <v>0</v>
      </c>
      <c r="AR413" s="231"/>
      <c r="AS413" s="231"/>
      <c r="AU413" s="230">
        <v>204000</v>
      </c>
      <c r="AV413" s="233">
        <v>204000</v>
      </c>
      <c r="AW413" s="230">
        <f t="shared" si="51"/>
        <v>0</v>
      </c>
    </row>
    <row r="414" spans="1:49" hidden="1" x14ac:dyDescent="0.3">
      <c r="A414" s="16" t="s">
        <v>337</v>
      </c>
      <c r="B414" s="39" t="s">
        <v>1015</v>
      </c>
      <c r="C414" s="39" t="s">
        <v>82</v>
      </c>
      <c r="D414" s="340" t="s">
        <v>3468</v>
      </c>
      <c r="E414" s="159" t="s">
        <v>310</v>
      </c>
      <c r="F414" s="159" t="s">
        <v>542</v>
      </c>
      <c r="G414" s="159" t="s">
        <v>309</v>
      </c>
      <c r="H414" s="159" t="s">
        <v>334</v>
      </c>
      <c r="I414" s="159" t="s">
        <v>339</v>
      </c>
      <c r="J414" s="159" t="s">
        <v>312</v>
      </c>
      <c r="K414" s="159" t="s">
        <v>1849</v>
      </c>
      <c r="L414" s="39" t="s">
        <v>304</v>
      </c>
      <c r="M414" s="39" t="s">
        <v>305</v>
      </c>
      <c r="N414" s="39">
        <v>11</v>
      </c>
      <c r="O414" s="39" t="s">
        <v>82</v>
      </c>
      <c r="P414" s="39" t="s">
        <v>338</v>
      </c>
      <c r="Q414" s="39" t="s">
        <v>1015</v>
      </c>
      <c r="R414" s="16" t="s">
        <v>337</v>
      </c>
      <c r="S414" s="160">
        <v>135000</v>
      </c>
      <c r="T414" s="160">
        <v>0</v>
      </c>
      <c r="U414" s="160">
        <v>0</v>
      </c>
      <c r="V414" s="160">
        <v>0</v>
      </c>
      <c r="W414" s="160">
        <v>135000</v>
      </c>
      <c r="X414" s="161">
        <v>0</v>
      </c>
      <c r="Y414" s="160"/>
      <c r="Z414" s="16">
        <v>0</v>
      </c>
      <c r="AA414" s="162">
        <v>0</v>
      </c>
      <c r="AB414" s="162">
        <v>0</v>
      </c>
      <c r="AC414" s="162">
        <v>0</v>
      </c>
      <c r="AD414" s="160"/>
      <c r="AE414" s="145">
        <v>135000</v>
      </c>
      <c r="AF414" s="163">
        <v>1.0469999999999999</v>
      </c>
      <c r="AG414" s="164">
        <v>1.046</v>
      </c>
      <c r="AH414" s="164">
        <v>1.046</v>
      </c>
      <c r="AI414" s="164">
        <v>135000</v>
      </c>
      <c r="AJ414" s="164">
        <f t="shared" si="52"/>
        <v>0</v>
      </c>
      <c r="AK414" s="165">
        <v>300000</v>
      </c>
      <c r="AL414" s="165">
        <f t="shared" si="54"/>
        <v>300000</v>
      </c>
      <c r="AM414" s="165">
        <f t="shared" ref="AM414:AM477" si="55">AL414*AG414</f>
        <v>313800</v>
      </c>
      <c r="AN414" s="165">
        <f t="shared" ref="AN414:AN477" si="56">AM414*AH414</f>
        <v>328234.8</v>
      </c>
      <c r="AO414" s="16"/>
      <c r="AP414" s="231">
        <f t="shared" si="53"/>
        <v>0</v>
      </c>
      <c r="AR414" s="231"/>
      <c r="AS414" s="231"/>
      <c r="AU414" s="230">
        <v>135000</v>
      </c>
      <c r="AV414" s="233">
        <v>135000</v>
      </c>
      <c r="AW414" s="230">
        <f t="shared" si="51"/>
        <v>0</v>
      </c>
    </row>
    <row r="415" spans="1:49" hidden="1" x14ac:dyDescent="0.3">
      <c r="A415" s="16" t="s">
        <v>341</v>
      </c>
      <c r="B415" s="39" t="s">
        <v>1016</v>
      </c>
      <c r="C415" s="39" t="s">
        <v>82</v>
      </c>
      <c r="D415" s="340" t="s">
        <v>3468</v>
      </c>
      <c r="E415" s="159" t="s">
        <v>310</v>
      </c>
      <c r="F415" s="159" t="s">
        <v>542</v>
      </c>
      <c r="G415" s="159" t="s">
        <v>309</v>
      </c>
      <c r="H415" s="159" t="s">
        <v>334</v>
      </c>
      <c r="I415" s="159" t="s">
        <v>343</v>
      </c>
      <c r="J415" s="159" t="s">
        <v>312</v>
      </c>
      <c r="K415" s="159" t="s">
        <v>1849</v>
      </c>
      <c r="L415" s="39" t="s">
        <v>304</v>
      </c>
      <c r="M415" s="39" t="s">
        <v>305</v>
      </c>
      <c r="N415" s="39">
        <v>11</v>
      </c>
      <c r="O415" s="39" t="s">
        <v>82</v>
      </c>
      <c r="P415" s="39" t="s">
        <v>342</v>
      </c>
      <c r="Q415" s="39" t="s">
        <v>1016</v>
      </c>
      <c r="R415" s="16" t="s">
        <v>341</v>
      </c>
      <c r="S415" s="160">
        <v>0</v>
      </c>
      <c r="T415" s="160">
        <v>0</v>
      </c>
      <c r="U415" s="160">
        <v>0</v>
      </c>
      <c r="V415" s="160">
        <v>0</v>
      </c>
      <c r="W415" s="160">
        <v>0</v>
      </c>
      <c r="X415" s="161">
        <v>0</v>
      </c>
      <c r="Y415" s="160"/>
      <c r="Z415" s="16">
        <v>0</v>
      </c>
      <c r="AA415" s="162">
        <v>0</v>
      </c>
      <c r="AB415" s="162">
        <v>0</v>
      </c>
      <c r="AC415" s="162">
        <v>0</v>
      </c>
      <c r="AD415" s="160"/>
      <c r="AE415" s="145">
        <v>0</v>
      </c>
      <c r="AF415" s="163">
        <v>1.0469999999999999</v>
      </c>
      <c r="AG415" s="164">
        <v>1.046</v>
      </c>
      <c r="AH415" s="164">
        <v>1.046</v>
      </c>
      <c r="AI415" s="164">
        <v>0</v>
      </c>
      <c r="AJ415" s="164">
        <f t="shared" si="52"/>
        <v>0</v>
      </c>
      <c r="AK415" s="165">
        <v>0</v>
      </c>
      <c r="AL415" s="165">
        <f t="shared" si="54"/>
        <v>0</v>
      </c>
      <c r="AM415" s="165">
        <f t="shared" si="55"/>
        <v>0</v>
      </c>
      <c r="AN415" s="165">
        <f t="shared" si="56"/>
        <v>0</v>
      </c>
      <c r="AO415" s="16"/>
      <c r="AP415" s="231">
        <f t="shared" si="53"/>
        <v>0</v>
      </c>
      <c r="AR415" s="231"/>
      <c r="AS415" s="231"/>
      <c r="AU415" s="230">
        <v>0</v>
      </c>
      <c r="AV415" s="233">
        <v>0</v>
      </c>
      <c r="AW415" s="230">
        <f t="shared" si="51"/>
        <v>0</v>
      </c>
    </row>
    <row r="416" spans="1:49" hidden="1" x14ac:dyDescent="0.3">
      <c r="A416" s="16" t="s">
        <v>83</v>
      </c>
      <c r="B416" s="39" t="s">
        <v>1017</v>
      </c>
      <c r="C416" s="39" t="s">
        <v>423</v>
      </c>
      <c r="D416" s="340" t="s">
        <v>3468</v>
      </c>
      <c r="E416" s="159" t="s">
        <v>310</v>
      </c>
      <c r="F416" s="159" t="s">
        <v>542</v>
      </c>
      <c r="G416" s="159" t="s">
        <v>309</v>
      </c>
      <c r="H416" s="159" t="s">
        <v>424</v>
      </c>
      <c r="I416" s="159" t="s">
        <v>425</v>
      </c>
      <c r="J416" s="159" t="s">
        <v>426</v>
      </c>
      <c r="K416" s="159" t="s">
        <v>1849</v>
      </c>
      <c r="L416" s="39" t="s">
        <v>304</v>
      </c>
      <c r="M416" s="39" t="s">
        <v>305</v>
      </c>
      <c r="N416" s="39">
        <v>11</v>
      </c>
      <c r="O416" s="39" t="s">
        <v>423</v>
      </c>
      <c r="P416" s="39" t="s">
        <v>423</v>
      </c>
      <c r="Q416" s="39" t="s">
        <v>1017</v>
      </c>
      <c r="R416" s="16" t="s">
        <v>83</v>
      </c>
      <c r="S416" s="160">
        <v>25000</v>
      </c>
      <c r="T416" s="160">
        <v>1067.92</v>
      </c>
      <c r="U416" s="160">
        <v>7106.5</v>
      </c>
      <c r="V416" s="160">
        <v>1067.92</v>
      </c>
      <c r="W416" s="160">
        <v>23932.080000000002</v>
      </c>
      <c r="X416" s="161">
        <v>7106.5</v>
      </c>
      <c r="Y416" s="160"/>
      <c r="Z416" s="16">
        <v>4.2699999999999996</v>
      </c>
      <c r="AA416" s="162">
        <v>8174.42</v>
      </c>
      <c r="AB416" s="162">
        <v>2043.605</v>
      </c>
      <c r="AC416" s="162">
        <v>24523.260000000002</v>
      </c>
      <c r="AD416" s="160">
        <v>25762.38</v>
      </c>
      <c r="AE416" s="145">
        <v>50762.380000000005</v>
      </c>
      <c r="AF416" s="163">
        <v>1.0469999999999999</v>
      </c>
      <c r="AG416" s="164">
        <v>1.046</v>
      </c>
      <c r="AH416" s="164">
        <v>1.046</v>
      </c>
      <c r="AI416" s="164">
        <v>50762.380000000005</v>
      </c>
      <c r="AJ416" s="164">
        <f t="shared" si="52"/>
        <v>0</v>
      </c>
      <c r="AK416" s="165">
        <v>30000</v>
      </c>
      <c r="AL416" s="165">
        <f t="shared" si="54"/>
        <v>30000</v>
      </c>
      <c r="AM416" s="165">
        <f t="shared" si="55"/>
        <v>31380</v>
      </c>
      <c r="AN416" s="165">
        <f t="shared" si="56"/>
        <v>32823.480000000003</v>
      </c>
      <c r="AO416" s="16"/>
      <c r="AP416" s="231">
        <f t="shared" si="53"/>
        <v>0</v>
      </c>
      <c r="AR416" s="231"/>
      <c r="AS416" s="231"/>
      <c r="AU416" s="230">
        <v>25000</v>
      </c>
      <c r="AV416" s="233">
        <v>50762.380000000005</v>
      </c>
      <c r="AW416" s="230">
        <f t="shared" si="51"/>
        <v>0</v>
      </c>
    </row>
    <row r="417" spans="1:49" hidden="1" x14ac:dyDescent="0.3">
      <c r="A417" s="16" t="s">
        <v>499</v>
      </c>
      <c r="B417" s="39" t="s">
        <v>1018</v>
      </c>
      <c r="C417" s="39" t="s">
        <v>95</v>
      </c>
      <c r="D417" s="340" t="s">
        <v>3468</v>
      </c>
      <c r="E417" s="159" t="s">
        <v>310</v>
      </c>
      <c r="F417" s="159" t="s">
        <v>542</v>
      </c>
      <c r="G417" s="159" t="s">
        <v>309</v>
      </c>
      <c r="H417" s="159" t="s">
        <v>501</v>
      </c>
      <c r="I417" s="159" t="s">
        <v>502</v>
      </c>
      <c r="J417" s="159" t="s">
        <v>312</v>
      </c>
      <c r="K417" s="159" t="s">
        <v>1849</v>
      </c>
      <c r="L417" s="39" t="s">
        <v>304</v>
      </c>
      <c r="M417" s="39" t="s">
        <v>305</v>
      </c>
      <c r="N417" s="39">
        <v>11</v>
      </c>
      <c r="O417" s="39" t="s">
        <v>95</v>
      </c>
      <c r="P417" s="39" t="s">
        <v>95</v>
      </c>
      <c r="Q417" s="39" t="s">
        <v>1018</v>
      </c>
      <c r="R417" s="16" t="s">
        <v>499</v>
      </c>
      <c r="S417" s="160">
        <v>0</v>
      </c>
      <c r="T417" s="160">
        <v>0</v>
      </c>
      <c r="U417" s="160">
        <v>0</v>
      </c>
      <c r="V417" s="160">
        <v>0</v>
      </c>
      <c r="W417" s="160">
        <v>0</v>
      </c>
      <c r="X417" s="161">
        <v>0</v>
      </c>
      <c r="Y417" s="160"/>
      <c r="Z417" s="16">
        <v>0</v>
      </c>
      <c r="AA417" s="162">
        <v>0</v>
      </c>
      <c r="AB417" s="162">
        <v>0</v>
      </c>
      <c r="AC417" s="162">
        <v>0</v>
      </c>
      <c r="AD417" s="160"/>
      <c r="AE417" s="145">
        <v>0</v>
      </c>
      <c r="AF417" s="163">
        <v>1.0469999999999999</v>
      </c>
      <c r="AG417" s="164">
        <v>1.046</v>
      </c>
      <c r="AH417" s="164">
        <v>1.046</v>
      </c>
      <c r="AI417" s="164">
        <v>0</v>
      </c>
      <c r="AJ417" s="164">
        <f t="shared" si="52"/>
        <v>0</v>
      </c>
      <c r="AK417" s="165">
        <v>0</v>
      </c>
      <c r="AL417" s="165">
        <f t="shared" si="54"/>
        <v>0</v>
      </c>
      <c r="AM417" s="165">
        <f t="shared" si="55"/>
        <v>0</v>
      </c>
      <c r="AN417" s="165">
        <f t="shared" si="56"/>
        <v>0</v>
      </c>
      <c r="AO417" s="16"/>
      <c r="AP417" s="231">
        <f t="shared" si="53"/>
        <v>0</v>
      </c>
      <c r="AR417" s="231"/>
      <c r="AS417" s="231"/>
      <c r="AU417" s="230">
        <v>0</v>
      </c>
      <c r="AV417" s="233">
        <v>0</v>
      </c>
      <c r="AW417" s="230">
        <f t="shared" si="51"/>
        <v>0</v>
      </c>
    </row>
    <row r="418" spans="1:49" hidden="1" x14ac:dyDescent="0.3">
      <c r="A418" s="16" t="s">
        <v>931</v>
      </c>
      <c r="B418" s="39" t="s">
        <v>1019</v>
      </c>
      <c r="C418" s="39" t="s">
        <v>95</v>
      </c>
      <c r="D418" s="340" t="s">
        <v>3468</v>
      </c>
      <c r="E418" s="159" t="s">
        <v>310</v>
      </c>
      <c r="F418" s="159" t="s">
        <v>542</v>
      </c>
      <c r="G418" s="159" t="s">
        <v>309</v>
      </c>
      <c r="H418" s="159" t="s">
        <v>501</v>
      </c>
      <c r="I418" s="159" t="s">
        <v>573</v>
      </c>
      <c r="J418" s="159" t="s">
        <v>312</v>
      </c>
      <c r="K418" s="159" t="s">
        <v>1849</v>
      </c>
      <c r="L418" s="39" t="s">
        <v>304</v>
      </c>
      <c r="M418" s="39" t="s">
        <v>305</v>
      </c>
      <c r="N418" s="39">
        <v>11</v>
      </c>
      <c r="O418" s="39" t="s">
        <v>95</v>
      </c>
      <c r="P418" s="39" t="s">
        <v>932</v>
      </c>
      <c r="Q418" s="39" t="s">
        <v>1019</v>
      </c>
      <c r="R418" s="16" t="s">
        <v>931</v>
      </c>
      <c r="S418" s="160">
        <v>0</v>
      </c>
      <c r="T418" s="160">
        <v>0</v>
      </c>
      <c r="U418" s="160">
        <v>0</v>
      </c>
      <c r="V418" s="160">
        <v>0</v>
      </c>
      <c r="W418" s="160">
        <v>0</v>
      </c>
      <c r="X418" s="161">
        <v>0</v>
      </c>
      <c r="Y418" s="160"/>
      <c r="Z418" s="16">
        <v>0</v>
      </c>
      <c r="AA418" s="162">
        <v>0</v>
      </c>
      <c r="AB418" s="162">
        <v>0</v>
      </c>
      <c r="AC418" s="162">
        <v>0</v>
      </c>
      <c r="AD418" s="160"/>
      <c r="AE418" s="145">
        <v>0</v>
      </c>
      <c r="AF418" s="163">
        <v>1.0469999999999999</v>
      </c>
      <c r="AG418" s="164">
        <v>1.046</v>
      </c>
      <c r="AH418" s="164">
        <v>1.046</v>
      </c>
      <c r="AI418" s="164">
        <v>0</v>
      </c>
      <c r="AJ418" s="164">
        <f t="shared" si="52"/>
        <v>0</v>
      </c>
      <c r="AK418" s="165">
        <v>0</v>
      </c>
      <c r="AL418" s="165">
        <f t="shared" si="54"/>
        <v>0</v>
      </c>
      <c r="AM418" s="165">
        <f t="shared" si="55"/>
        <v>0</v>
      </c>
      <c r="AN418" s="165">
        <f t="shared" si="56"/>
        <v>0</v>
      </c>
      <c r="AO418" s="16"/>
      <c r="AP418" s="231">
        <f t="shared" si="53"/>
        <v>0</v>
      </c>
      <c r="AR418" s="231"/>
      <c r="AS418" s="231"/>
      <c r="AU418" s="230">
        <v>0</v>
      </c>
      <c r="AV418" s="233">
        <v>0</v>
      </c>
      <c r="AW418" s="230">
        <f t="shared" si="51"/>
        <v>0</v>
      </c>
    </row>
    <row r="419" spans="1:49" hidden="1" x14ac:dyDescent="0.3">
      <c r="A419" s="16" t="s">
        <v>170</v>
      </c>
      <c r="B419" s="39" t="s">
        <v>1020</v>
      </c>
      <c r="C419" s="39" t="s">
        <v>1021</v>
      </c>
      <c r="D419" s="340" t="s">
        <v>3469</v>
      </c>
      <c r="E419" s="159" t="s">
        <v>310</v>
      </c>
      <c r="F419" s="159" t="s">
        <v>370</v>
      </c>
      <c r="G419" s="159" t="s">
        <v>387</v>
      </c>
      <c r="H419" s="159" t="s">
        <v>554</v>
      </c>
      <c r="I419" s="159" t="s">
        <v>1022</v>
      </c>
      <c r="J419" s="159" t="s">
        <v>312</v>
      </c>
      <c r="K419" s="159" t="s">
        <v>1992</v>
      </c>
      <c r="L419" s="39" t="s">
        <v>556</v>
      </c>
      <c r="M419" s="39" t="s">
        <v>305</v>
      </c>
      <c r="N419" s="39">
        <v>11</v>
      </c>
      <c r="O419" s="167" t="s">
        <v>1021</v>
      </c>
      <c r="P419" s="39" t="s">
        <v>1021</v>
      </c>
      <c r="Q419" s="39" t="s">
        <v>1020</v>
      </c>
      <c r="R419" s="16" t="s">
        <v>170</v>
      </c>
      <c r="S419" s="160">
        <v>0</v>
      </c>
      <c r="T419" s="160">
        <v>0</v>
      </c>
      <c r="U419" s="160">
        <v>0</v>
      </c>
      <c r="V419" s="160">
        <v>0</v>
      </c>
      <c r="W419" s="160">
        <v>0</v>
      </c>
      <c r="X419" s="161" t="e">
        <v>#N/A</v>
      </c>
      <c r="Y419" s="160"/>
      <c r="Z419" s="16">
        <v>0</v>
      </c>
      <c r="AA419" s="162">
        <v>0</v>
      </c>
      <c r="AB419" s="162">
        <v>0</v>
      </c>
      <c r="AC419" s="162">
        <v>0</v>
      </c>
      <c r="AD419" s="160"/>
      <c r="AE419" s="145">
        <v>0</v>
      </c>
      <c r="AF419" s="163">
        <v>1.0469999999999999</v>
      </c>
      <c r="AG419" s="164">
        <v>1.046</v>
      </c>
      <c r="AH419" s="164">
        <v>1.046</v>
      </c>
      <c r="AI419" s="164">
        <v>0</v>
      </c>
      <c r="AJ419" s="164">
        <f t="shared" si="52"/>
        <v>0</v>
      </c>
      <c r="AK419" s="165">
        <v>0</v>
      </c>
      <c r="AL419" s="165">
        <f t="shared" si="54"/>
        <v>0</v>
      </c>
      <c r="AM419" s="165">
        <f t="shared" si="55"/>
        <v>0</v>
      </c>
      <c r="AN419" s="165">
        <f t="shared" si="56"/>
        <v>0</v>
      </c>
      <c r="AO419" s="16"/>
      <c r="AP419" s="231">
        <f t="shared" si="53"/>
        <v>0</v>
      </c>
      <c r="AR419" s="231"/>
      <c r="AS419" s="231"/>
      <c r="AU419" s="230">
        <v>0</v>
      </c>
      <c r="AV419" s="233">
        <v>0</v>
      </c>
      <c r="AW419" s="230">
        <f t="shared" si="51"/>
        <v>0</v>
      </c>
    </row>
    <row r="420" spans="1:49" hidden="1" x14ac:dyDescent="0.3">
      <c r="A420" s="16" t="s">
        <v>1024</v>
      </c>
      <c r="B420" s="39" t="s">
        <v>1023</v>
      </c>
      <c r="C420" s="39" t="s">
        <v>1021</v>
      </c>
      <c r="D420" s="340" t="s">
        <v>3469</v>
      </c>
      <c r="E420" s="159" t="s">
        <v>310</v>
      </c>
      <c r="F420" s="159" t="s">
        <v>370</v>
      </c>
      <c r="G420" s="159" t="s">
        <v>387</v>
      </c>
      <c r="H420" s="159" t="s">
        <v>554</v>
      </c>
      <c r="I420" s="159" t="s">
        <v>1022</v>
      </c>
      <c r="J420" s="159" t="s">
        <v>387</v>
      </c>
      <c r="K420" s="159" t="s">
        <v>1992</v>
      </c>
      <c r="L420" s="39" t="s">
        <v>556</v>
      </c>
      <c r="M420" s="39" t="s">
        <v>305</v>
      </c>
      <c r="N420" s="39">
        <v>11</v>
      </c>
      <c r="O420" s="167" t="s">
        <v>1021</v>
      </c>
      <c r="P420" s="39" t="s">
        <v>1021</v>
      </c>
      <c r="Q420" s="39" t="s">
        <v>1023</v>
      </c>
      <c r="R420" s="16" t="s">
        <v>1024</v>
      </c>
      <c r="S420" s="160">
        <v>-1141439</v>
      </c>
      <c r="T420" s="160">
        <v>0</v>
      </c>
      <c r="U420" s="160">
        <v>0</v>
      </c>
      <c r="V420" s="160">
        <v>0</v>
      </c>
      <c r="W420" s="160">
        <v>-1141439</v>
      </c>
      <c r="X420" s="161" t="e">
        <v>#N/A</v>
      </c>
      <c r="Y420" s="160"/>
      <c r="Z420" s="16">
        <v>0</v>
      </c>
      <c r="AA420" s="162">
        <v>0</v>
      </c>
      <c r="AB420" s="162">
        <v>0</v>
      </c>
      <c r="AC420" s="162">
        <v>0</v>
      </c>
      <c r="AD420" s="160"/>
      <c r="AE420" s="145">
        <v>-1141439</v>
      </c>
      <c r="AF420" s="163">
        <v>1.0469999999999999</v>
      </c>
      <c r="AG420" s="164">
        <v>1.046</v>
      </c>
      <c r="AH420" s="164">
        <v>1.046</v>
      </c>
      <c r="AI420" s="164">
        <v>-1141439</v>
      </c>
      <c r="AJ420" s="164">
        <f t="shared" si="52"/>
        <v>0</v>
      </c>
      <c r="AK420" s="165">
        <v>-1141439</v>
      </c>
      <c r="AL420" s="165">
        <f t="shared" si="54"/>
        <v>-1141439</v>
      </c>
      <c r="AM420" s="165">
        <f t="shared" si="55"/>
        <v>-1193945.1940000001</v>
      </c>
      <c r="AN420" s="165">
        <f t="shared" si="56"/>
        <v>-1248866.6729240003</v>
      </c>
      <c r="AO420" s="16"/>
      <c r="AP420" s="231">
        <f t="shared" si="53"/>
        <v>0</v>
      </c>
      <c r="AR420" s="231"/>
      <c r="AS420" s="231"/>
      <c r="AU420" s="230">
        <v>-1141439</v>
      </c>
      <c r="AV420" s="233">
        <v>-1141439</v>
      </c>
      <c r="AW420" s="230">
        <f t="shared" si="51"/>
        <v>0</v>
      </c>
    </row>
    <row r="421" spans="1:49" s="172" customFormat="1" x14ac:dyDescent="0.3">
      <c r="A421" s="166" t="s">
        <v>50</v>
      </c>
      <c r="B421" s="167" t="s">
        <v>1025</v>
      </c>
      <c r="C421" s="167" t="s">
        <v>302</v>
      </c>
      <c r="D421" s="412" t="s">
        <v>3469</v>
      </c>
      <c r="E421" s="168" t="s">
        <v>310</v>
      </c>
      <c r="F421" s="168" t="s">
        <v>370</v>
      </c>
      <c r="G421" s="168" t="s">
        <v>309</v>
      </c>
      <c r="H421" s="168" t="s">
        <v>373</v>
      </c>
      <c r="I421" s="168" t="s">
        <v>374</v>
      </c>
      <c r="J421" s="168" t="s">
        <v>312</v>
      </c>
      <c r="K421" s="168" t="s">
        <v>1849</v>
      </c>
      <c r="L421" s="167" t="s">
        <v>304</v>
      </c>
      <c r="M421" s="167" t="s">
        <v>305</v>
      </c>
      <c r="N421" s="167">
        <v>11</v>
      </c>
      <c r="O421" s="167" t="s">
        <v>302</v>
      </c>
      <c r="P421" s="167" t="s">
        <v>302</v>
      </c>
      <c r="Q421" s="167" t="s">
        <v>1025</v>
      </c>
      <c r="R421" s="166" t="s">
        <v>50</v>
      </c>
      <c r="S421" s="169">
        <v>6785381</v>
      </c>
      <c r="T421" s="160">
        <v>591197</v>
      </c>
      <c r="U421" s="160">
        <v>0</v>
      </c>
      <c r="V421" s="160">
        <v>2992821.11</v>
      </c>
      <c r="W421" s="160">
        <v>3792559.89</v>
      </c>
      <c r="X421" s="161">
        <v>0</v>
      </c>
      <c r="Y421" s="160"/>
      <c r="Z421" s="16">
        <v>44.1</v>
      </c>
      <c r="AA421" s="162">
        <v>2992821.11</v>
      </c>
      <c r="AB421" s="162">
        <v>748205.27749999997</v>
      </c>
      <c r="AC421" s="162">
        <v>8978463.3300000001</v>
      </c>
      <c r="AD421" s="160"/>
      <c r="AE421" s="145">
        <v>6785381</v>
      </c>
      <c r="AF421" s="163">
        <v>1.0529999999999999</v>
      </c>
      <c r="AG421" s="163">
        <v>1.0489999999999999</v>
      </c>
      <c r="AH421" s="163">
        <v>1.0469999999999999</v>
      </c>
      <c r="AI421" s="164">
        <v>6785381</v>
      </c>
      <c r="AJ421" s="164">
        <f t="shared" si="52"/>
        <v>0</v>
      </c>
      <c r="AK421" s="229">
        <v>6785381</v>
      </c>
      <c r="AL421" s="229">
        <f ca="1">SUMIF('MS &amp; Vacancies combined'!A:J,D421,'MS &amp; Vacancies combined'!J:J)*105.3/100</f>
        <v>6176309.2003585724</v>
      </c>
      <c r="AM421" s="229">
        <f t="shared" ca="1" si="55"/>
        <v>6478948.3511761418</v>
      </c>
      <c r="AN421" s="229">
        <f t="shared" ca="1" si="56"/>
        <v>6783458.9236814203</v>
      </c>
      <c r="AO421" s="166"/>
      <c r="AP421" s="413">
        <f t="shared" ca="1" si="53"/>
        <v>609071.79964142758</v>
      </c>
      <c r="AR421" s="231"/>
      <c r="AS421" s="231"/>
      <c r="AU421" s="414">
        <v>6785381</v>
      </c>
      <c r="AV421" s="415">
        <v>6785381</v>
      </c>
      <c r="AW421" s="414">
        <f t="shared" si="51"/>
        <v>0</v>
      </c>
    </row>
    <row r="422" spans="1:49" s="172" customFormat="1" x14ac:dyDescent="0.3">
      <c r="A422" s="166" t="s">
        <v>52</v>
      </c>
      <c r="B422" s="167" t="s">
        <v>1026</v>
      </c>
      <c r="C422" s="167" t="s">
        <v>376</v>
      </c>
      <c r="D422" s="412" t="s">
        <v>3469</v>
      </c>
      <c r="E422" s="168" t="s">
        <v>310</v>
      </c>
      <c r="F422" s="168" t="s">
        <v>370</v>
      </c>
      <c r="G422" s="168" t="s">
        <v>309</v>
      </c>
      <c r="H422" s="168" t="s">
        <v>373</v>
      </c>
      <c r="I422" s="168" t="s">
        <v>377</v>
      </c>
      <c r="J422" s="168" t="s">
        <v>312</v>
      </c>
      <c r="K422" s="168" t="s">
        <v>1849</v>
      </c>
      <c r="L422" s="167" t="s">
        <v>304</v>
      </c>
      <c r="M422" s="167" t="s">
        <v>305</v>
      </c>
      <c r="N422" s="167">
        <v>11</v>
      </c>
      <c r="O422" s="167" t="s">
        <v>376</v>
      </c>
      <c r="P422" s="167" t="s">
        <v>376</v>
      </c>
      <c r="Q422" s="167" t="s">
        <v>1026</v>
      </c>
      <c r="R422" s="166" t="s">
        <v>52</v>
      </c>
      <c r="S422" s="169">
        <v>18864</v>
      </c>
      <c r="T422" s="160">
        <v>1500</v>
      </c>
      <c r="U422" s="160">
        <v>0</v>
      </c>
      <c r="V422" s="160">
        <v>6000</v>
      </c>
      <c r="W422" s="160">
        <v>12864</v>
      </c>
      <c r="X422" s="161">
        <v>0</v>
      </c>
      <c r="Y422" s="160"/>
      <c r="Z422" s="16">
        <v>31.8</v>
      </c>
      <c r="AA422" s="162">
        <v>6000</v>
      </c>
      <c r="AB422" s="162">
        <v>1500</v>
      </c>
      <c r="AC422" s="162">
        <v>18000</v>
      </c>
      <c r="AD422" s="160"/>
      <c r="AE422" s="145">
        <v>18864</v>
      </c>
      <c r="AF422" s="163">
        <v>1.0529999999999999</v>
      </c>
      <c r="AG422" s="163">
        <v>1.0489999999999999</v>
      </c>
      <c r="AH422" s="163">
        <v>1.0469999999999999</v>
      </c>
      <c r="AI422" s="164">
        <v>18864</v>
      </c>
      <c r="AJ422" s="164">
        <f t="shared" si="52"/>
        <v>0</v>
      </c>
      <c r="AK422" s="229">
        <v>18864</v>
      </c>
      <c r="AL422" s="229">
        <f ca="1">SUMIF('MS &amp; Vacancies combined'!A:M,D422,'MS &amp; Vacancies combined'!M:M)*105.3/100</f>
        <v>17476.427246577816</v>
      </c>
      <c r="AM422" s="229">
        <f t="shared" ca="1" si="55"/>
        <v>18332.772181660126</v>
      </c>
      <c r="AN422" s="229">
        <f t="shared" ca="1" si="56"/>
        <v>19194.41247419815</v>
      </c>
      <c r="AO422" s="166"/>
      <c r="AP422" s="413">
        <f t="shared" ca="1" si="53"/>
        <v>1387.5727534221842</v>
      </c>
      <c r="AR422" s="231"/>
      <c r="AS422" s="231"/>
      <c r="AU422" s="414">
        <v>18864</v>
      </c>
      <c r="AV422" s="415">
        <v>18864</v>
      </c>
      <c r="AW422" s="414">
        <f t="shared" si="51"/>
        <v>0</v>
      </c>
    </row>
    <row r="423" spans="1:49" s="172" customFormat="1" x14ac:dyDescent="0.3">
      <c r="A423" s="166" t="s">
        <v>54</v>
      </c>
      <c r="B423" s="167" t="s">
        <v>1027</v>
      </c>
      <c r="C423" s="167" t="s">
        <v>379</v>
      </c>
      <c r="D423" s="412" t="s">
        <v>3469</v>
      </c>
      <c r="E423" s="168" t="s">
        <v>310</v>
      </c>
      <c r="F423" s="168" t="s">
        <v>370</v>
      </c>
      <c r="G423" s="168" t="s">
        <v>309</v>
      </c>
      <c r="H423" s="168" t="s">
        <v>373</v>
      </c>
      <c r="I423" s="168" t="s">
        <v>380</v>
      </c>
      <c r="J423" s="168" t="s">
        <v>312</v>
      </c>
      <c r="K423" s="168" t="s">
        <v>1849</v>
      </c>
      <c r="L423" s="167" t="s">
        <v>304</v>
      </c>
      <c r="M423" s="167" t="s">
        <v>305</v>
      </c>
      <c r="N423" s="167">
        <v>11</v>
      </c>
      <c r="O423" s="167" t="s">
        <v>379</v>
      </c>
      <c r="P423" s="167" t="s">
        <v>379</v>
      </c>
      <c r="Q423" s="167" t="s">
        <v>1027</v>
      </c>
      <c r="R423" s="166" t="s">
        <v>54</v>
      </c>
      <c r="S423" s="169">
        <v>181945</v>
      </c>
      <c r="T423" s="160">
        <v>8094.16</v>
      </c>
      <c r="U423" s="160">
        <v>0</v>
      </c>
      <c r="V423" s="160">
        <v>32376.639999999999</v>
      </c>
      <c r="W423" s="160">
        <v>149568.35999999999</v>
      </c>
      <c r="X423" s="161">
        <v>0</v>
      </c>
      <c r="Y423" s="160"/>
      <c r="Z423" s="16">
        <v>17.79</v>
      </c>
      <c r="AA423" s="162">
        <v>32376.639999999999</v>
      </c>
      <c r="AB423" s="162">
        <v>8094.16</v>
      </c>
      <c r="AC423" s="162">
        <v>97129.919999999998</v>
      </c>
      <c r="AD423" s="160"/>
      <c r="AE423" s="145">
        <v>181945</v>
      </c>
      <c r="AF423" s="163">
        <v>1.0529999999999999</v>
      </c>
      <c r="AG423" s="163">
        <v>1.0489999999999999</v>
      </c>
      <c r="AH423" s="163">
        <v>1.0469999999999999</v>
      </c>
      <c r="AI423" s="164">
        <v>181945</v>
      </c>
      <c r="AJ423" s="164">
        <f t="shared" si="52"/>
        <v>0</v>
      </c>
      <c r="AK423" s="229">
        <v>181945</v>
      </c>
      <c r="AL423" s="229">
        <f ca="1">SUMIF('MS &amp; Vacancies combined'!A:L,D423,'MS &amp; Vacancies combined'!L:L)*105.3/100</f>
        <v>165032.9317368237</v>
      </c>
      <c r="AM423" s="229">
        <f t="shared" ca="1" si="55"/>
        <v>173119.54539192806</v>
      </c>
      <c r="AN423" s="229">
        <f t="shared" ca="1" si="56"/>
        <v>181256.16402534867</v>
      </c>
      <c r="AO423" s="166"/>
      <c r="AP423" s="413">
        <f t="shared" ca="1" si="53"/>
        <v>16912.068263176305</v>
      </c>
      <c r="AR423" s="231"/>
      <c r="AS423" s="231"/>
      <c r="AU423" s="414">
        <v>181945</v>
      </c>
      <c r="AV423" s="415">
        <v>181945</v>
      </c>
      <c r="AW423" s="414">
        <f t="shared" si="51"/>
        <v>0</v>
      </c>
    </row>
    <row r="424" spans="1:49" x14ac:dyDescent="0.3">
      <c r="A424" s="16" t="s">
        <v>55</v>
      </c>
      <c r="B424" s="39" t="s">
        <v>1028</v>
      </c>
      <c r="C424" s="39" t="s">
        <v>382</v>
      </c>
      <c r="D424" s="340" t="s">
        <v>3469</v>
      </c>
      <c r="E424" s="159" t="s">
        <v>310</v>
      </c>
      <c r="F424" s="159" t="s">
        <v>370</v>
      </c>
      <c r="G424" s="159" t="s">
        <v>309</v>
      </c>
      <c r="H424" s="159" t="s">
        <v>373</v>
      </c>
      <c r="I424" s="159" t="s">
        <v>383</v>
      </c>
      <c r="J424" s="159" t="s">
        <v>312</v>
      </c>
      <c r="K424" s="159" t="s">
        <v>1849</v>
      </c>
      <c r="L424" s="39" t="s">
        <v>304</v>
      </c>
      <c r="M424" s="39" t="s">
        <v>305</v>
      </c>
      <c r="N424" s="39">
        <v>11</v>
      </c>
      <c r="O424" s="39" t="s">
        <v>382</v>
      </c>
      <c r="P424" s="39" t="s">
        <v>382</v>
      </c>
      <c r="Q424" s="39" t="s">
        <v>1028</v>
      </c>
      <c r="R424" s="16" t="s">
        <v>55</v>
      </c>
      <c r="S424" s="169">
        <v>0</v>
      </c>
      <c r="T424" s="160">
        <v>0</v>
      </c>
      <c r="U424" s="160">
        <v>0</v>
      </c>
      <c r="V424" s="160">
        <v>0</v>
      </c>
      <c r="W424" s="160">
        <v>0</v>
      </c>
      <c r="X424" s="161">
        <v>0</v>
      </c>
      <c r="Y424" s="160"/>
      <c r="Z424" s="16">
        <v>0</v>
      </c>
      <c r="AA424" s="162">
        <v>0</v>
      </c>
      <c r="AB424" s="162">
        <v>0</v>
      </c>
      <c r="AC424" s="162">
        <v>0</v>
      </c>
      <c r="AD424" s="160"/>
      <c r="AE424" s="145">
        <v>0</v>
      </c>
      <c r="AF424" s="163">
        <v>1.0469999999999999</v>
      </c>
      <c r="AG424" s="164">
        <v>1.046</v>
      </c>
      <c r="AH424" s="164">
        <v>1.046</v>
      </c>
      <c r="AI424" s="164">
        <v>0</v>
      </c>
      <c r="AJ424" s="164">
        <f t="shared" si="52"/>
        <v>0</v>
      </c>
      <c r="AK424" s="165">
        <v>0</v>
      </c>
      <c r="AL424" s="165">
        <v>0</v>
      </c>
      <c r="AM424" s="165">
        <f t="shared" si="55"/>
        <v>0</v>
      </c>
      <c r="AN424" s="165">
        <f t="shared" si="56"/>
        <v>0</v>
      </c>
      <c r="AO424" s="16"/>
      <c r="AP424" s="231">
        <f t="shared" si="53"/>
        <v>0</v>
      </c>
      <c r="AR424" s="231"/>
      <c r="AS424" s="231"/>
      <c r="AU424" s="230">
        <v>0</v>
      </c>
      <c r="AV424" s="233">
        <v>0</v>
      </c>
      <c r="AW424" s="230">
        <f t="shared" si="51"/>
        <v>0</v>
      </c>
    </row>
    <row r="425" spans="1:49" s="172" customFormat="1" x14ac:dyDescent="0.3">
      <c r="A425" s="166" t="s">
        <v>56</v>
      </c>
      <c r="B425" s="167" t="s">
        <v>1029</v>
      </c>
      <c r="C425" s="167" t="s">
        <v>385</v>
      </c>
      <c r="D425" s="412" t="s">
        <v>3469</v>
      </c>
      <c r="E425" s="168" t="s">
        <v>310</v>
      </c>
      <c r="F425" s="168" t="s">
        <v>370</v>
      </c>
      <c r="G425" s="168" t="s">
        <v>309</v>
      </c>
      <c r="H425" s="168" t="s">
        <v>373</v>
      </c>
      <c r="I425" s="168" t="s">
        <v>386</v>
      </c>
      <c r="J425" s="168" t="s">
        <v>387</v>
      </c>
      <c r="K425" s="168" t="s">
        <v>1849</v>
      </c>
      <c r="L425" s="167" t="s">
        <v>304</v>
      </c>
      <c r="M425" s="167" t="s">
        <v>305</v>
      </c>
      <c r="N425" s="167">
        <v>11</v>
      </c>
      <c r="O425" s="167" t="s">
        <v>385</v>
      </c>
      <c r="P425" s="167" t="s">
        <v>385</v>
      </c>
      <c r="Q425" s="167" t="s">
        <v>1029</v>
      </c>
      <c r="R425" s="166" t="s">
        <v>56</v>
      </c>
      <c r="S425" s="169">
        <v>51228</v>
      </c>
      <c r="T425" s="160">
        <v>60902.9</v>
      </c>
      <c r="U425" s="160">
        <v>0</v>
      </c>
      <c r="V425" s="160">
        <v>247125.7</v>
      </c>
      <c r="W425" s="160">
        <v>-195897.7</v>
      </c>
      <c r="X425" s="161">
        <v>0</v>
      </c>
      <c r="Y425" s="160"/>
      <c r="Z425" s="16">
        <v>482.4</v>
      </c>
      <c r="AA425" s="162">
        <v>247125.7</v>
      </c>
      <c r="AB425" s="162">
        <v>61781.425000000003</v>
      </c>
      <c r="AC425" s="162">
        <v>741377.10000000009</v>
      </c>
      <c r="AD425" s="160"/>
      <c r="AE425" s="145">
        <v>51228</v>
      </c>
      <c r="AF425" s="163">
        <v>1.0529999999999999</v>
      </c>
      <c r="AG425" s="163">
        <v>1.0489999999999999</v>
      </c>
      <c r="AH425" s="163">
        <v>1.0469999999999999</v>
      </c>
      <c r="AI425" s="164">
        <v>51228</v>
      </c>
      <c r="AJ425" s="164">
        <f t="shared" si="52"/>
        <v>0</v>
      </c>
      <c r="AK425" s="229">
        <v>51228</v>
      </c>
      <c r="AL425" s="229">
        <f ca="1">SUMIF('MS &amp; Vacancies combined'!A:O,D425,'MS &amp; Vacancies combined'!O:O)*105.3/100</f>
        <v>617139.24988265347</v>
      </c>
      <c r="AM425" s="229">
        <f ca="1">AL425*AG425</f>
        <v>647379.0731269035</v>
      </c>
      <c r="AN425" s="229">
        <f ca="1">AM425*AH425</f>
        <v>677805.88956386794</v>
      </c>
      <c r="AO425" s="166"/>
      <c r="AP425" s="413">
        <f t="shared" ca="1" si="53"/>
        <v>-565911.24988265347</v>
      </c>
      <c r="AR425" s="231"/>
      <c r="AS425" s="231"/>
      <c r="AU425" s="414">
        <v>51228</v>
      </c>
      <c r="AV425" s="415">
        <v>51228</v>
      </c>
      <c r="AW425" s="414">
        <f t="shared" si="51"/>
        <v>0</v>
      </c>
    </row>
    <row r="426" spans="1:49" x14ac:dyDescent="0.3">
      <c r="A426" s="16" t="s">
        <v>57</v>
      </c>
      <c r="B426" s="39" t="s">
        <v>1030</v>
      </c>
      <c r="C426" s="39" t="s">
        <v>389</v>
      </c>
      <c r="D426" s="340" t="s">
        <v>3469</v>
      </c>
      <c r="E426" s="159" t="s">
        <v>310</v>
      </c>
      <c r="F426" s="159" t="s">
        <v>370</v>
      </c>
      <c r="G426" s="159" t="s">
        <v>309</v>
      </c>
      <c r="H426" s="159" t="s">
        <v>373</v>
      </c>
      <c r="I426" s="159" t="s">
        <v>390</v>
      </c>
      <c r="J426" s="159" t="s">
        <v>312</v>
      </c>
      <c r="K426" s="159" t="s">
        <v>1849</v>
      </c>
      <c r="L426" s="39" t="s">
        <v>304</v>
      </c>
      <c r="M426" s="39" t="s">
        <v>305</v>
      </c>
      <c r="N426" s="39">
        <v>11</v>
      </c>
      <c r="O426" s="39" t="s">
        <v>389</v>
      </c>
      <c r="P426" s="39" t="s">
        <v>389</v>
      </c>
      <c r="Q426" s="39" t="s">
        <v>1030</v>
      </c>
      <c r="R426" s="16" t="s">
        <v>57</v>
      </c>
      <c r="S426" s="169">
        <v>173464</v>
      </c>
      <c r="T426" s="160">
        <v>32815.58</v>
      </c>
      <c r="U426" s="160">
        <v>0</v>
      </c>
      <c r="V426" s="160">
        <v>153052.41</v>
      </c>
      <c r="W426" s="160">
        <v>20411.59</v>
      </c>
      <c r="X426" s="161">
        <v>0</v>
      </c>
      <c r="Y426" s="160"/>
      <c r="Z426" s="16">
        <v>88.23</v>
      </c>
      <c r="AA426" s="162">
        <v>153052.41</v>
      </c>
      <c r="AB426" s="162">
        <v>38263.102500000001</v>
      </c>
      <c r="AC426" s="162">
        <v>459157.23</v>
      </c>
      <c r="AD426" s="160"/>
      <c r="AE426" s="145">
        <v>173464</v>
      </c>
      <c r="AF426" s="421">
        <v>1.0529999999999999</v>
      </c>
      <c r="AG426" s="421">
        <v>1.0489999999999999</v>
      </c>
      <c r="AH426" s="421">
        <v>1.0469999999999999</v>
      </c>
      <c r="AI426" s="164">
        <v>173464</v>
      </c>
      <c r="AJ426" s="164">
        <f t="shared" si="52"/>
        <v>0</v>
      </c>
      <c r="AK426" s="165">
        <v>173464</v>
      </c>
      <c r="AL426" s="165">
        <f>AK426*80%</f>
        <v>138771.20000000001</v>
      </c>
      <c r="AM426" s="165">
        <f t="shared" si="55"/>
        <v>145570.98879999999</v>
      </c>
      <c r="AN426" s="165">
        <f t="shared" si="56"/>
        <v>152412.82527359997</v>
      </c>
      <c r="AO426" s="16"/>
      <c r="AP426" s="231">
        <f t="shared" si="53"/>
        <v>34692.799999999988</v>
      </c>
      <c r="AR426" s="231"/>
      <c r="AS426" s="231"/>
      <c r="AU426" s="230">
        <v>173464</v>
      </c>
      <c r="AV426" s="233">
        <v>173464</v>
      </c>
      <c r="AW426" s="230">
        <f t="shared" si="51"/>
        <v>0</v>
      </c>
    </row>
    <row r="427" spans="1:49" x14ac:dyDescent="0.3">
      <c r="A427" s="16" t="s">
        <v>60</v>
      </c>
      <c r="B427" s="39" t="s">
        <v>1031</v>
      </c>
      <c r="C427" s="39" t="s">
        <v>392</v>
      </c>
      <c r="D427" s="340" t="s">
        <v>3469</v>
      </c>
      <c r="E427" s="159" t="s">
        <v>310</v>
      </c>
      <c r="F427" s="159" t="s">
        <v>370</v>
      </c>
      <c r="G427" s="159" t="s">
        <v>309</v>
      </c>
      <c r="H427" s="159" t="s">
        <v>373</v>
      </c>
      <c r="I427" s="159" t="s">
        <v>393</v>
      </c>
      <c r="J427" s="159" t="s">
        <v>312</v>
      </c>
      <c r="K427" s="159" t="s">
        <v>1849</v>
      </c>
      <c r="L427" s="39" t="s">
        <v>304</v>
      </c>
      <c r="M427" s="39" t="s">
        <v>305</v>
      </c>
      <c r="N427" s="39">
        <v>11</v>
      </c>
      <c r="O427" s="39" t="s">
        <v>392</v>
      </c>
      <c r="P427" s="39" t="s">
        <v>392</v>
      </c>
      <c r="Q427" s="39" t="s">
        <v>1031</v>
      </c>
      <c r="R427" s="16" t="s">
        <v>60</v>
      </c>
      <c r="S427" s="169">
        <v>15000</v>
      </c>
      <c r="T427" s="160">
        <v>2773</v>
      </c>
      <c r="U427" s="160">
        <v>0</v>
      </c>
      <c r="V427" s="160">
        <v>9162.34</v>
      </c>
      <c r="W427" s="160">
        <v>5837.66</v>
      </c>
      <c r="X427" s="161">
        <v>0</v>
      </c>
      <c r="Y427" s="160"/>
      <c r="Z427" s="16">
        <v>61.08</v>
      </c>
      <c r="AA427" s="162">
        <v>9162.34</v>
      </c>
      <c r="AB427" s="162">
        <v>2290.585</v>
      </c>
      <c r="AC427" s="162">
        <v>27487.02</v>
      </c>
      <c r="AD427" s="160"/>
      <c r="AE427" s="145">
        <v>15000</v>
      </c>
      <c r="AF427" s="421">
        <v>1.0529999999999999</v>
      </c>
      <c r="AG427" s="421">
        <v>1.0489999999999999</v>
      </c>
      <c r="AH427" s="421">
        <v>1.0469999999999999</v>
      </c>
      <c r="AI427" s="164">
        <v>15000</v>
      </c>
      <c r="AJ427" s="164">
        <f t="shared" si="52"/>
        <v>0</v>
      </c>
      <c r="AK427" s="165">
        <v>15000</v>
      </c>
      <c r="AL427" s="165">
        <f>AK427*AF427</f>
        <v>15794.999999999998</v>
      </c>
      <c r="AM427" s="165">
        <f t="shared" si="55"/>
        <v>16568.954999999998</v>
      </c>
      <c r="AN427" s="165">
        <f t="shared" si="56"/>
        <v>17347.695884999997</v>
      </c>
      <c r="AO427" s="16"/>
      <c r="AP427" s="231">
        <f t="shared" si="53"/>
        <v>-794.99999999999818</v>
      </c>
      <c r="AR427" s="231"/>
      <c r="AS427" s="231"/>
      <c r="AU427" s="230">
        <v>15000</v>
      </c>
      <c r="AV427" s="233">
        <v>15000</v>
      </c>
      <c r="AW427" s="230">
        <f t="shared" si="51"/>
        <v>0</v>
      </c>
    </row>
    <row r="428" spans="1:49" x14ac:dyDescent="0.3">
      <c r="A428" s="16" t="s">
        <v>61</v>
      </c>
      <c r="B428" s="39" t="s">
        <v>1032</v>
      </c>
      <c r="C428" s="39" t="s">
        <v>460</v>
      </c>
      <c r="D428" s="340" t="s">
        <v>3469</v>
      </c>
      <c r="E428" s="159" t="s">
        <v>310</v>
      </c>
      <c r="F428" s="159" t="s">
        <v>370</v>
      </c>
      <c r="G428" s="159" t="s">
        <v>309</v>
      </c>
      <c r="H428" s="159" t="s">
        <v>373</v>
      </c>
      <c r="I428" s="159" t="s">
        <v>461</v>
      </c>
      <c r="J428" s="159" t="s">
        <v>312</v>
      </c>
      <c r="K428" s="159" t="s">
        <v>1849</v>
      </c>
      <c r="L428" s="39" t="s">
        <v>304</v>
      </c>
      <c r="M428" s="39" t="s">
        <v>305</v>
      </c>
      <c r="N428" s="39">
        <v>11</v>
      </c>
      <c r="O428" s="39" t="s">
        <v>460</v>
      </c>
      <c r="P428" s="39" t="s">
        <v>460</v>
      </c>
      <c r="Q428" s="39" t="s">
        <v>1032</v>
      </c>
      <c r="R428" s="16" t="s">
        <v>61</v>
      </c>
      <c r="S428" s="169">
        <v>0</v>
      </c>
      <c r="T428" s="160">
        <v>1479</v>
      </c>
      <c r="U428" s="160">
        <v>0</v>
      </c>
      <c r="V428" s="160">
        <v>5916</v>
      </c>
      <c r="W428" s="160">
        <v>-5916</v>
      </c>
      <c r="X428" s="161">
        <v>0</v>
      </c>
      <c r="Y428" s="160"/>
      <c r="Z428" s="16">
        <v>0</v>
      </c>
      <c r="AA428" s="162">
        <v>5916</v>
      </c>
      <c r="AB428" s="162">
        <v>1479</v>
      </c>
      <c r="AC428" s="162">
        <v>17748</v>
      </c>
      <c r="AD428" s="160"/>
      <c r="AE428" s="145">
        <v>0</v>
      </c>
      <c r="AF428" s="163">
        <v>1.0469999999999999</v>
      </c>
      <c r="AG428" s="164">
        <v>1.046</v>
      </c>
      <c r="AH428" s="164">
        <v>1.046</v>
      </c>
      <c r="AI428" s="164">
        <v>0</v>
      </c>
      <c r="AJ428" s="164">
        <f t="shared" si="52"/>
        <v>0</v>
      </c>
      <c r="AK428" s="165">
        <v>0</v>
      </c>
      <c r="AL428" s="165">
        <v>0</v>
      </c>
      <c r="AM428" s="165">
        <f t="shared" si="55"/>
        <v>0</v>
      </c>
      <c r="AN428" s="165">
        <f t="shared" si="56"/>
        <v>0</v>
      </c>
      <c r="AO428" s="16"/>
      <c r="AP428" s="231">
        <f t="shared" si="53"/>
        <v>0</v>
      </c>
      <c r="AR428" s="231"/>
      <c r="AS428" s="231"/>
      <c r="AU428" s="230">
        <v>0</v>
      </c>
      <c r="AV428" s="233">
        <v>0</v>
      </c>
      <c r="AW428" s="230">
        <f t="shared" si="51"/>
        <v>0</v>
      </c>
    </row>
    <row r="429" spans="1:49" s="172" customFormat="1" x14ac:dyDescent="0.3">
      <c r="A429" s="166" t="s">
        <v>62</v>
      </c>
      <c r="B429" s="167" t="s">
        <v>1033</v>
      </c>
      <c r="C429" s="167" t="s">
        <v>395</v>
      </c>
      <c r="D429" s="412" t="s">
        <v>3469</v>
      </c>
      <c r="E429" s="168" t="s">
        <v>310</v>
      </c>
      <c r="F429" s="168" t="s">
        <v>370</v>
      </c>
      <c r="G429" s="168" t="s">
        <v>309</v>
      </c>
      <c r="H429" s="168" t="s">
        <v>373</v>
      </c>
      <c r="I429" s="168" t="s">
        <v>396</v>
      </c>
      <c r="J429" s="168" t="s">
        <v>312</v>
      </c>
      <c r="K429" s="168" t="s">
        <v>1849</v>
      </c>
      <c r="L429" s="167" t="s">
        <v>304</v>
      </c>
      <c r="M429" s="167" t="s">
        <v>305</v>
      </c>
      <c r="N429" s="167">
        <v>11</v>
      </c>
      <c r="O429" s="167" t="s">
        <v>395</v>
      </c>
      <c r="P429" s="167" t="s">
        <v>395</v>
      </c>
      <c r="Q429" s="167" t="s">
        <v>1033</v>
      </c>
      <c r="R429" s="166" t="s">
        <v>62</v>
      </c>
      <c r="S429" s="169">
        <v>565448</v>
      </c>
      <c r="T429" s="160">
        <v>0</v>
      </c>
      <c r="U429" s="160">
        <v>0</v>
      </c>
      <c r="V429" s="160">
        <v>160636</v>
      </c>
      <c r="W429" s="160">
        <v>404812</v>
      </c>
      <c r="X429" s="161">
        <v>0</v>
      </c>
      <c r="Y429" s="160"/>
      <c r="Z429" s="16">
        <v>28.4</v>
      </c>
      <c r="AA429" s="162">
        <v>160636</v>
      </c>
      <c r="AB429" s="162">
        <v>40159</v>
      </c>
      <c r="AC429" s="162">
        <v>481908</v>
      </c>
      <c r="AD429" s="160"/>
      <c r="AE429" s="145">
        <v>565448</v>
      </c>
      <c r="AF429" s="163">
        <v>1.0529999999999999</v>
      </c>
      <c r="AG429" s="163">
        <v>1.0489999999999999</v>
      </c>
      <c r="AH429" s="163">
        <v>1.0469999999999999</v>
      </c>
      <c r="AI429" s="164">
        <v>565448</v>
      </c>
      <c r="AJ429" s="164">
        <f t="shared" si="52"/>
        <v>0</v>
      </c>
      <c r="AK429" s="229">
        <v>565448</v>
      </c>
      <c r="AL429" s="229">
        <f ca="1">SUMIF('MS &amp; Vacancies combined'!A:K,D429,'MS &amp; Vacancies combined'!K:K)*105.3/100</f>
        <v>448165.5003112416</v>
      </c>
      <c r="AM429" s="229">
        <f ca="1">AL429*AG429</f>
        <v>470125.60982649244</v>
      </c>
      <c r="AN429" s="229">
        <f ca="1">AM429*AH429</f>
        <v>492221.51348833757</v>
      </c>
      <c r="AO429" s="166"/>
      <c r="AP429" s="413">
        <f t="shared" ca="1" si="53"/>
        <v>117282.4996887584</v>
      </c>
      <c r="AR429" s="231"/>
      <c r="AS429" s="231"/>
      <c r="AU429" s="414">
        <v>565448</v>
      </c>
      <c r="AV429" s="415">
        <v>565448</v>
      </c>
      <c r="AW429" s="414">
        <f t="shared" si="51"/>
        <v>0</v>
      </c>
    </row>
    <row r="430" spans="1:49" x14ac:dyDescent="0.3">
      <c r="A430" s="16" t="s">
        <v>64</v>
      </c>
      <c r="B430" s="39" t="s">
        <v>1034</v>
      </c>
      <c r="C430" s="39" t="s">
        <v>464</v>
      </c>
      <c r="D430" s="340" t="s">
        <v>3469</v>
      </c>
      <c r="E430" s="159" t="s">
        <v>310</v>
      </c>
      <c r="F430" s="159" t="s">
        <v>370</v>
      </c>
      <c r="G430" s="159" t="s">
        <v>309</v>
      </c>
      <c r="H430" s="159" t="s">
        <v>373</v>
      </c>
      <c r="I430" s="159" t="s">
        <v>465</v>
      </c>
      <c r="J430" s="159" t="s">
        <v>312</v>
      </c>
      <c r="K430" s="159" t="s">
        <v>1849</v>
      </c>
      <c r="L430" s="39" t="s">
        <v>304</v>
      </c>
      <c r="M430" s="39" t="s">
        <v>305</v>
      </c>
      <c r="N430" s="39">
        <v>11</v>
      </c>
      <c r="O430" s="39" t="s">
        <v>464</v>
      </c>
      <c r="P430" s="39" t="s">
        <v>464</v>
      </c>
      <c r="Q430" s="39" t="s">
        <v>1034</v>
      </c>
      <c r="R430" s="16" t="s">
        <v>64</v>
      </c>
      <c r="S430" s="169">
        <v>30106</v>
      </c>
      <c r="T430" s="160">
        <v>6282.57</v>
      </c>
      <c r="U430" s="160">
        <v>0</v>
      </c>
      <c r="V430" s="160">
        <v>31827.3</v>
      </c>
      <c r="W430" s="160">
        <v>-1721.3</v>
      </c>
      <c r="X430" s="161">
        <v>0</v>
      </c>
      <c r="Y430" s="160"/>
      <c r="Z430" s="16">
        <v>105.71</v>
      </c>
      <c r="AA430" s="162">
        <v>31827.3</v>
      </c>
      <c r="AB430" s="162">
        <v>7956.8249999999998</v>
      </c>
      <c r="AC430" s="162">
        <v>95481.9</v>
      </c>
      <c r="AD430" s="160"/>
      <c r="AE430" s="145">
        <v>30106</v>
      </c>
      <c r="AF430" s="421">
        <v>1.0529999999999999</v>
      </c>
      <c r="AG430" s="421">
        <v>1.0489999999999999</v>
      </c>
      <c r="AH430" s="421">
        <v>1.0469999999999999</v>
      </c>
      <c r="AI430" s="164">
        <v>30106</v>
      </c>
      <c r="AJ430" s="164">
        <f t="shared" si="52"/>
        <v>0</v>
      </c>
      <c r="AK430" s="165">
        <v>30106</v>
      </c>
      <c r="AL430" s="165">
        <f>AK430*AF430</f>
        <v>31701.617999999999</v>
      </c>
      <c r="AM430" s="165">
        <f t="shared" si="55"/>
        <v>33254.997281999997</v>
      </c>
      <c r="AN430" s="165">
        <f t="shared" si="56"/>
        <v>34817.982154253994</v>
      </c>
      <c r="AO430" s="16"/>
      <c r="AP430" s="231">
        <f t="shared" si="53"/>
        <v>-1595.6179999999986</v>
      </c>
      <c r="AR430" s="231"/>
      <c r="AS430" s="231"/>
      <c r="AU430" s="230">
        <v>30106</v>
      </c>
      <c r="AV430" s="233">
        <v>30106</v>
      </c>
      <c r="AW430" s="230">
        <f t="shared" si="51"/>
        <v>0</v>
      </c>
    </row>
    <row r="431" spans="1:49" s="172" customFormat="1" x14ac:dyDescent="0.3">
      <c r="A431" s="166" t="s">
        <v>69</v>
      </c>
      <c r="B431" s="167" t="s">
        <v>1035</v>
      </c>
      <c r="C431" s="167" t="s">
        <v>398</v>
      </c>
      <c r="D431" s="412" t="s">
        <v>3469</v>
      </c>
      <c r="E431" s="168" t="s">
        <v>310</v>
      </c>
      <c r="F431" s="168" t="s">
        <v>370</v>
      </c>
      <c r="G431" s="168" t="s">
        <v>309</v>
      </c>
      <c r="H431" s="168" t="s">
        <v>310</v>
      </c>
      <c r="I431" s="168" t="s">
        <v>374</v>
      </c>
      <c r="J431" s="168" t="s">
        <v>312</v>
      </c>
      <c r="K431" s="168" t="s">
        <v>1849</v>
      </c>
      <c r="L431" s="167" t="s">
        <v>304</v>
      </c>
      <c r="M431" s="167" t="s">
        <v>305</v>
      </c>
      <c r="N431" s="167">
        <v>11</v>
      </c>
      <c r="O431" s="167" t="s">
        <v>398</v>
      </c>
      <c r="P431" s="167" t="s">
        <v>398</v>
      </c>
      <c r="Q431" s="167" t="s">
        <v>1035</v>
      </c>
      <c r="R431" s="166" t="s">
        <v>69</v>
      </c>
      <c r="S431" s="169">
        <v>1943</v>
      </c>
      <c r="T431" s="160">
        <v>151.19999999999999</v>
      </c>
      <c r="U431" s="160">
        <v>0</v>
      </c>
      <c r="V431" s="160">
        <v>853.2</v>
      </c>
      <c r="W431" s="160">
        <v>1089.8</v>
      </c>
      <c r="X431" s="161">
        <v>0</v>
      </c>
      <c r="Y431" s="160"/>
      <c r="Z431" s="16">
        <v>43.91</v>
      </c>
      <c r="AA431" s="162">
        <v>853.2</v>
      </c>
      <c r="AB431" s="162">
        <v>213.3</v>
      </c>
      <c r="AC431" s="162">
        <v>2559.6000000000004</v>
      </c>
      <c r="AD431" s="160"/>
      <c r="AE431" s="145">
        <v>1943</v>
      </c>
      <c r="AF431" s="163">
        <v>1.0529999999999999</v>
      </c>
      <c r="AG431" s="163">
        <v>1.0489999999999999</v>
      </c>
      <c r="AH431" s="163">
        <v>1.0469999999999999</v>
      </c>
      <c r="AI431" s="164">
        <v>1943</v>
      </c>
      <c r="AJ431" s="164">
        <f t="shared" si="52"/>
        <v>0</v>
      </c>
      <c r="AK431" s="229">
        <v>1943</v>
      </c>
      <c r="AL431" s="229">
        <f ca="1">SUMIF('MS &amp; Vacancies combined'!A:N,D431,'MS &amp; Vacancies combined'!N:N)*105.3/100</f>
        <v>1762.0122315049678</v>
      </c>
      <c r="AM431" s="229">
        <f t="shared" ca="1" si="55"/>
        <v>1848.350830848711</v>
      </c>
      <c r="AN431" s="229">
        <f t="shared" ca="1" si="56"/>
        <v>1935.2233198986003</v>
      </c>
      <c r="AO431" s="166"/>
      <c r="AP431" s="413">
        <f t="shared" ca="1" si="53"/>
        <v>180.98776849503224</v>
      </c>
      <c r="AR431" s="231"/>
      <c r="AS431" s="231"/>
      <c r="AU431" s="414">
        <v>1943</v>
      </c>
      <c r="AV431" s="415">
        <v>1943</v>
      </c>
      <c r="AW431" s="414">
        <f t="shared" si="51"/>
        <v>0</v>
      </c>
    </row>
    <row r="432" spans="1:49" s="172" customFormat="1" x14ac:dyDescent="0.3">
      <c r="A432" s="166" t="s">
        <v>70</v>
      </c>
      <c r="B432" s="167" t="s">
        <v>1036</v>
      </c>
      <c r="C432" s="167" t="s">
        <v>400</v>
      </c>
      <c r="D432" s="412" t="s">
        <v>3469</v>
      </c>
      <c r="E432" s="168" t="s">
        <v>310</v>
      </c>
      <c r="F432" s="168" t="s">
        <v>370</v>
      </c>
      <c r="G432" s="168" t="s">
        <v>309</v>
      </c>
      <c r="H432" s="168" t="s">
        <v>310</v>
      </c>
      <c r="I432" s="168" t="s">
        <v>401</v>
      </c>
      <c r="J432" s="168" t="s">
        <v>312</v>
      </c>
      <c r="K432" s="168" t="s">
        <v>1849</v>
      </c>
      <c r="L432" s="167" t="s">
        <v>304</v>
      </c>
      <c r="M432" s="167" t="s">
        <v>305</v>
      </c>
      <c r="N432" s="167">
        <v>11</v>
      </c>
      <c r="O432" s="167" t="s">
        <v>400</v>
      </c>
      <c r="P432" s="167" t="s">
        <v>400</v>
      </c>
      <c r="Q432" s="167" t="s">
        <v>1036</v>
      </c>
      <c r="R432" s="166" t="s">
        <v>70</v>
      </c>
      <c r="S432" s="169">
        <v>115351</v>
      </c>
      <c r="T432" s="160">
        <v>6115.38</v>
      </c>
      <c r="U432" s="160">
        <v>0</v>
      </c>
      <c r="V432" s="160">
        <v>25848.19</v>
      </c>
      <c r="W432" s="160">
        <v>89502.81</v>
      </c>
      <c r="X432" s="161">
        <v>0</v>
      </c>
      <c r="Y432" s="160"/>
      <c r="Z432" s="16">
        <v>22.4</v>
      </c>
      <c r="AA432" s="162">
        <v>25848.19</v>
      </c>
      <c r="AB432" s="162">
        <v>6462.0474999999997</v>
      </c>
      <c r="AC432" s="162">
        <v>77544.569999999992</v>
      </c>
      <c r="AD432" s="160"/>
      <c r="AE432" s="145">
        <v>115351</v>
      </c>
      <c r="AF432" s="163">
        <v>1.0529999999999999</v>
      </c>
      <c r="AG432" s="163">
        <v>1.0489999999999999</v>
      </c>
      <c r="AH432" s="163">
        <v>1.0469999999999999</v>
      </c>
      <c r="AI432" s="164">
        <v>115351</v>
      </c>
      <c r="AJ432" s="164">
        <f t="shared" si="52"/>
        <v>0</v>
      </c>
      <c r="AK432" s="229">
        <v>115351</v>
      </c>
      <c r="AL432" s="229">
        <f ca="1">SUMIF('MS &amp; Vacancies combined'!A:P,D432,'MS &amp; Vacancies combined'!P:P)*105.3/100</f>
        <v>108085.41100627504</v>
      </c>
      <c r="AM432" s="229">
        <f t="shared" ca="1" si="55"/>
        <v>113381.59614558252</v>
      </c>
      <c r="AN432" s="229">
        <f t="shared" ca="1" si="56"/>
        <v>118710.53116442489</v>
      </c>
      <c r="AO432" s="166"/>
      <c r="AP432" s="413">
        <f t="shared" ca="1" si="53"/>
        <v>7265.5889937249594</v>
      </c>
      <c r="AR432" s="231"/>
      <c r="AS432" s="231"/>
      <c r="AU432" s="414">
        <v>115351</v>
      </c>
      <c r="AV432" s="415">
        <v>115351</v>
      </c>
      <c r="AW432" s="414">
        <f t="shared" si="51"/>
        <v>0</v>
      </c>
    </row>
    <row r="433" spans="1:49" s="172" customFormat="1" x14ac:dyDescent="0.3">
      <c r="A433" s="166" t="s">
        <v>71</v>
      </c>
      <c r="B433" s="167" t="s">
        <v>1037</v>
      </c>
      <c r="C433" s="167" t="s">
        <v>403</v>
      </c>
      <c r="D433" s="412" t="s">
        <v>3469</v>
      </c>
      <c r="E433" s="168" t="s">
        <v>310</v>
      </c>
      <c r="F433" s="168" t="s">
        <v>370</v>
      </c>
      <c r="G433" s="168" t="s">
        <v>309</v>
      </c>
      <c r="H433" s="168" t="s">
        <v>310</v>
      </c>
      <c r="I433" s="168" t="s">
        <v>404</v>
      </c>
      <c r="J433" s="168" t="s">
        <v>312</v>
      </c>
      <c r="K433" s="168" t="s">
        <v>1849</v>
      </c>
      <c r="L433" s="167" t="s">
        <v>304</v>
      </c>
      <c r="M433" s="167" t="s">
        <v>305</v>
      </c>
      <c r="N433" s="167">
        <v>11</v>
      </c>
      <c r="O433" s="167" t="s">
        <v>403</v>
      </c>
      <c r="P433" s="167" t="s">
        <v>403</v>
      </c>
      <c r="Q433" s="167" t="s">
        <v>1037</v>
      </c>
      <c r="R433" s="166" t="s">
        <v>71</v>
      </c>
      <c r="S433" s="169">
        <v>900401</v>
      </c>
      <c r="T433" s="160">
        <v>52354.8</v>
      </c>
      <c r="U433" s="160">
        <v>0</v>
      </c>
      <c r="V433" s="160">
        <v>211924.2</v>
      </c>
      <c r="W433" s="160">
        <v>688476.8</v>
      </c>
      <c r="X433" s="161">
        <v>0</v>
      </c>
      <c r="Y433" s="160"/>
      <c r="Z433" s="16">
        <v>23.53</v>
      </c>
      <c r="AA433" s="162">
        <v>211924.2</v>
      </c>
      <c r="AB433" s="162">
        <v>52981.05</v>
      </c>
      <c r="AC433" s="162">
        <v>635772.60000000009</v>
      </c>
      <c r="AD433" s="160"/>
      <c r="AE433" s="145">
        <v>900401</v>
      </c>
      <c r="AF433" s="163">
        <v>1.0529999999999999</v>
      </c>
      <c r="AG433" s="163">
        <v>1.0489999999999999</v>
      </c>
      <c r="AH433" s="163">
        <v>1.0469999999999999</v>
      </c>
      <c r="AI433" s="164">
        <v>900401</v>
      </c>
      <c r="AJ433" s="164">
        <f t="shared" si="52"/>
        <v>0</v>
      </c>
      <c r="AK433" s="229">
        <v>900401</v>
      </c>
      <c r="AL433" s="229">
        <f ca="1">SUMIF('MS &amp; Vacancies combined'!A:Q,D433,'MS &amp; Vacancies combined'!Q:Q)*105.3/100</f>
        <v>816708.39808707463</v>
      </c>
      <c r="AM433" s="229">
        <f t="shared" ca="1" si="55"/>
        <v>856727.10959334124</v>
      </c>
      <c r="AN433" s="229">
        <f t="shared" ca="1" si="56"/>
        <v>896993.28374422819</v>
      </c>
      <c r="AO433" s="166"/>
      <c r="AP433" s="413">
        <f t="shared" ca="1" si="53"/>
        <v>83692.601912925369</v>
      </c>
      <c r="AR433" s="231"/>
      <c r="AS433" s="231"/>
      <c r="AU433" s="414">
        <v>900401</v>
      </c>
      <c r="AV433" s="415">
        <v>900401</v>
      </c>
      <c r="AW433" s="414">
        <f t="shared" si="51"/>
        <v>0</v>
      </c>
    </row>
    <row r="434" spans="1:49" s="172" customFormat="1" x14ac:dyDescent="0.3">
      <c r="A434" s="166" t="s">
        <v>72</v>
      </c>
      <c r="B434" s="167" t="s">
        <v>1038</v>
      </c>
      <c r="C434" s="167" t="s">
        <v>406</v>
      </c>
      <c r="D434" s="412" t="s">
        <v>3469</v>
      </c>
      <c r="E434" s="168" t="s">
        <v>310</v>
      </c>
      <c r="F434" s="168" t="s">
        <v>370</v>
      </c>
      <c r="G434" s="168" t="s">
        <v>309</v>
      </c>
      <c r="H434" s="168" t="s">
        <v>310</v>
      </c>
      <c r="I434" s="168" t="s">
        <v>407</v>
      </c>
      <c r="J434" s="168" t="s">
        <v>312</v>
      </c>
      <c r="K434" s="168" t="s">
        <v>1849</v>
      </c>
      <c r="L434" s="167" t="s">
        <v>304</v>
      </c>
      <c r="M434" s="167" t="s">
        <v>305</v>
      </c>
      <c r="N434" s="167">
        <v>11</v>
      </c>
      <c r="O434" s="167" t="s">
        <v>406</v>
      </c>
      <c r="P434" s="167" t="s">
        <v>406</v>
      </c>
      <c r="Q434" s="167" t="s">
        <v>1038</v>
      </c>
      <c r="R434" s="166" t="s">
        <v>72</v>
      </c>
      <c r="S434" s="169">
        <v>1226118</v>
      </c>
      <c r="T434" s="160">
        <v>110074.43</v>
      </c>
      <c r="U434" s="160">
        <v>0</v>
      </c>
      <c r="V434" s="160">
        <v>453829.07</v>
      </c>
      <c r="W434" s="160">
        <v>772288.93</v>
      </c>
      <c r="X434" s="161">
        <v>0</v>
      </c>
      <c r="Y434" s="160"/>
      <c r="Z434" s="16">
        <v>37.01</v>
      </c>
      <c r="AA434" s="162">
        <v>453829.07</v>
      </c>
      <c r="AB434" s="162">
        <v>113457.2675</v>
      </c>
      <c r="AC434" s="162">
        <v>1361487.21</v>
      </c>
      <c r="AD434" s="160"/>
      <c r="AE434" s="145">
        <v>1226118</v>
      </c>
      <c r="AF434" s="163">
        <v>1.0529999999999999</v>
      </c>
      <c r="AG434" s="163">
        <v>1.0489999999999999</v>
      </c>
      <c r="AH434" s="163">
        <v>1.0469999999999999</v>
      </c>
      <c r="AI434" s="164">
        <v>1226118</v>
      </c>
      <c r="AJ434" s="164">
        <f t="shared" si="52"/>
        <v>0</v>
      </c>
      <c r="AK434" s="229">
        <v>1226118</v>
      </c>
      <c r="AL434" s="229">
        <f ca="1">SUMIF('MS &amp; Vacancies combined'!A:R,D434,'MS &amp; Vacancies combined'!R:R)*105.3/100</f>
        <v>1116059.0725047942</v>
      </c>
      <c r="AM434" s="229">
        <f t="shared" ca="1" si="55"/>
        <v>1170745.9670575291</v>
      </c>
      <c r="AN434" s="229">
        <f t="shared" ca="1" si="56"/>
        <v>1225771.027509233</v>
      </c>
      <c r="AO434" s="166"/>
      <c r="AP434" s="413">
        <f t="shared" ca="1" si="53"/>
        <v>110058.92749520577</v>
      </c>
      <c r="AR434" s="231"/>
      <c r="AS434" s="231"/>
      <c r="AU434" s="414">
        <v>1226118</v>
      </c>
      <c r="AV434" s="415">
        <v>1226118</v>
      </c>
      <c r="AW434" s="414">
        <f t="shared" si="51"/>
        <v>0</v>
      </c>
    </row>
    <row r="435" spans="1:49" s="172" customFormat="1" x14ac:dyDescent="0.3">
      <c r="A435" s="166" t="s">
        <v>73</v>
      </c>
      <c r="B435" s="167" t="s">
        <v>1039</v>
      </c>
      <c r="C435" s="167" t="s">
        <v>307</v>
      </c>
      <c r="D435" s="412" t="s">
        <v>3469</v>
      </c>
      <c r="E435" s="168" t="s">
        <v>310</v>
      </c>
      <c r="F435" s="168" t="s">
        <v>370</v>
      </c>
      <c r="G435" s="168" t="s">
        <v>309</v>
      </c>
      <c r="H435" s="168" t="s">
        <v>310</v>
      </c>
      <c r="I435" s="168" t="s">
        <v>311</v>
      </c>
      <c r="J435" s="168" t="s">
        <v>312</v>
      </c>
      <c r="K435" s="168" t="s">
        <v>1849</v>
      </c>
      <c r="L435" s="167" t="s">
        <v>304</v>
      </c>
      <c r="M435" s="167" t="s">
        <v>305</v>
      </c>
      <c r="N435" s="167">
        <v>11</v>
      </c>
      <c r="O435" s="167" t="s">
        <v>307</v>
      </c>
      <c r="P435" s="167" t="s">
        <v>307</v>
      </c>
      <c r="Q435" s="167" t="s">
        <v>1039</v>
      </c>
      <c r="R435" s="166" t="s">
        <v>73</v>
      </c>
      <c r="S435" s="169">
        <v>33412</v>
      </c>
      <c r="T435" s="160">
        <v>2479.6799999999998</v>
      </c>
      <c r="U435" s="160">
        <v>0</v>
      </c>
      <c r="V435" s="160">
        <v>13992.48</v>
      </c>
      <c r="W435" s="160">
        <v>19419.52</v>
      </c>
      <c r="X435" s="161">
        <v>0</v>
      </c>
      <c r="Y435" s="160"/>
      <c r="Z435" s="16">
        <v>41.87</v>
      </c>
      <c r="AA435" s="162">
        <v>13992.48</v>
      </c>
      <c r="AB435" s="162">
        <v>3498.12</v>
      </c>
      <c r="AC435" s="162">
        <v>41977.440000000002</v>
      </c>
      <c r="AD435" s="160"/>
      <c r="AE435" s="145">
        <v>33412</v>
      </c>
      <c r="AF435" s="163">
        <v>1.0529999999999999</v>
      </c>
      <c r="AG435" s="163">
        <v>1.0489999999999999</v>
      </c>
      <c r="AH435" s="163">
        <v>1.0469999999999999</v>
      </c>
      <c r="AI435" s="164">
        <v>33412</v>
      </c>
      <c r="AJ435" s="164">
        <f t="shared" si="52"/>
        <v>0</v>
      </c>
      <c r="AK435" s="229">
        <v>33412</v>
      </c>
      <c r="AL435" s="229">
        <f ca="1">SUMIF('MS &amp; Vacancies combined'!A:S,D435,'MS &amp; Vacancies combined'!S:S)*105.3/100</f>
        <v>28890.631409862723</v>
      </c>
      <c r="AM435" s="229">
        <f t="shared" ca="1" si="55"/>
        <v>30306.272348945993</v>
      </c>
      <c r="AN435" s="229">
        <f t="shared" ca="1" si="56"/>
        <v>31730.667149346453</v>
      </c>
      <c r="AO435" s="166"/>
      <c r="AP435" s="413">
        <f t="shared" ca="1" si="53"/>
        <v>4521.3685901372774</v>
      </c>
      <c r="AR435" s="231"/>
      <c r="AS435" s="231"/>
      <c r="AU435" s="414">
        <v>33412</v>
      </c>
      <c r="AV435" s="415">
        <v>33412</v>
      </c>
      <c r="AW435" s="414">
        <f t="shared" si="51"/>
        <v>0</v>
      </c>
    </row>
    <row r="436" spans="1:49" hidden="1" x14ac:dyDescent="0.3">
      <c r="A436" s="16" t="s">
        <v>324</v>
      </c>
      <c r="B436" s="39" t="s">
        <v>1040</v>
      </c>
      <c r="C436" s="39" t="s">
        <v>76</v>
      </c>
      <c r="D436" s="340" t="s">
        <v>3469</v>
      </c>
      <c r="E436" s="159" t="s">
        <v>310</v>
      </c>
      <c r="F436" s="159" t="s">
        <v>370</v>
      </c>
      <c r="G436" s="159" t="s">
        <v>309</v>
      </c>
      <c r="H436" s="159" t="s">
        <v>325</v>
      </c>
      <c r="I436" s="159" t="s">
        <v>326</v>
      </c>
      <c r="J436" s="159" t="s">
        <v>327</v>
      </c>
      <c r="K436" s="159" t="s">
        <v>1849</v>
      </c>
      <c r="L436" s="39" t="s">
        <v>304</v>
      </c>
      <c r="M436" s="39" t="s">
        <v>305</v>
      </c>
      <c r="N436" s="39">
        <v>11</v>
      </c>
      <c r="O436" s="39" t="s">
        <v>76</v>
      </c>
      <c r="P436" s="39" t="s">
        <v>76</v>
      </c>
      <c r="Q436" s="39" t="s">
        <v>1040</v>
      </c>
      <c r="R436" s="16" t="s">
        <v>324</v>
      </c>
      <c r="S436" s="160">
        <v>10000</v>
      </c>
      <c r="T436" s="160">
        <v>4519.22</v>
      </c>
      <c r="U436" s="160">
        <v>0</v>
      </c>
      <c r="V436" s="160">
        <v>4519.22</v>
      </c>
      <c r="W436" s="160">
        <v>5480.78</v>
      </c>
      <c r="X436" s="161">
        <v>3929.75</v>
      </c>
      <c r="Y436" s="160"/>
      <c r="Z436" s="16">
        <v>45.19</v>
      </c>
      <c r="AA436" s="162">
        <v>4519.22</v>
      </c>
      <c r="AB436" s="162">
        <v>1129.8050000000001</v>
      </c>
      <c r="AC436" s="162">
        <v>13557.66</v>
      </c>
      <c r="AD436" s="160">
        <v>7480.78</v>
      </c>
      <c r="AE436" s="145">
        <v>17480.78</v>
      </c>
      <c r="AF436" s="163">
        <v>1.0469999999999999</v>
      </c>
      <c r="AG436" s="164">
        <v>1.046</v>
      </c>
      <c r="AH436" s="164">
        <v>1.046</v>
      </c>
      <c r="AI436" s="164">
        <v>17480.78</v>
      </c>
      <c r="AJ436" s="164">
        <f t="shared" si="52"/>
        <v>0</v>
      </c>
      <c r="AK436" s="165">
        <v>15000</v>
      </c>
      <c r="AL436" s="165">
        <f t="shared" ref="AL436:AL437" si="57">AK436</f>
        <v>15000</v>
      </c>
      <c r="AM436" s="165">
        <f t="shared" si="55"/>
        <v>15690</v>
      </c>
      <c r="AN436" s="165">
        <f t="shared" si="56"/>
        <v>16411.740000000002</v>
      </c>
      <c r="AO436" s="16" t="s">
        <v>2004</v>
      </c>
      <c r="AP436" s="231">
        <f t="shared" si="53"/>
        <v>0</v>
      </c>
      <c r="AR436" s="231"/>
      <c r="AS436" s="231"/>
      <c r="AU436" s="230">
        <v>10000</v>
      </c>
      <c r="AV436" s="233">
        <v>17480.78</v>
      </c>
      <c r="AW436" s="230">
        <f t="shared" si="51"/>
        <v>0</v>
      </c>
    </row>
    <row r="437" spans="1:49" hidden="1" x14ac:dyDescent="0.3">
      <c r="A437" s="16" t="s">
        <v>1000</v>
      </c>
      <c r="B437" s="39" t="s">
        <v>1041</v>
      </c>
      <c r="C437" s="39" t="s">
        <v>78</v>
      </c>
      <c r="D437" s="340" t="s">
        <v>3469</v>
      </c>
      <c r="E437" s="159" t="s">
        <v>310</v>
      </c>
      <c r="F437" s="159" t="s">
        <v>370</v>
      </c>
      <c r="G437" s="159" t="s">
        <v>309</v>
      </c>
      <c r="H437" s="159" t="s">
        <v>330</v>
      </c>
      <c r="I437" s="159" t="s">
        <v>1002</v>
      </c>
      <c r="J437" s="159" t="s">
        <v>312</v>
      </c>
      <c r="K437" s="159" t="s">
        <v>1849</v>
      </c>
      <c r="L437" s="39">
        <v>414</v>
      </c>
      <c r="M437" s="39" t="s">
        <v>305</v>
      </c>
      <c r="N437" s="39">
        <v>11</v>
      </c>
      <c r="O437" s="39" t="s">
        <v>78</v>
      </c>
      <c r="P437" s="39" t="s">
        <v>1001</v>
      </c>
      <c r="Q437" s="39" t="s">
        <v>1041</v>
      </c>
      <c r="R437" s="16" t="s">
        <v>1000</v>
      </c>
      <c r="S437" s="160">
        <v>10000000</v>
      </c>
      <c r="T437" s="160">
        <v>340733.68</v>
      </c>
      <c r="U437" s="160">
        <v>177017.39</v>
      </c>
      <c r="V437" s="160">
        <v>834321.49</v>
      </c>
      <c r="W437" s="160">
        <v>9165678.5099999998</v>
      </c>
      <c r="X437" s="161">
        <v>1905045.19</v>
      </c>
      <c r="Y437" s="160"/>
      <c r="Z437" s="16">
        <v>8.34</v>
      </c>
      <c r="AA437" s="162">
        <v>1011338.88</v>
      </c>
      <c r="AB437" s="162">
        <v>252834.72</v>
      </c>
      <c r="AC437" s="162">
        <v>3034016.64</v>
      </c>
      <c r="AD437" s="160"/>
      <c r="AE437" s="145">
        <v>10000000</v>
      </c>
      <c r="AF437" s="163">
        <v>1.0469999999999999</v>
      </c>
      <c r="AG437" s="164">
        <v>1.046</v>
      </c>
      <c r="AH437" s="164">
        <v>1.046</v>
      </c>
      <c r="AI437" s="164">
        <v>10000000</v>
      </c>
      <c r="AJ437" s="164">
        <f t="shared" si="52"/>
        <v>0</v>
      </c>
      <c r="AK437" s="165">
        <v>6000000</v>
      </c>
      <c r="AL437" s="165">
        <f t="shared" si="57"/>
        <v>6000000</v>
      </c>
      <c r="AM437" s="165">
        <f t="shared" si="55"/>
        <v>6276000</v>
      </c>
      <c r="AN437" s="165">
        <f t="shared" si="56"/>
        <v>6564696</v>
      </c>
      <c r="AO437" s="16"/>
      <c r="AP437" s="231">
        <f t="shared" si="53"/>
        <v>0</v>
      </c>
      <c r="AR437" s="231"/>
      <c r="AS437" s="231"/>
      <c r="AU437" s="230">
        <v>10000000</v>
      </c>
      <c r="AV437" s="233">
        <v>10000000</v>
      </c>
      <c r="AW437" s="230">
        <f t="shared" si="51"/>
        <v>0</v>
      </c>
    </row>
    <row r="438" spans="1:49" s="172" customFormat="1" hidden="1" x14ac:dyDescent="0.3">
      <c r="A438" s="166" t="s">
        <v>1000</v>
      </c>
      <c r="B438" s="167" t="s">
        <v>1042</v>
      </c>
      <c r="C438" s="167" t="s">
        <v>78</v>
      </c>
      <c r="D438" s="340" t="s">
        <v>3469</v>
      </c>
      <c r="E438" s="168" t="s">
        <v>310</v>
      </c>
      <c r="F438" s="168" t="s">
        <v>370</v>
      </c>
      <c r="G438" s="168" t="s">
        <v>309</v>
      </c>
      <c r="H438" s="168" t="s">
        <v>330</v>
      </c>
      <c r="I438" s="168" t="s">
        <v>1002</v>
      </c>
      <c r="J438" s="168" t="s">
        <v>312</v>
      </c>
      <c r="K438" s="168" t="s">
        <v>1992</v>
      </c>
      <c r="L438" s="167" t="s">
        <v>304</v>
      </c>
      <c r="M438" s="167" t="s">
        <v>305</v>
      </c>
      <c r="N438" s="167">
        <v>11</v>
      </c>
      <c r="O438" s="167" t="s">
        <v>78</v>
      </c>
      <c r="P438" s="167" t="s">
        <v>2005</v>
      </c>
      <c r="Q438" s="167" t="s">
        <v>1042</v>
      </c>
      <c r="R438" s="166" t="s">
        <v>1000</v>
      </c>
      <c r="S438" s="169">
        <v>600000</v>
      </c>
      <c r="T438" s="160">
        <v>0</v>
      </c>
      <c r="U438" s="160">
        <v>0</v>
      </c>
      <c r="V438" s="160">
        <v>0</v>
      </c>
      <c r="W438" s="160">
        <v>600000</v>
      </c>
      <c r="X438" s="161">
        <v>0</v>
      </c>
      <c r="Y438" s="160"/>
      <c r="Z438" s="16">
        <v>0</v>
      </c>
      <c r="AA438" s="162">
        <v>0</v>
      </c>
      <c r="AB438" s="162">
        <v>0</v>
      </c>
      <c r="AC438" s="162">
        <v>0</v>
      </c>
      <c r="AD438" s="160"/>
      <c r="AE438" s="228">
        <v>600000</v>
      </c>
      <c r="AF438" s="163">
        <v>1.0469999999999999</v>
      </c>
      <c r="AG438" s="164">
        <v>1.046</v>
      </c>
      <c r="AH438" s="164">
        <v>1.046</v>
      </c>
      <c r="AI438" s="164">
        <v>600000</v>
      </c>
      <c r="AJ438" s="164">
        <f t="shared" si="52"/>
        <v>0</v>
      </c>
      <c r="AK438" s="229">
        <v>0</v>
      </c>
      <c r="AL438" s="229">
        <v>0</v>
      </c>
      <c r="AM438" s="229">
        <f t="shared" si="55"/>
        <v>0</v>
      </c>
      <c r="AN438" s="229">
        <f t="shared" si="56"/>
        <v>0</v>
      </c>
      <c r="AO438" s="166"/>
      <c r="AP438" s="231">
        <f t="shared" si="53"/>
        <v>0</v>
      </c>
      <c r="AQ438"/>
      <c r="AR438" s="231"/>
      <c r="AS438" s="231"/>
      <c r="AT438"/>
      <c r="AU438" s="230">
        <v>600000</v>
      </c>
      <c r="AV438" s="233">
        <v>600000</v>
      </c>
      <c r="AW438" s="230">
        <f t="shared" si="51"/>
        <v>0</v>
      </c>
    </row>
    <row r="439" spans="1:49" hidden="1" x14ac:dyDescent="0.3">
      <c r="A439" s="16" t="s">
        <v>1044</v>
      </c>
      <c r="B439" s="39" t="s">
        <v>1043</v>
      </c>
      <c r="C439" s="39" t="s">
        <v>82</v>
      </c>
      <c r="D439" s="340" t="s">
        <v>3469</v>
      </c>
      <c r="E439" s="159" t="s">
        <v>310</v>
      </c>
      <c r="F439" s="159" t="s">
        <v>370</v>
      </c>
      <c r="G439" s="159" t="s">
        <v>309</v>
      </c>
      <c r="H439" s="159" t="s">
        <v>334</v>
      </c>
      <c r="I439" s="159" t="s">
        <v>885</v>
      </c>
      <c r="J439" s="159" t="s">
        <v>312</v>
      </c>
      <c r="K439" s="159" t="s">
        <v>1849</v>
      </c>
      <c r="L439" s="39" t="s">
        <v>304</v>
      </c>
      <c r="M439" s="39" t="s">
        <v>305</v>
      </c>
      <c r="N439" s="39">
        <v>11</v>
      </c>
      <c r="O439" s="39" t="s">
        <v>82</v>
      </c>
      <c r="P439" s="39" t="s">
        <v>884</v>
      </c>
      <c r="Q439" s="39" t="s">
        <v>1043</v>
      </c>
      <c r="R439" s="16" t="s">
        <v>1044</v>
      </c>
      <c r="S439" s="160">
        <v>0</v>
      </c>
      <c r="T439" s="160">
        <v>0</v>
      </c>
      <c r="U439" s="160">
        <v>0</v>
      </c>
      <c r="V439" s="160">
        <v>0</v>
      </c>
      <c r="W439" s="160">
        <v>0</v>
      </c>
      <c r="X439" s="161">
        <v>0</v>
      </c>
      <c r="Y439" s="160"/>
      <c r="Z439" s="16">
        <v>0</v>
      </c>
      <c r="AA439" s="162">
        <v>0</v>
      </c>
      <c r="AB439" s="162">
        <v>0</v>
      </c>
      <c r="AC439" s="162">
        <v>0</v>
      </c>
      <c r="AD439" s="160"/>
      <c r="AE439" s="145">
        <v>0</v>
      </c>
      <c r="AF439" s="163">
        <v>1.0469999999999999</v>
      </c>
      <c r="AG439" s="164">
        <v>1.046</v>
      </c>
      <c r="AH439" s="164">
        <v>1.046</v>
      </c>
      <c r="AI439" s="164">
        <v>0</v>
      </c>
      <c r="AJ439" s="164">
        <f t="shared" si="52"/>
        <v>0</v>
      </c>
      <c r="AK439" s="165">
        <v>0</v>
      </c>
      <c r="AL439" s="165">
        <v>0</v>
      </c>
      <c r="AM439" s="165">
        <f t="shared" si="55"/>
        <v>0</v>
      </c>
      <c r="AN439" s="165">
        <f t="shared" si="56"/>
        <v>0</v>
      </c>
      <c r="AO439" s="16"/>
      <c r="AP439" s="231">
        <f t="shared" si="53"/>
        <v>0</v>
      </c>
      <c r="AR439" s="231"/>
      <c r="AS439" s="231"/>
      <c r="AU439" s="230">
        <v>0</v>
      </c>
      <c r="AV439" s="233">
        <v>0</v>
      </c>
      <c r="AW439" s="230">
        <f t="shared" si="51"/>
        <v>0</v>
      </c>
    </row>
    <row r="440" spans="1:49" hidden="1" x14ac:dyDescent="0.3">
      <c r="A440" s="16" t="s">
        <v>835</v>
      </c>
      <c r="B440" s="39" t="s">
        <v>1045</v>
      </c>
      <c r="C440" s="39" t="s">
        <v>82</v>
      </c>
      <c r="D440" s="340" t="s">
        <v>3469</v>
      </c>
      <c r="E440" s="159" t="s">
        <v>310</v>
      </c>
      <c r="F440" s="159" t="s">
        <v>370</v>
      </c>
      <c r="G440" s="159" t="s">
        <v>309</v>
      </c>
      <c r="H440" s="159" t="s">
        <v>334</v>
      </c>
      <c r="I440" s="159" t="s">
        <v>414</v>
      </c>
      <c r="J440" s="159" t="s">
        <v>312</v>
      </c>
      <c r="K440" s="159" t="s">
        <v>1849</v>
      </c>
      <c r="L440" s="39" t="s">
        <v>304</v>
      </c>
      <c r="M440" s="39" t="s">
        <v>305</v>
      </c>
      <c r="N440" s="39">
        <v>11</v>
      </c>
      <c r="O440" s="39" t="s">
        <v>82</v>
      </c>
      <c r="P440" s="39" t="s">
        <v>836</v>
      </c>
      <c r="Q440" s="39" t="s">
        <v>1045</v>
      </c>
      <c r="R440" s="16" t="s">
        <v>835</v>
      </c>
      <c r="S440" s="160">
        <v>0</v>
      </c>
      <c r="T440" s="160">
        <v>105687</v>
      </c>
      <c r="U440" s="160">
        <v>0</v>
      </c>
      <c r="V440" s="160">
        <v>839262.18</v>
      </c>
      <c r="W440" s="160">
        <v>-839262.18</v>
      </c>
      <c r="X440" s="161">
        <v>0</v>
      </c>
      <c r="Y440" s="160"/>
      <c r="Z440" s="16">
        <v>0</v>
      </c>
      <c r="AA440" s="162">
        <v>839262.18</v>
      </c>
      <c r="AB440" s="162">
        <v>209815.54500000001</v>
      </c>
      <c r="AC440" s="162">
        <v>2517786.54</v>
      </c>
      <c r="AD440" s="160"/>
      <c r="AE440" s="145">
        <v>0</v>
      </c>
      <c r="AF440" s="163">
        <v>1.0469999999999999</v>
      </c>
      <c r="AG440" s="164">
        <v>1.046</v>
      </c>
      <c r="AH440" s="164">
        <v>1.046</v>
      </c>
      <c r="AI440" s="164">
        <v>0</v>
      </c>
      <c r="AJ440" s="164">
        <f t="shared" si="52"/>
        <v>0</v>
      </c>
      <c r="AK440" s="165">
        <v>0</v>
      </c>
      <c r="AL440" s="165">
        <v>0</v>
      </c>
      <c r="AM440" s="165">
        <f t="shared" si="55"/>
        <v>0</v>
      </c>
      <c r="AN440" s="165">
        <f t="shared" si="56"/>
        <v>0</v>
      </c>
      <c r="AO440" s="16"/>
      <c r="AP440" s="231">
        <f t="shared" si="53"/>
        <v>0</v>
      </c>
      <c r="AR440" s="231"/>
      <c r="AS440" s="231"/>
      <c r="AU440" s="230">
        <v>0</v>
      </c>
      <c r="AV440" s="233">
        <v>0</v>
      </c>
      <c r="AW440" s="230">
        <f t="shared" si="51"/>
        <v>0</v>
      </c>
    </row>
    <row r="441" spans="1:49" hidden="1" x14ac:dyDescent="0.3">
      <c r="A441" s="16" t="s">
        <v>341</v>
      </c>
      <c r="B441" s="39" t="s">
        <v>1046</v>
      </c>
      <c r="C441" s="39" t="s">
        <v>82</v>
      </c>
      <c r="D441" s="340" t="s">
        <v>3469</v>
      </c>
      <c r="E441" s="159" t="s">
        <v>310</v>
      </c>
      <c r="F441" s="159" t="s">
        <v>370</v>
      </c>
      <c r="G441" s="159" t="s">
        <v>309</v>
      </c>
      <c r="H441" s="159" t="s">
        <v>334</v>
      </c>
      <c r="I441" s="159" t="s">
        <v>343</v>
      </c>
      <c r="J441" s="159" t="s">
        <v>312</v>
      </c>
      <c r="K441" s="159" t="s">
        <v>1849</v>
      </c>
      <c r="L441" s="39" t="s">
        <v>304</v>
      </c>
      <c r="M441" s="39" t="s">
        <v>305</v>
      </c>
      <c r="N441" s="39">
        <v>11</v>
      </c>
      <c r="O441" s="39" t="s">
        <v>82</v>
      </c>
      <c r="P441" s="39" t="s">
        <v>342</v>
      </c>
      <c r="Q441" s="39" t="s">
        <v>1046</v>
      </c>
      <c r="R441" s="16" t="s">
        <v>341</v>
      </c>
      <c r="S441" s="160">
        <v>0</v>
      </c>
      <c r="T441" s="160">
        <v>0</v>
      </c>
      <c r="U441" s="160">
        <v>0</v>
      </c>
      <c r="V441" s="160">
        <v>0</v>
      </c>
      <c r="W441" s="160">
        <v>0</v>
      </c>
      <c r="X441" s="161">
        <v>0</v>
      </c>
      <c r="Y441" s="160"/>
      <c r="Z441" s="16">
        <v>0</v>
      </c>
      <c r="AA441" s="162">
        <v>0</v>
      </c>
      <c r="AB441" s="162">
        <v>0</v>
      </c>
      <c r="AC441" s="162">
        <v>0</v>
      </c>
      <c r="AD441" s="160"/>
      <c r="AE441" s="145">
        <v>0</v>
      </c>
      <c r="AF441" s="163">
        <v>1.0469999999999999</v>
      </c>
      <c r="AG441" s="164">
        <v>1.046</v>
      </c>
      <c r="AH441" s="164">
        <v>1.046</v>
      </c>
      <c r="AI441" s="164">
        <v>0</v>
      </c>
      <c r="AJ441" s="164">
        <f t="shared" si="52"/>
        <v>0</v>
      </c>
      <c r="AK441" s="165">
        <v>0</v>
      </c>
      <c r="AL441" s="165">
        <v>0</v>
      </c>
      <c r="AM441" s="165">
        <f t="shared" si="55"/>
        <v>0</v>
      </c>
      <c r="AN441" s="165">
        <f t="shared" si="56"/>
        <v>0</v>
      </c>
      <c r="AO441" s="16"/>
      <c r="AP441" s="231">
        <f t="shared" si="53"/>
        <v>0</v>
      </c>
      <c r="AR441" s="231"/>
      <c r="AS441" s="231"/>
      <c r="AU441" s="230">
        <v>0</v>
      </c>
      <c r="AV441" s="233">
        <v>0</v>
      </c>
      <c r="AW441" s="230">
        <f t="shared" si="51"/>
        <v>0</v>
      </c>
    </row>
    <row r="442" spans="1:49" hidden="1" x14ac:dyDescent="0.3">
      <c r="A442" s="16" t="s">
        <v>345</v>
      </c>
      <c r="B442" s="39" t="s">
        <v>1047</v>
      </c>
      <c r="C442" s="39" t="s">
        <v>82</v>
      </c>
      <c r="D442" s="340" t="s">
        <v>3469</v>
      </c>
      <c r="E442" s="159" t="s">
        <v>310</v>
      </c>
      <c r="F442" s="159" t="s">
        <v>370</v>
      </c>
      <c r="G442" s="159" t="s">
        <v>309</v>
      </c>
      <c r="H442" s="159" t="s">
        <v>334</v>
      </c>
      <c r="I442" s="159" t="s">
        <v>347</v>
      </c>
      <c r="J442" s="159" t="s">
        <v>312</v>
      </c>
      <c r="K442" s="159" t="s">
        <v>1849</v>
      </c>
      <c r="L442" s="39" t="s">
        <v>304</v>
      </c>
      <c r="M442" s="39" t="s">
        <v>305</v>
      </c>
      <c r="N442" s="39">
        <v>11</v>
      </c>
      <c r="O442" s="39" t="s">
        <v>82</v>
      </c>
      <c r="P442" s="39" t="s">
        <v>346</v>
      </c>
      <c r="Q442" s="39" t="s">
        <v>1047</v>
      </c>
      <c r="R442" s="16" t="s">
        <v>345</v>
      </c>
      <c r="S442" s="160">
        <v>0</v>
      </c>
      <c r="T442" s="160">
        <v>0</v>
      </c>
      <c r="U442" s="160">
        <v>0</v>
      </c>
      <c r="V442" s="160">
        <v>0</v>
      </c>
      <c r="W442" s="160">
        <v>0</v>
      </c>
      <c r="X442" s="161">
        <v>0</v>
      </c>
      <c r="Y442" s="160"/>
      <c r="Z442" s="16">
        <v>0</v>
      </c>
      <c r="AA442" s="162">
        <v>0</v>
      </c>
      <c r="AB442" s="162">
        <v>0</v>
      </c>
      <c r="AC442" s="162">
        <v>0</v>
      </c>
      <c r="AD442" s="160"/>
      <c r="AE442" s="145">
        <v>0</v>
      </c>
      <c r="AF442" s="163">
        <v>1.0469999999999999</v>
      </c>
      <c r="AG442" s="164">
        <v>1.046</v>
      </c>
      <c r="AH442" s="164">
        <v>1.046</v>
      </c>
      <c r="AI442" s="164">
        <v>0</v>
      </c>
      <c r="AJ442" s="164">
        <f t="shared" si="52"/>
        <v>0</v>
      </c>
      <c r="AK442" s="165">
        <v>50000</v>
      </c>
      <c r="AL442" s="165">
        <f t="shared" ref="AL442:AL455" si="58">AK442</f>
        <v>50000</v>
      </c>
      <c r="AM442" s="165">
        <f t="shared" si="55"/>
        <v>52300</v>
      </c>
      <c r="AN442" s="165">
        <f t="shared" si="56"/>
        <v>54705.8</v>
      </c>
      <c r="AO442" s="16"/>
      <c r="AP442" s="231">
        <f t="shared" si="53"/>
        <v>0</v>
      </c>
      <c r="AR442" s="231"/>
      <c r="AS442" s="231"/>
      <c r="AU442" s="230">
        <v>0</v>
      </c>
      <c r="AV442" s="233">
        <v>0</v>
      </c>
      <c r="AW442" s="230">
        <f t="shared" si="51"/>
        <v>0</v>
      </c>
    </row>
    <row r="443" spans="1:49" hidden="1" x14ac:dyDescent="0.3">
      <c r="A443" s="16" t="s">
        <v>349</v>
      </c>
      <c r="B443" s="39" t="s">
        <v>1048</v>
      </c>
      <c r="C443" s="39" t="s">
        <v>82</v>
      </c>
      <c r="D443" s="340" t="s">
        <v>3469</v>
      </c>
      <c r="E443" s="159" t="s">
        <v>310</v>
      </c>
      <c r="F443" s="159" t="s">
        <v>370</v>
      </c>
      <c r="G443" s="159" t="s">
        <v>309</v>
      </c>
      <c r="H443" s="159" t="s">
        <v>334</v>
      </c>
      <c r="I443" s="159" t="s">
        <v>351</v>
      </c>
      <c r="J443" s="159" t="s">
        <v>312</v>
      </c>
      <c r="K443" s="159" t="s">
        <v>1849</v>
      </c>
      <c r="L443" s="39" t="s">
        <v>304</v>
      </c>
      <c r="M443" s="39" t="s">
        <v>305</v>
      </c>
      <c r="N443" s="39">
        <v>11</v>
      </c>
      <c r="O443" s="39" t="s">
        <v>82</v>
      </c>
      <c r="P443" s="39" t="s">
        <v>350</v>
      </c>
      <c r="Q443" s="39" t="s">
        <v>1048</v>
      </c>
      <c r="R443" s="16" t="s">
        <v>349</v>
      </c>
      <c r="S443" s="160">
        <v>0</v>
      </c>
      <c r="T443" s="160">
        <v>0</v>
      </c>
      <c r="U443" s="160">
        <v>0</v>
      </c>
      <c r="V443" s="160">
        <v>0</v>
      </c>
      <c r="W443" s="160">
        <v>0</v>
      </c>
      <c r="X443" s="161">
        <v>0</v>
      </c>
      <c r="Y443" s="160"/>
      <c r="Z443" s="16">
        <v>0</v>
      </c>
      <c r="AA443" s="162">
        <v>0</v>
      </c>
      <c r="AB443" s="162">
        <v>0</v>
      </c>
      <c r="AC443" s="162">
        <v>0</v>
      </c>
      <c r="AD443" s="160"/>
      <c r="AE443" s="145">
        <v>0</v>
      </c>
      <c r="AF443" s="163">
        <v>1.0469999999999999</v>
      </c>
      <c r="AG443" s="164">
        <v>1.046</v>
      </c>
      <c r="AH443" s="164">
        <v>1.046</v>
      </c>
      <c r="AI443" s="164">
        <v>0</v>
      </c>
      <c r="AJ443" s="164">
        <f t="shared" si="52"/>
        <v>0</v>
      </c>
      <c r="AK443" s="165">
        <v>25000</v>
      </c>
      <c r="AL443" s="165">
        <f t="shared" si="58"/>
        <v>25000</v>
      </c>
      <c r="AM443" s="165">
        <f t="shared" si="55"/>
        <v>26150</v>
      </c>
      <c r="AN443" s="165">
        <f t="shared" si="56"/>
        <v>27352.9</v>
      </c>
      <c r="AO443" s="16"/>
      <c r="AP443" s="231">
        <f t="shared" si="53"/>
        <v>0</v>
      </c>
      <c r="AR443" s="231"/>
      <c r="AS443" s="231"/>
      <c r="AU443" s="230">
        <v>0</v>
      </c>
      <c r="AV443" s="233">
        <v>0</v>
      </c>
      <c r="AW443" s="230">
        <f t="shared" si="51"/>
        <v>0</v>
      </c>
    </row>
    <row r="444" spans="1:49" hidden="1" x14ac:dyDescent="0.3">
      <c r="A444" s="16" t="s">
        <v>353</v>
      </c>
      <c r="B444" s="39" t="s">
        <v>1049</v>
      </c>
      <c r="C444" s="39" t="s">
        <v>82</v>
      </c>
      <c r="D444" s="340" t="s">
        <v>3469</v>
      </c>
      <c r="E444" s="159" t="s">
        <v>310</v>
      </c>
      <c r="F444" s="159" t="s">
        <v>370</v>
      </c>
      <c r="G444" s="159" t="s">
        <v>309</v>
      </c>
      <c r="H444" s="159" t="s">
        <v>334</v>
      </c>
      <c r="I444" s="159" t="s">
        <v>355</v>
      </c>
      <c r="J444" s="159" t="s">
        <v>312</v>
      </c>
      <c r="K444" s="159" t="s">
        <v>1849</v>
      </c>
      <c r="L444" s="39" t="s">
        <v>304</v>
      </c>
      <c r="M444" s="39" t="s">
        <v>305</v>
      </c>
      <c r="N444" s="39">
        <v>11</v>
      </c>
      <c r="O444" s="39" t="s">
        <v>82</v>
      </c>
      <c r="P444" s="39" t="s">
        <v>354</v>
      </c>
      <c r="Q444" s="39" t="s">
        <v>1049</v>
      </c>
      <c r="R444" s="16" t="s">
        <v>353</v>
      </c>
      <c r="S444" s="160">
        <v>31440</v>
      </c>
      <c r="T444" s="160">
        <v>0</v>
      </c>
      <c r="U444" s="160">
        <v>0</v>
      </c>
      <c r="V444" s="160">
        <v>3160</v>
      </c>
      <c r="W444" s="160">
        <v>28280</v>
      </c>
      <c r="X444" s="161">
        <v>0</v>
      </c>
      <c r="Y444" s="160"/>
      <c r="Z444" s="16">
        <v>10.050000000000001</v>
      </c>
      <c r="AA444" s="162">
        <v>3160</v>
      </c>
      <c r="AB444" s="162">
        <v>790</v>
      </c>
      <c r="AC444" s="162">
        <v>9480</v>
      </c>
      <c r="AD444" s="160"/>
      <c r="AE444" s="145">
        <v>31440</v>
      </c>
      <c r="AF444" s="163">
        <v>1.0469999999999999</v>
      </c>
      <c r="AG444" s="164">
        <v>1.046</v>
      </c>
      <c r="AH444" s="164">
        <v>1.046</v>
      </c>
      <c r="AI444" s="164">
        <v>31440</v>
      </c>
      <c r="AJ444" s="164">
        <f t="shared" si="52"/>
        <v>0</v>
      </c>
      <c r="AK444" s="165">
        <v>50000</v>
      </c>
      <c r="AL444" s="165">
        <f t="shared" si="58"/>
        <v>50000</v>
      </c>
      <c r="AM444" s="165">
        <f t="shared" si="55"/>
        <v>52300</v>
      </c>
      <c r="AN444" s="165">
        <f t="shared" si="56"/>
        <v>54705.8</v>
      </c>
      <c r="AO444" s="16"/>
      <c r="AP444" s="231">
        <f t="shared" si="53"/>
        <v>0</v>
      </c>
      <c r="AR444" s="231"/>
      <c r="AS444" s="231"/>
      <c r="AU444" s="230">
        <v>31440</v>
      </c>
      <c r="AV444" s="233">
        <v>31440</v>
      </c>
      <c r="AW444" s="230">
        <f t="shared" si="51"/>
        <v>0</v>
      </c>
    </row>
    <row r="445" spans="1:49" hidden="1" x14ac:dyDescent="0.3">
      <c r="A445" s="16" t="s">
        <v>357</v>
      </c>
      <c r="B445" s="39" t="s">
        <v>1050</v>
      </c>
      <c r="C445" s="39" t="s">
        <v>82</v>
      </c>
      <c r="D445" s="340" t="s">
        <v>3469</v>
      </c>
      <c r="E445" s="159" t="s">
        <v>310</v>
      </c>
      <c r="F445" s="159" t="s">
        <v>370</v>
      </c>
      <c r="G445" s="159" t="s">
        <v>309</v>
      </c>
      <c r="H445" s="159" t="s">
        <v>334</v>
      </c>
      <c r="I445" s="159" t="s">
        <v>359</v>
      </c>
      <c r="J445" s="159" t="s">
        <v>312</v>
      </c>
      <c r="K445" s="159" t="s">
        <v>1849</v>
      </c>
      <c r="L445" s="39" t="s">
        <v>304</v>
      </c>
      <c r="M445" s="39" t="s">
        <v>305</v>
      </c>
      <c r="N445" s="39">
        <v>11</v>
      </c>
      <c r="O445" s="39" t="s">
        <v>82</v>
      </c>
      <c r="P445" s="39" t="s">
        <v>358</v>
      </c>
      <c r="Q445" s="39" t="s">
        <v>1050</v>
      </c>
      <c r="R445" s="16" t="s">
        <v>357</v>
      </c>
      <c r="S445" s="160">
        <v>31440</v>
      </c>
      <c r="T445" s="160">
        <v>0</v>
      </c>
      <c r="U445" s="160">
        <v>0</v>
      </c>
      <c r="V445" s="160">
        <v>0</v>
      </c>
      <c r="W445" s="160">
        <v>31440</v>
      </c>
      <c r="X445" s="161">
        <v>6000</v>
      </c>
      <c r="Y445" s="160"/>
      <c r="Z445" s="16">
        <v>0</v>
      </c>
      <c r="AA445" s="162">
        <v>0</v>
      </c>
      <c r="AB445" s="162">
        <v>0</v>
      </c>
      <c r="AC445" s="162">
        <v>0</v>
      </c>
      <c r="AD445" s="160"/>
      <c r="AE445" s="145">
        <v>31440</v>
      </c>
      <c r="AF445" s="163">
        <v>1.0469999999999999</v>
      </c>
      <c r="AG445" s="164">
        <v>1.046</v>
      </c>
      <c r="AH445" s="164">
        <v>1.046</v>
      </c>
      <c r="AI445" s="164">
        <v>31440</v>
      </c>
      <c r="AJ445" s="164">
        <f t="shared" si="52"/>
        <v>0</v>
      </c>
      <c r="AK445" s="165">
        <v>50000</v>
      </c>
      <c r="AL445" s="165">
        <f t="shared" si="58"/>
        <v>50000</v>
      </c>
      <c r="AM445" s="165">
        <f t="shared" si="55"/>
        <v>52300</v>
      </c>
      <c r="AN445" s="165">
        <f t="shared" si="56"/>
        <v>54705.8</v>
      </c>
      <c r="AO445" s="16"/>
      <c r="AP445" s="231">
        <f t="shared" si="53"/>
        <v>0</v>
      </c>
      <c r="AR445" s="231"/>
      <c r="AS445" s="231"/>
      <c r="AU445" s="230">
        <v>31440</v>
      </c>
      <c r="AV445" s="233">
        <v>31440</v>
      </c>
      <c r="AW445" s="230">
        <f t="shared" si="51"/>
        <v>0</v>
      </c>
    </row>
    <row r="446" spans="1:49" hidden="1" x14ac:dyDescent="0.3">
      <c r="A446" s="16" t="s">
        <v>527</v>
      </c>
      <c r="B446" s="39" t="s">
        <v>1051</v>
      </c>
      <c r="C446" s="39" t="s">
        <v>82</v>
      </c>
      <c r="D446" s="340" t="s">
        <v>3469</v>
      </c>
      <c r="E446" s="159" t="s">
        <v>310</v>
      </c>
      <c r="F446" s="159" t="s">
        <v>370</v>
      </c>
      <c r="G446" s="159" t="s">
        <v>309</v>
      </c>
      <c r="H446" s="159" t="s">
        <v>334</v>
      </c>
      <c r="I446" s="159" t="s">
        <v>529</v>
      </c>
      <c r="J446" s="159" t="s">
        <v>312</v>
      </c>
      <c r="K446" s="159" t="s">
        <v>1849</v>
      </c>
      <c r="L446" s="39" t="s">
        <v>304</v>
      </c>
      <c r="M446" s="39" t="s">
        <v>305</v>
      </c>
      <c r="N446" s="39">
        <v>11</v>
      </c>
      <c r="O446" s="39" t="s">
        <v>82</v>
      </c>
      <c r="P446" s="39" t="s">
        <v>585</v>
      </c>
      <c r="Q446" s="39" t="s">
        <v>1051</v>
      </c>
      <c r="R446" s="16" t="s">
        <v>527</v>
      </c>
      <c r="S446" s="160">
        <v>0</v>
      </c>
      <c r="T446" s="160">
        <v>0</v>
      </c>
      <c r="U446" s="160">
        <v>0</v>
      </c>
      <c r="V446" s="160">
        <v>0</v>
      </c>
      <c r="W446" s="160">
        <v>0</v>
      </c>
      <c r="X446" s="161">
        <v>0</v>
      </c>
      <c r="Y446" s="160"/>
      <c r="Z446" s="16">
        <v>0</v>
      </c>
      <c r="AA446" s="162">
        <v>0</v>
      </c>
      <c r="AB446" s="162">
        <v>0</v>
      </c>
      <c r="AC446" s="162">
        <v>0</v>
      </c>
      <c r="AD446" s="160">
        <v>63000</v>
      </c>
      <c r="AE446" s="145">
        <v>63000</v>
      </c>
      <c r="AF446" s="163">
        <v>1.0469999999999999</v>
      </c>
      <c r="AG446" s="164">
        <v>1.046</v>
      </c>
      <c r="AH446" s="164">
        <v>1.046</v>
      </c>
      <c r="AI446" s="164">
        <v>63000</v>
      </c>
      <c r="AJ446" s="164">
        <f t="shared" si="52"/>
        <v>0</v>
      </c>
      <c r="AK446" s="165">
        <v>65000</v>
      </c>
      <c r="AL446" s="165">
        <f t="shared" si="58"/>
        <v>65000</v>
      </c>
      <c r="AM446" s="165">
        <f t="shared" si="55"/>
        <v>67990</v>
      </c>
      <c r="AN446" s="165">
        <f t="shared" si="56"/>
        <v>71117.540000000008</v>
      </c>
      <c r="AO446" s="16" t="s">
        <v>2004</v>
      </c>
      <c r="AP446" s="231">
        <f t="shared" si="53"/>
        <v>0</v>
      </c>
      <c r="AR446" s="231"/>
      <c r="AS446" s="231"/>
      <c r="AU446" s="230">
        <v>0</v>
      </c>
      <c r="AV446" s="233">
        <v>63000</v>
      </c>
      <c r="AW446" s="230">
        <f t="shared" si="51"/>
        <v>0</v>
      </c>
    </row>
    <row r="447" spans="1:49" hidden="1" x14ac:dyDescent="0.3">
      <c r="A447" s="16" t="s">
        <v>83</v>
      </c>
      <c r="B447" s="39" t="s">
        <v>1052</v>
      </c>
      <c r="C447" s="39" t="s">
        <v>423</v>
      </c>
      <c r="D447" s="340" t="s">
        <v>3469</v>
      </c>
      <c r="E447" s="159" t="s">
        <v>310</v>
      </c>
      <c r="F447" s="159" t="s">
        <v>370</v>
      </c>
      <c r="G447" s="159" t="s">
        <v>309</v>
      </c>
      <c r="H447" s="159" t="s">
        <v>424</v>
      </c>
      <c r="I447" s="159" t="s">
        <v>425</v>
      </c>
      <c r="J447" s="159" t="s">
        <v>426</v>
      </c>
      <c r="K447" s="159" t="s">
        <v>1849</v>
      </c>
      <c r="L447" s="39" t="s">
        <v>304</v>
      </c>
      <c r="M447" s="39" t="s">
        <v>305</v>
      </c>
      <c r="N447" s="39">
        <v>11</v>
      </c>
      <c r="O447" s="39" t="s">
        <v>423</v>
      </c>
      <c r="P447" s="39" t="s">
        <v>423</v>
      </c>
      <c r="Q447" s="39" t="s">
        <v>1052</v>
      </c>
      <c r="R447" s="16" t="s">
        <v>83</v>
      </c>
      <c r="S447" s="160">
        <v>30000</v>
      </c>
      <c r="T447" s="160">
        <v>2340</v>
      </c>
      <c r="U447" s="160">
        <v>5607.75</v>
      </c>
      <c r="V447" s="160">
        <v>14516.95</v>
      </c>
      <c r="W447" s="160">
        <v>15483.05</v>
      </c>
      <c r="X447" s="161">
        <v>6000</v>
      </c>
      <c r="Y447" s="160">
        <v>9483.0499999999993</v>
      </c>
      <c r="Z447" s="16">
        <v>48.38</v>
      </c>
      <c r="AA447" s="162">
        <v>20124.7</v>
      </c>
      <c r="AB447" s="162">
        <v>5031.1750000000002</v>
      </c>
      <c r="AC447" s="162">
        <v>60374.100000000006</v>
      </c>
      <c r="AD447" s="160">
        <v>11375</v>
      </c>
      <c r="AE447" s="145">
        <v>41375</v>
      </c>
      <c r="AF447" s="163">
        <v>1.0469999999999999</v>
      </c>
      <c r="AG447" s="164">
        <v>1.046</v>
      </c>
      <c r="AH447" s="164">
        <v>1.046</v>
      </c>
      <c r="AI447" s="164">
        <v>41375</v>
      </c>
      <c r="AJ447" s="164">
        <f t="shared" si="52"/>
        <v>0</v>
      </c>
      <c r="AK447" s="165">
        <v>46000</v>
      </c>
      <c r="AL447" s="165">
        <f t="shared" si="58"/>
        <v>46000</v>
      </c>
      <c r="AM447" s="165">
        <f t="shared" si="55"/>
        <v>48116</v>
      </c>
      <c r="AN447" s="165">
        <f t="shared" si="56"/>
        <v>50329.336000000003</v>
      </c>
      <c r="AO447" s="16" t="s">
        <v>2004</v>
      </c>
      <c r="AP447" s="231">
        <f t="shared" si="53"/>
        <v>0</v>
      </c>
      <c r="AR447" s="231"/>
      <c r="AS447" s="231"/>
      <c r="AU447" s="230">
        <v>30000</v>
      </c>
      <c r="AV447" s="233">
        <v>41375</v>
      </c>
      <c r="AW447" s="230">
        <f t="shared" si="51"/>
        <v>0</v>
      </c>
    </row>
    <row r="448" spans="1:49" hidden="1" x14ac:dyDescent="0.3">
      <c r="A448" s="16" t="s">
        <v>537</v>
      </c>
      <c r="B448" s="39" t="s">
        <v>1053</v>
      </c>
      <c r="C448" s="39" t="s">
        <v>423</v>
      </c>
      <c r="D448" s="340" t="s">
        <v>3469</v>
      </c>
      <c r="E448" s="159" t="s">
        <v>310</v>
      </c>
      <c r="F448" s="159" t="s">
        <v>370</v>
      </c>
      <c r="G448" s="159" t="s">
        <v>309</v>
      </c>
      <c r="H448" s="159" t="s">
        <v>424</v>
      </c>
      <c r="I448" s="159" t="s">
        <v>425</v>
      </c>
      <c r="J448" s="159" t="s">
        <v>538</v>
      </c>
      <c r="K448" s="159" t="s">
        <v>1849</v>
      </c>
      <c r="L448" s="39" t="s">
        <v>304</v>
      </c>
      <c r="M448" s="39" t="s">
        <v>305</v>
      </c>
      <c r="N448" s="39">
        <v>11</v>
      </c>
      <c r="O448" s="39" t="s">
        <v>423</v>
      </c>
      <c r="P448" s="39" t="s">
        <v>423</v>
      </c>
      <c r="Q448" s="39" t="s">
        <v>1053</v>
      </c>
      <c r="R448" s="16" t="s">
        <v>537</v>
      </c>
      <c r="S448" s="160">
        <v>0</v>
      </c>
      <c r="T448" s="160">
        <v>0</v>
      </c>
      <c r="U448" s="160">
        <v>0</v>
      </c>
      <c r="V448" s="160">
        <v>0</v>
      </c>
      <c r="W448" s="160">
        <v>0</v>
      </c>
      <c r="X448" s="161">
        <v>0</v>
      </c>
      <c r="Y448" s="160"/>
      <c r="Z448" s="16">
        <v>0</v>
      </c>
      <c r="AA448" s="162">
        <v>0</v>
      </c>
      <c r="AB448" s="162">
        <v>0</v>
      </c>
      <c r="AC448" s="162">
        <v>0</v>
      </c>
      <c r="AD448" s="160">
        <v>250000</v>
      </c>
      <c r="AE448" s="145">
        <v>250000</v>
      </c>
      <c r="AF448" s="163">
        <v>1.0469999999999999</v>
      </c>
      <c r="AG448" s="164">
        <v>1.046</v>
      </c>
      <c r="AH448" s="164">
        <v>1.046</v>
      </c>
      <c r="AI448" s="164">
        <v>250000</v>
      </c>
      <c r="AJ448" s="164">
        <f t="shared" si="52"/>
        <v>0</v>
      </c>
      <c r="AK448" s="165">
        <v>250000</v>
      </c>
      <c r="AL448" s="165">
        <f t="shared" si="58"/>
        <v>250000</v>
      </c>
      <c r="AM448" s="165">
        <f t="shared" si="55"/>
        <v>261500</v>
      </c>
      <c r="AN448" s="165">
        <f t="shared" si="56"/>
        <v>273529</v>
      </c>
      <c r="AO448" s="16" t="s">
        <v>2004</v>
      </c>
      <c r="AP448" s="231">
        <f t="shared" si="53"/>
        <v>0</v>
      </c>
      <c r="AR448" s="231"/>
      <c r="AS448" s="231"/>
      <c r="AU448" s="230">
        <v>0</v>
      </c>
      <c r="AV448" s="233">
        <v>250000</v>
      </c>
      <c r="AW448" s="230">
        <f t="shared" si="51"/>
        <v>0</v>
      </c>
    </row>
    <row r="449" spans="1:49" hidden="1" x14ac:dyDescent="0.3">
      <c r="A449" s="16" t="s">
        <v>499</v>
      </c>
      <c r="B449" s="39" t="s">
        <v>1054</v>
      </c>
      <c r="C449" s="39" t="s">
        <v>95</v>
      </c>
      <c r="D449" s="340" t="s">
        <v>3469</v>
      </c>
      <c r="E449" s="159" t="s">
        <v>310</v>
      </c>
      <c r="F449" s="159" t="s">
        <v>370</v>
      </c>
      <c r="G449" s="159" t="s">
        <v>309</v>
      </c>
      <c r="H449" s="159" t="s">
        <v>501</v>
      </c>
      <c r="I449" s="159" t="s">
        <v>502</v>
      </c>
      <c r="J449" s="159" t="s">
        <v>312</v>
      </c>
      <c r="K449" s="159" t="s">
        <v>1849</v>
      </c>
      <c r="L449" s="39" t="s">
        <v>304</v>
      </c>
      <c r="M449" s="39" t="s">
        <v>305</v>
      </c>
      <c r="N449" s="39">
        <v>11</v>
      </c>
      <c r="O449" s="39" t="s">
        <v>95</v>
      </c>
      <c r="P449" s="39" t="s">
        <v>95</v>
      </c>
      <c r="Q449" s="39" t="s">
        <v>1054</v>
      </c>
      <c r="R449" s="16" t="s">
        <v>499</v>
      </c>
      <c r="S449" s="160">
        <v>0</v>
      </c>
      <c r="T449" s="160">
        <v>0</v>
      </c>
      <c r="U449" s="160">
        <v>0</v>
      </c>
      <c r="V449" s="160">
        <v>0</v>
      </c>
      <c r="W449" s="160">
        <v>0</v>
      </c>
      <c r="X449" s="161">
        <v>0</v>
      </c>
      <c r="Y449" s="160"/>
      <c r="Z449" s="16">
        <v>0</v>
      </c>
      <c r="AA449" s="162">
        <v>0</v>
      </c>
      <c r="AB449" s="162">
        <v>0</v>
      </c>
      <c r="AC449" s="162">
        <v>0</v>
      </c>
      <c r="AD449" s="160"/>
      <c r="AE449" s="145">
        <v>0</v>
      </c>
      <c r="AF449" s="163">
        <v>1.0469999999999999</v>
      </c>
      <c r="AG449" s="164">
        <v>1.046</v>
      </c>
      <c r="AH449" s="164">
        <v>1.046</v>
      </c>
      <c r="AI449" s="164">
        <v>0</v>
      </c>
      <c r="AJ449" s="164">
        <f t="shared" si="52"/>
        <v>0</v>
      </c>
      <c r="AK449" s="165">
        <v>0</v>
      </c>
      <c r="AL449" s="165">
        <f t="shared" si="58"/>
        <v>0</v>
      </c>
      <c r="AM449" s="165">
        <f t="shared" si="55"/>
        <v>0</v>
      </c>
      <c r="AN449" s="165">
        <f t="shared" si="56"/>
        <v>0</v>
      </c>
      <c r="AO449" s="16"/>
      <c r="AP449" s="231">
        <f t="shared" si="53"/>
        <v>0</v>
      </c>
      <c r="AR449" s="231"/>
      <c r="AS449" s="231"/>
      <c r="AU449" s="230">
        <v>0</v>
      </c>
      <c r="AV449" s="233">
        <v>0</v>
      </c>
      <c r="AW449" s="230">
        <f t="shared" si="51"/>
        <v>0</v>
      </c>
    </row>
    <row r="450" spans="1:49" hidden="1" x14ac:dyDescent="0.3">
      <c r="A450" s="16" t="s">
        <v>1056</v>
      </c>
      <c r="B450" s="39" t="s">
        <v>1055</v>
      </c>
      <c r="C450" s="39" t="s">
        <v>95</v>
      </c>
      <c r="D450" s="340" t="s">
        <v>3469</v>
      </c>
      <c r="E450" s="159" t="s">
        <v>310</v>
      </c>
      <c r="F450" s="159" t="s">
        <v>370</v>
      </c>
      <c r="G450" s="159" t="s">
        <v>309</v>
      </c>
      <c r="H450" s="159" t="s">
        <v>501</v>
      </c>
      <c r="I450" s="159" t="s">
        <v>1058</v>
      </c>
      <c r="J450" s="159" t="s">
        <v>312</v>
      </c>
      <c r="K450" s="159" t="s">
        <v>1849</v>
      </c>
      <c r="L450" s="39" t="s">
        <v>304</v>
      </c>
      <c r="M450" s="39" t="s">
        <v>305</v>
      </c>
      <c r="N450" s="39">
        <v>11</v>
      </c>
      <c r="O450" s="39" t="s">
        <v>95</v>
      </c>
      <c r="P450" s="39" t="s">
        <v>1057</v>
      </c>
      <c r="Q450" s="39" t="s">
        <v>1055</v>
      </c>
      <c r="R450" s="16" t="s">
        <v>1056</v>
      </c>
      <c r="S450" s="160">
        <v>1715425</v>
      </c>
      <c r="T450" s="160">
        <v>297167.59999999998</v>
      </c>
      <c r="U450" s="160">
        <v>0</v>
      </c>
      <c r="V450" s="160">
        <v>1188332.06</v>
      </c>
      <c r="W450" s="160">
        <v>527092.93999999994</v>
      </c>
      <c r="X450" s="161">
        <v>0</v>
      </c>
      <c r="Y450" s="160"/>
      <c r="Z450" s="16">
        <v>69.27</v>
      </c>
      <c r="AA450" s="162">
        <v>1188332.06</v>
      </c>
      <c r="AB450" s="162">
        <v>297083.01500000001</v>
      </c>
      <c r="AC450" s="162">
        <v>3564996.18</v>
      </c>
      <c r="AD450" s="160"/>
      <c r="AE450" s="145">
        <v>1715425</v>
      </c>
      <c r="AF450" s="163">
        <v>1.0469999999999999</v>
      </c>
      <c r="AG450" s="164">
        <v>1.046</v>
      </c>
      <c r="AH450" s="164">
        <v>1.046</v>
      </c>
      <c r="AI450" s="164">
        <v>1715425</v>
      </c>
      <c r="AJ450" s="164">
        <f t="shared" si="52"/>
        <v>0</v>
      </c>
      <c r="AK450" s="165">
        <v>1715425</v>
      </c>
      <c r="AL450" s="165">
        <f t="shared" si="58"/>
        <v>1715425</v>
      </c>
      <c r="AM450" s="165">
        <f t="shared" si="55"/>
        <v>1794334.55</v>
      </c>
      <c r="AN450" s="165">
        <f t="shared" si="56"/>
        <v>1876873.9393000002</v>
      </c>
      <c r="AO450" s="16"/>
      <c r="AP450" s="231">
        <f t="shared" si="53"/>
        <v>0</v>
      </c>
      <c r="AR450" s="231"/>
      <c r="AS450" s="231"/>
      <c r="AU450" s="230">
        <v>1715425</v>
      </c>
      <c r="AV450" s="233">
        <v>1715425</v>
      </c>
      <c r="AW450" s="230">
        <f t="shared" ref="AW450:AW513" si="59">AU450-S450</f>
        <v>0</v>
      </c>
    </row>
    <row r="451" spans="1:49" hidden="1" x14ac:dyDescent="0.3">
      <c r="A451" s="16" t="s">
        <v>1060</v>
      </c>
      <c r="B451" s="39" t="s">
        <v>1059</v>
      </c>
      <c r="C451" s="39" t="s">
        <v>181</v>
      </c>
      <c r="D451" s="340" t="s">
        <v>3469</v>
      </c>
      <c r="E451" s="159" t="s">
        <v>310</v>
      </c>
      <c r="F451" s="159" t="s">
        <v>370</v>
      </c>
      <c r="G451" s="159" t="s">
        <v>582</v>
      </c>
      <c r="H451" s="159" t="s">
        <v>805</v>
      </c>
      <c r="I451" s="159" t="s">
        <v>1062</v>
      </c>
      <c r="J451" s="159" t="s">
        <v>312</v>
      </c>
      <c r="K451" s="159" t="s">
        <v>1849</v>
      </c>
      <c r="L451" s="39" t="s">
        <v>304</v>
      </c>
      <c r="M451" s="39" t="s">
        <v>305</v>
      </c>
      <c r="N451" s="39">
        <v>11</v>
      </c>
      <c r="O451" s="39" t="s">
        <v>181</v>
      </c>
      <c r="P451" s="39" t="s">
        <v>1061</v>
      </c>
      <c r="Q451" s="39" t="s">
        <v>1059</v>
      </c>
      <c r="R451" s="16" t="s">
        <v>1060</v>
      </c>
      <c r="S451" s="160">
        <v>0</v>
      </c>
      <c r="T451" s="160">
        <v>0</v>
      </c>
      <c r="U451" s="160">
        <v>0</v>
      </c>
      <c r="V451" s="160">
        <v>0</v>
      </c>
      <c r="W451" s="160">
        <v>0</v>
      </c>
      <c r="X451" s="161">
        <v>0</v>
      </c>
      <c r="Y451" s="160"/>
      <c r="Z451" s="16">
        <v>0</v>
      </c>
      <c r="AA451" s="162">
        <v>0</v>
      </c>
      <c r="AB451" s="162">
        <v>0</v>
      </c>
      <c r="AC451" s="162">
        <v>0</v>
      </c>
      <c r="AD451" s="160"/>
      <c r="AE451" s="145">
        <v>0</v>
      </c>
      <c r="AF451" s="163">
        <v>1.0469999999999999</v>
      </c>
      <c r="AG451" s="164">
        <v>1.046</v>
      </c>
      <c r="AH451" s="164">
        <v>1.046</v>
      </c>
      <c r="AI451" s="164">
        <v>0</v>
      </c>
      <c r="AJ451" s="164">
        <f t="shared" si="52"/>
        <v>0</v>
      </c>
      <c r="AK451" s="165">
        <v>0</v>
      </c>
      <c r="AL451" s="165">
        <f t="shared" si="58"/>
        <v>0</v>
      </c>
      <c r="AM451" s="165">
        <f t="shared" si="55"/>
        <v>0</v>
      </c>
      <c r="AN451" s="165">
        <f t="shared" si="56"/>
        <v>0</v>
      </c>
      <c r="AO451" s="16"/>
      <c r="AP451" s="231">
        <f t="shared" si="53"/>
        <v>0</v>
      </c>
      <c r="AR451" s="231"/>
      <c r="AS451" s="231"/>
      <c r="AU451" s="230">
        <v>0</v>
      </c>
      <c r="AV451" s="233">
        <v>0</v>
      </c>
      <c r="AW451" s="230">
        <f t="shared" si="59"/>
        <v>0</v>
      </c>
    </row>
    <row r="452" spans="1:49" hidden="1" x14ac:dyDescent="0.3">
      <c r="A452" s="16" t="s">
        <v>1065</v>
      </c>
      <c r="B452" s="39" t="s">
        <v>1063</v>
      </c>
      <c r="C452" s="39" t="s">
        <v>1064</v>
      </c>
      <c r="D452" s="340" t="s">
        <v>3469</v>
      </c>
      <c r="E452" s="159" t="s">
        <v>310</v>
      </c>
      <c r="F452" s="159" t="s">
        <v>370</v>
      </c>
      <c r="G452" s="159" t="s">
        <v>582</v>
      </c>
      <c r="H452" s="159" t="s">
        <v>805</v>
      </c>
      <c r="I452" s="159" t="s">
        <v>1066</v>
      </c>
      <c r="J452" s="159" t="s">
        <v>312</v>
      </c>
      <c r="K452" s="159" t="s">
        <v>1849</v>
      </c>
      <c r="L452" s="39" t="s">
        <v>304</v>
      </c>
      <c r="M452" s="39" t="s">
        <v>305</v>
      </c>
      <c r="N452" s="39">
        <v>11</v>
      </c>
      <c r="O452" s="39" t="s">
        <v>184</v>
      </c>
      <c r="P452" s="39" t="s">
        <v>1064</v>
      </c>
      <c r="Q452" s="39" t="s">
        <v>1063</v>
      </c>
      <c r="R452" s="16" t="s">
        <v>1065</v>
      </c>
      <c r="S452" s="160">
        <v>0</v>
      </c>
      <c r="T452" s="160">
        <v>0</v>
      </c>
      <c r="U452" s="160">
        <v>0</v>
      </c>
      <c r="V452" s="160">
        <v>0</v>
      </c>
      <c r="W452" s="160">
        <v>0</v>
      </c>
      <c r="X452" s="161">
        <v>0</v>
      </c>
      <c r="Y452" s="160"/>
      <c r="Z452" s="16">
        <v>0</v>
      </c>
      <c r="AA452" s="162">
        <v>0</v>
      </c>
      <c r="AB452" s="162">
        <v>0</v>
      </c>
      <c r="AC452" s="162">
        <v>0</v>
      </c>
      <c r="AD452" s="160"/>
      <c r="AE452" s="145">
        <v>0</v>
      </c>
      <c r="AF452" s="163">
        <v>1.0469999999999999</v>
      </c>
      <c r="AG452" s="164">
        <v>1.046</v>
      </c>
      <c r="AH452" s="164">
        <v>1.046</v>
      </c>
      <c r="AI452" s="164">
        <v>0</v>
      </c>
      <c r="AJ452" s="164">
        <f t="shared" si="52"/>
        <v>0</v>
      </c>
      <c r="AK452" s="165">
        <v>0</v>
      </c>
      <c r="AL452" s="165">
        <f t="shared" si="58"/>
        <v>0</v>
      </c>
      <c r="AM452" s="165">
        <f t="shared" si="55"/>
        <v>0</v>
      </c>
      <c r="AN452" s="165">
        <f t="shared" si="56"/>
        <v>0</v>
      </c>
      <c r="AO452" s="16"/>
      <c r="AP452" s="231">
        <f t="shared" si="53"/>
        <v>0</v>
      </c>
      <c r="AR452" s="231"/>
      <c r="AS452" s="231"/>
      <c r="AU452" s="230">
        <v>0</v>
      </c>
      <c r="AV452" s="233">
        <v>0</v>
      </c>
      <c r="AW452" s="230">
        <f t="shared" si="59"/>
        <v>0</v>
      </c>
    </row>
    <row r="453" spans="1:49" hidden="1" x14ac:dyDescent="0.3">
      <c r="A453" s="16" t="s">
        <v>1069</v>
      </c>
      <c r="B453" s="39" t="s">
        <v>1067</v>
      </c>
      <c r="C453" s="39" t="s">
        <v>1068</v>
      </c>
      <c r="D453" s="340" t="s">
        <v>3469</v>
      </c>
      <c r="E453" s="159" t="s">
        <v>310</v>
      </c>
      <c r="F453" s="159" t="s">
        <v>370</v>
      </c>
      <c r="G453" s="159" t="s">
        <v>582</v>
      </c>
      <c r="H453" s="159" t="s">
        <v>805</v>
      </c>
      <c r="I453" s="159" t="s">
        <v>1070</v>
      </c>
      <c r="J453" s="159" t="s">
        <v>312</v>
      </c>
      <c r="K453" s="159" t="s">
        <v>1849</v>
      </c>
      <c r="L453" s="39" t="s">
        <v>304</v>
      </c>
      <c r="M453" s="39" t="s">
        <v>305</v>
      </c>
      <c r="N453" s="39">
        <v>11</v>
      </c>
      <c r="O453" s="39" t="s">
        <v>184</v>
      </c>
      <c r="P453" s="39" t="s">
        <v>1068</v>
      </c>
      <c r="Q453" s="39" t="s">
        <v>1067</v>
      </c>
      <c r="R453" s="16" t="s">
        <v>1069</v>
      </c>
      <c r="S453" s="160">
        <v>0</v>
      </c>
      <c r="T453" s="160">
        <v>0</v>
      </c>
      <c r="U453" s="160">
        <v>0</v>
      </c>
      <c r="V453" s="160">
        <v>0</v>
      </c>
      <c r="W453" s="160">
        <v>0</v>
      </c>
      <c r="X453" s="161">
        <v>0</v>
      </c>
      <c r="Y453" s="160"/>
      <c r="Z453" s="16">
        <v>0</v>
      </c>
      <c r="AA453" s="162">
        <v>0</v>
      </c>
      <c r="AB453" s="162">
        <v>0</v>
      </c>
      <c r="AC453" s="162">
        <v>0</v>
      </c>
      <c r="AD453" s="160"/>
      <c r="AE453" s="145">
        <v>0</v>
      </c>
      <c r="AF453" s="163">
        <v>1.0469999999999999</v>
      </c>
      <c r="AG453" s="164">
        <v>1.046</v>
      </c>
      <c r="AH453" s="164">
        <v>1.046</v>
      </c>
      <c r="AI453" s="164">
        <v>0</v>
      </c>
      <c r="AJ453" s="164">
        <f t="shared" si="52"/>
        <v>0</v>
      </c>
      <c r="AK453" s="165">
        <v>0</v>
      </c>
      <c r="AL453" s="165">
        <f t="shared" si="58"/>
        <v>0</v>
      </c>
      <c r="AM453" s="165">
        <f t="shared" si="55"/>
        <v>0</v>
      </c>
      <c r="AN453" s="165">
        <f t="shared" si="56"/>
        <v>0</v>
      </c>
      <c r="AO453" s="16"/>
      <c r="AP453" s="231">
        <f t="shared" si="53"/>
        <v>0</v>
      </c>
      <c r="AR453" s="231"/>
      <c r="AS453" s="231"/>
      <c r="AU453" s="230">
        <v>0</v>
      </c>
      <c r="AV453" s="233">
        <v>0</v>
      </c>
      <c r="AW453" s="230">
        <f t="shared" si="59"/>
        <v>0</v>
      </c>
    </row>
    <row r="454" spans="1:49" hidden="1" x14ac:dyDescent="0.3">
      <c r="A454" s="16" t="s">
        <v>1073</v>
      </c>
      <c r="B454" s="39" t="s">
        <v>1071</v>
      </c>
      <c r="C454" s="39" t="s">
        <v>1072</v>
      </c>
      <c r="D454" s="340" t="s">
        <v>3469</v>
      </c>
      <c r="E454" s="159" t="s">
        <v>310</v>
      </c>
      <c r="F454" s="159" t="s">
        <v>370</v>
      </c>
      <c r="G454" s="159" t="s">
        <v>582</v>
      </c>
      <c r="H454" s="159" t="s">
        <v>1074</v>
      </c>
      <c r="I454" s="159" t="s">
        <v>1075</v>
      </c>
      <c r="J454" s="159" t="s">
        <v>312</v>
      </c>
      <c r="K454" s="159" t="s">
        <v>1849</v>
      </c>
      <c r="L454" s="39" t="s">
        <v>304</v>
      </c>
      <c r="M454" s="39" t="s">
        <v>305</v>
      </c>
      <c r="N454" s="39">
        <v>11</v>
      </c>
      <c r="O454" s="39" t="s">
        <v>1072</v>
      </c>
      <c r="P454" s="39" t="s">
        <v>1072</v>
      </c>
      <c r="Q454" s="39" t="s">
        <v>1071</v>
      </c>
      <c r="R454" s="16" t="s">
        <v>1073</v>
      </c>
      <c r="S454" s="160">
        <v>0</v>
      </c>
      <c r="T454" s="160">
        <v>0</v>
      </c>
      <c r="U454" s="160">
        <v>0</v>
      </c>
      <c r="V454" s="160">
        <v>0</v>
      </c>
      <c r="W454" s="160">
        <v>0</v>
      </c>
      <c r="X454" s="161">
        <v>0</v>
      </c>
      <c r="Y454" s="160"/>
      <c r="Z454" s="16">
        <v>0</v>
      </c>
      <c r="AA454" s="162">
        <v>0</v>
      </c>
      <c r="AB454" s="162">
        <v>0</v>
      </c>
      <c r="AC454" s="162">
        <v>0</v>
      </c>
      <c r="AD454" s="160"/>
      <c r="AE454" s="145">
        <v>0</v>
      </c>
      <c r="AF454" s="163">
        <v>1.0469999999999999</v>
      </c>
      <c r="AG454" s="164">
        <v>1.046</v>
      </c>
      <c r="AH454" s="164">
        <v>1.046</v>
      </c>
      <c r="AI454" s="164">
        <v>0</v>
      </c>
      <c r="AJ454" s="164">
        <f t="shared" si="52"/>
        <v>0</v>
      </c>
      <c r="AK454" s="165">
        <v>0</v>
      </c>
      <c r="AL454" s="165">
        <f t="shared" si="58"/>
        <v>0</v>
      </c>
      <c r="AM454" s="165">
        <f t="shared" si="55"/>
        <v>0</v>
      </c>
      <c r="AN454" s="165">
        <f t="shared" si="56"/>
        <v>0</v>
      </c>
      <c r="AO454" s="16"/>
      <c r="AP454" s="231">
        <f t="shared" si="53"/>
        <v>0</v>
      </c>
      <c r="AR454" s="231"/>
      <c r="AS454" s="231"/>
      <c r="AU454" s="230">
        <v>0</v>
      </c>
      <c r="AV454" s="233">
        <v>0</v>
      </c>
      <c r="AW454" s="230">
        <f t="shared" si="59"/>
        <v>0</v>
      </c>
    </row>
    <row r="455" spans="1:49" s="250" customFormat="1" hidden="1" x14ac:dyDescent="0.3">
      <c r="A455" s="241" t="s">
        <v>202</v>
      </c>
      <c r="B455" s="242" t="s">
        <v>1076</v>
      </c>
      <c r="C455" s="242" t="s">
        <v>1077</v>
      </c>
      <c r="D455" s="340" t="s">
        <v>3469</v>
      </c>
      <c r="E455" s="243" t="s">
        <v>310</v>
      </c>
      <c r="F455" s="243" t="s">
        <v>370</v>
      </c>
      <c r="G455" s="243" t="s">
        <v>1078</v>
      </c>
      <c r="H455" s="243" t="s">
        <v>1079</v>
      </c>
      <c r="I455" s="243" t="s">
        <v>1080</v>
      </c>
      <c r="J455" s="243" t="s">
        <v>312</v>
      </c>
      <c r="K455" s="243" t="s">
        <v>1081</v>
      </c>
      <c r="L455" s="242" t="s">
        <v>1082</v>
      </c>
      <c r="M455" s="242" t="s">
        <v>305</v>
      </c>
      <c r="N455" s="242">
        <v>11</v>
      </c>
      <c r="O455" s="242" t="s">
        <v>1077</v>
      </c>
      <c r="P455" s="242" t="s">
        <v>1077</v>
      </c>
      <c r="Q455" s="242" t="s">
        <v>1076</v>
      </c>
      <c r="R455" s="241" t="s">
        <v>202</v>
      </c>
      <c r="S455" s="223">
        <v>574174</v>
      </c>
      <c r="T455" s="160">
        <v>0</v>
      </c>
      <c r="U455" s="160">
        <v>0</v>
      </c>
      <c r="V455" s="160">
        <v>0</v>
      </c>
      <c r="W455" s="160">
        <v>574174</v>
      </c>
      <c r="X455" s="161">
        <v>0</v>
      </c>
      <c r="Y455" s="160"/>
      <c r="Z455" s="16">
        <v>0</v>
      </c>
      <c r="AA455" s="162">
        <v>0</v>
      </c>
      <c r="AB455" s="224">
        <v>0</v>
      </c>
      <c r="AC455" s="224">
        <v>0</v>
      </c>
      <c r="AD455" s="223">
        <v>225826</v>
      </c>
      <c r="AE455" s="244">
        <v>574174</v>
      </c>
      <c r="AF455" s="220">
        <v>1.0469999999999999</v>
      </c>
      <c r="AG455" s="221">
        <v>1.046</v>
      </c>
      <c r="AH455" s="221">
        <v>1.046</v>
      </c>
      <c r="AI455" s="245">
        <v>800000</v>
      </c>
      <c r="AJ455" s="164">
        <f t="shared" ref="AJ455:AJ518" si="60">AE455-AI455</f>
        <v>-225826</v>
      </c>
      <c r="AK455" s="246">
        <v>1000000</v>
      </c>
      <c r="AL455" s="246">
        <f t="shared" si="58"/>
        <v>1000000</v>
      </c>
      <c r="AM455" s="246">
        <f t="shared" si="55"/>
        <v>1046000</v>
      </c>
      <c r="AN455" s="246">
        <f t="shared" si="56"/>
        <v>1094116</v>
      </c>
      <c r="AO455" s="244" t="s">
        <v>2004</v>
      </c>
      <c r="AP455" s="247">
        <f t="shared" ref="AP455:AP518" si="61">AK455-AL455</f>
        <v>0</v>
      </c>
      <c r="AR455" s="231"/>
      <c r="AS455" s="231"/>
      <c r="AU455" s="248">
        <v>574174</v>
      </c>
      <c r="AV455" s="249">
        <v>800000</v>
      </c>
      <c r="AW455" s="248">
        <f t="shared" si="59"/>
        <v>0</v>
      </c>
    </row>
    <row r="456" spans="1:49" s="172" customFormat="1" x14ac:dyDescent="0.3">
      <c r="A456" s="166" t="s">
        <v>33</v>
      </c>
      <c r="B456" s="167" t="s">
        <v>1083</v>
      </c>
      <c r="C456" s="167" t="s">
        <v>1084</v>
      </c>
      <c r="D456" s="412" t="s">
        <v>3470</v>
      </c>
      <c r="E456" s="168" t="s">
        <v>1085</v>
      </c>
      <c r="F456" s="168" t="s">
        <v>370</v>
      </c>
      <c r="G456" s="168" t="s">
        <v>309</v>
      </c>
      <c r="H456" s="168" t="s">
        <v>363</v>
      </c>
      <c r="I456" s="168" t="s">
        <v>1086</v>
      </c>
      <c r="J456" s="168" t="s">
        <v>312</v>
      </c>
      <c r="K456" s="168" t="s">
        <v>1849</v>
      </c>
      <c r="L456" s="167" t="s">
        <v>304</v>
      </c>
      <c r="M456" s="167" t="s">
        <v>305</v>
      </c>
      <c r="N456" s="167">
        <v>11</v>
      </c>
      <c r="O456" s="167" t="s">
        <v>1084</v>
      </c>
      <c r="P456" s="167" t="s">
        <v>1084</v>
      </c>
      <c r="Q456" s="167" t="s">
        <v>1083</v>
      </c>
      <c r="R456" s="166" t="s">
        <v>33</v>
      </c>
      <c r="S456" s="169">
        <v>1341534</v>
      </c>
      <c r="T456" s="160">
        <v>75356</v>
      </c>
      <c r="U456" s="160">
        <v>0</v>
      </c>
      <c r="V456" s="160">
        <v>301424</v>
      </c>
      <c r="W456" s="160">
        <v>1040110</v>
      </c>
      <c r="X456" s="161">
        <v>0</v>
      </c>
      <c r="Y456" s="160"/>
      <c r="Z456" s="16">
        <v>22.46</v>
      </c>
      <c r="AA456" s="162">
        <v>301424</v>
      </c>
      <c r="AB456" s="162">
        <v>75356</v>
      </c>
      <c r="AC456" s="162">
        <v>904272</v>
      </c>
      <c r="AD456" s="160"/>
      <c r="AE456" s="228">
        <v>1341534</v>
      </c>
      <c r="AF456" s="163">
        <v>1.0529999999999999</v>
      </c>
      <c r="AG456" s="163">
        <v>1.0489999999999999</v>
      </c>
      <c r="AH456" s="163">
        <v>1.0469999999999999</v>
      </c>
      <c r="AI456" s="164">
        <v>1341534</v>
      </c>
      <c r="AJ456" s="164">
        <f t="shared" si="60"/>
        <v>0</v>
      </c>
      <c r="AK456" s="229">
        <v>1341534</v>
      </c>
      <c r="AL456" s="229">
        <f ca="1">SUMIF('SM &amp; Vacancies'!A:K,D456,'SM &amp; Vacancies'!J:J)*105.3/100</f>
        <v>1288163.331</v>
      </c>
      <c r="AM456" s="229">
        <f t="shared" ca="1" si="55"/>
        <v>1351283.3342189998</v>
      </c>
      <c r="AN456" s="229">
        <f t="shared" ca="1" si="56"/>
        <v>1414793.6509272926</v>
      </c>
      <c r="AO456" s="166"/>
      <c r="AP456" s="413">
        <f t="shared" ca="1" si="61"/>
        <v>53370.668999999994</v>
      </c>
      <c r="AR456" s="231"/>
      <c r="AS456" s="231"/>
      <c r="AU456" s="414">
        <v>1341534</v>
      </c>
      <c r="AV456" s="415">
        <v>1341534</v>
      </c>
      <c r="AW456" s="414">
        <f t="shared" si="59"/>
        <v>0</v>
      </c>
    </row>
    <row r="457" spans="1:49" s="172" customFormat="1" x14ac:dyDescent="0.3">
      <c r="A457" s="166" t="s">
        <v>34</v>
      </c>
      <c r="B457" s="167" t="s">
        <v>1087</v>
      </c>
      <c r="C457" s="167" t="s">
        <v>1088</v>
      </c>
      <c r="D457" s="412" t="s">
        <v>3470</v>
      </c>
      <c r="E457" s="168" t="s">
        <v>1085</v>
      </c>
      <c r="F457" s="168" t="s">
        <v>370</v>
      </c>
      <c r="G457" s="168" t="s">
        <v>309</v>
      </c>
      <c r="H457" s="168" t="s">
        <v>363</v>
      </c>
      <c r="I457" s="168" t="s">
        <v>1089</v>
      </c>
      <c r="J457" s="168" t="s">
        <v>312</v>
      </c>
      <c r="K457" s="168" t="s">
        <v>1849</v>
      </c>
      <c r="L457" s="167" t="s">
        <v>304</v>
      </c>
      <c r="M457" s="167" t="s">
        <v>305</v>
      </c>
      <c r="N457" s="167">
        <v>11</v>
      </c>
      <c r="O457" s="167" t="s">
        <v>1088</v>
      </c>
      <c r="P457" s="167" t="s">
        <v>1088</v>
      </c>
      <c r="Q457" s="167" t="s">
        <v>1087</v>
      </c>
      <c r="R457" s="166" t="s">
        <v>34</v>
      </c>
      <c r="S457" s="169">
        <v>15091</v>
      </c>
      <c r="T457" s="160">
        <v>1200</v>
      </c>
      <c r="U457" s="160">
        <v>0</v>
      </c>
      <c r="V457" s="160">
        <v>4800</v>
      </c>
      <c r="W457" s="160">
        <v>10291</v>
      </c>
      <c r="X457" s="161">
        <v>0</v>
      </c>
      <c r="Y457" s="160"/>
      <c r="Z457" s="16">
        <v>31.8</v>
      </c>
      <c r="AA457" s="162">
        <v>4800</v>
      </c>
      <c r="AB457" s="162">
        <v>1200</v>
      </c>
      <c r="AC457" s="162">
        <v>14400</v>
      </c>
      <c r="AD457" s="160"/>
      <c r="AE457" s="228">
        <v>15091</v>
      </c>
      <c r="AF457" s="163">
        <v>1.0529999999999999</v>
      </c>
      <c r="AG457" s="163">
        <v>1.0489999999999999</v>
      </c>
      <c r="AH457" s="163">
        <v>1.0469999999999999</v>
      </c>
      <c r="AI457" s="164">
        <v>15091</v>
      </c>
      <c r="AJ457" s="164">
        <f t="shared" si="60"/>
        <v>0</v>
      </c>
      <c r="AK457" s="229">
        <v>15091</v>
      </c>
      <c r="AL457" s="229">
        <f ca="1">SUMIF('SM &amp; Vacancies'!A:N,D457,'SM &amp; Vacancies'!N:N)*105.3/100</f>
        <v>15163.2</v>
      </c>
      <c r="AM457" s="229">
        <f t="shared" ca="1" si="55"/>
        <v>15906.1968</v>
      </c>
      <c r="AN457" s="229">
        <f t="shared" ca="1" si="56"/>
        <v>16653.7880496</v>
      </c>
      <c r="AO457" s="166"/>
      <c r="AP457" s="413">
        <f t="shared" ca="1" si="61"/>
        <v>-72.200000000000728</v>
      </c>
      <c r="AR457" s="231"/>
      <c r="AS457" s="231"/>
      <c r="AU457" s="414">
        <v>15091</v>
      </c>
      <c r="AV457" s="415">
        <v>15091</v>
      </c>
      <c r="AW457" s="414">
        <f t="shared" si="59"/>
        <v>0</v>
      </c>
    </row>
    <row r="458" spans="1:49" s="172" customFormat="1" x14ac:dyDescent="0.3">
      <c r="A458" s="166" t="s">
        <v>35</v>
      </c>
      <c r="B458" s="167" t="s">
        <v>1090</v>
      </c>
      <c r="C458" s="167" t="s">
        <v>1091</v>
      </c>
      <c r="D458" s="412" t="s">
        <v>3470</v>
      </c>
      <c r="E458" s="168" t="s">
        <v>1085</v>
      </c>
      <c r="F458" s="168" t="s">
        <v>370</v>
      </c>
      <c r="G458" s="168" t="s">
        <v>309</v>
      </c>
      <c r="H458" s="168" t="s">
        <v>363</v>
      </c>
      <c r="I458" s="168" t="s">
        <v>1092</v>
      </c>
      <c r="J458" s="168" t="s">
        <v>312</v>
      </c>
      <c r="K458" s="168" t="s">
        <v>1849</v>
      </c>
      <c r="L458" s="167" t="s">
        <v>304</v>
      </c>
      <c r="M458" s="167" t="s">
        <v>305</v>
      </c>
      <c r="N458" s="167">
        <v>11</v>
      </c>
      <c r="O458" s="167" t="s">
        <v>1091</v>
      </c>
      <c r="P458" s="167" t="s">
        <v>1091</v>
      </c>
      <c r="Q458" s="167" t="s">
        <v>1090</v>
      </c>
      <c r="R458" s="166" t="s">
        <v>35</v>
      </c>
      <c r="S458" s="169">
        <v>0</v>
      </c>
      <c r="T458" s="160">
        <v>26400</v>
      </c>
      <c r="U458" s="160">
        <v>0</v>
      </c>
      <c r="V458" s="160">
        <v>105600</v>
      </c>
      <c r="W458" s="160">
        <v>-105600</v>
      </c>
      <c r="X458" s="161">
        <v>0</v>
      </c>
      <c r="Y458" s="160"/>
      <c r="Z458" s="16">
        <v>0</v>
      </c>
      <c r="AA458" s="162">
        <v>105600</v>
      </c>
      <c r="AB458" s="162">
        <v>26400</v>
      </c>
      <c r="AC458" s="162">
        <v>316800</v>
      </c>
      <c r="AD458" s="160"/>
      <c r="AE458" s="228">
        <v>0</v>
      </c>
      <c r="AF458" s="163">
        <v>1.0529999999999999</v>
      </c>
      <c r="AG458" s="163">
        <v>1.0489999999999999</v>
      </c>
      <c r="AH458" s="163">
        <v>1.0469999999999999</v>
      </c>
      <c r="AI458" s="164">
        <v>0</v>
      </c>
      <c r="AJ458" s="164">
        <f t="shared" si="60"/>
        <v>0</v>
      </c>
      <c r="AK458" s="229">
        <v>0</v>
      </c>
      <c r="AL458" s="229">
        <f ca="1">SUMIF('SM &amp; Vacancies'!A:P,D458,'SM &amp; Vacancies'!P:P)*105.3/100</f>
        <v>333590.40000000002</v>
      </c>
      <c r="AM458" s="229">
        <f t="shared" ca="1" si="55"/>
        <v>349936.3296</v>
      </c>
      <c r="AN458" s="229">
        <f t="shared" ca="1" si="56"/>
        <v>366383.3370912</v>
      </c>
      <c r="AO458" s="166"/>
      <c r="AP458" s="413">
        <f t="shared" ca="1" si="61"/>
        <v>-333590.40000000002</v>
      </c>
      <c r="AR458" s="231"/>
      <c r="AS458" s="231"/>
      <c r="AU458" s="414">
        <v>0</v>
      </c>
      <c r="AV458" s="415">
        <v>0</v>
      </c>
      <c r="AW458" s="414">
        <f t="shared" si="59"/>
        <v>0</v>
      </c>
    </row>
    <row r="459" spans="1:49" s="172" customFormat="1" x14ac:dyDescent="0.3">
      <c r="A459" s="166" t="s">
        <v>31</v>
      </c>
      <c r="B459" s="167" t="s">
        <v>1093</v>
      </c>
      <c r="C459" s="167" t="s">
        <v>1094</v>
      </c>
      <c r="D459" s="412" t="s">
        <v>3470</v>
      </c>
      <c r="E459" s="168" t="s">
        <v>1085</v>
      </c>
      <c r="F459" s="168" t="s">
        <v>370</v>
      </c>
      <c r="G459" s="168" t="s">
        <v>309</v>
      </c>
      <c r="H459" s="168" t="s">
        <v>370</v>
      </c>
      <c r="I459" s="168" t="s">
        <v>941</v>
      </c>
      <c r="J459" s="168" t="s">
        <v>312</v>
      </c>
      <c r="K459" s="168" t="s">
        <v>1849</v>
      </c>
      <c r="L459" s="167" t="s">
        <v>304</v>
      </c>
      <c r="M459" s="167" t="s">
        <v>305</v>
      </c>
      <c r="N459" s="167">
        <v>11</v>
      </c>
      <c r="O459" s="167" t="s">
        <v>1094</v>
      </c>
      <c r="P459" s="167" t="s">
        <v>1094</v>
      </c>
      <c r="Q459" s="167" t="s">
        <v>1093</v>
      </c>
      <c r="R459" s="166" t="s">
        <v>31</v>
      </c>
      <c r="S459" s="169">
        <v>0</v>
      </c>
      <c r="T459" s="160">
        <v>177.12</v>
      </c>
      <c r="U459" s="160">
        <v>0</v>
      </c>
      <c r="V459" s="160">
        <v>708.48</v>
      </c>
      <c r="W459" s="160">
        <v>-708.48</v>
      </c>
      <c r="X459" s="161">
        <v>0</v>
      </c>
      <c r="Y459" s="160"/>
      <c r="Z459" s="16">
        <v>0</v>
      </c>
      <c r="AA459" s="162">
        <v>708.48</v>
      </c>
      <c r="AB459" s="162">
        <v>177.12</v>
      </c>
      <c r="AC459" s="162">
        <v>2125.44</v>
      </c>
      <c r="AD459" s="160"/>
      <c r="AE459" s="228">
        <v>0</v>
      </c>
      <c r="AF459" s="163">
        <v>1.0529999999999999</v>
      </c>
      <c r="AG459" s="163">
        <v>1.0489999999999999</v>
      </c>
      <c r="AH459" s="163">
        <v>1.0469999999999999</v>
      </c>
      <c r="AI459" s="164">
        <v>0</v>
      </c>
      <c r="AJ459" s="164">
        <f t="shared" si="60"/>
        <v>0</v>
      </c>
      <c r="AK459" s="229">
        <v>0</v>
      </c>
      <c r="AL459" s="229">
        <f ca="1">SUMIF('SM &amp; Vacancies'!A:T,D459,'SM &amp; Vacancies'!T:T)*105.3/100</f>
        <v>2238.0883199999998</v>
      </c>
      <c r="AM459" s="229">
        <f t="shared" ca="1" si="55"/>
        <v>2347.7546476799998</v>
      </c>
      <c r="AN459" s="229">
        <f t="shared" ca="1" si="56"/>
        <v>2458.0991161209595</v>
      </c>
      <c r="AO459" s="166"/>
      <c r="AP459" s="413">
        <f t="shared" ca="1" si="61"/>
        <v>-2238.0883199999998</v>
      </c>
      <c r="AR459" s="231"/>
      <c r="AS459" s="231"/>
      <c r="AU459" s="414">
        <v>0</v>
      </c>
      <c r="AV459" s="415">
        <v>0</v>
      </c>
      <c r="AW459" s="414">
        <f t="shared" si="59"/>
        <v>0</v>
      </c>
    </row>
    <row r="460" spans="1:49" s="172" customFormat="1" x14ac:dyDescent="0.3">
      <c r="A460" s="166" t="s">
        <v>50</v>
      </c>
      <c r="B460" s="167" t="s">
        <v>1095</v>
      </c>
      <c r="C460" s="167" t="s">
        <v>302</v>
      </c>
      <c r="D460" s="412" t="s">
        <v>3470</v>
      </c>
      <c r="E460" s="168" t="s">
        <v>1085</v>
      </c>
      <c r="F460" s="168" t="s">
        <v>370</v>
      </c>
      <c r="G460" s="168" t="s">
        <v>309</v>
      </c>
      <c r="H460" s="168" t="s">
        <v>373</v>
      </c>
      <c r="I460" s="168" t="s">
        <v>374</v>
      </c>
      <c r="J460" s="168" t="s">
        <v>312</v>
      </c>
      <c r="K460" s="168" t="s">
        <v>1849</v>
      </c>
      <c r="L460" s="167" t="s">
        <v>304</v>
      </c>
      <c r="M460" s="167" t="s">
        <v>305</v>
      </c>
      <c r="N460" s="167">
        <v>11</v>
      </c>
      <c r="O460" s="167" t="s">
        <v>302</v>
      </c>
      <c r="P460" s="167" t="s">
        <v>302</v>
      </c>
      <c r="Q460" s="167" t="s">
        <v>1095</v>
      </c>
      <c r="R460" s="166" t="s">
        <v>50</v>
      </c>
      <c r="S460" s="169">
        <v>0</v>
      </c>
      <c r="T460" s="160">
        <v>19138.310000000001</v>
      </c>
      <c r="U460" s="160">
        <v>0</v>
      </c>
      <c r="V460" s="160">
        <v>148095.29</v>
      </c>
      <c r="W460" s="160">
        <v>-148095.29</v>
      </c>
      <c r="X460" s="161">
        <v>0</v>
      </c>
      <c r="Y460" s="160"/>
      <c r="Z460" s="16">
        <v>0</v>
      </c>
      <c r="AA460" s="162">
        <v>148095.29</v>
      </c>
      <c r="AB460" s="162">
        <v>37023.822500000002</v>
      </c>
      <c r="AC460" s="162">
        <v>444285.87</v>
      </c>
      <c r="AD460" s="160"/>
      <c r="AE460" s="145">
        <v>0</v>
      </c>
      <c r="AF460" s="163">
        <v>1.0529999999999999</v>
      </c>
      <c r="AG460" s="163">
        <v>1.0489999999999999</v>
      </c>
      <c r="AH460" s="163">
        <v>1.0469999999999999</v>
      </c>
      <c r="AI460" s="164">
        <v>0</v>
      </c>
      <c r="AJ460" s="164">
        <f t="shared" si="60"/>
        <v>0</v>
      </c>
      <c r="AK460" s="229">
        <v>0</v>
      </c>
      <c r="AL460" s="229">
        <f ca="1">SUMIF('MS &amp; Vacancies combined'!A:J,D460,'MS &amp; Vacancies combined'!J:J)*105.3/100</f>
        <v>0</v>
      </c>
      <c r="AM460" s="229">
        <f t="shared" ca="1" si="55"/>
        <v>0</v>
      </c>
      <c r="AN460" s="229">
        <f t="shared" ca="1" si="56"/>
        <v>0</v>
      </c>
      <c r="AO460" s="166"/>
      <c r="AP460" s="413">
        <f t="shared" ca="1" si="61"/>
        <v>0</v>
      </c>
      <c r="AR460" s="231"/>
      <c r="AS460" s="231"/>
      <c r="AU460" s="414">
        <v>0</v>
      </c>
      <c r="AV460" s="415">
        <v>0</v>
      </c>
      <c r="AW460" s="414">
        <f t="shared" si="59"/>
        <v>0</v>
      </c>
    </row>
    <row r="461" spans="1:49" s="172" customFormat="1" x14ac:dyDescent="0.3">
      <c r="A461" s="166" t="s">
        <v>52</v>
      </c>
      <c r="B461" s="167" t="s">
        <v>1096</v>
      </c>
      <c r="C461" s="167" t="s">
        <v>376</v>
      </c>
      <c r="D461" s="412" t="s">
        <v>3470</v>
      </c>
      <c r="E461" s="168" t="s">
        <v>1085</v>
      </c>
      <c r="F461" s="168" t="s">
        <v>370</v>
      </c>
      <c r="G461" s="168" t="s">
        <v>309</v>
      </c>
      <c r="H461" s="168" t="s">
        <v>373</v>
      </c>
      <c r="I461" s="168" t="s">
        <v>377</v>
      </c>
      <c r="J461" s="168" t="s">
        <v>312</v>
      </c>
      <c r="K461" s="168" t="s">
        <v>1849</v>
      </c>
      <c r="L461" s="167" t="s">
        <v>304</v>
      </c>
      <c r="M461" s="167" t="s">
        <v>305</v>
      </c>
      <c r="N461" s="167">
        <v>11</v>
      </c>
      <c r="O461" s="167" t="s">
        <v>376</v>
      </c>
      <c r="P461" s="167" t="s">
        <v>376</v>
      </c>
      <c r="Q461" s="167" t="s">
        <v>1096</v>
      </c>
      <c r="R461" s="166" t="s">
        <v>52</v>
      </c>
      <c r="S461" s="169">
        <v>0</v>
      </c>
      <c r="T461" s="160">
        <v>0</v>
      </c>
      <c r="U461" s="160">
        <v>0</v>
      </c>
      <c r="V461" s="160">
        <v>0</v>
      </c>
      <c r="W461" s="160">
        <v>0</v>
      </c>
      <c r="X461" s="161">
        <v>0</v>
      </c>
      <c r="Y461" s="160"/>
      <c r="Z461" s="16">
        <v>0</v>
      </c>
      <c r="AA461" s="162">
        <v>0</v>
      </c>
      <c r="AB461" s="162">
        <v>0</v>
      </c>
      <c r="AC461" s="162">
        <v>0</v>
      </c>
      <c r="AD461" s="160"/>
      <c r="AE461" s="145">
        <v>0</v>
      </c>
      <c r="AF461" s="163">
        <v>1.0529999999999999</v>
      </c>
      <c r="AG461" s="163">
        <v>1.0489999999999999</v>
      </c>
      <c r="AH461" s="163">
        <v>1.0469999999999999</v>
      </c>
      <c r="AI461" s="164">
        <v>0</v>
      </c>
      <c r="AJ461" s="164">
        <f t="shared" si="60"/>
        <v>0</v>
      </c>
      <c r="AK461" s="229">
        <v>0</v>
      </c>
      <c r="AL461" s="229">
        <f ca="1">SUMIF('MS &amp; Vacancies combined'!A:M,D461,'MS &amp; Vacancies combined'!M:M)*105.3/100</f>
        <v>0</v>
      </c>
      <c r="AM461" s="229">
        <f t="shared" ca="1" si="55"/>
        <v>0</v>
      </c>
      <c r="AN461" s="229">
        <f t="shared" ca="1" si="56"/>
        <v>0</v>
      </c>
      <c r="AO461" s="166"/>
      <c r="AP461" s="413">
        <f t="shared" ca="1" si="61"/>
        <v>0</v>
      </c>
      <c r="AR461" s="231"/>
      <c r="AS461" s="231"/>
      <c r="AU461" s="414">
        <v>0</v>
      </c>
      <c r="AV461" s="415">
        <v>0</v>
      </c>
      <c r="AW461" s="414">
        <f t="shared" si="59"/>
        <v>0</v>
      </c>
    </row>
    <row r="462" spans="1:49" s="172" customFormat="1" x14ac:dyDescent="0.3">
      <c r="A462" s="166" t="s">
        <v>54</v>
      </c>
      <c r="B462" s="167" t="s">
        <v>1097</v>
      </c>
      <c r="C462" s="167" t="s">
        <v>379</v>
      </c>
      <c r="D462" s="412" t="s">
        <v>3470</v>
      </c>
      <c r="E462" s="168" t="s">
        <v>1085</v>
      </c>
      <c r="F462" s="168" t="s">
        <v>370</v>
      </c>
      <c r="G462" s="168" t="s">
        <v>309</v>
      </c>
      <c r="H462" s="168" t="s">
        <v>373</v>
      </c>
      <c r="I462" s="168" t="s">
        <v>380</v>
      </c>
      <c r="J462" s="168" t="s">
        <v>312</v>
      </c>
      <c r="K462" s="168" t="s">
        <v>1849</v>
      </c>
      <c r="L462" s="167" t="s">
        <v>304</v>
      </c>
      <c r="M462" s="167" t="s">
        <v>305</v>
      </c>
      <c r="N462" s="167">
        <v>11</v>
      </c>
      <c r="O462" s="167" t="s">
        <v>379</v>
      </c>
      <c r="P462" s="167" t="s">
        <v>379</v>
      </c>
      <c r="Q462" s="167" t="s">
        <v>1097</v>
      </c>
      <c r="R462" s="166" t="s">
        <v>54</v>
      </c>
      <c r="S462" s="169">
        <v>0</v>
      </c>
      <c r="T462" s="160">
        <v>0</v>
      </c>
      <c r="U462" s="160">
        <v>0</v>
      </c>
      <c r="V462" s="160">
        <v>0</v>
      </c>
      <c r="W462" s="160">
        <v>0</v>
      </c>
      <c r="X462" s="161">
        <v>0</v>
      </c>
      <c r="Y462" s="160"/>
      <c r="Z462" s="16">
        <v>0</v>
      </c>
      <c r="AA462" s="162">
        <v>0</v>
      </c>
      <c r="AB462" s="162">
        <v>0</v>
      </c>
      <c r="AC462" s="162">
        <v>0</v>
      </c>
      <c r="AD462" s="160"/>
      <c r="AE462" s="145">
        <v>0</v>
      </c>
      <c r="AF462" s="163">
        <v>1.0529999999999999</v>
      </c>
      <c r="AG462" s="163">
        <v>1.0489999999999999</v>
      </c>
      <c r="AH462" s="163">
        <v>1.0469999999999999</v>
      </c>
      <c r="AI462" s="164">
        <v>0</v>
      </c>
      <c r="AJ462" s="164">
        <f t="shared" si="60"/>
        <v>0</v>
      </c>
      <c r="AK462" s="229">
        <v>0</v>
      </c>
      <c r="AL462" s="229">
        <f ca="1">SUMIF('MS &amp; Vacancies combined'!A:L,D462,'MS &amp; Vacancies combined'!L:L)*105.3/100</f>
        <v>0</v>
      </c>
      <c r="AM462" s="229">
        <f t="shared" ca="1" si="55"/>
        <v>0</v>
      </c>
      <c r="AN462" s="229">
        <f t="shared" ca="1" si="56"/>
        <v>0</v>
      </c>
      <c r="AO462" s="166"/>
      <c r="AP462" s="413">
        <f t="shared" ca="1" si="61"/>
        <v>0</v>
      </c>
      <c r="AR462" s="231"/>
      <c r="AS462" s="231"/>
      <c r="AU462" s="414">
        <v>0</v>
      </c>
      <c r="AV462" s="415">
        <v>0</v>
      </c>
      <c r="AW462" s="414">
        <f t="shared" si="59"/>
        <v>0</v>
      </c>
    </row>
    <row r="463" spans="1:49" s="172" customFormat="1" x14ac:dyDescent="0.3">
      <c r="A463" s="166" t="s">
        <v>56</v>
      </c>
      <c r="B463" s="167" t="s">
        <v>1098</v>
      </c>
      <c r="C463" s="167" t="s">
        <v>385</v>
      </c>
      <c r="D463" s="412" t="s">
        <v>3470</v>
      </c>
      <c r="E463" s="168" t="s">
        <v>1085</v>
      </c>
      <c r="F463" s="168" t="s">
        <v>370</v>
      </c>
      <c r="G463" s="168" t="s">
        <v>309</v>
      </c>
      <c r="H463" s="168" t="s">
        <v>373</v>
      </c>
      <c r="I463" s="168" t="s">
        <v>386</v>
      </c>
      <c r="J463" s="168" t="s">
        <v>387</v>
      </c>
      <c r="K463" s="168" t="s">
        <v>1849</v>
      </c>
      <c r="L463" s="167" t="s">
        <v>304</v>
      </c>
      <c r="M463" s="167" t="s">
        <v>305</v>
      </c>
      <c r="N463" s="167">
        <v>11</v>
      </c>
      <c r="O463" s="167" t="s">
        <v>385</v>
      </c>
      <c r="P463" s="167" t="s">
        <v>385</v>
      </c>
      <c r="Q463" s="167" t="s">
        <v>1098</v>
      </c>
      <c r="R463" s="166" t="s">
        <v>56</v>
      </c>
      <c r="S463" s="169">
        <v>0</v>
      </c>
      <c r="T463" s="160">
        <v>0</v>
      </c>
      <c r="U463" s="160">
        <v>0</v>
      </c>
      <c r="V463" s="160">
        <v>0</v>
      </c>
      <c r="W463" s="160">
        <v>0</v>
      </c>
      <c r="X463" s="161">
        <v>0</v>
      </c>
      <c r="Y463" s="160"/>
      <c r="Z463" s="16">
        <v>0</v>
      </c>
      <c r="AA463" s="162">
        <v>0</v>
      </c>
      <c r="AB463" s="162">
        <v>0</v>
      </c>
      <c r="AC463" s="162">
        <v>0</v>
      </c>
      <c r="AD463" s="160"/>
      <c r="AE463" s="145">
        <v>0</v>
      </c>
      <c r="AF463" s="163">
        <v>1.0529999999999999</v>
      </c>
      <c r="AG463" s="163">
        <v>1.0489999999999999</v>
      </c>
      <c r="AH463" s="163">
        <v>1.0469999999999999</v>
      </c>
      <c r="AI463" s="164">
        <v>0</v>
      </c>
      <c r="AJ463" s="164">
        <f t="shared" si="60"/>
        <v>0</v>
      </c>
      <c r="AK463" s="229">
        <v>0</v>
      </c>
      <c r="AL463" s="229">
        <f ca="1">SUMIF('MS &amp; Vacancies combined'!A:O,D463,'MS &amp; Vacancies combined'!O:O)*105.3/100</f>
        <v>0</v>
      </c>
      <c r="AM463" s="229">
        <f t="shared" ca="1" si="55"/>
        <v>0</v>
      </c>
      <c r="AN463" s="229">
        <f t="shared" ca="1" si="56"/>
        <v>0</v>
      </c>
      <c r="AO463" s="166"/>
      <c r="AP463" s="413">
        <f t="shared" ca="1" si="61"/>
        <v>0</v>
      </c>
      <c r="AR463" s="231"/>
      <c r="AS463" s="231"/>
      <c r="AU463" s="414">
        <v>0</v>
      </c>
      <c r="AV463" s="415">
        <v>0</v>
      </c>
      <c r="AW463" s="414">
        <f t="shared" si="59"/>
        <v>0</v>
      </c>
    </row>
    <row r="464" spans="1:49" x14ac:dyDescent="0.3">
      <c r="A464" s="16" t="s">
        <v>57</v>
      </c>
      <c r="B464" s="39" t="s">
        <v>1099</v>
      </c>
      <c r="C464" s="39" t="s">
        <v>389</v>
      </c>
      <c r="D464" s="340" t="s">
        <v>3470</v>
      </c>
      <c r="E464" s="159" t="s">
        <v>1085</v>
      </c>
      <c r="F464" s="159" t="s">
        <v>370</v>
      </c>
      <c r="G464" s="159" t="s">
        <v>309</v>
      </c>
      <c r="H464" s="159" t="s">
        <v>373</v>
      </c>
      <c r="I464" s="159" t="s">
        <v>390</v>
      </c>
      <c r="J464" s="159" t="s">
        <v>312</v>
      </c>
      <c r="K464" s="159" t="s">
        <v>1849</v>
      </c>
      <c r="L464" s="39" t="s">
        <v>304</v>
      </c>
      <c r="M464" s="39" t="s">
        <v>305</v>
      </c>
      <c r="N464" s="39">
        <v>11</v>
      </c>
      <c r="O464" s="39" t="s">
        <v>389</v>
      </c>
      <c r="P464" s="39" t="s">
        <v>389</v>
      </c>
      <c r="Q464" s="39" t="s">
        <v>1099</v>
      </c>
      <c r="R464" s="16" t="s">
        <v>57</v>
      </c>
      <c r="S464" s="169">
        <v>239790</v>
      </c>
      <c r="T464" s="160">
        <v>0</v>
      </c>
      <c r="U464" s="160">
        <v>0</v>
      </c>
      <c r="V464" s="160">
        <v>50396.93</v>
      </c>
      <c r="W464" s="160">
        <v>189393.07</v>
      </c>
      <c r="X464" s="161">
        <v>0</v>
      </c>
      <c r="Y464" s="160"/>
      <c r="Z464" s="16">
        <v>21.01</v>
      </c>
      <c r="AA464" s="162">
        <v>50396.93</v>
      </c>
      <c r="AB464" s="162">
        <v>12599.2325</v>
      </c>
      <c r="AC464" s="162">
        <v>151190.79</v>
      </c>
      <c r="AD464" s="160"/>
      <c r="AE464" s="145">
        <v>239790</v>
      </c>
      <c r="AF464" s="421">
        <v>1.0529999999999999</v>
      </c>
      <c r="AG464" s="421">
        <v>1.0489999999999999</v>
      </c>
      <c r="AH464" s="421">
        <v>1.0469999999999999</v>
      </c>
      <c r="AI464" s="164">
        <v>239790</v>
      </c>
      <c r="AJ464" s="164">
        <f t="shared" si="60"/>
        <v>0</v>
      </c>
      <c r="AK464" s="165">
        <v>239790</v>
      </c>
      <c r="AL464" s="165">
        <f>AK464*80%</f>
        <v>191832</v>
      </c>
      <c r="AM464" s="165">
        <f t="shared" si="55"/>
        <v>201231.76799999998</v>
      </c>
      <c r="AN464" s="165">
        <f t="shared" si="56"/>
        <v>210689.66109599997</v>
      </c>
      <c r="AO464" s="16"/>
      <c r="AP464" s="231">
        <f t="shared" si="61"/>
        <v>47958</v>
      </c>
      <c r="AR464" s="231"/>
      <c r="AS464" s="231"/>
      <c r="AU464" s="230">
        <v>239790</v>
      </c>
      <c r="AV464" s="233">
        <v>239790</v>
      </c>
      <c r="AW464" s="230">
        <f t="shared" si="59"/>
        <v>0</v>
      </c>
    </row>
    <row r="465" spans="1:49" x14ac:dyDescent="0.3">
      <c r="A465" s="16" t="s">
        <v>59</v>
      </c>
      <c r="B465" s="39" t="s">
        <v>1100</v>
      </c>
      <c r="C465" s="39" t="s">
        <v>855</v>
      </c>
      <c r="D465" s="340" t="s">
        <v>3470</v>
      </c>
      <c r="E465" s="159" t="s">
        <v>1085</v>
      </c>
      <c r="F465" s="159" t="s">
        <v>370</v>
      </c>
      <c r="G465" s="159" t="s">
        <v>309</v>
      </c>
      <c r="H465" s="159" t="s">
        <v>373</v>
      </c>
      <c r="I465" s="159" t="s">
        <v>311</v>
      </c>
      <c r="J465" s="159" t="s">
        <v>312</v>
      </c>
      <c r="K465" s="159" t="s">
        <v>1849</v>
      </c>
      <c r="L465" s="39" t="s">
        <v>304</v>
      </c>
      <c r="M465" s="39" t="s">
        <v>305</v>
      </c>
      <c r="N465" s="39">
        <v>11</v>
      </c>
      <c r="O465" s="39" t="s">
        <v>855</v>
      </c>
      <c r="P465" s="39" t="s">
        <v>855</v>
      </c>
      <c r="Q465" s="39" t="s">
        <v>1100</v>
      </c>
      <c r="R465" s="16" t="s">
        <v>59</v>
      </c>
      <c r="S465" s="169">
        <v>40339</v>
      </c>
      <c r="T465" s="160">
        <v>4834.8900000000003</v>
      </c>
      <c r="U465" s="160">
        <v>0</v>
      </c>
      <c r="V465" s="160">
        <v>19339.560000000001</v>
      </c>
      <c r="W465" s="160">
        <v>20999.439999999999</v>
      </c>
      <c r="X465" s="161">
        <v>0</v>
      </c>
      <c r="Y465" s="160"/>
      <c r="Z465" s="16">
        <v>47.94</v>
      </c>
      <c r="AA465" s="162">
        <v>19339.560000000001</v>
      </c>
      <c r="AB465" s="162">
        <v>4834.8900000000003</v>
      </c>
      <c r="AC465" s="162">
        <v>58018.680000000008</v>
      </c>
      <c r="AD465" s="160"/>
      <c r="AE465" s="145">
        <v>40339</v>
      </c>
      <c r="AF465" s="421">
        <v>1.0529999999999999</v>
      </c>
      <c r="AG465" s="421">
        <v>1.0489999999999999</v>
      </c>
      <c r="AH465" s="421">
        <v>1.0469999999999999</v>
      </c>
      <c r="AI465" s="164">
        <v>40339</v>
      </c>
      <c r="AJ465" s="164">
        <f t="shared" si="60"/>
        <v>0</v>
      </c>
      <c r="AK465" s="165">
        <v>40339</v>
      </c>
      <c r="AL465" s="165">
        <f>AK465*AF465</f>
        <v>42476.966999999997</v>
      </c>
      <c r="AM465" s="165">
        <f t="shared" si="55"/>
        <v>44558.338382999995</v>
      </c>
      <c r="AN465" s="165">
        <f t="shared" si="56"/>
        <v>46652.580287000994</v>
      </c>
      <c r="AO465" s="16"/>
      <c r="AP465" s="231">
        <f t="shared" si="61"/>
        <v>-2137.9669999999969</v>
      </c>
      <c r="AR465" s="231"/>
      <c r="AS465" s="231"/>
      <c r="AU465" s="230">
        <v>40339</v>
      </c>
      <c r="AV465" s="233">
        <v>40339</v>
      </c>
      <c r="AW465" s="230">
        <f t="shared" si="59"/>
        <v>0</v>
      </c>
    </row>
    <row r="466" spans="1:49" x14ac:dyDescent="0.3">
      <c r="A466" s="16" t="s">
        <v>60</v>
      </c>
      <c r="B466" s="39" t="s">
        <v>1101</v>
      </c>
      <c r="C466" s="39" t="s">
        <v>392</v>
      </c>
      <c r="D466" s="340" t="s">
        <v>3470</v>
      </c>
      <c r="E466" s="159" t="s">
        <v>1085</v>
      </c>
      <c r="F466" s="159" t="s">
        <v>370</v>
      </c>
      <c r="G466" s="159" t="s">
        <v>309</v>
      </c>
      <c r="H466" s="159" t="s">
        <v>373</v>
      </c>
      <c r="I466" s="159" t="s">
        <v>393</v>
      </c>
      <c r="J466" s="159" t="s">
        <v>312</v>
      </c>
      <c r="K466" s="159" t="s">
        <v>1849</v>
      </c>
      <c r="L466" s="39" t="s">
        <v>304</v>
      </c>
      <c r="M466" s="39" t="s">
        <v>305</v>
      </c>
      <c r="N466" s="39">
        <v>11</v>
      </c>
      <c r="O466" s="39" t="s">
        <v>392</v>
      </c>
      <c r="P466" s="39" t="s">
        <v>392</v>
      </c>
      <c r="Q466" s="39" t="s">
        <v>1101</v>
      </c>
      <c r="R466" s="16" t="s">
        <v>60</v>
      </c>
      <c r="S466" s="169">
        <v>13006</v>
      </c>
      <c r="T466" s="160">
        <v>0</v>
      </c>
      <c r="U466" s="160">
        <v>0</v>
      </c>
      <c r="V466" s="160">
        <v>2959.42</v>
      </c>
      <c r="W466" s="160">
        <v>10046.58</v>
      </c>
      <c r="X466" s="161">
        <v>0</v>
      </c>
      <c r="Y466" s="160"/>
      <c r="Z466" s="16">
        <v>22.75</v>
      </c>
      <c r="AA466" s="162">
        <v>2959.42</v>
      </c>
      <c r="AB466" s="162">
        <v>739.85500000000002</v>
      </c>
      <c r="AC466" s="162">
        <v>8878.26</v>
      </c>
      <c r="AD466" s="160"/>
      <c r="AE466" s="145">
        <v>13006</v>
      </c>
      <c r="AF466" s="421">
        <v>1.0529999999999999</v>
      </c>
      <c r="AG466" s="421">
        <v>1.0489999999999999</v>
      </c>
      <c r="AH466" s="421">
        <v>1.0469999999999999</v>
      </c>
      <c r="AI466" s="164">
        <v>13006</v>
      </c>
      <c r="AJ466" s="164">
        <f t="shared" si="60"/>
        <v>0</v>
      </c>
      <c r="AK466" s="165">
        <v>13006</v>
      </c>
      <c r="AL466" s="165">
        <f>AK466*AF466</f>
        <v>13695.317999999999</v>
      </c>
      <c r="AM466" s="165">
        <f t="shared" si="55"/>
        <v>14366.388581999998</v>
      </c>
      <c r="AN466" s="165">
        <f t="shared" si="56"/>
        <v>15041.608845353996</v>
      </c>
      <c r="AO466" s="16"/>
      <c r="AP466" s="231">
        <f t="shared" si="61"/>
        <v>-689.3179999999993</v>
      </c>
      <c r="AR466" s="231"/>
      <c r="AS466" s="231"/>
      <c r="AU466" s="230">
        <v>13006</v>
      </c>
      <c r="AV466" s="233">
        <v>13006</v>
      </c>
      <c r="AW466" s="230">
        <f t="shared" si="59"/>
        <v>0</v>
      </c>
    </row>
    <row r="467" spans="1:49" x14ac:dyDescent="0.3">
      <c r="A467" s="16" t="s">
        <v>61</v>
      </c>
      <c r="B467" s="39" t="s">
        <v>1102</v>
      </c>
      <c r="C467" s="39" t="s">
        <v>460</v>
      </c>
      <c r="D467" s="340" t="s">
        <v>3470</v>
      </c>
      <c r="E467" s="159" t="s">
        <v>1085</v>
      </c>
      <c r="F467" s="159" t="s">
        <v>370</v>
      </c>
      <c r="G467" s="159" t="s">
        <v>309</v>
      </c>
      <c r="H467" s="159" t="s">
        <v>373</v>
      </c>
      <c r="I467" s="159" t="s">
        <v>461</v>
      </c>
      <c r="J467" s="159" t="s">
        <v>312</v>
      </c>
      <c r="K467" s="159" t="s">
        <v>1849</v>
      </c>
      <c r="L467" s="39" t="s">
        <v>304</v>
      </c>
      <c r="M467" s="39" t="s">
        <v>305</v>
      </c>
      <c r="N467" s="39">
        <v>11</v>
      </c>
      <c r="O467" s="39" t="s">
        <v>460</v>
      </c>
      <c r="P467" s="39" t="s">
        <v>460</v>
      </c>
      <c r="Q467" s="39" t="s">
        <v>1102</v>
      </c>
      <c r="R467" s="16" t="s">
        <v>61</v>
      </c>
      <c r="S467" s="169">
        <v>0</v>
      </c>
      <c r="T467" s="160">
        <v>0</v>
      </c>
      <c r="U467" s="160">
        <v>0</v>
      </c>
      <c r="V467" s="160">
        <v>0</v>
      </c>
      <c r="W467" s="160">
        <v>0</v>
      </c>
      <c r="X467" s="161">
        <v>0</v>
      </c>
      <c r="Y467" s="160"/>
      <c r="Z467" s="16">
        <v>0</v>
      </c>
      <c r="AA467" s="162">
        <v>0</v>
      </c>
      <c r="AB467" s="162">
        <v>0</v>
      </c>
      <c r="AC467" s="162">
        <v>0</v>
      </c>
      <c r="AD467" s="160"/>
      <c r="AE467" s="145">
        <v>0</v>
      </c>
      <c r="AF467" s="163">
        <v>1.0469999999999999</v>
      </c>
      <c r="AG467" s="164">
        <v>1.046</v>
      </c>
      <c r="AH467" s="164">
        <v>1.046</v>
      </c>
      <c r="AI467" s="164">
        <v>0</v>
      </c>
      <c r="AJ467" s="164">
        <f t="shared" si="60"/>
        <v>0</v>
      </c>
      <c r="AK467" s="165">
        <v>0</v>
      </c>
      <c r="AL467" s="165">
        <v>0</v>
      </c>
      <c r="AM467" s="165">
        <f t="shared" si="55"/>
        <v>0</v>
      </c>
      <c r="AN467" s="165">
        <f t="shared" si="56"/>
        <v>0</v>
      </c>
      <c r="AO467" s="16"/>
      <c r="AP467" s="231">
        <f t="shared" si="61"/>
        <v>0</v>
      </c>
      <c r="AR467" s="231"/>
      <c r="AS467" s="231"/>
      <c r="AU467" s="230">
        <v>0</v>
      </c>
      <c r="AV467" s="233">
        <v>0</v>
      </c>
      <c r="AW467" s="230">
        <f t="shared" si="59"/>
        <v>0</v>
      </c>
    </row>
    <row r="468" spans="1:49" s="172" customFormat="1" x14ac:dyDescent="0.3">
      <c r="A468" s="166" t="s">
        <v>62</v>
      </c>
      <c r="B468" s="167" t="s">
        <v>1103</v>
      </c>
      <c r="C468" s="167" t="s">
        <v>395</v>
      </c>
      <c r="D468" s="412" t="s">
        <v>3470</v>
      </c>
      <c r="E468" s="168" t="s">
        <v>1085</v>
      </c>
      <c r="F468" s="168" t="s">
        <v>370</v>
      </c>
      <c r="G468" s="168" t="s">
        <v>309</v>
      </c>
      <c r="H468" s="168" t="s">
        <v>373</v>
      </c>
      <c r="I468" s="168" t="s">
        <v>396</v>
      </c>
      <c r="J468" s="168" t="s">
        <v>312</v>
      </c>
      <c r="K468" s="168" t="s">
        <v>1849</v>
      </c>
      <c r="L468" s="167" t="s">
        <v>304</v>
      </c>
      <c r="M468" s="167" t="s">
        <v>305</v>
      </c>
      <c r="N468" s="167">
        <v>11</v>
      </c>
      <c r="O468" s="167" t="s">
        <v>395</v>
      </c>
      <c r="P468" s="167" t="s">
        <v>395</v>
      </c>
      <c r="Q468" s="167" t="s">
        <v>1103</v>
      </c>
      <c r="R468" s="166" t="s">
        <v>62</v>
      </c>
      <c r="S468" s="169">
        <v>0</v>
      </c>
      <c r="T468" s="160">
        <v>0</v>
      </c>
      <c r="U468" s="160">
        <v>0</v>
      </c>
      <c r="V468" s="160">
        <v>17907</v>
      </c>
      <c r="W468" s="160">
        <v>-17907</v>
      </c>
      <c r="X468" s="161">
        <v>0</v>
      </c>
      <c r="Y468" s="160"/>
      <c r="Z468" s="16">
        <v>0</v>
      </c>
      <c r="AA468" s="162">
        <v>17907</v>
      </c>
      <c r="AB468" s="162">
        <v>4476.75</v>
      </c>
      <c r="AC468" s="162">
        <v>53721</v>
      </c>
      <c r="AD468" s="160"/>
      <c r="AE468" s="145">
        <v>0</v>
      </c>
      <c r="AF468" s="163">
        <v>1.0529999999999999</v>
      </c>
      <c r="AG468" s="163">
        <v>1.0489999999999999</v>
      </c>
      <c r="AH468" s="163">
        <v>1.0469999999999999</v>
      </c>
      <c r="AI468" s="164">
        <v>0</v>
      </c>
      <c r="AJ468" s="164">
        <f t="shared" si="60"/>
        <v>0</v>
      </c>
      <c r="AK468" s="229">
        <v>0</v>
      </c>
      <c r="AL468" s="229">
        <f ca="1">SUMIF('MS &amp; Vacancies combined'!A:K,D468,'MS &amp; Vacancies combined'!K:K)*105.3/100</f>
        <v>0</v>
      </c>
      <c r="AM468" s="229">
        <f ca="1">AL468*AG468</f>
        <v>0</v>
      </c>
      <c r="AN468" s="229">
        <f ca="1">AM468*AH468</f>
        <v>0</v>
      </c>
      <c r="AO468" s="166"/>
      <c r="AP468" s="413">
        <f t="shared" ca="1" si="61"/>
        <v>0</v>
      </c>
      <c r="AR468" s="231"/>
      <c r="AS468" s="231"/>
      <c r="AU468" s="414">
        <v>0</v>
      </c>
      <c r="AV468" s="415">
        <v>0</v>
      </c>
      <c r="AW468" s="414">
        <f t="shared" si="59"/>
        <v>0</v>
      </c>
    </row>
    <row r="469" spans="1:49" x14ac:dyDescent="0.3">
      <c r="A469" s="16" t="s">
        <v>64</v>
      </c>
      <c r="B469" s="39" t="s">
        <v>1104</v>
      </c>
      <c r="C469" s="39" t="s">
        <v>464</v>
      </c>
      <c r="D469" s="340" t="s">
        <v>3470</v>
      </c>
      <c r="E469" s="159" t="s">
        <v>1085</v>
      </c>
      <c r="F469" s="159" t="s">
        <v>370</v>
      </c>
      <c r="G469" s="159" t="s">
        <v>309</v>
      </c>
      <c r="H469" s="159" t="s">
        <v>373</v>
      </c>
      <c r="I469" s="159" t="s">
        <v>465</v>
      </c>
      <c r="J469" s="159" t="s">
        <v>312</v>
      </c>
      <c r="K469" s="159" t="s">
        <v>1849</v>
      </c>
      <c r="L469" s="39" t="s">
        <v>304</v>
      </c>
      <c r="M469" s="39" t="s">
        <v>305</v>
      </c>
      <c r="N469" s="39">
        <v>11</v>
      </c>
      <c r="O469" s="39" t="s">
        <v>464</v>
      </c>
      <c r="P469" s="39" t="s">
        <v>464</v>
      </c>
      <c r="Q469" s="39" t="s">
        <v>1104</v>
      </c>
      <c r="R469" s="16" t="s">
        <v>64</v>
      </c>
      <c r="S469" s="169">
        <v>30479</v>
      </c>
      <c r="T469" s="160">
        <v>0</v>
      </c>
      <c r="U469" s="160">
        <v>0</v>
      </c>
      <c r="V469" s="160">
        <v>5744.06</v>
      </c>
      <c r="W469" s="160">
        <v>24734.94</v>
      </c>
      <c r="X469" s="161">
        <v>0</v>
      </c>
      <c r="Y469" s="160"/>
      <c r="Z469" s="16">
        <v>18.84</v>
      </c>
      <c r="AA469" s="162">
        <v>5744.06</v>
      </c>
      <c r="AB469" s="162">
        <v>1436.0150000000001</v>
      </c>
      <c r="AC469" s="162">
        <v>17232.18</v>
      </c>
      <c r="AD469" s="160"/>
      <c r="AE469" s="145">
        <v>30479</v>
      </c>
      <c r="AF469" s="421">
        <v>1.0529999999999999</v>
      </c>
      <c r="AG469" s="421">
        <v>1.0489999999999999</v>
      </c>
      <c r="AH469" s="421">
        <v>1.0469999999999999</v>
      </c>
      <c r="AI469" s="164">
        <v>30479</v>
      </c>
      <c r="AJ469" s="164">
        <f t="shared" si="60"/>
        <v>0</v>
      </c>
      <c r="AK469" s="165">
        <v>30479</v>
      </c>
      <c r="AL469" s="165">
        <f>AK469*AF469</f>
        <v>32094.386999999999</v>
      </c>
      <c r="AM469" s="165">
        <f t="shared" si="55"/>
        <v>33667.011962999997</v>
      </c>
      <c r="AN469" s="165">
        <f t="shared" si="56"/>
        <v>35249.361525260996</v>
      </c>
      <c r="AO469" s="16"/>
      <c r="AP469" s="231">
        <f t="shared" si="61"/>
        <v>-1615.3869999999988</v>
      </c>
      <c r="AR469" s="231"/>
      <c r="AS469" s="231"/>
      <c r="AU469" s="230">
        <v>30479</v>
      </c>
      <c r="AV469" s="233">
        <v>30479</v>
      </c>
      <c r="AW469" s="230">
        <f t="shared" si="59"/>
        <v>0</v>
      </c>
    </row>
    <row r="470" spans="1:49" s="172" customFormat="1" x14ac:dyDescent="0.3">
      <c r="A470" s="166" t="s">
        <v>69</v>
      </c>
      <c r="B470" s="167" t="s">
        <v>1105</v>
      </c>
      <c r="C470" s="167" t="s">
        <v>398</v>
      </c>
      <c r="D470" s="412" t="s">
        <v>3470</v>
      </c>
      <c r="E470" s="168" t="s">
        <v>1085</v>
      </c>
      <c r="F470" s="168" t="s">
        <v>370</v>
      </c>
      <c r="G470" s="168" t="s">
        <v>309</v>
      </c>
      <c r="H470" s="168" t="s">
        <v>310</v>
      </c>
      <c r="I470" s="168" t="s">
        <v>374</v>
      </c>
      <c r="J470" s="168" t="s">
        <v>312</v>
      </c>
      <c r="K470" s="168" t="s">
        <v>1849</v>
      </c>
      <c r="L470" s="167" t="s">
        <v>304</v>
      </c>
      <c r="M470" s="167" t="s">
        <v>305</v>
      </c>
      <c r="N470" s="167">
        <v>11</v>
      </c>
      <c r="O470" s="167" t="s">
        <v>398</v>
      </c>
      <c r="P470" s="167" t="s">
        <v>398</v>
      </c>
      <c r="Q470" s="167" t="s">
        <v>1105</v>
      </c>
      <c r="R470" s="166" t="s">
        <v>69</v>
      </c>
      <c r="S470" s="169">
        <v>0</v>
      </c>
      <c r="T470" s="160">
        <v>21.6</v>
      </c>
      <c r="U470" s="160">
        <v>0</v>
      </c>
      <c r="V470" s="160">
        <v>108</v>
      </c>
      <c r="W470" s="160">
        <v>-108</v>
      </c>
      <c r="X470" s="161">
        <v>0</v>
      </c>
      <c r="Y470" s="160"/>
      <c r="Z470" s="16">
        <v>0</v>
      </c>
      <c r="AA470" s="162">
        <v>108</v>
      </c>
      <c r="AB470" s="162">
        <v>27</v>
      </c>
      <c r="AC470" s="162">
        <v>324</v>
      </c>
      <c r="AD470" s="160"/>
      <c r="AE470" s="145">
        <v>0</v>
      </c>
      <c r="AF470" s="163">
        <v>1.0529999999999999</v>
      </c>
      <c r="AG470" s="163">
        <v>1.0489999999999999</v>
      </c>
      <c r="AH470" s="163">
        <v>1.0469999999999999</v>
      </c>
      <c r="AI470" s="164">
        <v>0</v>
      </c>
      <c r="AJ470" s="164">
        <f t="shared" si="60"/>
        <v>0</v>
      </c>
      <c r="AK470" s="229">
        <v>0</v>
      </c>
      <c r="AL470" s="229">
        <f ca="1">SUMIF('MS &amp; Vacancies combined'!A:N,D470,'MS &amp; Vacancies combined'!N:N)*105.3/100</f>
        <v>0</v>
      </c>
      <c r="AM470" s="229">
        <f t="shared" ca="1" si="55"/>
        <v>0</v>
      </c>
      <c r="AN470" s="229">
        <f t="shared" ca="1" si="56"/>
        <v>0</v>
      </c>
      <c r="AO470" s="166"/>
      <c r="AP470" s="413">
        <f t="shared" ca="1" si="61"/>
        <v>0</v>
      </c>
      <c r="AR470" s="231"/>
      <c r="AS470" s="231"/>
      <c r="AU470" s="414">
        <v>0</v>
      </c>
      <c r="AV470" s="415">
        <v>0</v>
      </c>
      <c r="AW470" s="414">
        <f t="shared" si="59"/>
        <v>0</v>
      </c>
    </row>
    <row r="471" spans="1:49" s="172" customFormat="1" x14ac:dyDescent="0.3">
      <c r="A471" s="166" t="s">
        <v>70</v>
      </c>
      <c r="B471" s="167" t="s">
        <v>1106</v>
      </c>
      <c r="C471" s="167" t="s">
        <v>400</v>
      </c>
      <c r="D471" s="412" t="s">
        <v>3470</v>
      </c>
      <c r="E471" s="168" t="s">
        <v>1085</v>
      </c>
      <c r="F471" s="168" t="s">
        <v>370</v>
      </c>
      <c r="G471" s="168" t="s">
        <v>309</v>
      </c>
      <c r="H471" s="168" t="s">
        <v>310</v>
      </c>
      <c r="I471" s="168" t="s">
        <v>401</v>
      </c>
      <c r="J471" s="168" t="s">
        <v>312</v>
      </c>
      <c r="K471" s="168" t="s">
        <v>1849</v>
      </c>
      <c r="L471" s="167" t="s">
        <v>304</v>
      </c>
      <c r="M471" s="167" t="s">
        <v>305</v>
      </c>
      <c r="N471" s="167">
        <v>11</v>
      </c>
      <c r="O471" s="167" t="s">
        <v>400</v>
      </c>
      <c r="P471" s="167" t="s">
        <v>400</v>
      </c>
      <c r="Q471" s="167" t="s">
        <v>1106</v>
      </c>
      <c r="R471" s="166" t="s">
        <v>70</v>
      </c>
      <c r="S471" s="169">
        <v>0</v>
      </c>
      <c r="T471" s="160">
        <v>313.37</v>
      </c>
      <c r="U471" s="160">
        <v>0</v>
      </c>
      <c r="V471" s="160">
        <v>1530.34</v>
      </c>
      <c r="W471" s="160">
        <v>-1530.34</v>
      </c>
      <c r="X471" s="161">
        <v>0</v>
      </c>
      <c r="Y471" s="160"/>
      <c r="Z471" s="16">
        <v>0</v>
      </c>
      <c r="AA471" s="162">
        <v>1530.34</v>
      </c>
      <c r="AB471" s="162">
        <v>382.58499999999998</v>
      </c>
      <c r="AC471" s="162">
        <v>4591.0199999999995</v>
      </c>
      <c r="AD471" s="160"/>
      <c r="AE471" s="145">
        <v>0</v>
      </c>
      <c r="AF471" s="163">
        <v>1.0529999999999999</v>
      </c>
      <c r="AG471" s="163">
        <v>1.0489999999999999</v>
      </c>
      <c r="AH471" s="163">
        <v>1.0469999999999999</v>
      </c>
      <c r="AI471" s="164">
        <v>0</v>
      </c>
      <c r="AJ471" s="164">
        <f t="shared" si="60"/>
        <v>0</v>
      </c>
      <c r="AK471" s="229">
        <v>0</v>
      </c>
      <c r="AL471" s="229">
        <f ca="1">SUMIF('MS &amp; Vacancies combined'!A:P,D471,'MS &amp; Vacancies combined'!P:P)*105.3/100</f>
        <v>0</v>
      </c>
      <c r="AM471" s="229">
        <f t="shared" ca="1" si="55"/>
        <v>0</v>
      </c>
      <c r="AN471" s="229">
        <f t="shared" ca="1" si="56"/>
        <v>0</v>
      </c>
      <c r="AO471" s="166"/>
      <c r="AP471" s="413">
        <f t="shared" ca="1" si="61"/>
        <v>0</v>
      </c>
      <c r="AR471" s="231"/>
      <c r="AS471" s="231"/>
      <c r="AU471" s="414">
        <v>0</v>
      </c>
      <c r="AV471" s="415">
        <v>0</v>
      </c>
      <c r="AW471" s="414">
        <f t="shared" si="59"/>
        <v>0</v>
      </c>
    </row>
    <row r="472" spans="1:49" s="172" customFormat="1" x14ac:dyDescent="0.3">
      <c r="A472" s="166" t="s">
        <v>71</v>
      </c>
      <c r="B472" s="167" t="s">
        <v>1107</v>
      </c>
      <c r="C472" s="167" t="s">
        <v>403</v>
      </c>
      <c r="D472" s="412" t="s">
        <v>3470</v>
      </c>
      <c r="E472" s="168" t="s">
        <v>1085</v>
      </c>
      <c r="F472" s="168" t="s">
        <v>370</v>
      </c>
      <c r="G472" s="168" t="s">
        <v>309</v>
      </c>
      <c r="H472" s="168" t="s">
        <v>310</v>
      </c>
      <c r="I472" s="168" t="s">
        <v>404</v>
      </c>
      <c r="J472" s="168" t="s">
        <v>312</v>
      </c>
      <c r="K472" s="168" t="s">
        <v>1849</v>
      </c>
      <c r="L472" s="167" t="s">
        <v>304</v>
      </c>
      <c r="M472" s="167" t="s">
        <v>305</v>
      </c>
      <c r="N472" s="167">
        <v>11</v>
      </c>
      <c r="O472" s="167" t="s">
        <v>403</v>
      </c>
      <c r="P472" s="167" t="s">
        <v>403</v>
      </c>
      <c r="Q472" s="167" t="s">
        <v>1107</v>
      </c>
      <c r="R472" s="166" t="s">
        <v>71</v>
      </c>
      <c r="S472" s="169">
        <v>0</v>
      </c>
      <c r="T472" s="160">
        <v>3742.8</v>
      </c>
      <c r="U472" s="160">
        <v>0</v>
      </c>
      <c r="V472" s="160">
        <v>23734.799999999999</v>
      </c>
      <c r="W472" s="160">
        <v>-23734.799999999999</v>
      </c>
      <c r="X472" s="161">
        <v>0</v>
      </c>
      <c r="Y472" s="160"/>
      <c r="Z472" s="16">
        <v>0</v>
      </c>
      <c r="AA472" s="162">
        <v>23734.799999999999</v>
      </c>
      <c r="AB472" s="162">
        <v>5933.7</v>
      </c>
      <c r="AC472" s="162">
        <v>71204.399999999994</v>
      </c>
      <c r="AD472" s="160"/>
      <c r="AE472" s="145">
        <v>0</v>
      </c>
      <c r="AF472" s="163">
        <v>1.0529999999999999</v>
      </c>
      <c r="AG472" s="163">
        <v>1.0489999999999999</v>
      </c>
      <c r="AH472" s="163">
        <v>1.0469999999999999</v>
      </c>
      <c r="AI472" s="164">
        <v>0</v>
      </c>
      <c r="AJ472" s="164">
        <f t="shared" si="60"/>
        <v>0</v>
      </c>
      <c r="AK472" s="229">
        <v>0</v>
      </c>
      <c r="AL472" s="229">
        <f ca="1">SUMIF('MS &amp; Vacancies combined'!A:Q,D472,'MS &amp; Vacancies combined'!Q:Q)*105.3/100</f>
        <v>0</v>
      </c>
      <c r="AM472" s="229">
        <f t="shared" ca="1" si="55"/>
        <v>0</v>
      </c>
      <c r="AN472" s="229">
        <f t="shared" ca="1" si="56"/>
        <v>0</v>
      </c>
      <c r="AO472" s="166"/>
      <c r="AP472" s="413">
        <f t="shared" ca="1" si="61"/>
        <v>0</v>
      </c>
      <c r="AR472" s="231"/>
      <c r="AS472" s="231"/>
      <c r="AU472" s="414">
        <v>0</v>
      </c>
      <c r="AV472" s="415">
        <v>0</v>
      </c>
      <c r="AW472" s="414">
        <f t="shared" si="59"/>
        <v>0</v>
      </c>
    </row>
    <row r="473" spans="1:49" s="172" customFormat="1" x14ac:dyDescent="0.3">
      <c r="A473" s="166" t="s">
        <v>72</v>
      </c>
      <c r="B473" s="167" t="s">
        <v>1108</v>
      </c>
      <c r="C473" s="167" t="s">
        <v>406</v>
      </c>
      <c r="D473" s="412" t="s">
        <v>3470</v>
      </c>
      <c r="E473" s="168" t="s">
        <v>1085</v>
      </c>
      <c r="F473" s="168" t="s">
        <v>370</v>
      </c>
      <c r="G473" s="168" t="s">
        <v>309</v>
      </c>
      <c r="H473" s="168" t="s">
        <v>310</v>
      </c>
      <c r="I473" s="168" t="s">
        <v>407</v>
      </c>
      <c r="J473" s="168" t="s">
        <v>312</v>
      </c>
      <c r="K473" s="168" t="s">
        <v>1849</v>
      </c>
      <c r="L473" s="167" t="s">
        <v>304</v>
      </c>
      <c r="M473" s="167" t="s">
        <v>305</v>
      </c>
      <c r="N473" s="167">
        <v>11</v>
      </c>
      <c r="O473" s="167" t="s">
        <v>406</v>
      </c>
      <c r="P473" s="167" t="s">
        <v>406</v>
      </c>
      <c r="Q473" s="167" t="s">
        <v>1108</v>
      </c>
      <c r="R473" s="166" t="s">
        <v>72</v>
      </c>
      <c r="S473" s="169">
        <v>0</v>
      </c>
      <c r="T473" s="160">
        <v>3223.26</v>
      </c>
      <c r="U473" s="160">
        <v>0</v>
      </c>
      <c r="V473" s="160">
        <v>23663.16</v>
      </c>
      <c r="W473" s="160">
        <v>-23663.16</v>
      </c>
      <c r="X473" s="161">
        <v>0</v>
      </c>
      <c r="Y473" s="160"/>
      <c r="Z473" s="16">
        <v>0</v>
      </c>
      <c r="AA473" s="162">
        <v>23663.16</v>
      </c>
      <c r="AB473" s="162">
        <v>5915.79</v>
      </c>
      <c r="AC473" s="162">
        <v>70989.48</v>
      </c>
      <c r="AD473" s="160"/>
      <c r="AE473" s="145">
        <v>0</v>
      </c>
      <c r="AF473" s="163">
        <v>1.0529999999999999</v>
      </c>
      <c r="AG473" s="163">
        <v>1.0489999999999999</v>
      </c>
      <c r="AH473" s="163">
        <v>1.0469999999999999</v>
      </c>
      <c r="AI473" s="164">
        <v>0</v>
      </c>
      <c r="AJ473" s="164">
        <f t="shared" si="60"/>
        <v>0</v>
      </c>
      <c r="AK473" s="229">
        <v>0</v>
      </c>
      <c r="AL473" s="229">
        <f ca="1">SUMIF('MS &amp; Vacancies combined'!A:R,D473,'MS &amp; Vacancies combined'!R:R)*105.3/100</f>
        <v>0</v>
      </c>
      <c r="AM473" s="229">
        <f t="shared" ca="1" si="55"/>
        <v>0</v>
      </c>
      <c r="AN473" s="229">
        <f t="shared" ca="1" si="56"/>
        <v>0</v>
      </c>
      <c r="AO473" s="166"/>
      <c r="AP473" s="413">
        <f t="shared" ca="1" si="61"/>
        <v>0</v>
      </c>
      <c r="AR473" s="231"/>
      <c r="AS473" s="231"/>
      <c r="AU473" s="414">
        <v>0</v>
      </c>
      <c r="AV473" s="415">
        <v>0</v>
      </c>
      <c r="AW473" s="414">
        <f t="shared" si="59"/>
        <v>0</v>
      </c>
    </row>
    <row r="474" spans="1:49" s="172" customFormat="1" x14ac:dyDescent="0.3">
      <c r="A474" s="166" t="s">
        <v>73</v>
      </c>
      <c r="B474" s="167" t="s">
        <v>1109</v>
      </c>
      <c r="C474" s="167" t="s">
        <v>307</v>
      </c>
      <c r="D474" s="412" t="s">
        <v>3470</v>
      </c>
      <c r="E474" s="168" t="s">
        <v>1085</v>
      </c>
      <c r="F474" s="168" t="s">
        <v>370</v>
      </c>
      <c r="G474" s="168" t="s">
        <v>309</v>
      </c>
      <c r="H474" s="168" t="s">
        <v>310</v>
      </c>
      <c r="I474" s="168" t="s">
        <v>311</v>
      </c>
      <c r="J474" s="168" t="s">
        <v>312</v>
      </c>
      <c r="K474" s="168" t="s">
        <v>1849</v>
      </c>
      <c r="L474" s="167" t="s">
        <v>304</v>
      </c>
      <c r="M474" s="167" t="s">
        <v>305</v>
      </c>
      <c r="N474" s="167">
        <v>11</v>
      </c>
      <c r="O474" s="167" t="s">
        <v>307</v>
      </c>
      <c r="P474" s="167" t="s">
        <v>307</v>
      </c>
      <c r="Q474" s="167" t="s">
        <v>1109</v>
      </c>
      <c r="R474" s="166" t="s">
        <v>73</v>
      </c>
      <c r="S474" s="169">
        <v>0</v>
      </c>
      <c r="T474" s="160">
        <v>177.12</v>
      </c>
      <c r="U474" s="160">
        <v>0</v>
      </c>
      <c r="V474" s="160">
        <v>1062.72</v>
      </c>
      <c r="W474" s="160">
        <v>-1062.72</v>
      </c>
      <c r="X474" s="161">
        <v>0</v>
      </c>
      <c r="Y474" s="160"/>
      <c r="Z474" s="16">
        <v>0</v>
      </c>
      <c r="AA474" s="162">
        <v>1062.72</v>
      </c>
      <c r="AB474" s="162">
        <v>265.68</v>
      </c>
      <c r="AC474" s="162">
        <v>3188.16</v>
      </c>
      <c r="AD474" s="160"/>
      <c r="AE474" s="145">
        <v>0</v>
      </c>
      <c r="AF474" s="163">
        <v>1.0529999999999999</v>
      </c>
      <c r="AG474" s="163">
        <v>1.0489999999999999</v>
      </c>
      <c r="AH474" s="163">
        <v>1.0469999999999999</v>
      </c>
      <c r="AI474" s="164">
        <v>0</v>
      </c>
      <c r="AJ474" s="164">
        <f t="shared" si="60"/>
        <v>0</v>
      </c>
      <c r="AK474" s="229">
        <v>0</v>
      </c>
      <c r="AL474" s="229">
        <f ca="1">SUMIF('MS &amp; Vacancies combined'!A:S,D474,'MS &amp; Vacancies combined'!S:S)*105.3/100</f>
        <v>0</v>
      </c>
      <c r="AM474" s="229">
        <f t="shared" ca="1" si="55"/>
        <v>0</v>
      </c>
      <c r="AN474" s="229">
        <f t="shared" ca="1" si="56"/>
        <v>0</v>
      </c>
      <c r="AO474" s="166"/>
      <c r="AP474" s="413">
        <f t="shared" ca="1" si="61"/>
        <v>0</v>
      </c>
      <c r="AR474" s="231"/>
      <c r="AS474" s="231"/>
      <c r="AU474" s="414">
        <v>0</v>
      </c>
      <c r="AV474" s="415">
        <v>0</v>
      </c>
      <c r="AW474" s="414">
        <f t="shared" si="59"/>
        <v>0</v>
      </c>
    </row>
    <row r="475" spans="1:49" hidden="1" x14ac:dyDescent="0.3">
      <c r="A475" s="16" t="s">
        <v>324</v>
      </c>
      <c r="B475" s="39" t="s">
        <v>1110</v>
      </c>
      <c r="C475" s="39" t="s">
        <v>76</v>
      </c>
      <c r="D475" s="340" t="s">
        <v>3470</v>
      </c>
      <c r="E475" s="159" t="s">
        <v>1085</v>
      </c>
      <c r="F475" s="159" t="s">
        <v>370</v>
      </c>
      <c r="G475" s="159" t="s">
        <v>309</v>
      </c>
      <c r="H475" s="159" t="s">
        <v>325</v>
      </c>
      <c r="I475" s="159" t="s">
        <v>326</v>
      </c>
      <c r="J475" s="159" t="s">
        <v>327</v>
      </c>
      <c r="K475" s="159" t="s">
        <v>1849</v>
      </c>
      <c r="L475" s="39" t="s">
        <v>304</v>
      </c>
      <c r="M475" s="39" t="s">
        <v>305</v>
      </c>
      <c r="N475" s="39">
        <v>11</v>
      </c>
      <c r="O475" s="39" t="s">
        <v>76</v>
      </c>
      <c r="P475" s="39" t="s">
        <v>76</v>
      </c>
      <c r="Q475" s="39" t="s">
        <v>1110</v>
      </c>
      <c r="R475" s="16" t="s">
        <v>324</v>
      </c>
      <c r="S475" s="160">
        <v>6000</v>
      </c>
      <c r="T475" s="160">
        <v>3800.84</v>
      </c>
      <c r="U475" s="160">
        <v>0</v>
      </c>
      <c r="V475" s="160">
        <v>3800.84</v>
      </c>
      <c r="W475" s="160">
        <v>2199.16</v>
      </c>
      <c r="X475" s="161">
        <v>3715.84</v>
      </c>
      <c r="Y475" s="160"/>
      <c r="Z475" s="16">
        <v>63.34</v>
      </c>
      <c r="AA475" s="162">
        <v>3800.84</v>
      </c>
      <c r="AB475" s="162">
        <v>950.21</v>
      </c>
      <c r="AC475" s="162">
        <v>11402.52</v>
      </c>
      <c r="AD475" s="160"/>
      <c r="AE475" s="145">
        <v>6000</v>
      </c>
      <c r="AF475" s="163">
        <v>1.0469999999999999</v>
      </c>
      <c r="AG475" s="164">
        <v>1.046</v>
      </c>
      <c r="AH475" s="164">
        <v>1.046</v>
      </c>
      <c r="AI475" s="164">
        <v>6000</v>
      </c>
      <c r="AJ475" s="164">
        <f t="shared" si="60"/>
        <v>0</v>
      </c>
      <c r="AK475" s="165">
        <v>6000</v>
      </c>
      <c r="AL475" s="165">
        <f t="shared" ref="AL475" si="62">AK475</f>
        <v>6000</v>
      </c>
      <c r="AM475" s="165">
        <f t="shared" si="55"/>
        <v>6276</v>
      </c>
      <c r="AN475" s="165">
        <f t="shared" si="56"/>
        <v>6564.6959999999999</v>
      </c>
      <c r="AO475" s="16"/>
      <c r="AP475" s="231">
        <f t="shared" si="61"/>
        <v>0</v>
      </c>
      <c r="AR475" s="231"/>
      <c r="AS475" s="231"/>
      <c r="AU475" s="230">
        <v>6000</v>
      </c>
      <c r="AV475" s="233">
        <v>6000</v>
      </c>
      <c r="AW475" s="230">
        <f t="shared" si="59"/>
        <v>0</v>
      </c>
    </row>
    <row r="476" spans="1:49" hidden="1" x14ac:dyDescent="0.3">
      <c r="A476" s="16" t="s">
        <v>337</v>
      </c>
      <c r="B476" s="39" t="s">
        <v>1111</v>
      </c>
      <c r="C476" s="39" t="s">
        <v>82</v>
      </c>
      <c r="D476" s="340" t="s">
        <v>3470</v>
      </c>
      <c r="E476" s="159" t="s">
        <v>1085</v>
      </c>
      <c r="F476" s="159" t="s">
        <v>370</v>
      </c>
      <c r="G476" s="159" t="s">
        <v>309</v>
      </c>
      <c r="H476" s="159" t="s">
        <v>334</v>
      </c>
      <c r="I476" s="159" t="s">
        <v>339</v>
      </c>
      <c r="J476" s="159" t="s">
        <v>312</v>
      </c>
      <c r="K476" s="159" t="s">
        <v>1849</v>
      </c>
      <c r="L476" s="39" t="s">
        <v>304</v>
      </c>
      <c r="M476" s="39" t="s">
        <v>305</v>
      </c>
      <c r="N476" s="39">
        <v>11</v>
      </c>
      <c r="O476" s="39" t="s">
        <v>82</v>
      </c>
      <c r="P476" s="39" t="s">
        <v>338</v>
      </c>
      <c r="Q476" s="39" t="s">
        <v>1111</v>
      </c>
      <c r="R476" s="16" t="s">
        <v>337</v>
      </c>
      <c r="S476" s="160">
        <v>0</v>
      </c>
      <c r="T476" s="160">
        <v>0</v>
      </c>
      <c r="U476" s="160">
        <v>0</v>
      </c>
      <c r="V476" s="160">
        <v>0</v>
      </c>
      <c r="W476" s="160">
        <v>0</v>
      </c>
      <c r="X476" s="161">
        <v>0</v>
      </c>
      <c r="Y476" s="160"/>
      <c r="Z476" s="16">
        <v>0</v>
      </c>
      <c r="AA476" s="162">
        <v>0</v>
      </c>
      <c r="AB476" s="162">
        <v>0</v>
      </c>
      <c r="AC476" s="162">
        <v>0</v>
      </c>
      <c r="AD476" s="160"/>
      <c r="AE476" s="145">
        <v>0</v>
      </c>
      <c r="AF476" s="163">
        <v>1.0469999999999999</v>
      </c>
      <c r="AG476" s="164">
        <v>1.046</v>
      </c>
      <c r="AH476" s="164">
        <v>1.046</v>
      </c>
      <c r="AI476" s="164">
        <v>0</v>
      </c>
      <c r="AJ476" s="164">
        <f t="shared" si="60"/>
        <v>0</v>
      </c>
      <c r="AK476" s="165">
        <v>0</v>
      </c>
      <c r="AL476" s="165">
        <v>0</v>
      </c>
      <c r="AM476" s="165">
        <f t="shared" si="55"/>
        <v>0</v>
      </c>
      <c r="AN476" s="165">
        <f t="shared" si="56"/>
        <v>0</v>
      </c>
      <c r="AO476" s="16"/>
      <c r="AP476" s="231">
        <f t="shared" si="61"/>
        <v>0</v>
      </c>
      <c r="AR476" s="231"/>
      <c r="AS476" s="231"/>
      <c r="AU476" s="230">
        <v>0</v>
      </c>
      <c r="AV476" s="233">
        <v>0</v>
      </c>
      <c r="AW476" s="230">
        <f t="shared" si="59"/>
        <v>0</v>
      </c>
    </row>
    <row r="477" spans="1:49" hidden="1" x14ac:dyDescent="0.3">
      <c r="A477" s="16" t="s">
        <v>341</v>
      </c>
      <c r="B477" s="39" t="s">
        <v>1112</v>
      </c>
      <c r="C477" s="39" t="s">
        <v>82</v>
      </c>
      <c r="D477" s="340" t="s">
        <v>3470</v>
      </c>
      <c r="E477" s="159" t="s">
        <v>1085</v>
      </c>
      <c r="F477" s="159" t="s">
        <v>370</v>
      </c>
      <c r="G477" s="159" t="s">
        <v>309</v>
      </c>
      <c r="H477" s="159" t="s">
        <v>334</v>
      </c>
      <c r="I477" s="159" t="s">
        <v>343</v>
      </c>
      <c r="J477" s="159" t="s">
        <v>312</v>
      </c>
      <c r="K477" s="159" t="s">
        <v>1849</v>
      </c>
      <c r="L477" s="39" t="s">
        <v>304</v>
      </c>
      <c r="M477" s="39" t="s">
        <v>305</v>
      </c>
      <c r="N477" s="39">
        <v>11</v>
      </c>
      <c r="O477" s="39" t="s">
        <v>82</v>
      </c>
      <c r="P477" s="39" t="s">
        <v>342</v>
      </c>
      <c r="Q477" s="39" t="s">
        <v>1112</v>
      </c>
      <c r="R477" s="16" t="s">
        <v>341</v>
      </c>
      <c r="S477" s="160">
        <v>0</v>
      </c>
      <c r="T477" s="160">
        <v>0</v>
      </c>
      <c r="U477" s="160">
        <v>0</v>
      </c>
      <c r="V477" s="160">
        <v>0</v>
      </c>
      <c r="W477" s="160">
        <v>0</v>
      </c>
      <c r="X477" s="161">
        <v>0</v>
      </c>
      <c r="Y477" s="160"/>
      <c r="Z477" s="16">
        <v>0</v>
      </c>
      <c r="AA477" s="162">
        <v>0</v>
      </c>
      <c r="AB477" s="162">
        <v>0</v>
      </c>
      <c r="AC477" s="162">
        <v>0</v>
      </c>
      <c r="AD477" s="160"/>
      <c r="AE477" s="145">
        <v>0</v>
      </c>
      <c r="AF477" s="163">
        <v>1.0469999999999999</v>
      </c>
      <c r="AG477" s="164">
        <v>1.046</v>
      </c>
      <c r="AH477" s="164">
        <v>1.046</v>
      </c>
      <c r="AI477" s="164">
        <v>0</v>
      </c>
      <c r="AJ477" s="164">
        <f t="shared" si="60"/>
        <v>0</v>
      </c>
      <c r="AK477" s="165">
        <v>0</v>
      </c>
      <c r="AL477" s="165">
        <v>0</v>
      </c>
      <c r="AM477" s="165">
        <f t="shared" si="55"/>
        <v>0</v>
      </c>
      <c r="AN477" s="165">
        <f t="shared" si="56"/>
        <v>0</v>
      </c>
      <c r="AO477" s="16"/>
      <c r="AP477" s="231">
        <f t="shared" si="61"/>
        <v>0</v>
      </c>
      <c r="AR477" s="231"/>
      <c r="AS477" s="231"/>
      <c r="AU477" s="230">
        <v>0</v>
      </c>
      <c r="AV477" s="233">
        <v>0</v>
      </c>
      <c r="AW477" s="230">
        <f t="shared" si="59"/>
        <v>0</v>
      </c>
    </row>
    <row r="478" spans="1:49" hidden="1" x14ac:dyDescent="0.3">
      <c r="A478" s="16" t="s">
        <v>345</v>
      </c>
      <c r="B478" s="39" t="s">
        <v>1113</v>
      </c>
      <c r="C478" s="39" t="s">
        <v>82</v>
      </c>
      <c r="D478" s="340" t="s">
        <v>3470</v>
      </c>
      <c r="E478" s="159" t="s">
        <v>1085</v>
      </c>
      <c r="F478" s="159" t="s">
        <v>370</v>
      </c>
      <c r="G478" s="159" t="s">
        <v>309</v>
      </c>
      <c r="H478" s="159" t="s">
        <v>334</v>
      </c>
      <c r="I478" s="159" t="s">
        <v>347</v>
      </c>
      <c r="J478" s="159" t="s">
        <v>312</v>
      </c>
      <c r="K478" s="159" t="s">
        <v>1849</v>
      </c>
      <c r="L478" s="39" t="s">
        <v>304</v>
      </c>
      <c r="M478" s="39" t="s">
        <v>305</v>
      </c>
      <c r="N478" s="39">
        <v>11</v>
      </c>
      <c r="O478" s="39" t="s">
        <v>82</v>
      </c>
      <c r="P478" s="39" t="s">
        <v>346</v>
      </c>
      <c r="Q478" s="39" t="s">
        <v>1113</v>
      </c>
      <c r="R478" s="16" t="s">
        <v>345</v>
      </c>
      <c r="S478" s="160">
        <v>0</v>
      </c>
      <c r="T478" s="160">
        <v>0</v>
      </c>
      <c r="U478" s="160">
        <v>0</v>
      </c>
      <c r="V478" s="160">
        <v>0</v>
      </c>
      <c r="W478" s="160">
        <v>0</v>
      </c>
      <c r="X478" s="161">
        <v>0</v>
      </c>
      <c r="Y478" s="160"/>
      <c r="Z478" s="16">
        <v>0</v>
      </c>
      <c r="AA478" s="162">
        <v>0</v>
      </c>
      <c r="AB478" s="162">
        <v>0</v>
      </c>
      <c r="AC478" s="162">
        <v>0</v>
      </c>
      <c r="AD478" s="160"/>
      <c r="AE478" s="145">
        <v>0</v>
      </c>
      <c r="AF478" s="163">
        <v>1.0469999999999999</v>
      </c>
      <c r="AG478" s="164">
        <v>1.046</v>
      </c>
      <c r="AH478" s="164">
        <v>1.046</v>
      </c>
      <c r="AI478" s="164">
        <v>0</v>
      </c>
      <c r="AJ478" s="164">
        <f t="shared" si="60"/>
        <v>0</v>
      </c>
      <c r="AK478" s="165">
        <v>0</v>
      </c>
      <c r="AL478" s="165">
        <v>0</v>
      </c>
      <c r="AM478" s="165">
        <f t="shared" ref="AM478:AM541" si="63">AL478*AG478</f>
        <v>0</v>
      </c>
      <c r="AN478" s="165">
        <f t="shared" ref="AN478:AN541" si="64">AM478*AH478</f>
        <v>0</v>
      </c>
      <c r="AO478" s="16"/>
      <c r="AP478" s="231">
        <f t="shared" si="61"/>
        <v>0</v>
      </c>
      <c r="AR478" s="231"/>
      <c r="AS478" s="231"/>
      <c r="AU478" s="230">
        <v>0</v>
      </c>
      <c r="AV478" s="233">
        <v>0</v>
      </c>
      <c r="AW478" s="230">
        <f t="shared" si="59"/>
        <v>0</v>
      </c>
    </row>
    <row r="479" spans="1:49" hidden="1" x14ac:dyDescent="0.3">
      <c r="A479" s="16" t="s">
        <v>349</v>
      </c>
      <c r="B479" s="39" t="s">
        <v>1114</v>
      </c>
      <c r="C479" s="39" t="s">
        <v>82</v>
      </c>
      <c r="D479" s="340" t="s">
        <v>3470</v>
      </c>
      <c r="E479" s="159" t="s">
        <v>1085</v>
      </c>
      <c r="F479" s="159" t="s">
        <v>370</v>
      </c>
      <c r="G479" s="159" t="s">
        <v>309</v>
      </c>
      <c r="H479" s="159" t="s">
        <v>334</v>
      </c>
      <c r="I479" s="159" t="s">
        <v>351</v>
      </c>
      <c r="J479" s="159" t="s">
        <v>312</v>
      </c>
      <c r="K479" s="159" t="s">
        <v>1849</v>
      </c>
      <c r="L479" s="39" t="s">
        <v>304</v>
      </c>
      <c r="M479" s="39" t="s">
        <v>305</v>
      </c>
      <c r="N479" s="39">
        <v>11</v>
      </c>
      <c r="O479" s="39" t="s">
        <v>82</v>
      </c>
      <c r="P479" s="39" t="s">
        <v>350</v>
      </c>
      <c r="Q479" s="39" t="s">
        <v>1114</v>
      </c>
      <c r="R479" s="16" t="s">
        <v>349</v>
      </c>
      <c r="S479" s="160">
        <v>0</v>
      </c>
      <c r="T479" s="160">
        <v>0</v>
      </c>
      <c r="U479" s="160">
        <v>0</v>
      </c>
      <c r="V479" s="160">
        <v>0</v>
      </c>
      <c r="W479" s="160">
        <v>0</v>
      </c>
      <c r="X479" s="161">
        <v>0</v>
      </c>
      <c r="Y479" s="160"/>
      <c r="Z479" s="16">
        <v>0</v>
      </c>
      <c r="AA479" s="162">
        <v>0</v>
      </c>
      <c r="AB479" s="162">
        <v>0</v>
      </c>
      <c r="AC479" s="162">
        <v>0</v>
      </c>
      <c r="AD479" s="160"/>
      <c r="AE479" s="145">
        <v>0</v>
      </c>
      <c r="AF479" s="163">
        <v>1.0469999999999999</v>
      </c>
      <c r="AG479" s="164">
        <v>1.046</v>
      </c>
      <c r="AH479" s="164">
        <v>1.046</v>
      </c>
      <c r="AI479" s="164">
        <v>0</v>
      </c>
      <c r="AJ479" s="164">
        <f t="shared" si="60"/>
        <v>0</v>
      </c>
      <c r="AK479" s="165">
        <v>0</v>
      </c>
      <c r="AL479" s="165">
        <v>0</v>
      </c>
      <c r="AM479" s="165">
        <f t="shared" si="63"/>
        <v>0</v>
      </c>
      <c r="AN479" s="165">
        <f t="shared" si="64"/>
        <v>0</v>
      </c>
      <c r="AO479" s="16"/>
      <c r="AP479" s="231">
        <f t="shared" si="61"/>
        <v>0</v>
      </c>
      <c r="AR479" s="231"/>
      <c r="AS479" s="231"/>
      <c r="AU479" s="230">
        <v>0</v>
      </c>
      <c r="AV479" s="233">
        <v>0</v>
      </c>
      <c r="AW479" s="230">
        <f t="shared" si="59"/>
        <v>0</v>
      </c>
    </row>
    <row r="480" spans="1:49" hidden="1" x14ac:dyDescent="0.3">
      <c r="A480" s="16" t="s">
        <v>353</v>
      </c>
      <c r="B480" s="39" t="s">
        <v>1115</v>
      </c>
      <c r="C480" s="39" t="s">
        <v>82</v>
      </c>
      <c r="D480" s="340" t="s">
        <v>3470</v>
      </c>
      <c r="E480" s="159" t="s">
        <v>1085</v>
      </c>
      <c r="F480" s="159" t="s">
        <v>370</v>
      </c>
      <c r="G480" s="159" t="s">
        <v>309</v>
      </c>
      <c r="H480" s="159" t="s">
        <v>334</v>
      </c>
      <c r="I480" s="159" t="s">
        <v>355</v>
      </c>
      <c r="J480" s="159" t="s">
        <v>312</v>
      </c>
      <c r="K480" s="159" t="s">
        <v>1849</v>
      </c>
      <c r="L480" s="39" t="s">
        <v>304</v>
      </c>
      <c r="M480" s="39" t="s">
        <v>305</v>
      </c>
      <c r="N480" s="39">
        <v>11</v>
      </c>
      <c r="O480" s="39" t="s">
        <v>82</v>
      </c>
      <c r="P480" s="39" t="s">
        <v>354</v>
      </c>
      <c r="Q480" s="39" t="s">
        <v>1115</v>
      </c>
      <c r="R480" s="16" t="s">
        <v>353</v>
      </c>
      <c r="S480" s="160">
        <v>0</v>
      </c>
      <c r="T480" s="160">
        <v>0</v>
      </c>
      <c r="U480" s="160">
        <v>0</v>
      </c>
      <c r="V480" s="160">
        <v>0</v>
      </c>
      <c r="W480" s="160">
        <v>0</v>
      </c>
      <c r="X480" s="161">
        <v>0</v>
      </c>
      <c r="Y480" s="160"/>
      <c r="Z480" s="16">
        <v>0</v>
      </c>
      <c r="AA480" s="162">
        <v>0</v>
      </c>
      <c r="AB480" s="162">
        <v>0</v>
      </c>
      <c r="AC480" s="162">
        <v>0</v>
      </c>
      <c r="AD480" s="160"/>
      <c r="AE480" s="145">
        <v>0</v>
      </c>
      <c r="AF480" s="163">
        <v>1.0469999999999999</v>
      </c>
      <c r="AG480" s="164">
        <v>1.046</v>
      </c>
      <c r="AH480" s="164">
        <v>1.046</v>
      </c>
      <c r="AI480" s="164">
        <v>0</v>
      </c>
      <c r="AJ480" s="164">
        <f t="shared" si="60"/>
        <v>0</v>
      </c>
      <c r="AK480" s="165">
        <v>0</v>
      </c>
      <c r="AL480" s="165">
        <v>0</v>
      </c>
      <c r="AM480" s="165">
        <f t="shared" si="63"/>
        <v>0</v>
      </c>
      <c r="AN480" s="165">
        <f t="shared" si="64"/>
        <v>0</v>
      </c>
      <c r="AO480" s="16"/>
      <c r="AP480" s="231">
        <f t="shared" si="61"/>
        <v>0</v>
      </c>
      <c r="AR480" s="231"/>
      <c r="AS480" s="231"/>
      <c r="AU480" s="230">
        <v>0</v>
      </c>
      <c r="AV480" s="233">
        <v>0</v>
      </c>
      <c r="AW480" s="230">
        <f t="shared" si="59"/>
        <v>0</v>
      </c>
    </row>
    <row r="481" spans="1:49" hidden="1" x14ac:dyDescent="0.3">
      <c r="A481" s="16" t="s">
        <v>357</v>
      </c>
      <c r="B481" s="39" t="s">
        <v>1116</v>
      </c>
      <c r="C481" s="39" t="s">
        <v>82</v>
      </c>
      <c r="D481" s="340" t="s">
        <v>3470</v>
      </c>
      <c r="E481" s="159" t="s">
        <v>1085</v>
      </c>
      <c r="F481" s="159" t="s">
        <v>370</v>
      </c>
      <c r="G481" s="159" t="s">
        <v>309</v>
      </c>
      <c r="H481" s="159" t="s">
        <v>334</v>
      </c>
      <c r="I481" s="159" t="s">
        <v>359</v>
      </c>
      <c r="J481" s="159" t="s">
        <v>312</v>
      </c>
      <c r="K481" s="159" t="s">
        <v>1849</v>
      </c>
      <c r="L481" s="39" t="s">
        <v>304</v>
      </c>
      <c r="M481" s="39" t="s">
        <v>305</v>
      </c>
      <c r="N481" s="39">
        <v>11</v>
      </c>
      <c r="O481" s="39" t="s">
        <v>82</v>
      </c>
      <c r="P481" s="39" t="s">
        <v>358</v>
      </c>
      <c r="Q481" s="39" t="s">
        <v>1116</v>
      </c>
      <c r="R481" s="16" t="s">
        <v>357</v>
      </c>
      <c r="S481" s="160">
        <v>0</v>
      </c>
      <c r="T481" s="160">
        <v>0</v>
      </c>
      <c r="U481" s="160">
        <v>0</v>
      </c>
      <c r="V481" s="160">
        <v>0</v>
      </c>
      <c r="W481" s="160">
        <v>0</v>
      </c>
      <c r="X481" s="161">
        <v>0</v>
      </c>
      <c r="Y481" s="160"/>
      <c r="Z481" s="16">
        <v>0</v>
      </c>
      <c r="AA481" s="162">
        <v>0</v>
      </c>
      <c r="AB481" s="162">
        <v>0</v>
      </c>
      <c r="AC481" s="162">
        <v>0</v>
      </c>
      <c r="AD481" s="160"/>
      <c r="AE481" s="145">
        <v>0</v>
      </c>
      <c r="AF481" s="163">
        <v>1.0469999999999999</v>
      </c>
      <c r="AG481" s="164">
        <v>1.046</v>
      </c>
      <c r="AH481" s="164">
        <v>1.046</v>
      </c>
      <c r="AI481" s="164">
        <v>0</v>
      </c>
      <c r="AJ481" s="164">
        <f t="shared" si="60"/>
        <v>0</v>
      </c>
      <c r="AK481" s="165">
        <v>0</v>
      </c>
      <c r="AL481" s="165">
        <v>0</v>
      </c>
      <c r="AM481" s="165">
        <f t="shared" si="63"/>
        <v>0</v>
      </c>
      <c r="AN481" s="165">
        <f t="shared" si="64"/>
        <v>0</v>
      </c>
      <c r="AO481" s="16"/>
      <c r="AP481" s="231">
        <f t="shared" si="61"/>
        <v>0</v>
      </c>
      <c r="AR481" s="231"/>
      <c r="AS481" s="231"/>
      <c r="AU481" s="230">
        <v>0</v>
      </c>
      <c r="AV481" s="233">
        <v>0</v>
      </c>
      <c r="AW481" s="230">
        <f t="shared" si="59"/>
        <v>0</v>
      </c>
    </row>
    <row r="482" spans="1:49" hidden="1" x14ac:dyDescent="0.3">
      <c r="A482" s="16" t="s">
        <v>83</v>
      </c>
      <c r="B482" s="39" t="s">
        <v>1117</v>
      </c>
      <c r="C482" s="39" t="s">
        <v>423</v>
      </c>
      <c r="D482" s="340" t="s">
        <v>3470</v>
      </c>
      <c r="E482" s="159" t="s">
        <v>1085</v>
      </c>
      <c r="F482" s="159" t="s">
        <v>370</v>
      </c>
      <c r="G482" s="159" t="s">
        <v>309</v>
      </c>
      <c r="H482" s="159" t="s">
        <v>424</v>
      </c>
      <c r="I482" s="159" t="s">
        <v>425</v>
      </c>
      <c r="J482" s="159" t="s">
        <v>426</v>
      </c>
      <c r="K482" s="159" t="s">
        <v>1849</v>
      </c>
      <c r="L482" s="39" t="s">
        <v>304</v>
      </c>
      <c r="M482" s="39" t="s">
        <v>305</v>
      </c>
      <c r="N482" s="39">
        <v>11</v>
      </c>
      <c r="O482" s="39" t="s">
        <v>423</v>
      </c>
      <c r="P482" s="39" t="s">
        <v>423</v>
      </c>
      <c r="Q482" s="39" t="s">
        <v>1117</v>
      </c>
      <c r="R482" s="16" t="s">
        <v>83</v>
      </c>
      <c r="S482" s="160">
        <v>0</v>
      </c>
      <c r="T482" s="160">
        <v>0</v>
      </c>
      <c r="U482" s="160">
        <v>0</v>
      </c>
      <c r="V482" s="160">
        <v>0</v>
      </c>
      <c r="W482" s="160">
        <v>0</v>
      </c>
      <c r="X482" s="161">
        <v>0</v>
      </c>
      <c r="Y482" s="160"/>
      <c r="Z482" s="16">
        <v>0</v>
      </c>
      <c r="AA482" s="162">
        <v>0</v>
      </c>
      <c r="AB482" s="162">
        <v>0</v>
      </c>
      <c r="AC482" s="162">
        <v>0</v>
      </c>
      <c r="AD482" s="160"/>
      <c r="AE482" s="145">
        <v>0</v>
      </c>
      <c r="AF482" s="163">
        <v>1.0469999999999999</v>
      </c>
      <c r="AG482" s="164">
        <v>1.046</v>
      </c>
      <c r="AH482" s="164">
        <v>1.046</v>
      </c>
      <c r="AI482" s="164">
        <v>0</v>
      </c>
      <c r="AJ482" s="164">
        <f t="shared" si="60"/>
        <v>0</v>
      </c>
      <c r="AK482" s="165">
        <v>0</v>
      </c>
      <c r="AL482" s="165">
        <v>0</v>
      </c>
      <c r="AM482" s="165">
        <f t="shared" si="63"/>
        <v>0</v>
      </c>
      <c r="AN482" s="165">
        <f t="shared" si="64"/>
        <v>0</v>
      </c>
      <c r="AO482" s="16"/>
      <c r="AP482" s="231">
        <f t="shared" si="61"/>
        <v>0</v>
      </c>
      <c r="AR482" s="231"/>
      <c r="AS482" s="231"/>
      <c r="AU482" s="230">
        <v>0</v>
      </c>
      <c r="AV482" s="233">
        <v>0</v>
      </c>
      <c r="AW482" s="230">
        <f t="shared" si="59"/>
        <v>0</v>
      </c>
    </row>
    <row r="483" spans="1:49" hidden="1" x14ac:dyDescent="0.3">
      <c r="A483" s="16" t="s">
        <v>1119</v>
      </c>
      <c r="B483" s="39" t="s">
        <v>1118</v>
      </c>
      <c r="C483" s="39" t="s">
        <v>101</v>
      </c>
      <c r="D483" s="340" t="s">
        <v>3471</v>
      </c>
      <c r="E483" s="159" t="s">
        <v>1085</v>
      </c>
      <c r="F483" s="159" t="s">
        <v>848</v>
      </c>
      <c r="G483" s="159" t="s">
        <v>387</v>
      </c>
      <c r="H483" s="159" t="s">
        <v>542</v>
      </c>
      <c r="I483" s="159" t="s">
        <v>1022</v>
      </c>
      <c r="J483" s="159" t="s">
        <v>312</v>
      </c>
      <c r="K483" s="159" t="s">
        <v>589</v>
      </c>
      <c r="L483" s="39" t="s">
        <v>556</v>
      </c>
      <c r="M483" s="39" t="s">
        <v>305</v>
      </c>
      <c r="N483" s="39">
        <v>11</v>
      </c>
      <c r="O483" s="167" t="s">
        <v>101</v>
      </c>
      <c r="P483" s="39" t="s">
        <v>101</v>
      </c>
      <c r="Q483" s="39" t="s">
        <v>1118</v>
      </c>
      <c r="R483" s="16" t="s">
        <v>1119</v>
      </c>
      <c r="S483" s="160">
        <v>-4917759</v>
      </c>
      <c r="T483" s="160">
        <v>-527367.59</v>
      </c>
      <c r="U483" s="160">
        <v>0</v>
      </c>
      <c r="V483" s="160">
        <v>-1397850.79</v>
      </c>
      <c r="W483" s="160">
        <v>-3519908.21</v>
      </c>
      <c r="X483" s="161" t="e">
        <v>#N/A</v>
      </c>
      <c r="Y483" s="160"/>
      <c r="Z483" s="16">
        <v>28.42</v>
      </c>
      <c r="AA483" s="162">
        <v>-1397850.79</v>
      </c>
      <c r="AB483" s="162">
        <v>-349462.69750000001</v>
      </c>
      <c r="AC483" s="162">
        <v>-4193552.37</v>
      </c>
      <c r="AD483" s="160"/>
      <c r="AE483" s="145">
        <v>-4917759</v>
      </c>
      <c r="AF483" s="163">
        <v>1.0469999999999999</v>
      </c>
      <c r="AG483" s="164">
        <v>1.046</v>
      </c>
      <c r="AH483" s="164">
        <v>1.046</v>
      </c>
      <c r="AI483" s="164">
        <v>-4917759</v>
      </c>
      <c r="AJ483" s="164">
        <f t="shared" si="60"/>
        <v>0</v>
      </c>
      <c r="AK483" s="165">
        <v>-3640339.35</v>
      </c>
      <c r="AL483" s="165">
        <f t="shared" ref="AL483:AL484" si="65">AK483</f>
        <v>-3640339.35</v>
      </c>
      <c r="AM483" s="165">
        <f t="shared" si="63"/>
        <v>-3807794.9601000003</v>
      </c>
      <c r="AN483" s="165">
        <f t="shared" si="64"/>
        <v>-3982953.5282646003</v>
      </c>
      <c r="AO483" s="16"/>
      <c r="AP483" s="231">
        <f t="shared" si="61"/>
        <v>0</v>
      </c>
      <c r="AR483" s="231"/>
      <c r="AS483" s="231"/>
      <c r="AU483" s="230">
        <v>-4917759</v>
      </c>
      <c r="AV483" s="233">
        <v>-4917759</v>
      </c>
      <c r="AW483" s="230">
        <f t="shared" si="59"/>
        <v>0</v>
      </c>
    </row>
    <row r="484" spans="1:49" hidden="1" x14ac:dyDescent="0.3">
      <c r="A484" s="16" t="s">
        <v>153</v>
      </c>
      <c r="B484" s="39" t="s">
        <v>1120</v>
      </c>
      <c r="C484" s="39" t="s">
        <v>1121</v>
      </c>
      <c r="D484" s="340" t="s">
        <v>3471</v>
      </c>
      <c r="E484" s="159" t="s">
        <v>1085</v>
      </c>
      <c r="F484" s="159" t="s">
        <v>848</v>
      </c>
      <c r="G484" s="159" t="s">
        <v>387</v>
      </c>
      <c r="H484" s="159" t="s">
        <v>424</v>
      </c>
      <c r="I484" s="159" t="s">
        <v>1122</v>
      </c>
      <c r="J484" s="159" t="s">
        <v>312</v>
      </c>
      <c r="K484" s="159" t="s">
        <v>1849</v>
      </c>
      <c r="L484" s="39" t="s">
        <v>556</v>
      </c>
      <c r="M484" s="39" t="s">
        <v>305</v>
      </c>
      <c r="N484" s="39">
        <v>11</v>
      </c>
      <c r="O484" s="167" t="s">
        <v>1121</v>
      </c>
      <c r="P484" s="39" t="s">
        <v>1121</v>
      </c>
      <c r="Q484" s="39" t="s">
        <v>1120</v>
      </c>
      <c r="R484" s="16" t="s">
        <v>153</v>
      </c>
      <c r="S484" s="160">
        <v>-9917542</v>
      </c>
      <c r="T484" s="160">
        <v>-157455</v>
      </c>
      <c r="U484" s="160">
        <v>0</v>
      </c>
      <c r="V484" s="160">
        <v>-1173281.19</v>
      </c>
      <c r="W484" s="160">
        <v>-8744260.8100000005</v>
      </c>
      <c r="X484" s="161" t="e">
        <v>#N/A</v>
      </c>
      <c r="Y484" s="160"/>
      <c r="Z484" s="16">
        <v>11.83</v>
      </c>
      <c r="AA484" s="162">
        <v>-1173281.19</v>
      </c>
      <c r="AB484" s="162">
        <v>-293320.29749999999</v>
      </c>
      <c r="AC484" s="162">
        <v>-3519843.57</v>
      </c>
      <c r="AD484" s="160"/>
      <c r="AE484" s="145">
        <v>-9917542</v>
      </c>
      <c r="AF484" s="163">
        <v>1.0469999999999999</v>
      </c>
      <c r="AG484" s="164">
        <v>1.046</v>
      </c>
      <c r="AH484" s="164">
        <v>1.046</v>
      </c>
      <c r="AI484" s="164">
        <v>-9917542</v>
      </c>
      <c r="AJ484" s="164">
        <f t="shared" si="60"/>
        <v>0</v>
      </c>
      <c r="AK484" s="165">
        <v>-5848373.7400000002</v>
      </c>
      <c r="AL484" s="165">
        <f t="shared" si="65"/>
        <v>-5848373.7400000002</v>
      </c>
      <c r="AM484" s="165">
        <f t="shared" si="63"/>
        <v>-6117398.9320400003</v>
      </c>
      <c r="AN484" s="165">
        <f t="shared" si="64"/>
        <v>-6398799.2829138404</v>
      </c>
      <c r="AO484" s="16"/>
      <c r="AP484" s="231">
        <f t="shared" si="61"/>
        <v>0</v>
      </c>
      <c r="AR484" s="231"/>
      <c r="AS484" s="231"/>
      <c r="AU484" s="230">
        <v>-9917542</v>
      </c>
      <c r="AV484" s="233">
        <v>-9917542</v>
      </c>
      <c r="AW484" s="230">
        <f t="shared" si="59"/>
        <v>0</v>
      </c>
    </row>
    <row r="485" spans="1:49" s="172" customFormat="1" x14ac:dyDescent="0.3">
      <c r="A485" s="166" t="s">
        <v>50</v>
      </c>
      <c r="B485" s="167" t="s">
        <v>1123</v>
      </c>
      <c r="C485" s="167" t="s">
        <v>302</v>
      </c>
      <c r="D485" s="412" t="s">
        <v>3471</v>
      </c>
      <c r="E485" s="168" t="s">
        <v>1085</v>
      </c>
      <c r="F485" s="168" t="s">
        <v>848</v>
      </c>
      <c r="G485" s="168" t="s">
        <v>309</v>
      </c>
      <c r="H485" s="168" t="s">
        <v>373</v>
      </c>
      <c r="I485" s="168" t="s">
        <v>374</v>
      </c>
      <c r="J485" s="168" t="s">
        <v>312</v>
      </c>
      <c r="K485" s="168" t="s">
        <v>1849</v>
      </c>
      <c r="L485" s="167" t="s">
        <v>304</v>
      </c>
      <c r="M485" s="167" t="s">
        <v>305</v>
      </c>
      <c r="N485" s="167">
        <v>11</v>
      </c>
      <c r="O485" s="167" t="s">
        <v>302</v>
      </c>
      <c r="P485" s="167" t="s">
        <v>302</v>
      </c>
      <c r="Q485" s="167" t="s">
        <v>1123</v>
      </c>
      <c r="R485" s="166" t="s">
        <v>50</v>
      </c>
      <c r="S485" s="169">
        <v>23369930</v>
      </c>
      <c r="T485" s="160">
        <v>2238999.98</v>
      </c>
      <c r="U485" s="160">
        <v>0</v>
      </c>
      <c r="V485" s="160">
        <v>8454755.5299999993</v>
      </c>
      <c r="W485" s="160">
        <v>14915174.470000001</v>
      </c>
      <c r="X485" s="161">
        <v>0</v>
      </c>
      <c r="Y485" s="160"/>
      <c r="Z485" s="16">
        <v>36.17</v>
      </c>
      <c r="AA485" s="162">
        <v>8454755.5299999993</v>
      </c>
      <c r="AB485" s="162">
        <v>2113688.8824999998</v>
      </c>
      <c r="AC485" s="162">
        <v>25364266.589999996</v>
      </c>
      <c r="AD485" s="160"/>
      <c r="AE485" s="145">
        <v>23369930</v>
      </c>
      <c r="AF485" s="163">
        <v>1.0529999999999999</v>
      </c>
      <c r="AG485" s="163">
        <v>1.0489999999999999</v>
      </c>
      <c r="AH485" s="163">
        <v>1.0469999999999999</v>
      </c>
      <c r="AI485" s="164">
        <v>23369930</v>
      </c>
      <c r="AJ485" s="164">
        <f t="shared" si="60"/>
        <v>0</v>
      </c>
      <c r="AK485" s="229">
        <v>23369930</v>
      </c>
      <c r="AL485" s="229">
        <f ca="1">SUMIF('MS &amp; Vacancies combined'!A:J,D485,'MS &amp; Vacancies combined'!J:J)*105.3/100</f>
        <v>27157508.683508977</v>
      </c>
      <c r="AM485" s="229">
        <f t="shared" ca="1" si="63"/>
        <v>28488226.609000914</v>
      </c>
      <c r="AN485" s="229">
        <f t="shared" ca="1" si="64"/>
        <v>29827173.259623956</v>
      </c>
      <c r="AO485" s="166"/>
      <c r="AP485" s="413">
        <f t="shared" ca="1" si="61"/>
        <v>-3787578.6835089773</v>
      </c>
      <c r="AR485" s="231"/>
      <c r="AS485" s="231"/>
      <c r="AU485" s="414">
        <v>23369930</v>
      </c>
      <c r="AV485" s="415">
        <v>23369930</v>
      </c>
      <c r="AW485" s="414">
        <f t="shared" si="59"/>
        <v>0</v>
      </c>
    </row>
    <row r="486" spans="1:49" s="172" customFormat="1" x14ac:dyDescent="0.3">
      <c r="A486" s="166" t="s">
        <v>52</v>
      </c>
      <c r="B486" s="167" t="s">
        <v>1124</v>
      </c>
      <c r="C486" s="167" t="s">
        <v>376</v>
      </c>
      <c r="D486" s="412" t="s">
        <v>3471</v>
      </c>
      <c r="E486" s="168" t="s">
        <v>1085</v>
      </c>
      <c r="F486" s="168" t="s">
        <v>848</v>
      </c>
      <c r="G486" s="168" t="s">
        <v>309</v>
      </c>
      <c r="H486" s="168" t="s">
        <v>373</v>
      </c>
      <c r="I486" s="168" t="s">
        <v>377</v>
      </c>
      <c r="J486" s="168" t="s">
        <v>312</v>
      </c>
      <c r="K486" s="168" t="s">
        <v>1849</v>
      </c>
      <c r="L486" s="167" t="s">
        <v>304</v>
      </c>
      <c r="M486" s="167" t="s">
        <v>305</v>
      </c>
      <c r="N486" s="167">
        <v>11</v>
      </c>
      <c r="O486" s="167" t="s">
        <v>376</v>
      </c>
      <c r="P486" s="167" t="s">
        <v>376</v>
      </c>
      <c r="Q486" s="167" t="s">
        <v>1124</v>
      </c>
      <c r="R486" s="166" t="s">
        <v>52</v>
      </c>
      <c r="S486" s="169">
        <v>18864</v>
      </c>
      <c r="T486" s="160">
        <v>5678.57</v>
      </c>
      <c r="U486" s="160">
        <v>0</v>
      </c>
      <c r="V486" s="160">
        <v>13678.57</v>
      </c>
      <c r="W486" s="160">
        <v>5185.43</v>
      </c>
      <c r="X486" s="161">
        <v>0</v>
      </c>
      <c r="Y486" s="160"/>
      <c r="Z486" s="16">
        <v>72.510000000000005</v>
      </c>
      <c r="AA486" s="162">
        <v>13678.57</v>
      </c>
      <c r="AB486" s="162">
        <v>3419.6424999999999</v>
      </c>
      <c r="AC486" s="162">
        <v>41035.71</v>
      </c>
      <c r="AD486" s="160"/>
      <c r="AE486" s="145">
        <v>18864</v>
      </c>
      <c r="AF486" s="163">
        <v>1.0529999999999999</v>
      </c>
      <c r="AG486" s="163">
        <v>1.0489999999999999</v>
      </c>
      <c r="AH486" s="163">
        <v>1.0469999999999999</v>
      </c>
      <c r="AI486" s="164">
        <v>18864</v>
      </c>
      <c r="AJ486" s="164">
        <f t="shared" si="60"/>
        <v>0</v>
      </c>
      <c r="AK486" s="229">
        <v>18864</v>
      </c>
      <c r="AL486" s="229">
        <f ca="1">SUMIF('MS &amp; Vacancies combined'!A:M,D486,'MS &amp; Vacancies combined'!M:M)*105.3/100</f>
        <v>29127.378744296358</v>
      </c>
      <c r="AM486" s="229">
        <f t="shared" ca="1" si="63"/>
        <v>30554.620302766878</v>
      </c>
      <c r="AN486" s="229">
        <f t="shared" ca="1" si="64"/>
        <v>31990.687456996919</v>
      </c>
      <c r="AO486" s="166"/>
      <c r="AP486" s="413">
        <f t="shared" ca="1" si="61"/>
        <v>-10263.378744296358</v>
      </c>
      <c r="AR486" s="231"/>
      <c r="AS486" s="231"/>
      <c r="AU486" s="414">
        <v>18864</v>
      </c>
      <c r="AV486" s="415">
        <v>18864</v>
      </c>
      <c r="AW486" s="414">
        <f t="shared" si="59"/>
        <v>0</v>
      </c>
    </row>
    <row r="487" spans="1:49" s="172" customFormat="1" x14ac:dyDescent="0.3">
      <c r="A487" s="166" t="s">
        <v>54</v>
      </c>
      <c r="B487" s="167" t="s">
        <v>1125</v>
      </c>
      <c r="C487" s="167" t="s">
        <v>379</v>
      </c>
      <c r="D487" s="412" t="s">
        <v>3471</v>
      </c>
      <c r="E487" s="168" t="s">
        <v>1085</v>
      </c>
      <c r="F487" s="168" t="s">
        <v>848</v>
      </c>
      <c r="G487" s="168" t="s">
        <v>309</v>
      </c>
      <c r="H487" s="168" t="s">
        <v>373</v>
      </c>
      <c r="I487" s="168" t="s">
        <v>380</v>
      </c>
      <c r="J487" s="168" t="s">
        <v>312</v>
      </c>
      <c r="K487" s="168" t="s">
        <v>1849</v>
      </c>
      <c r="L487" s="167" t="s">
        <v>304</v>
      </c>
      <c r="M487" s="167" t="s">
        <v>305</v>
      </c>
      <c r="N487" s="167">
        <v>11</v>
      </c>
      <c r="O487" s="167" t="s">
        <v>379</v>
      </c>
      <c r="P487" s="167" t="s">
        <v>379</v>
      </c>
      <c r="Q487" s="167" t="s">
        <v>1125</v>
      </c>
      <c r="R487" s="166" t="s">
        <v>54</v>
      </c>
      <c r="S487" s="169">
        <v>909726</v>
      </c>
      <c r="T487" s="160">
        <v>12141.24</v>
      </c>
      <c r="U487" s="160">
        <v>0</v>
      </c>
      <c r="V487" s="160">
        <v>42494.34</v>
      </c>
      <c r="W487" s="160">
        <v>867231.66</v>
      </c>
      <c r="X487" s="161">
        <v>0</v>
      </c>
      <c r="Y487" s="160"/>
      <c r="Z487" s="16">
        <v>4.67</v>
      </c>
      <c r="AA487" s="162">
        <v>42494.34</v>
      </c>
      <c r="AB487" s="162">
        <v>10623.584999999999</v>
      </c>
      <c r="AC487" s="162">
        <v>127483.01999999999</v>
      </c>
      <c r="AD487" s="160"/>
      <c r="AE487" s="145">
        <v>909726</v>
      </c>
      <c r="AF487" s="163">
        <v>1.0529999999999999</v>
      </c>
      <c r="AG487" s="163">
        <v>1.0489999999999999</v>
      </c>
      <c r="AH487" s="163">
        <v>1.0469999999999999</v>
      </c>
      <c r="AI487" s="164">
        <v>909726</v>
      </c>
      <c r="AJ487" s="164">
        <f t="shared" si="60"/>
        <v>0</v>
      </c>
      <c r="AK487" s="229">
        <v>909726</v>
      </c>
      <c r="AL487" s="229">
        <f ca="1">SUMIF('MS &amp; Vacancies combined'!A:L,D487,'MS &amp; Vacancies combined'!L:L)*105.3/100</f>
        <v>1025563.2381256633</v>
      </c>
      <c r="AM487" s="229">
        <f t="shared" ca="1" si="63"/>
        <v>1075815.8367938206</v>
      </c>
      <c r="AN487" s="229">
        <f t="shared" ca="1" si="64"/>
        <v>1126379.18112313</v>
      </c>
      <c r="AO487" s="166"/>
      <c r="AP487" s="413">
        <f t="shared" ca="1" si="61"/>
        <v>-115837.23812566325</v>
      </c>
      <c r="AR487" s="231"/>
      <c r="AS487" s="231"/>
      <c r="AU487" s="414">
        <v>909726</v>
      </c>
      <c r="AV487" s="415">
        <v>909726</v>
      </c>
      <c r="AW487" s="414">
        <f t="shared" si="59"/>
        <v>0</v>
      </c>
    </row>
    <row r="488" spans="1:49" x14ac:dyDescent="0.3">
      <c r="A488" s="16" t="s">
        <v>55</v>
      </c>
      <c r="B488" s="39" t="s">
        <v>1126</v>
      </c>
      <c r="C488" s="39" t="s">
        <v>382</v>
      </c>
      <c r="D488" s="340" t="s">
        <v>3471</v>
      </c>
      <c r="E488" s="159" t="s">
        <v>1085</v>
      </c>
      <c r="F488" s="159" t="s">
        <v>848</v>
      </c>
      <c r="G488" s="159" t="s">
        <v>309</v>
      </c>
      <c r="H488" s="159" t="s">
        <v>373</v>
      </c>
      <c r="I488" s="159" t="s">
        <v>383</v>
      </c>
      <c r="J488" s="159" t="s">
        <v>312</v>
      </c>
      <c r="K488" s="159" t="s">
        <v>1849</v>
      </c>
      <c r="L488" s="39" t="s">
        <v>304</v>
      </c>
      <c r="M488" s="39" t="s">
        <v>305</v>
      </c>
      <c r="N488" s="39">
        <v>11</v>
      </c>
      <c r="O488" s="39" t="s">
        <v>382</v>
      </c>
      <c r="P488" s="39" t="s">
        <v>382</v>
      </c>
      <c r="Q488" s="39" t="s">
        <v>1126</v>
      </c>
      <c r="R488" s="16" t="s">
        <v>55</v>
      </c>
      <c r="S488" s="169">
        <v>0</v>
      </c>
      <c r="T488" s="160">
        <v>0</v>
      </c>
      <c r="U488" s="160">
        <v>0</v>
      </c>
      <c r="V488" s="160">
        <v>0</v>
      </c>
      <c r="W488" s="160">
        <v>0</v>
      </c>
      <c r="X488" s="161">
        <v>0</v>
      </c>
      <c r="Y488" s="160"/>
      <c r="Z488" s="16">
        <v>0</v>
      </c>
      <c r="AA488" s="162">
        <v>0</v>
      </c>
      <c r="AB488" s="162">
        <v>0</v>
      </c>
      <c r="AC488" s="162">
        <v>0</v>
      </c>
      <c r="AD488" s="160"/>
      <c r="AE488" s="145">
        <v>0</v>
      </c>
      <c r="AF488" s="163">
        <v>1.0469999999999999</v>
      </c>
      <c r="AG488" s="164">
        <v>1.046</v>
      </c>
      <c r="AH488" s="164">
        <v>1.046</v>
      </c>
      <c r="AI488" s="164">
        <v>0</v>
      </c>
      <c r="AJ488" s="164">
        <f t="shared" si="60"/>
        <v>0</v>
      </c>
      <c r="AK488" s="165">
        <v>0</v>
      </c>
      <c r="AL488" s="165">
        <v>0</v>
      </c>
      <c r="AM488" s="165">
        <f t="shared" si="63"/>
        <v>0</v>
      </c>
      <c r="AN488" s="165">
        <f t="shared" si="64"/>
        <v>0</v>
      </c>
      <c r="AO488" s="16"/>
      <c r="AP488" s="231">
        <f t="shared" si="61"/>
        <v>0</v>
      </c>
      <c r="AR488" s="231"/>
      <c r="AS488" s="231"/>
      <c r="AU488" s="230">
        <v>0</v>
      </c>
      <c r="AV488" s="233">
        <v>0</v>
      </c>
      <c r="AW488" s="230">
        <f t="shared" si="59"/>
        <v>0</v>
      </c>
    </row>
    <row r="489" spans="1:49" s="172" customFormat="1" x14ac:dyDescent="0.3">
      <c r="A489" s="166" t="s">
        <v>56</v>
      </c>
      <c r="B489" s="167" t="s">
        <v>1127</v>
      </c>
      <c r="C489" s="167" t="s">
        <v>385</v>
      </c>
      <c r="D489" s="412" t="s">
        <v>3471</v>
      </c>
      <c r="E489" s="168" t="s">
        <v>1085</v>
      </c>
      <c r="F489" s="168" t="s">
        <v>848</v>
      </c>
      <c r="G489" s="168" t="s">
        <v>309</v>
      </c>
      <c r="H489" s="168" t="s">
        <v>373</v>
      </c>
      <c r="I489" s="168" t="s">
        <v>386</v>
      </c>
      <c r="J489" s="168" t="s">
        <v>387</v>
      </c>
      <c r="K489" s="168" t="s">
        <v>1849</v>
      </c>
      <c r="L489" s="167" t="s">
        <v>304</v>
      </c>
      <c r="M489" s="167" t="s">
        <v>305</v>
      </c>
      <c r="N489" s="167">
        <v>11</v>
      </c>
      <c r="O489" s="167" t="s">
        <v>385</v>
      </c>
      <c r="P489" s="167" t="s">
        <v>385</v>
      </c>
      <c r="Q489" s="167" t="s">
        <v>1127</v>
      </c>
      <c r="R489" s="166" t="s">
        <v>56</v>
      </c>
      <c r="S489" s="169">
        <v>93862</v>
      </c>
      <c r="T489" s="160">
        <v>129290.95</v>
      </c>
      <c r="U489" s="160">
        <v>0</v>
      </c>
      <c r="V489" s="160">
        <v>481673.64</v>
      </c>
      <c r="W489" s="160">
        <v>-387811.64</v>
      </c>
      <c r="X489" s="161">
        <v>0</v>
      </c>
      <c r="Y489" s="160"/>
      <c r="Z489" s="16">
        <v>513.16999999999996</v>
      </c>
      <c r="AA489" s="162">
        <v>481673.64</v>
      </c>
      <c r="AB489" s="162">
        <v>120418.41</v>
      </c>
      <c r="AC489" s="162">
        <v>1445020.92</v>
      </c>
      <c r="AD489" s="160"/>
      <c r="AE489" s="145">
        <v>93862</v>
      </c>
      <c r="AF489" s="163">
        <v>1.0529999999999999</v>
      </c>
      <c r="AG489" s="163">
        <v>1.0489999999999999</v>
      </c>
      <c r="AH489" s="163">
        <v>1.0469999999999999</v>
      </c>
      <c r="AI489" s="164">
        <v>93862</v>
      </c>
      <c r="AJ489" s="164">
        <f t="shared" si="60"/>
        <v>0</v>
      </c>
      <c r="AK489" s="229">
        <v>93862</v>
      </c>
      <c r="AL489" s="229">
        <f ca="1">SUMIF('MS &amp; Vacancies combined'!A:O,D489,'MS &amp; Vacancies combined'!O:O)*105.3/100</f>
        <v>880631.34347930725</v>
      </c>
      <c r="AM489" s="229">
        <f ca="1">AL489*AG489</f>
        <v>923782.27930979326</v>
      </c>
      <c r="AN489" s="229">
        <f ca="1">AM489*AH489</f>
        <v>967200.04643735348</v>
      </c>
      <c r="AO489" s="166"/>
      <c r="AP489" s="413">
        <f t="shared" ca="1" si="61"/>
        <v>-786769.34347930725</v>
      </c>
      <c r="AR489" s="231"/>
      <c r="AS489" s="231"/>
      <c r="AU489" s="414">
        <v>93862</v>
      </c>
      <c r="AV489" s="415">
        <v>93862</v>
      </c>
      <c r="AW489" s="414">
        <f t="shared" si="59"/>
        <v>0</v>
      </c>
    </row>
    <row r="490" spans="1:49" x14ac:dyDescent="0.3">
      <c r="A490" s="16" t="s">
        <v>57</v>
      </c>
      <c r="B490" s="39" t="s">
        <v>1128</v>
      </c>
      <c r="C490" s="39" t="s">
        <v>389</v>
      </c>
      <c r="D490" s="340" t="s">
        <v>3471</v>
      </c>
      <c r="E490" s="159" t="s">
        <v>1085</v>
      </c>
      <c r="F490" s="159" t="s">
        <v>848</v>
      </c>
      <c r="G490" s="159" t="s">
        <v>309</v>
      </c>
      <c r="H490" s="159" t="s">
        <v>373</v>
      </c>
      <c r="I490" s="159" t="s">
        <v>390</v>
      </c>
      <c r="J490" s="159" t="s">
        <v>312</v>
      </c>
      <c r="K490" s="159" t="s">
        <v>1849</v>
      </c>
      <c r="L490" s="39" t="s">
        <v>304</v>
      </c>
      <c r="M490" s="39" t="s">
        <v>305</v>
      </c>
      <c r="N490" s="39">
        <v>11</v>
      </c>
      <c r="O490" s="39" t="s">
        <v>389</v>
      </c>
      <c r="P490" s="39" t="s">
        <v>389</v>
      </c>
      <c r="Q490" s="39" t="s">
        <v>1128</v>
      </c>
      <c r="R490" s="16" t="s">
        <v>57</v>
      </c>
      <c r="S490" s="169">
        <v>2176278</v>
      </c>
      <c r="T490" s="160">
        <v>315125.69</v>
      </c>
      <c r="U490" s="160">
        <v>0</v>
      </c>
      <c r="V490" s="160">
        <v>1143781.3799999999</v>
      </c>
      <c r="W490" s="160">
        <v>1032496.62</v>
      </c>
      <c r="X490" s="161">
        <v>0</v>
      </c>
      <c r="Y490" s="160"/>
      <c r="Z490" s="16">
        <v>52.55</v>
      </c>
      <c r="AA490" s="162">
        <v>1143781.3799999999</v>
      </c>
      <c r="AB490" s="162">
        <v>285945.34499999997</v>
      </c>
      <c r="AC490" s="162">
        <v>3431344.1399999997</v>
      </c>
      <c r="AD490" s="160"/>
      <c r="AE490" s="145">
        <v>2176278</v>
      </c>
      <c r="AF490" s="421">
        <v>1.0529999999999999</v>
      </c>
      <c r="AG490" s="421">
        <v>1.0489999999999999</v>
      </c>
      <c r="AH490" s="421">
        <v>1.0469999999999999</v>
      </c>
      <c r="AI490" s="164">
        <v>2176278</v>
      </c>
      <c r="AJ490" s="164">
        <f t="shared" si="60"/>
        <v>0</v>
      </c>
      <c r="AK490" s="165">
        <v>2176278</v>
      </c>
      <c r="AL490" s="165">
        <f>AK490*80%</f>
        <v>1741022.4000000001</v>
      </c>
      <c r="AM490" s="165">
        <f t="shared" si="63"/>
        <v>1826332.4976000001</v>
      </c>
      <c r="AN490" s="165">
        <f t="shared" si="64"/>
        <v>1912170.1249871999</v>
      </c>
      <c r="AO490" s="16"/>
      <c r="AP490" s="231">
        <f t="shared" si="61"/>
        <v>435255.59999999986</v>
      </c>
      <c r="AR490" s="231"/>
      <c r="AS490" s="231"/>
      <c r="AU490" s="230">
        <v>2176278</v>
      </c>
      <c r="AV490" s="233">
        <v>2176278</v>
      </c>
      <c r="AW490" s="230">
        <f t="shared" si="59"/>
        <v>0</v>
      </c>
    </row>
    <row r="491" spans="1:49" x14ac:dyDescent="0.3">
      <c r="A491" s="16" t="s">
        <v>59</v>
      </c>
      <c r="B491" s="39" t="s">
        <v>1129</v>
      </c>
      <c r="C491" s="39" t="s">
        <v>855</v>
      </c>
      <c r="D491" s="340" t="s">
        <v>3471</v>
      </c>
      <c r="E491" s="159" t="s">
        <v>1085</v>
      </c>
      <c r="F491" s="159" t="s">
        <v>848</v>
      </c>
      <c r="G491" s="159" t="s">
        <v>309</v>
      </c>
      <c r="H491" s="159" t="s">
        <v>373</v>
      </c>
      <c r="I491" s="159" t="s">
        <v>311</v>
      </c>
      <c r="J491" s="159" t="s">
        <v>312</v>
      </c>
      <c r="K491" s="159" t="s">
        <v>1849</v>
      </c>
      <c r="L491" s="39" t="s">
        <v>304</v>
      </c>
      <c r="M491" s="39" t="s">
        <v>305</v>
      </c>
      <c r="N491" s="39">
        <v>11</v>
      </c>
      <c r="O491" s="39" t="s">
        <v>855</v>
      </c>
      <c r="P491" s="39" t="s">
        <v>855</v>
      </c>
      <c r="Q491" s="39" t="s">
        <v>1129</v>
      </c>
      <c r="R491" s="16" t="s">
        <v>59</v>
      </c>
      <c r="S491" s="169">
        <v>996959</v>
      </c>
      <c r="T491" s="160">
        <v>172016.58</v>
      </c>
      <c r="U491" s="160">
        <v>0</v>
      </c>
      <c r="V491" s="160">
        <v>673070.82</v>
      </c>
      <c r="W491" s="160">
        <v>323888.18</v>
      </c>
      <c r="X491" s="161">
        <v>0</v>
      </c>
      <c r="Y491" s="160"/>
      <c r="Z491" s="16">
        <v>67.510000000000005</v>
      </c>
      <c r="AA491" s="162">
        <v>673070.82</v>
      </c>
      <c r="AB491" s="162">
        <v>168267.70499999999</v>
      </c>
      <c r="AC491" s="162">
        <v>2019212.46</v>
      </c>
      <c r="AD491" s="160"/>
      <c r="AE491" s="145">
        <v>996959</v>
      </c>
      <c r="AF491" s="421">
        <v>1.0529999999999999</v>
      </c>
      <c r="AG491" s="421">
        <v>1.0489999999999999</v>
      </c>
      <c r="AH491" s="421">
        <v>1.0469999999999999</v>
      </c>
      <c r="AI491" s="164">
        <v>996959</v>
      </c>
      <c r="AJ491" s="164">
        <f t="shared" si="60"/>
        <v>0</v>
      </c>
      <c r="AK491" s="165">
        <v>996959</v>
      </c>
      <c r="AL491" s="165">
        <f>AK491*AF491</f>
        <v>1049797.827</v>
      </c>
      <c r="AM491" s="165">
        <f t="shared" si="63"/>
        <v>1101237.9205229999</v>
      </c>
      <c r="AN491" s="165">
        <f t="shared" si="64"/>
        <v>1152996.1027875808</v>
      </c>
      <c r="AO491" s="16"/>
      <c r="AP491" s="231">
        <f t="shared" si="61"/>
        <v>-52838.827000000048</v>
      </c>
      <c r="AR491" s="231"/>
      <c r="AS491" s="231"/>
      <c r="AU491" s="230">
        <v>996959</v>
      </c>
      <c r="AV491" s="233">
        <v>996959</v>
      </c>
      <c r="AW491" s="230">
        <f t="shared" si="59"/>
        <v>0</v>
      </c>
    </row>
    <row r="492" spans="1:49" x14ac:dyDescent="0.3">
      <c r="A492" s="16" t="s">
        <v>60</v>
      </c>
      <c r="B492" s="39" t="s">
        <v>1130</v>
      </c>
      <c r="C492" s="39" t="s">
        <v>392</v>
      </c>
      <c r="D492" s="340" t="s">
        <v>3471</v>
      </c>
      <c r="E492" s="159" t="s">
        <v>1085</v>
      </c>
      <c r="F492" s="159" t="s">
        <v>848</v>
      </c>
      <c r="G492" s="159" t="s">
        <v>309</v>
      </c>
      <c r="H492" s="159" t="s">
        <v>373</v>
      </c>
      <c r="I492" s="159" t="s">
        <v>393</v>
      </c>
      <c r="J492" s="159" t="s">
        <v>312</v>
      </c>
      <c r="K492" s="159" t="s">
        <v>1849</v>
      </c>
      <c r="L492" s="39" t="s">
        <v>304</v>
      </c>
      <c r="M492" s="39" t="s">
        <v>305</v>
      </c>
      <c r="N492" s="39">
        <v>11</v>
      </c>
      <c r="O492" s="39" t="s">
        <v>392</v>
      </c>
      <c r="P492" s="39" t="s">
        <v>392</v>
      </c>
      <c r="Q492" s="39" t="s">
        <v>1130</v>
      </c>
      <c r="R492" s="16" t="s">
        <v>60</v>
      </c>
      <c r="S492" s="169">
        <v>111979</v>
      </c>
      <c r="T492" s="160">
        <v>15313.8</v>
      </c>
      <c r="U492" s="160">
        <v>0</v>
      </c>
      <c r="V492" s="160">
        <v>51221.49</v>
      </c>
      <c r="W492" s="160">
        <v>60757.51</v>
      </c>
      <c r="X492" s="161">
        <v>0</v>
      </c>
      <c r="Y492" s="160"/>
      <c r="Z492" s="16">
        <v>45.74</v>
      </c>
      <c r="AA492" s="162">
        <v>51221.49</v>
      </c>
      <c r="AB492" s="162">
        <v>12805.372499999999</v>
      </c>
      <c r="AC492" s="162">
        <v>153664.47</v>
      </c>
      <c r="AD492" s="160"/>
      <c r="AE492" s="145">
        <v>111979</v>
      </c>
      <c r="AF492" s="421">
        <v>1.0529999999999999</v>
      </c>
      <c r="AG492" s="421">
        <v>1.0489999999999999</v>
      </c>
      <c r="AH492" s="421">
        <v>1.0469999999999999</v>
      </c>
      <c r="AI492" s="164">
        <v>111979</v>
      </c>
      <c r="AJ492" s="164">
        <f t="shared" si="60"/>
        <v>0</v>
      </c>
      <c r="AK492" s="165">
        <v>111979</v>
      </c>
      <c r="AL492" s="165">
        <f>AK492*AF492</f>
        <v>117913.88699999999</v>
      </c>
      <c r="AM492" s="165">
        <f t="shared" si="63"/>
        <v>123691.66746299998</v>
      </c>
      <c r="AN492" s="165">
        <f t="shared" si="64"/>
        <v>129505.17583376096</v>
      </c>
      <c r="AO492" s="16"/>
      <c r="AP492" s="231">
        <f t="shared" si="61"/>
        <v>-5934.8869999999879</v>
      </c>
      <c r="AR492" s="231"/>
      <c r="AS492" s="231"/>
      <c r="AU492" s="230">
        <v>111979</v>
      </c>
      <c r="AV492" s="233">
        <v>111979</v>
      </c>
      <c r="AW492" s="230">
        <f t="shared" si="59"/>
        <v>0</v>
      </c>
    </row>
    <row r="493" spans="1:49" x14ac:dyDescent="0.3">
      <c r="A493" s="16" t="s">
        <v>61</v>
      </c>
      <c r="B493" s="39" t="s">
        <v>1131</v>
      </c>
      <c r="C493" s="39" t="s">
        <v>460</v>
      </c>
      <c r="D493" s="340" t="s">
        <v>3471</v>
      </c>
      <c r="E493" s="159" t="s">
        <v>1085</v>
      </c>
      <c r="F493" s="159" t="s">
        <v>848</v>
      </c>
      <c r="G493" s="159" t="s">
        <v>309</v>
      </c>
      <c r="H493" s="159" t="s">
        <v>373</v>
      </c>
      <c r="I493" s="159" t="s">
        <v>461</v>
      </c>
      <c r="J493" s="159" t="s">
        <v>312</v>
      </c>
      <c r="K493" s="159" t="s">
        <v>1849</v>
      </c>
      <c r="L493" s="39" t="s">
        <v>304</v>
      </c>
      <c r="M493" s="39" t="s">
        <v>305</v>
      </c>
      <c r="N493" s="39">
        <v>11</v>
      </c>
      <c r="O493" s="39" t="s">
        <v>460</v>
      </c>
      <c r="P493" s="39" t="s">
        <v>460</v>
      </c>
      <c r="Q493" s="39" t="s">
        <v>1131</v>
      </c>
      <c r="R493" s="16" t="s">
        <v>61</v>
      </c>
      <c r="S493" s="169">
        <v>0</v>
      </c>
      <c r="T493" s="160">
        <v>3000.7</v>
      </c>
      <c r="U493" s="160">
        <v>0</v>
      </c>
      <c r="V493" s="160">
        <v>12766.7</v>
      </c>
      <c r="W493" s="160">
        <v>-12766.7</v>
      </c>
      <c r="X493" s="161">
        <v>0</v>
      </c>
      <c r="Y493" s="160"/>
      <c r="Z493" s="16">
        <v>0</v>
      </c>
      <c r="AA493" s="162">
        <v>12766.7</v>
      </c>
      <c r="AB493" s="162">
        <v>3191.6750000000002</v>
      </c>
      <c r="AC493" s="162">
        <v>38300.100000000006</v>
      </c>
      <c r="AD493" s="160"/>
      <c r="AE493" s="145">
        <v>0</v>
      </c>
      <c r="AF493" s="163">
        <v>1.0469999999999999</v>
      </c>
      <c r="AG493" s="164">
        <v>1.046</v>
      </c>
      <c r="AH493" s="164">
        <v>1.046</v>
      </c>
      <c r="AI493" s="164">
        <v>0</v>
      </c>
      <c r="AJ493" s="164">
        <f t="shared" si="60"/>
        <v>0</v>
      </c>
      <c r="AK493" s="165">
        <v>0</v>
      </c>
      <c r="AL493" s="165">
        <v>0</v>
      </c>
      <c r="AM493" s="165">
        <f t="shared" si="63"/>
        <v>0</v>
      </c>
      <c r="AN493" s="165">
        <f t="shared" si="64"/>
        <v>0</v>
      </c>
      <c r="AO493" s="16"/>
      <c r="AP493" s="231">
        <f t="shared" si="61"/>
        <v>0</v>
      </c>
      <c r="AR493" s="231"/>
      <c r="AS493" s="231"/>
      <c r="AU493" s="230">
        <v>0</v>
      </c>
      <c r="AV493" s="233">
        <v>0</v>
      </c>
      <c r="AW493" s="230">
        <f t="shared" si="59"/>
        <v>0</v>
      </c>
    </row>
    <row r="494" spans="1:49" s="172" customFormat="1" x14ac:dyDescent="0.3">
      <c r="A494" s="166" t="s">
        <v>62</v>
      </c>
      <c r="B494" s="167" t="s">
        <v>1132</v>
      </c>
      <c r="C494" s="167" t="s">
        <v>395</v>
      </c>
      <c r="D494" s="412" t="s">
        <v>3471</v>
      </c>
      <c r="E494" s="168" t="s">
        <v>1085</v>
      </c>
      <c r="F494" s="168" t="s">
        <v>848</v>
      </c>
      <c r="G494" s="168" t="s">
        <v>309</v>
      </c>
      <c r="H494" s="168" t="s">
        <v>373</v>
      </c>
      <c r="I494" s="168" t="s">
        <v>396</v>
      </c>
      <c r="J494" s="168" t="s">
        <v>312</v>
      </c>
      <c r="K494" s="168" t="s">
        <v>1849</v>
      </c>
      <c r="L494" s="167" t="s">
        <v>304</v>
      </c>
      <c r="M494" s="167" t="s">
        <v>305</v>
      </c>
      <c r="N494" s="167">
        <v>11</v>
      </c>
      <c r="O494" s="167" t="s">
        <v>395</v>
      </c>
      <c r="P494" s="167" t="s">
        <v>395</v>
      </c>
      <c r="Q494" s="167" t="s">
        <v>1132</v>
      </c>
      <c r="R494" s="166" t="s">
        <v>62</v>
      </c>
      <c r="S494" s="169">
        <v>1947494</v>
      </c>
      <c r="T494" s="160">
        <v>0</v>
      </c>
      <c r="U494" s="160">
        <v>0</v>
      </c>
      <c r="V494" s="160">
        <v>481455.89</v>
      </c>
      <c r="W494" s="160">
        <v>1466038.11</v>
      </c>
      <c r="X494" s="161">
        <v>0</v>
      </c>
      <c r="Y494" s="160"/>
      <c r="Z494" s="16">
        <v>24.72</v>
      </c>
      <c r="AA494" s="162">
        <v>481455.89</v>
      </c>
      <c r="AB494" s="162">
        <v>120363.9725</v>
      </c>
      <c r="AC494" s="162">
        <v>1444367.67</v>
      </c>
      <c r="AD494" s="160"/>
      <c r="AE494" s="145">
        <v>1947494</v>
      </c>
      <c r="AF494" s="163">
        <v>1.0529999999999999</v>
      </c>
      <c r="AG494" s="163">
        <v>1.0489999999999999</v>
      </c>
      <c r="AH494" s="163">
        <v>1.0469999999999999</v>
      </c>
      <c r="AI494" s="164">
        <v>1947494</v>
      </c>
      <c r="AJ494" s="164">
        <f t="shared" si="60"/>
        <v>0</v>
      </c>
      <c r="AK494" s="229">
        <v>1947494</v>
      </c>
      <c r="AL494" s="229">
        <f ca="1">SUMIF('MS &amp; Vacancies combined'!A:K,D494,'MS &amp; Vacancies combined'!K:K)*105.3/100</f>
        <v>2018152.8174347165</v>
      </c>
      <c r="AM494" s="229">
        <f ca="1">AL494*AG494</f>
        <v>2117042.3054890176</v>
      </c>
      <c r="AN494" s="229">
        <f ca="1">AM494*AH494</f>
        <v>2216543.2938470012</v>
      </c>
      <c r="AO494" s="166"/>
      <c r="AP494" s="413">
        <f t="shared" ca="1" si="61"/>
        <v>-70658.817434716504</v>
      </c>
      <c r="AR494" s="231"/>
      <c r="AS494" s="231"/>
      <c r="AU494" s="414">
        <v>1947494</v>
      </c>
      <c r="AV494" s="415">
        <v>1947494</v>
      </c>
      <c r="AW494" s="414">
        <f t="shared" si="59"/>
        <v>0</v>
      </c>
    </row>
    <row r="495" spans="1:49" x14ac:dyDescent="0.3">
      <c r="A495" s="16" t="s">
        <v>64</v>
      </c>
      <c r="B495" s="39" t="s">
        <v>1133</v>
      </c>
      <c r="C495" s="39" t="s">
        <v>464</v>
      </c>
      <c r="D495" s="340" t="s">
        <v>3471</v>
      </c>
      <c r="E495" s="159" t="s">
        <v>1085</v>
      </c>
      <c r="F495" s="159" t="s">
        <v>848</v>
      </c>
      <c r="G495" s="159" t="s">
        <v>309</v>
      </c>
      <c r="H495" s="159" t="s">
        <v>373</v>
      </c>
      <c r="I495" s="159" t="s">
        <v>465</v>
      </c>
      <c r="J495" s="159" t="s">
        <v>312</v>
      </c>
      <c r="K495" s="159" t="s">
        <v>1849</v>
      </c>
      <c r="L495" s="39" t="s">
        <v>304</v>
      </c>
      <c r="M495" s="39" t="s">
        <v>305</v>
      </c>
      <c r="N495" s="39">
        <v>11</v>
      </c>
      <c r="O495" s="39" t="s">
        <v>464</v>
      </c>
      <c r="P495" s="39" t="s">
        <v>464</v>
      </c>
      <c r="Q495" s="39" t="s">
        <v>1133</v>
      </c>
      <c r="R495" s="16" t="s">
        <v>64</v>
      </c>
      <c r="S495" s="169">
        <v>373081</v>
      </c>
      <c r="T495" s="160">
        <v>62427.7</v>
      </c>
      <c r="U495" s="160">
        <v>0</v>
      </c>
      <c r="V495" s="160">
        <v>221334.25</v>
      </c>
      <c r="W495" s="160">
        <v>151746.75</v>
      </c>
      <c r="X495" s="161">
        <v>0</v>
      </c>
      <c r="Y495" s="160"/>
      <c r="Z495" s="16">
        <v>59.32</v>
      </c>
      <c r="AA495" s="162">
        <v>221334.25</v>
      </c>
      <c r="AB495" s="162">
        <v>55333.5625</v>
      </c>
      <c r="AC495" s="162">
        <v>664002.75</v>
      </c>
      <c r="AD495" s="160"/>
      <c r="AE495" s="145">
        <v>373081</v>
      </c>
      <c r="AF495" s="421">
        <v>1.0529999999999999</v>
      </c>
      <c r="AG495" s="421">
        <v>1.0489999999999999</v>
      </c>
      <c r="AH495" s="421">
        <v>1.0469999999999999</v>
      </c>
      <c r="AI495" s="164">
        <v>373081</v>
      </c>
      <c r="AJ495" s="164">
        <f t="shared" si="60"/>
        <v>0</v>
      </c>
      <c r="AK495" s="165">
        <v>373081</v>
      </c>
      <c r="AL495" s="165">
        <f>AK495*AF495</f>
        <v>392854.29300000001</v>
      </c>
      <c r="AM495" s="165">
        <f t="shared" si="63"/>
        <v>412104.15335699997</v>
      </c>
      <c r="AN495" s="165">
        <f t="shared" si="64"/>
        <v>431473.04856477893</v>
      </c>
      <c r="AO495" s="16"/>
      <c r="AP495" s="231">
        <f t="shared" si="61"/>
        <v>-19773.293000000005</v>
      </c>
      <c r="AR495" s="231"/>
      <c r="AS495" s="231"/>
      <c r="AU495" s="230">
        <v>373081</v>
      </c>
      <c r="AV495" s="233">
        <v>373081</v>
      </c>
      <c r="AW495" s="230">
        <f t="shared" si="59"/>
        <v>0</v>
      </c>
    </row>
    <row r="496" spans="1:49" x14ac:dyDescent="0.3">
      <c r="A496" s="16" t="s">
        <v>65</v>
      </c>
      <c r="B496" s="39" t="s">
        <v>1134</v>
      </c>
      <c r="C496" s="39" t="s">
        <v>467</v>
      </c>
      <c r="D496" s="340" t="s">
        <v>3471</v>
      </c>
      <c r="E496" s="159" t="s">
        <v>1085</v>
      </c>
      <c r="F496" s="159" t="s">
        <v>848</v>
      </c>
      <c r="G496" s="159" t="s">
        <v>309</v>
      </c>
      <c r="H496" s="159" t="s">
        <v>373</v>
      </c>
      <c r="I496" s="159" t="s">
        <v>468</v>
      </c>
      <c r="J496" s="159" t="s">
        <v>312</v>
      </c>
      <c r="K496" s="159" t="s">
        <v>1849</v>
      </c>
      <c r="L496" s="39" t="s">
        <v>304</v>
      </c>
      <c r="M496" s="39" t="s">
        <v>305</v>
      </c>
      <c r="N496" s="39">
        <v>11</v>
      </c>
      <c r="O496" s="39" t="s">
        <v>467</v>
      </c>
      <c r="P496" s="39" t="s">
        <v>467</v>
      </c>
      <c r="Q496" s="39" t="s">
        <v>1134</v>
      </c>
      <c r="R496" s="16" t="s">
        <v>65</v>
      </c>
      <c r="S496" s="169">
        <v>0</v>
      </c>
      <c r="T496" s="160">
        <v>0</v>
      </c>
      <c r="U496" s="160">
        <v>0</v>
      </c>
      <c r="V496" s="160">
        <v>0</v>
      </c>
      <c r="W496" s="160">
        <v>0</v>
      </c>
      <c r="X496" s="161">
        <v>0</v>
      </c>
      <c r="Y496" s="160"/>
      <c r="Z496" s="16">
        <v>0</v>
      </c>
      <c r="AA496" s="162">
        <v>0</v>
      </c>
      <c r="AB496" s="162">
        <v>0</v>
      </c>
      <c r="AC496" s="162">
        <v>0</v>
      </c>
      <c r="AD496" s="160"/>
      <c r="AE496" s="145">
        <v>0</v>
      </c>
      <c r="AF496" s="163">
        <v>1.0469999999999999</v>
      </c>
      <c r="AG496" s="164">
        <v>1.046</v>
      </c>
      <c r="AH496" s="164">
        <v>1.046</v>
      </c>
      <c r="AI496" s="164">
        <v>0</v>
      </c>
      <c r="AJ496" s="164">
        <f t="shared" si="60"/>
        <v>0</v>
      </c>
      <c r="AK496" s="165">
        <v>0</v>
      </c>
      <c r="AL496" s="165">
        <v>0</v>
      </c>
      <c r="AM496" s="165">
        <f t="shared" si="63"/>
        <v>0</v>
      </c>
      <c r="AN496" s="165">
        <f t="shared" si="64"/>
        <v>0</v>
      </c>
      <c r="AO496" s="16"/>
      <c r="AP496" s="231">
        <f t="shared" si="61"/>
        <v>0</v>
      </c>
      <c r="AR496" s="231"/>
      <c r="AS496" s="231"/>
      <c r="AU496" s="230">
        <v>0</v>
      </c>
      <c r="AV496" s="233">
        <v>0</v>
      </c>
      <c r="AW496" s="230">
        <f t="shared" si="59"/>
        <v>0</v>
      </c>
    </row>
    <row r="497" spans="1:49" s="172" customFormat="1" x14ac:dyDescent="0.3">
      <c r="A497" s="166" t="s">
        <v>69</v>
      </c>
      <c r="B497" s="167" t="s">
        <v>1135</v>
      </c>
      <c r="C497" s="167" t="s">
        <v>398</v>
      </c>
      <c r="D497" s="412" t="s">
        <v>3471</v>
      </c>
      <c r="E497" s="168" t="s">
        <v>1085</v>
      </c>
      <c r="F497" s="168" t="s">
        <v>848</v>
      </c>
      <c r="G497" s="168" t="s">
        <v>309</v>
      </c>
      <c r="H497" s="168" t="s">
        <v>310</v>
      </c>
      <c r="I497" s="168" t="s">
        <v>374</v>
      </c>
      <c r="J497" s="168" t="s">
        <v>312</v>
      </c>
      <c r="K497" s="168" t="s">
        <v>1849</v>
      </c>
      <c r="L497" s="167" t="s">
        <v>304</v>
      </c>
      <c r="M497" s="167" t="s">
        <v>305</v>
      </c>
      <c r="N497" s="167">
        <v>11</v>
      </c>
      <c r="O497" s="167" t="s">
        <v>398</v>
      </c>
      <c r="P497" s="167" t="s">
        <v>398</v>
      </c>
      <c r="Q497" s="167" t="s">
        <v>1135</v>
      </c>
      <c r="R497" s="166" t="s">
        <v>69</v>
      </c>
      <c r="S497" s="169">
        <v>9715</v>
      </c>
      <c r="T497" s="160">
        <v>885.6</v>
      </c>
      <c r="U497" s="160">
        <v>0</v>
      </c>
      <c r="V497" s="160">
        <v>3326.4</v>
      </c>
      <c r="W497" s="160">
        <v>6388.6</v>
      </c>
      <c r="X497" s="161">
        <v>0</v>
      </c>
      <c r="Y497" s="160"/>
      <c r="Z497" s="16">
        <v>34.229999999999997</v>
      </c>
      <c r="AA497" s="162">
        <v>3326.4</v>
      </c>
      <c r="AB497" s="162">
        <v>831.6</v>
      </c>
      <c r="AC497" s="162">
        <v>9979.2000000000007</v>
      </c>
      <c r="AD497" s="160"/>
      <c r="AE497" s="145">
        <v>9715</v>
      </c>
      <c r="AF497" s="163">
        <v>1.0529999999999999</v>
      </c>
      <c r="AG497" s="163">
        <v>1.0489999999999999</v>
      </c>
      <c r="AH497" s="163">
        <v>1.0469999999999999</v>
      </c>
      <c r="AI497" s="164">
        <v>9715</v>
      </c>
      <c r="AJ497" s="164">
        <f t="shared" si="60"/>
        <v>0</v>
      </c>
      <c r="AK497" s="229">
        <v>9715</v>
      </c>
      <c r="AL497" s="229">
        <f ca="1">SUMIF('MS &amp; Vacancies combined'!A:N,D497,'MS &amp; Vacancies combined'!N:N)*105.3/100</f>
        <v>10947.234027256347</v>
      </c>
      <c r="AM497" s="229">
        <f t="shared" ca="1" si="63"/>
        <v>11483.648494591907</v>
      </c>
      <c r="AN497" s="229">
        <f t="shared" ca="1" si="64"/>
        <v>12023.379973837726</v>
      </c>
      <c r="AO497" s="166"/>
      <c r="AP497" s="413">
        <f t="shared" ca="1" si="61"/>
        <v>-1232.234027256347</v>
      </c>
      <c r="AR497" s="231"/>
      <c r="AS497" s="231"/>
      <c r="AU497" s="414">
        <v>9715</v>
      </c>
      <c r="AV497" s="415">
        <v>9715</v>
      </c>
      <c r="AW497" s="414">
        <f t="shared" si="59"/>
        <v>0</v>
      </c>
    </row>
    <row r="498" spans="1:49" s="172" customFormat="1" x14ac:dyDescent="0.3">
      <c r="A498" s="166" t="s">
        <v>70</v>
      </c>
      <c r="B498" s="167" t="s">
        <v>1136</v>
      </c>
      <c r="C498" s="167" t="s">
        <v>400</v>
      </c>
      <c r="D498" s="412" t="s">
        <v>3471</v>
      </c>
      <c r="E498" s="168" t="s">
        <v>1085</v>
      </c>
      <c r="F498" s="168" t="s">
        <v>848</v>
      </c>
      <c r="G498" s="168" t="s">
        <v>309</v>
      </c>
      <c r="H498" s="168" t="s">
        <v>310</v>
      </c>
      <c r="I498" s="168" t="s">
        <v>401</v>
      </c>
      <c r="J498" s="168" t="s">
        <v>312</v>
      </c>
      <c r="K498" s="168" t="s">
        <v>1849</v>
      </c>
      <c r="L498" s="167" t="s">
        <v>304</v>
      </c>
      <c r="M498" s="167" t="s">
        <v>305</v>
      </c>
      <c r="N498" s="167">
        <v>11</v>
      </c>
      <c r="O498" s="167" t="s">
        <v>400</v>
      </c>
      <c r="P498" s="167" t="s">
        <v>400</v>
      </c>
      <c r="Q498" s="167" t="s">
        <v>1136</v>
      </c>
      <c r="R498" s="166" t="s">
        <v>70</v>
      </c>
      <c r="S498" s="169">
        <v>397289</v>
      </c>
      <c r="T498" s="160">
        <v>21151.61</v>
      </c>
      <c r="U498" s="160">
        <v>0</v>
      </c>
      <c r="V498" s="160">
        <v>78807.75</v>
      </c>
      <c r="W498" s="160">
        <v>318481.25</v>
      </c>
      <c r="X498" s="161">
        <v>0</v>
      </c>
      <c r="Y498" s="160"/>
      <c r="Z498" s="16">
        <v>19.829999999999998</v>
      </c>
      <c r="AA498" s="162">
        <v>78807.75</v>
      </c>
      <c r="AB498" s="162">
        <v>19701.9375</v>
      </c>
      <c r="AC498" s="162">
        <v>236423.25</v>
      </c>
      <c r="AD498" s="160"/>
      <c r="AE498" s="145">
        <v>397289</v>
      </c>
      <c r="AF498" s="163">
        <v>1.0529999999999999</v>
      </c>
      <c r="AG498" s="163">
        <v>1.0489999999999999</v>
      </c>
      <c r="AH498" s="163">
        <v>1.0469999999999999</v>
      </c>
      <c r="AI498" s="164">
        <v>397289</v>
      </c>
      <c r="AJ498" s="164">
        <f t="shared" si="60"/>
        <v>0</v>
      </c>
      <c r="AK498" s="229">
        <v>397289</v>
      </c>
      <c r="AL498" s="229">
        <f ca="1">SUMIF('MS &amp; Vacancies combined'!A:P,D498,'MS &amp; Vacancies combined'!P:P)*105.3/100</f>
        <v>3097055.9198416984</v>
      </c>
      <c r="AM498" s="229">
        <f t="shared" ca="1" si="63"/>
        <v>3248811.6599139413</v>
      </c>
      <c r="AN498" s="229">
        <f t="shared" ca="1" si="64"/>
        <v>3401505.8079298963</v>
      </c>
      <c r="AO498" s="166"/>
      <c r="AP498" s="413">
        <f t="shared" ca="1" si="61"/>
        <v>-2699766.9198416984</v>
      </c>
      <c r="AR498" s="231"/>
      <c r="AS498" s="231"/>
      <c r="AU498" s="414">
        <v>397289</v>
      </c>
      <c r="AV498" s="415">
        <v>397289</v>
      </c>
      <c r="AW498" s="414">
        <f t="shared" si="59"/>
        <v>0</v>
      </c>
    </row>
    <row r="499" spans="1:49" s="172" customFormat="1" x14ac:dyDescent="0.3">
      <c r="A499" s="166" t="s">
        <v>71</v>
      </c>
      <c r="B499" s="167" t="s">
        <v>1137</v>
      </c>
      <c r="C499" s="167" t="s">
        <v>403</v>
      </c>
      <c r="D499" s="412" t="s">
        <v>3471</v>
      </c>
      <c r="E499" s="168" t="s">
        <v>1085</v>
      </c>
      <c r="F499" s="168" t="s">
        <v>848</v>
      </c>
      <c r="G499" s="168" t="s">
        <v>309</v>
      </c>
      <c r="H499" s="168" t="s">
        <v>310</v>
      </c>
      <c r="I499" s="168" t="s">
        <v>404</v>
      </c>
      <c r="J499" s="168" t="s">
        <v>312</v>
      </c>
      <c r="K499" s="168" t="s">
        <v>1849</v>
      </c>
      <c r="L499" s="167" t="s">
        <v>304</v>
      </c>
      <c r="M499" s="167" t="s">
        <v>305</v>
      </c>
      <c r="N499" s="167">
        <v>11</v>
      </c>
      <c r="O499" s="167" t="s">
        <v>403</v>
      </c>
      <c r="P499" s="167" t="s">
        <v>403</v>
      </c>
      <c r="Q499" s="167" t="s">
        <v>1137</v>
      </c>
      <c r="R499" s="166" t="s">
        <v>71</v>
      </c>
      <c r="S499" s="169">
        <v>4502007</v>
      </c>
      <c r="T499" s="160">
        <v>249807.6</v>
      </c>
      <c r="U499" s="160">
        <v>0</v>
      </c>
      <c r="V499" s="160">
        <v>912867.6</v>
      </c>
      <c r="W499" s="160">
        <v>3589139.4</v>
      </c>
      <c r="X499" s="161">
        <v>0</v>
      </c>
      <c r="Y499" s="160"/>
      <c r="Z499" s="16">
        <v>20.27</v>
      </c>
      <c r="AA499" s="162">
        <v>912867.6</v>
      </c>
      <c r="AB499" s="162">
        <v>228216.9</v>
      </c>
      <c r="AC499" s="162">
        <v>2738602.8</v>
      </c>
      <c r="AD499" s="160"/>
      <c r="AE499" s="145">
        <v>4502007</v>
      </c>
      <c r="AF499" s="163">
        <v>1.0529999999999999</v>
      </c>
      <c r="AG499" s="163">
        <v>1.0489999999999999</v>
      </c>
      <c r="AH499" s="163">
        <v>1.0469999999999999</v>
      </c>
      <c r="AI499" s="164">
        <v>4502007</v>
      </c>
      <c r="AJ499" s="164">
        <f t="shared" si="60"/>
        <v>0</v>
      </c>
      <c r="AK499" s="229">
        <v>4502007</v>
      </c>
      <c r="AL499" s="229">
        <f ca="1">SUMIF('MS &amp; Vacancies combined'!A:Q,D499,'MS &amp; Vacancies combined'!Q:Q)*105.3/100</f>
        <v>5075259.3309696838</v>
      </c>
      <c r="AM499" s="229">
        <f t="shared" ca="1" si="63"/>
        <v>5323947.0381871983</v>
      </c>
      <c r="AN499" s="229">
        <f t="shared" ca="1" si="64"/>
        <v>5574172.5489819963</v>
      </c>
      <c r="AO499" s="166"/>
      <c r="AP499" s="413">
        <f t="shared" ca="1" si="61"/>
        <v>-573252.33096968383</v>
      </c>
      <c r="AR499" s="231"/>
      <c r="AS499" s="231"/>
      <c r="AU499" s="414">
        <v>4502007</v>
      </c>
      <c r="AV499" s="415">
        <v>4502007</v>
      </c>
      <c r="AW499" s="414">
        <f t="shared" si="59"/>
        <v>0</v>
      </c>
    </row>
    <row r="500" spans="1:49" s="172" customFormat="1" x14ac:dyDescent="0.3">
      <c r="A500" s="166" t="s">
        <v>72</v>
      </c>
      <c r="B500" s="167" t="s">
        <v>1138</v>
      </c>
      <c r="C500" s="167" t="s">
        <v>406</v>
      </c>
      <c r="D500" s="412" t="s">
        <v>3471</v>
      </c>
      <c r="E500" s="168" t="s">
        <v>1085</v>
      </c>
      <c r="F500" s="168" t="s">
        <v>848</v>
      </c>
      <c r="G500" s="168" t="s">
        <v>309</v>
      </c>
      <c r="H500" s="168" t="s">
        <v>310</v>
      </c>
      <c r="I500" s="168" t="s">
        <v>407</v>
      </c>
      <c r="J500" s="168" t="s">
        <v>312</v>
      </c>
      <c r="K500" s="168" t="s">
        <v>1849</v>
      </c>
      <c r="L500" s="167" t="s">
        <v>304</v>
      </c>
      <c r="M500" s="167" t="s">
        <v>305</v>
      </c>
      <c r="N500" s="167">
        <v>11</v>
      </c>
      <c r="O500" s="167" t="s">
        <v>406</v>
      </c>
      <c r="P500" s="167" t="s">
        <v>406</v>
      </c>
      <c r="Q500" s="167" t="s">
        <v>1138</v>
      </c>
      <c r="R500" s="166" t="s">
        <v>72</v>
      </c>
      <c r="S500" s="169">
        <v>4222946</v>
      </c>
      <c r="T500" s="160">
        <v>428434.97</v>
      </c>
      <c r="U500" s="160">
        <v>0</v>
      </c>
      <c r="V500" s="160">
        <v>1543345.26</v>
      </c>
      <c r="W500" s="160">
        <v>2679600.7400000002</v>
      </c>
      <c r="X500" s="161">
        <v>0</v>
      </c>
      <c r="Y500" s="160"/>
      <c r="Z500" s="16">
        <v>36.54</v>
      </c>
      <c r="AA500" s="162">
        <v>1543345.26</v>
      </c>
      <c r="AB500" s="162">
        <v>385836.315</v>
      </c>
      <c r="AC500" s="162">
        <v>4630035.78</v>
      </c>
      <c r="AD500" s="160"/>
      <c r="AE500" s="145">
        <v>4222946</v>
      </c>
      <c r="AF500" s="163">
        <v>1.0529999999999999</v>
      </c>
      <c r="AG500" s="163">
        <v>1.0489999999999999</v>
      </c>
      <c r="AH500" s="163">
        <v>1.0469999999999999</v>
      </c>
      <c r="AI500" s="164">
        <v>4222946</v>
      </c>
      <c r="AJ500" s="164">
        <f t="shared" si="60"/>
        <v>0</v>
      </c>
      <c r="AK500" s="229">
        <v>4222946</v>
      </c>
      <c r="AL500" s="229">
        <f ca="1">SUMIF('MS &amp; Vacancies combined'!A:R,D500,'MS &amp; Vacancies combined'!R:R)*105.3/100</f>
        <v>4652194.0891838418</v>
      </c>
      <c r="AM500" s="229">
        <f t="shared" ca="1" si="63"/>
        <v>4880151.5995538495</v>
      </c>
      <c r="AN500" s="229">
        <f t="shared" ca="1" si="64"/>
        <v>5109518.7247328805</v>
      </c>
      <c r="AO500" s="166"/>
      <c r="AP500" s="413">
        <f t="shared" ca="1" si="61"/>
        <v>-429248.08918384183</v>
      </c>
      <c r="AR500" s="231"/>
      <c r="AS500" s="231"/>
      <c r="AU500" s="414">
        <v>4222946</v>
      </c>
      <c r="AV500" s="415">
        <v>4222946</v>
      </c>
      <c r="AW500" s="414">
        <f t="shared" si="59"/>
        <v>0</v>
      </c>
    </row>
    <row r="501" spans="1:49" s="172" customFormat="1" x14ac:dyDescent="0.3">
      <c r="A501" s="166" t="s">
        <v>73</v>
      </c>
      <c r="B501" s="167" t="s">
        <v>1139</v>
      </c>
      <c r="C501" s="167" t="s">
        <v>307</v>
      </c>
      <c r="D501" s="412" t="s">
        <v>3471</v>
      </c>
      <c r="E501" s="168" t="s">
        <v>1085</v>
      </c>
      <c r="F501" s="168" t="s">
        <v>848</v>
      </c>
      <c r="G501" s="168" t="s">
        <v>309</v>
      </c>
      <c r="H501" s="168" t="s">
        <v>310</v>
      </c>
      <c r="I501" s="168" t="s">
        <v>311</v>
      </c>
      <c r="J501" s="168" t="s">
        <v>312</v>
      </c>
      <c r="K501" s="168" t="s">
        <v>1849</v>
      </c>
      <c r="L501" s="167" t="s">
        <v>304</v>
      </c>
      <c r="M501" s="167" t="s">
        <v>305</v>
      </c>
      <c r="N501" s="167">
        <v>11</v>
      </c>
      <c r="O501" s="167" t="s">
        <v>307</v>
      </c>
      <c r="P501" s="167" t="s">
        <v>307</v>
      </c>
      <c r="Q501" s="167" t="s">
        <v>1139</v>
      </c>
      <c r="R501" s="166" t="s">
        <v>73</v>
      </c>
      <c r="S501" s="169">
        <v>167060</v>
      </c>
      <c r="T501" s="160">
        <v>14523.84</v>
      </c>
      <c r="U501" s="160">
        <v>0</v>
      </c>
      <c r="V501" s="160">
        <v>54552.959999999999</v>
      </c>
      <c r="W501" s="160">
        <v>112507.04</v>
      </c>
      <c r="X501" s="161">
        <v>0</v>
      </c>
      <c r="Y501" s="160"/>
      <c r="Z501" s="16">
        <v>32.65</v>
      </c>
      <c r="AA501" s="162">
        <v>54552.959999999999</v>
      </c>
      <c r="AB501" s="162">
        <v>13638.24</v>
      </c>
      <c r="AC501" s="162">
        <v>163658.88</v>
      </c>
      <c r="AD501" s="160"/>
      <c r="AE501" s="145">
        <v>167060</v>
      </c>
      <c r="AF501" s="163">
        <v>1.0529999999999999</v>
      </c>
      <c r="AG501" s="163">
        <v>1.0489999999999999</v>
      </c>
      <c r="AH501" s="163">
        <v>1.0469999999999999</v>
      </c>
      <c r="AI501" s="164">
        <v>167060</v>
      </c>
      <c r="AJ501" s="164">
        <f t="shared" si="60"/>
        <v>0</v>
      </c>
      <c r="AK501" s="229">
        <v>167060</v>
      </c>
      <c r="AL501" s="229">
        <f ca="1">SUMIF('MS &amp; Vacancies combined'!A:S,D501,'MS &amp; Vacancies combined'!S:S)*105.3/100</f>
        <v>179534.63804700429</v>
      </c>
      <c r="AM501" s="229">
        <f t="shared" ca="1" si="63"/>
        <v>188331.83531130748</v>
      </c>
      <c r="AN501" s="229">
        <f t="shared" ca="1" si="64"/>
        <v>197183.43157093893</v>
      </c>
      <c r="AO501" s="166"/>
      <c r="AP501" s="413">
        <f t="shared" ca="1" si="61"/>
        <v>-12474.638047004293</v>
      </c>
      <c r="AR501" s="231"/>
      <c r="AS501" s="231"/>
      <c r="AU501" s="414">
        <v>167060</v>
      </c>
      <c r="AV501" s="415">
        <v>167060</v>
      </c>
      <c r="AW501" s="414">
        <f t="shared" si="59"/>
        <v>0</v>
      </c>
    </row>
    <row r="502" spans="1:49" hidden="1" x14ac:dyDescent="0.3">
      <c r="A502" s="16" t="s">
        <v>1141</v>
      </c>
      <c r="B502" s="39" t="s">
        <v>1140</v>
      </c>
      <c r="C502" s="39" t="s">
        <v>76</v>
      </c>
      <c r="D502" s="340" t="s">
        <v>3471</v>
      </c>
      <c r="E502" s="159" t="s">
        <v>1085</v>
      </c>
      <c r="F502" s="159" t="s">
        <v>848</v>
      </c>
      <c r="G502" s="159" t="s">
        <v>309</v>
      </c>
      <c r="H502" s="159" t="s">
        <v>325</v>
      </c>
      <c r="I502" s="159" t="s">
        <v>339</v>
      </c>
      <c r="J502" s="159" t="s">
        <v>312</v>
      </c>
      <c r="K502" s="159" t="s">
        <v>1849</v>
      </c>
      <c r="L502" s="39" t="s">
        <v>304</v>
      </c>
      <c r="M502" s="39" t="s">
        <v>305</v>
      </c>
      <c r="N502" s="39">
        <v>11</v>
      </c>
      <c r="O502" s="39" t="s">
        <v>76</v>
      </c>
      <c r="P502" s="39" t="s">
        <v>1142</v>
      </c>
      <c r="Q502" s="39" t="s">
        <v>1140</v>
      </c>
      <c r="R502" s="16" t="s">
        <v>1141</v>
      </c>
      <c r="S502" s="160">
        <v>0</v>
      </c>
      <c r="T502" s="160">
        <v>0</v>
      </c>
      <c r="U502" s="160">
        <v>0</v>
      </c>
      <c r="V502" s="160">
        <v>0</v>
      </c>
      <c r="W502" s="160">
        <v>0</v>
      </c>
      <c r="X502" s="161">
        <v>0</v>
      </c>
      <c r="Y502" s="160"/>
      <c r="Z502" s="16">
        <v>0</v>
      </c>
      <c r="AA502" s="162">
        <v>0</v>
      </c>
      <c r="AB502" s="162">
        <v>0</v>
      </c>
      <c r="AC502" s="162">
        <v>0</v>
      </c>
      <c r="AD502" s="160"/>
      <c r="AE502" s="145">
        <v>0</v>
      </c>
      <c r="AF502" s="163">
        <v>1.0469999999999999</v>
      </c>
      <c r="AG502" s="164">
        <v>1.046</v>
      </c>
      <c r="AH502" s="164">
        <v>1.046</v>
      </c>
      <c r="AI502" s="164">
        <v>0</v>
      </c>
      <c r="AJ502" s="164">
        <f t="shared" si="60"/>
        <v>0</v>
      </c>
      <c r="AK502" s="165">
        <v>0</v>
      </c>
      <c r="AL502" s="165">
        <v>0</v>
      </c>
      <c r="AM502" s="165">
        <f t="shared" si="63"/>
        <v>0</v>
      </c>
      <c r="AN502" s="165">
        <f t="shared" si="64"/>
        <v>0</v>
      </c>
      <c r="AO502" s="16"/>
      <c r="AP502" s="231">
        <f t="shared" si="61"/>
        <v>0</v>
      </c>
      <c r="AR502" s="231"/>
      <c r="AS502" s="231"/>
      <c r="AU502" s="230">
        <v>0</v>
      </c>
      <c r="AV502" s="233">
        <v>0</v>
      </c>
      <c r="AW502" s="230">
        <f t="shared" si="59"/>
        <v>0</v>
      </c>
    </row>
    <row r="503" spans="1:49" hidden="1" x14ac:dyDescent="0.3">
      <c r="A503" s="16" t="s">
        <v>337</v>
      </c>
      <c r="B503" s="39" t="s">
        <v>1143</v>
      </c>
      <c r="C503" s="39" t="s">
        <v>82</v>
      </c>
      <c r="D503" s="340" t="s">
        <v>3471</v>
      </c>
      <c r="E503" s="159" t="s">
        <v>1085</v>
      </c>
      <c r="F503" s="159" t="s">
        <v>848</v>
      </c>
      <c r="G503" s="159" t="s">
        <v>309</v>
      </c>
      <c r="H503" s="159" t="s">
        <v>334</v>
      </c>
      <c r="I503" s="159" t="s">
        <v>339</v>
      </c>
      <c r="J503" s="159" t="s">
        <v>312</v>
      </c>
      <c r="K503" s="159" t="s">
        <v>1849</v>
      </c>
      <c r="L503" s="39" t="s">
        <v>304</v>
      </c>
      <c r="M503" s="39" t="s">
        <v>305</v>
      </c>
      <c r="N503" s="39">
        <v>11</v>
      </c>
      <c r="O503" s="39" t="s">
        <v>82</v>
      </c>
      <c r="P503" s="39" t="s">
        <v>338</v>
      </c>
      <c r="Q503" s="39" t="s">
        <v>1143</v>
      </c>
      <c r="R503" s="16" t="s">
        <v>337</v>
      </c>
      <c r="S503" s="160">
        <v>0</v>
      </c>
      <c r="T503" s="160">
        <v>0</v>
      </c>
      <c r="U503" s="160">
        <v>0</v>
      </c>
      <c r="V503" s="160">
        <v>0</v>
      </c>
      <c r="W503" s="160">
        <v>0</v>
      </c>
      <c r="X503" s="161">
        <v>0</v>
      </c>
      <c r="Y503" s="160"/>
      <c r="Z503" s="16">
        <v>0</v>
      </c>
      <c r="AA503" s="162">
        <v>0</v>
      </c>
      <c r="AB503" s="162">
        <v>0</v>
      </c>
      <c r="AC503" s="162">
        <v>0</v>
      </c>
      <c r="AD503" s="160"/>
      <c r="AE503" s="145">
        <v>0</v>
      </c>
      <c r="AF503" s="163">
        <v>1.0469999999999999</v>
      </c>
      <c r="AG503" s="164">
        <v>1.046</v>
      </c>
      <c r="AH503" s="164">
        <v>1.046</v>
      </c>
      <c r="AI503" s="164">
        <v>0</v>
      </c>
      <c r="AJ503" s="164">
        <f t="shared" si="60"/>
        <v>0</v>
      </c>
      <c r="AK503" s="165">
        <v>0</v>
      </c>
      <c r="AL503" s="165">
        <v>0</v>
      </c>
      <c r="AM503" s="165">
        <f t="shared" si="63"/>
        <v>0</v>
      </c>
      <c r="AN503" s="165">
        <f t="shared" si="64"/>
        <v>0</v>
      </c>
      <c r="AO503" s="16"/>
      <c r="AP503" s="231">
        <f t="shared" si="61"/>
        <v>0</v>
      </c>
      <c r="AR503" s="231"/>
      <c r="AS503" s="231"/>
      <c r="AU503" s="230">
        <v>0</v>
      </c>
      <c r="AV503" s="233">
        <v>0</v>
      </c>
      <c r="AW503" s="230">
        <f t="shared" si="59"/>
        <v>0</v>
      </c>
    </row>
    <row r="504" spans="1:49" hidden="1" x14ac:dyDescent="0.3">
      <c r="A504" s="16" t="s">
        <v>341</v>
      </c>
      <c r="B504" s="39" t="s">
        <v>1144</v>
      </c>
      <c r="C504" s="39" t="s">
        <v>82</v>
      </c>
      <c r="D504" s="340" t="s">
        <v>3471</v>
      </c>
      <c r="E504" s="159" t="s">
        <v>1085</v>
      </c>
      <c r="F504" s="159" t="s">
        <v>848</v>
      </c>
      <c r="G504" s="159" t="s">
        <v>309</v>
      </c>
      <c r="H504" s="159" t="s">
        <v>334</v>
      </c>
      <c r="I504" s="159" t="s">
        <v>343</v>
      </c>
      <c r="J504" s="159" t="s">
        <v>312</v>
      </c>
      <c r="K504" s="159" t="s">
        <v>1849</v>
      </c>
      <c r="L504" s="39" t="s">
        <v>304</v>
      </c>
      <c r="M504" s="39" t="s">
        <v>305</v>
      </c>
      <c r="N504" s="39">
        <v>11</v>
      </c>
      <c r="O504" s="39" t="s">
        <v>82</v>
      </c>
      <c r="P504" s="39" t="s">
        <v>342</v>
      </c>
      <c r="Q504" s="39" t="s">
        <v>1144</v>
      </c>
      <c r="R504" s="16" t="s">
        <v>341</v>
      </c>
      <c r="S504" s="160">
        <v>0</v>
      </c>
      <c r="T504" s="160">
        <v>0</v>
      </c>
      <c r="U504" s="160">
        <v>0</v>
      </c>
      <c r="V504" s="160">
        <v>0</v>
      </c>
      <c r="W504" s="160">
        <v>0</v>
      </c>
      <c r="X504" s="161">
        <v>0</v>
      </c>
      <c r="Y504" s="160"/>
      <c r="Z504" s="16">
        <v>0</v>
      </c>
      <c r="AA504" s="162">
        <v>0</v>
      </c>
      <c r="AB504" s="162">
        <v>0</v>
      </c>
      <c r="AC504" s="162">
        <v>0</v>
      </c>
      <c r="AD504" s="160"/>
      <c r="AE504" s="145">
        <v>0</v>
      </c>
      <c r="AF504" s="163">
        <v>1.0469999999999999</v>
      </c>
      <c r="AG504" s="164">
        <v>1.046</v>
      </c>
      <c r="AH504" s="164">
        <v>1.046</v>
      </c>
      <c r="AI504" s="164">
        <v>0</v>
      </c>
      <c r="AJ504" s="164">
        <f t="shared" si="60"/>
        <v>0</v>
      </c>
      <c r="AK504" s="165">
        <v>0</v>
      </c>
      <c r="AL504" s="165">
        <v>0</v>
      </c>
      <c r="AM504" s="165">
        <f t="shared" si="63"/>
        <v>0</v>
      </c>
      <c r="AN504" s="165">
        <f t="shared" si="64"/>
        <v>0</v>
      </c>
      <c r="AO504" s="16"/>
      <c r="AP504" s="231">
        <f t="shared" si="61"/>
        <v>0</v>
      </c>
      <c r="AR504" s="231"/>
      <c r="AS504" s="231"/>
      <c r="AU504" s="230">
        <v>0</v>
      </c>
      <c r="AV504" s="233">
        <v>0</v>
      </c>
      <c r="AW504" s="230">
        <f t="shared" si="59"/>
        <v>0</v>
      </c>
    </row>
    <row r="505" spans="1:49" hidden="1" x14ac:dyDescent="0.3">
      <c r="A505" s="16" t="s">
        <v>345</v>
      </c>
      <c r="B505" s="39" t="s">
        <v>1145</v>
      </c>
      <c r="C505" s="39" t="s">
        <v>82</v>
      </c>
      <c r="D505" s="340" t="s">
        <v>3471</v>
      </c>
      <c r="E505" s="159" t="s">
        <v>1085</v>
      </c>
      <c r="F505" s="159" t="s">
        <v>848</v>
      </c>
      <c r="G505" s="159" t="s">
        <v>309</v>
      </c>
      <c r="H505" s="159" t="s">
        <v>334</v>
      </c>
      <c r="I505" s="159" t="s">
        <v>347</v>
      </c>
      <c r="J505" s="159" t="s">
        <v>312</v>
      </c>
      <c r="K505" s="159" t="s">
        <v>1849</v>
      </c>
      <c r="L505" s="39" t="s">
        <v>304</v>
      </c>
      <c r="M505" s="39" t="s">
        <v>305</v>
      </c>
      <c r="N505" s="39">
        <v>11</v>
      </c>
      <c r="O505" s="39" t="s">
        <v>82</v>
      </c>
      <c r="P505" s="39" t="s">
        <v>346</v>
      </c>
      <c r="Q505" s="39" t="s">
        <v>1145</v>
      </c>
      <c r="R505" s="16" t="s">
        <v>345</v>
      </c>
      <c r="S505" s="160">
        <v>0</v>
      </c>
      <c r="T505" s="160">
        <v>0</v>
      </c>
      <c r="U505" s="160">
        <v>0</v>
      </c>
      <c r="V505" s="160">
        <v>0</v>
      </c>
      <c r="W505" s="160">
        <v>0</v>
      </c>
      <c r="X505" s="161">
        <v>0</v>
      </c>
      <c r="Y505" s="160"/>
      <c r="Z505" s="16">
        <v>0</v>
      </c>
      <c r="AA505" s="162">
        <v>0</v>
      </c>
      <c r="AB505" s="162">
        <v>0</v>
      </c>
      <c r="AC505" s="162">
        <v>0</v>
      </c>
      <c r="AD505" s="160"/>
      <c r="AE505" s="145">
        <v>0</v>
      </c>
      <c r="AF505" s="163">
        <v>1.0469999999999999</v>
      </c>
      <c r="AG505" s="164">
        <v>1.046</v>
      </c>
      <c r="AH505" s="164">
        <v>1.046</v>
      </c>
      <c r="AI505" s="164">
        <v>0</v>
      </c>
      <c r="AJ505" s="164">
        <f t="shared" si="60"/>
        <v>0</v>
      </c>
      <c r="AK505" s="165">
        <v>0</v>
      </c>
      <c r="AL505" s="165">
        <v>0</v>
      </c>
      <c r="AM505" s="165">
        <f t="shared" si="63"/>
        <v>0</v>
      </c>
      <c r="AN505" s="165">
        <f t="shared" si="64"/>
        <v>0</v>
      </c>
      <c r="AO505" s="16"/>
      <c r="AP505" s="231">
        <f t="shared" si="61"/>
        <v>0</v>
      </c>
      <c r="AR505" s="231"/>
      <c r="AS505" s="231"/>
      <c r="AU505" s="230">
        <v>0</v>
      </c>
      <c r="AV505" s="233">
        <v>0</v>
      </c>
      <c r="AW505" s="230">
        <f t="shared" si="59"/>
        <v>0</v>
      </c>
    </row>
    <row r="506" spans="1:49" hidden="1" x14ac:dyDescent="0.3">
      <c r="A506" s="16" t="s">
        <v>349</v>
      </c>
      <c r="B506" s="39" t="s">
        <v>1146</v>
      </c>
      <c r="C506" s="39" t="s">
        <v>82</v>
      </c>
      <c r="D506" s="340" t="s">
        <v>3471</v>
      </c>
      <c r="E506" s="159" t="s">
        <v>1085</v>
      </c>
      <c r="F506" s="159" t="s">
        <v>848</v>
      </c>
      <c r="G506" s="159" t="s">
        <v>309</v>
      </c>
      <c r="H506" s="159" t="s">
        <v>334</v>
      </c>
      <c r="I506" s="159" t="s">
        <v>351</v>
      </c>
      <c r="J506" s="159" t="s">
        <v>312</v>
      </c>
      <c r="K506" s="159" t="s">
        <v>1849</v>
      </c>
      <c r="L506" s="39" t="s">
        <v>304</v>
      </c>
      <c r="M506" s="39" t="s">
        <v>305</v>
      </c>
      <c r="N506" s="39">
        <v>11</v>
      </c>
      <c r="O506" s="39" t="s">
        <v>82</v>
      </c>
      <c r="P506" s="39" t="s">
        <v>350</v>
      </c>
      <c r="Q506" s="39" t="s">
        <v>1146</v>
      </c>
      <c r="R506" s="16" t="s">
        <v>349</v>
      </c>
      <c r="S506" s="160">
        <v>0</v>
      </c>
      <c r="T506" s="160">
        <v>0</v>
      </c>
      <c r="U506" s="160">
        <v>0</v>
      </c>
      <c r="V506" s="160">
        <v>0</v>
      </c>
      <c r="W506" s="160">
        <v>0</v>
      </c>
      <c r="X506" s="161">
        <v>0</v>
      </c>
      <c r="Y506" s="160"/>
      <c r="Z506" s="16">
        <v>0</v>
      </c>
      <c r="AA506" s="162">
        <v>0</v>
      </c>
      <c r="AB506" s="162">
        <v>0</v>
      </c>
      <c r="AC506" s="162">
        <v>0</v>
      </c>
      <c r="AD506" s="160"/>
      <c r="AE506" s="145">
        <v>0</v>
      </c>
      <c r="AF506" s="163">
        <v>1.0469999999999999</v>
      </c>
      <c r="AG506" s="164">
        <v>1.046</v>
      </c>
      <c r="AH506" s="164">
        <v>1.046</v>
      </c>
      <c r="AI506" s="164">
        <v>0</v>
      </c>
      <c r="AJ506" s="164">
        <f t="shared" si="60"/>
        <v>0</v>
      </c>
      <c r="AK506" s="165">
        <v>0</v>
      </c>
      <c r="AL506" s="165">
        <v>0</v>
      </c>
      <c r="AM506" s="165">
        <f t="shared" si="63"/>
        <v>0</v>
      </c>
      <c r="AN506" s="165">
        <f t="shared" si="64"/>
        <v>0</v>
      </c>
      <c r="AO506" s="16"/>
      <c r="AP506" s="231">
        <f t="shared" si="61"/>
        <v>0</v>
      </c>
      <c r="AR506" s="231"/>
      <c r="AS506" s="231"/>
      <c r="AU506" s="230">
        <v>0</v>
      </c>
      <c r="AV506" s="233">
        <v>0</v>
      </c>
      <c r="AW506" s="230">
        <f t="shared" si="59"/>
        <v>0</v>
      </c>
    </row>
    <row r="507" spans="1:49" hidden="1" x14ac:dyDescent="0.3">
      <c r="A507" s="16" t="s">
        <v>353</v>
      </c>
      <c r="B507" s="39" t="s">
        <v>1147</v>
      </c>
      <c r="C507" s="39" t="s">
        <v>82</v>
      </c>
      <c r="D507" s="340" t="s">
        <v>3471</v>
      </c>
      <c r="E507" s="159" t="s">
        <v>1085</v>
      </c>
      <c r="F507" s="159" t="s">
        <v>848</v>
      </c>
      <c r="G507" s="159" t="s">
        <v>309</v>
      </c>
      <c r="H507" s="159" t="s">
        <v>334</v>
      </c>
      <c r="I507" s="159" t="s">
        <v>355</v>
      </c>
      <c r="J507" s="159" t="s">
        <v>312</v>
      </c>
      <c r="K507" s="159" t="s">
        <v>1849</v>
      </c>
      <c r="L507" s="39" t="s">
        <v>304</v>
      </c>
      <c r="M507" s="39" t="s">
        <v>305</v>
      </c>
      <c r="N507" s="39">
        <v>11</v>
      </c>
      <c r="O507" s="39" t="s">
        <v>82</v>
      </c>
      <c r="P507" s="39" t="s">
        <v>354</v>
      </c>
      <c r="Q507" s="39" t="s">
        <v>1147</v>
      </c>
      <c r="R507" s="16" t="s">
        <v>353</v>
      </c>
      <c r="S507" s="160">
        <v>0</v>
      </c>
      <c r="T507" s="160">
        <v>0</v>
      </c>
      <c r="U507" s="160">
        <v>0</v>
      </c>
      <c r="V507" s="160">
        <v>0</v>
      </c>
      <c r="W507" s="160">
        <v>0</v>
      </c>
      <c r="X507" s="161">
        <v>0</v>
      </c>
      <c r="Y507" s="160"/>
      <c r="Z507" s="16">
        <v>0</v>
      </c>
      <c r="AA507" s="162">
        <v>0</v>
      </c>
      <c r="AB507" s="162">
        <v>0</v>
      </c>
      <c r="AC507" s="162">
        <v>0</v>
      </c>
      <c r="AD507" s="160"/>
      <c r="AE507" s="145">
        <v>0</v>
      </c>
      <c r="AF507" s="163">
        <v>1.0469999999999999</v>
      </c>
      <c r="AG507" s="164">
        <v>1.046</v>
      </c>
      <c r="AH507" s="164">
        <v>1.046</v>
      </c>
      <c r="AI507" s="164">
        <v>0</v>
      </c>
      <c r="AJ507" s="164">
        <f t="shared" si="60"/>
        <v>0</v>
      </c>
      <c r="AK507" s="165">
        <v>0</v>
      </c>
      <c r="AL507" s="165">
        <v>0</v>
      </c>
      <c r="AM507" s="165">
        <f t="shared" si="63"/>
        <v>0</v>
      </c>
      <c r="AN507" s="165">
        <f t="shared" si="64"/>
        <v>0</v>
      </c>
      <c r="AO507" s="16"/>
      <c r="AP507" s="231">
        <f t="shared" si="61"/>
        <v>0</v>
      </c>
      <c r="AR507" s="231"/>
      <c r="AS507" s="231"/>
      <c r="AU507" s="230">
        <v>0</v>
      </c>
      <c r="AV507" s="233">
        <v>0</v>
      </c>
      <c r="AW507" s="230">
        <f t="shared" si="59"/>
        <v>0</v>
      </c>
    </row>
    <row r="508" spans="1:49" hidden="1" x14ac:dyDescent="0.3">
      <c r="A508" s="16" t="s">
        <v>357</v>
      </c>
      <c r="B508" s="39" t="s">
        <v>1148</v>
      </c>
      <c r="C508" s="39" t="s">
        <v>82</v>
      </c>
      <c r="D508" s="340" t="s">
        <v>3471</v>
      </c>
      <c r="E508" s="159" t="s">
        <v>1085</v>
      </c>
      <c r="F508" s="159" t="s">
        <v>848</v>
      </c>
      <c r="G508" s="159" t="s">
        <v>309</v>
      </c>
      <c r="H508" s="159" t="s">
        <v>334</v>
      </c>
      <c r="I508" s="159" t="s">
        <v>359</v>
      </c>
      <c r="J508" s="159" t="s">
        <v>312</v>
      </c>
      <c r="K508" s="159" t="s">
        <v>1849</v>
      </c>
      <c r="L508" s="39" t="s">
        <v>304</v>
      </c>
      <c r="M508" s="39" t="s">
        <v>305</v>
      </c>
      <c r="N508" s="39">
        <v>11</v>
      </c>
      <c r="O508" s="39" t="s">
        <v>82</v>
      </c>
      <c r="P508" s="39" t="s">
        <v>358</v>
      </c>
      <c r="Q508" s="39" t="s">
        <v>1148</v>
      </c>
      <c r="R508" s="16" t="s">
        <v>357</v>
      </c>
      <c r="S508" s="160">
        <v>0</v>
      </c>
      <c r="T508" s="160">
        <v>0</v>
      </c>
      <c r="U508" s="160">
        <v>0</v>
      </c>
      <c r="V508" s="160">
        <v>0</v>
      </c>
      <c r="W508" s="160">
        <v>0</v>
      </c>
      <c r="X508" s="161">
        <v>0</v>
      </c>
      <c r="Y508" s="160"/>
      <c r="Z508" s="16">
        <v>0</v>
      </c>
      <c r="AA508" s="162">
        <v>0</v>
      </c>
      <c r="AB508" s="162">
        <v>0</v>
      </c>
      <c r="AC508" s="162">
        <v>0</v>
      </c>
      <c r="AD508" s="160"/>
      <c r="AE508" s="145">
        <v>0</v>
      </c>
      <c r="AF508" s="163">
        <v>1.0469999999999999</v>
      </c>
      <c r="AG508" s="164">
        <v>1.046</v>
      </c>
      <c r="AH508" s="164">
        <v>1.046</v>
      </c>
      <c r="AI508" s="164">
        <v>0</v>
      </c>
      <c r="AJ508" s="164">
        <f t="shared" si="60"/>
        <v>0</v>
      </c>
      <c r="AK508" s="165">
        <v>0</v>
      </c>
      <c r="AL508" s="165">
        <v>0</v>
      </c>
      <c r="AM508" s="165">
        <f t="shared" si="63"/>
        <v>0</v>
      </c>
      <c r="AN508" s="165">
        <f t="shared" si="64"/>
        <v>0</v>
      </c>
      <c r="AO508" s="16"/>
      <c r="AP508" s="231">
        <f t="shared" si="61"/>
        <v>0</v>
      </c>
      <c r="AR508" s="231"/>
      <c r="AS508" s="231"/>
      <c r="AU508" s="230">
        <v>0</v>
      </c>
      <c r="AV508" s="233">
        <v>0</v>
      </c>
      <c r="AW508" s="230">
        <f t="shared" si="59"/>
        <v>0</v>
      </c>
    </row>
    <row r="509" spans="1:49" hidden="1" x14ac:dyDescent="0.3">
      <c r="A509" s="16" t="s">
        <v>527</v>
      </c>
      <c r="B509" s="39" t="s">
        <v>1149</v>
      </c>
      <c r="C509" s="39" t="s">
        <v>82</v>
      </c>
      <c r="D509" s="340" t="s">
        <v>3471</v>
      </c>
      <c r="E509" s="159" t="s">
        <v>1085</v>
      </c>
      <c r="F509" s="159" t="s">
        <v>848</v>
      </c>
      <c r="G509" s="159" t="s">
        <v>309</v>
      </c>
      <c r="H509" s="159" t="s">
        <v>334</v>
      </c>
      <c r="I509" s="159" t="s">
        <v>529</v>
      </c>
      <c r="J509" s="159" t="s">
        <v>312</v>
      </c>
      <c r="K509" s="159" t="s">
        <v>1849</v>
      </c>
      <c r="L509" s="39" t="s">
        <v>304</v>
      </c>
      <c r="M509" s="39" t="s">
        <v>305</v>
      </c>
      <c r="N509" s="39">
        <v>11</v>
      </c>
      <c r="O509" s="39" t="s">
        <v>82</v>
      </c>
      <c r="P509" s="39" t="s">
        <v>585</v>
      </c>
      <c r="Q509" s="39" t="s">
        <v>1149</v>
      </c>
      <c r="R509" s="16" t="s">
        <v>527</v>
      </c>
      <c r="S509" s="160">
        <v>0</v>
      </c>
      <c r="T509" s="160">
        <v>0</v>
      </c>
      <c r="U509" s="160">
        <v>0</v>
      </c>
      <c r="V509" s="160">
        <v>0</v>
      </c>
      <c r="W509" s="160">
        <v>0</v>
      </c>
      <c r="X509" s="161">
        <v>0</v>
      </c>
      <c r="Y509" s="160"/>
      <c r="Z509" s="16">
        <v>0</v>
      </c>
      <c r="AA509" s="162">
        <v>0</v>
      </c>
      <c r="AB509" s="162">
        <v>0</v>
      </c>
      <c r="AC509" s="162">
        <v>0</v>
      </c>
      <c r="AD509" s="160"/>
      <c r="AE509" s="145">
        <v>0</v>
      </c>
      <c r="AF509" s="163">
        <v>1.0469999999999999</v>
      </c>
      <c r="AG509" s="164">
        <v>1.046</v>
      </c>
      <c r="AH509" s="164">
        <v>1.046</v>
      </c>
      <c r="AI509" s="164">
        <v>0</v>
      </c>
      <c r="AJ509" s="164">
        <f t="shared" si="60"/>
        <v>0</v>
      </c>
      <c r="AK509" s="165">
        <v>0</v>
      </c>
      <c r="AL509" s="165">
        <v>0</v>
      </c>
      <c r="AM509" s="165">
        <f t="shared" si="63"/>
        <v>0</v>
      </c>
      <c r="AN509" s="165">
        <f t="shared" si="64"/>
        <v>0</v>
      </c>
      <c r="AO509" s="16"/>
      <c r="AP509" s="231">
        <f t="shared" si="61"/>
        <v>0</v>
      </c>
      <c r="AR509" s="231"/>
      <c r="AS509" s="231"/>
      <c r="AU509" s="230">
        <v>0</v>
      </c>
      <c r="AV509" s="233">
        <v>0</v>
      </c>
      <c r="AW509" s="230">
        <f t="shared" si="59"/>
        <v>0</v>
      </c>
    </row>
    <row r="510" spans="1:49" hidden="1" x14ac:dyDescent="0.3">
      <c r="A510" s="16" t="s">
        <v>83</v>
      </c>
      <c r="B510" s="39" t="s">
        <v>1150</v>
      </c>
      <c r="C510" s="39" t="s">
        <v>423</v>
      </c>
      <c r="D510" s="340" t="s">
        <v>3471</v>
      </c>
      <c r="E510" s="159" t="s">
        <v>1085</v>
      </c>
      <c r="F510" s="159" t="s">
        <v>848</v>
      </c>
      <c r="G510" s="159" t="s">
        <v>309</v>
      </c>
      <c r="H510" s="159" t="s">
        <v>424</v>
      </c>
      <c r="I510" s="159" t="s">
        <v>425</v>
      </c>
      <c r="J510" s="159" t="s">
        <v>426</v>
      </c>
      <c r="K510" s="159" t="s">
        <v>1849</v>
      </c>
      <c r="L510" s="39" t="s">
        <v>304</v>
      </c>
      <c r="M510" s="39" t="s">
        <v>305</v>
      </c>
      <c r="N510" s="39">
        <v>11</v>
      </c>
      <c r="O510" s="39" t="s">
        <v>423</v>
      </c>
      <c r="P510" s="39" t="s">
        <v>423</v>
      </c>
      <c r="Q510" s="39" t="s">
        <v>1150</v>
      </c>
      <c r="R510" s="16" t="s">
        <v>83</v>
      </c>
      <c r="S510" s="160">
        <v>125000</v>
      </c>
      <c r="T510" s="160">
        <v>9365</v>
      </c>
      <c r="U510" s="160">
        <v>0</v>
      </c>
      <c r="V510" s="160">
        <v>40646.5</v>
      </c>
      <c r="W510" s="160">
        <v>84353.5</v>
      </c>
      <c r="X510" s="161">
        <v>0</v>
      </c>
      <c r="Y510" s="160"/>
      <c r="Z510" s="16">
        <v>32.51</v>
      </c>
      <c r="AA510" s="162">
        <v>40646.5</v>
      </c>
      <c r="AB510" s="162">
        <v>10161.625</v>
      </c>
      <c r="AC510" s="162">
        <v>121939.5</v>
      </c>
      <c r="AD510" s="160"/>
      <c r="AE510" s="145">
        <v>125000</v>
      </c>
      <c r="AF510" s="163">
        <v>1.0469999999999999</v>
      </c>
      <c r="AG510" s="164">
        <v>1.046</v>
      </c>
      <c r="AH510" s="164">
        <v>1.046</v>
      </c>
      <c r="AI510" s="164">
        <v>125000</v>
      </c>
      <c r="AJ510" s="164">
        <f t="shared" si="60"/>
        <v>0</v>
      </c>
      <c r="AK510" s="165">
        <v>125000</v>
      </c>
      <c r="AL510" s="165">
        <f t="shared" ref="AL510:AL573" si="66">AK510</f>
        <v>125000</v>
      </c>
      <c r="AM510" s="165">
        <f t="shared" si="63"/>
        <v>130750</v>
      </c>
      <c r="AN510" s="165">
        <f t="shared" si="64"/>
        <v>136764.5</v>
      </c>
      <c r="AO510" s="16"/>
      <c r="AP510" s="231">
        <f t="shared" si="61"/>
        <v>0</v>
      </c>
      <c r="AR510" s="231"/>
      <c r="AS510" s="231"/>
      <c r="AU510" s="230">
        <v>125000</v>
      </c>
      <c r="AV510" s="233">
        <v>125000</v>
      </c>
      <c r="AW510" s="230">
        <f t="shared" si="59"/>
        <v>0</v>
      </c>
    </row>
    <row r="511" spans="1:49" hidden="1" x14ac:dyDescent="0.3">
      <c r="A511" s="16" t="s">
        <v>897</v>
      </c>
      <c r="B511" s="39" t="s">
        <v>1151</v>
      </c>
      <c r="C511" s="39" t="s">
        <v>423</v>
      </c>
      <c r="D511" s="340" t="s">
        <v>3471</v>
      </c>
      <c r="E511" s="159" t="s">
        <v>1085</v>
      </c>
      <c r="F511" s="159" t="s">
        <v>848</v>
      </c>
      <c r="G511" s="159" t="s">
        <v>309</v>
      </c>
      <c r="H511" s="159" t="s">
        <v>424</v>
      </c>
      <c r="I511" s="159" t="s">
        <v>425</v>
      </c>
      <c r="J511" s="159" t="s">
        <v>1152</v>
      </c>
      <c r="K511" s="159" t="s">
        <v>1849</v>
      </c>
      <c r="L511" s="39" t="s">
        <v>304</v>
      </c>
      <c r="M511" s="39" t="s">
        <v>305</v>
      </c>
      <c r="N511" s="39">
        <v>11</v>
      </c>
      <c r="O511" s="39" t="s">
        <v>423</v>
      </c>
      <c r="P511" s="39" t="s">
        <v>423</v>
      </c>
      <c r="Q511" s="39" t="s">
        <v>1151</v>
      </c>
      <c r="R511" s="16" t="s">
        <v>897</v>
      </c>
      <c r="S511" s="160">
        <v>1048000</v>
      </c>
      <c r="T511" s="160">
        <v>38217.129999999997</v>
      </c>
      <c r="U511" s="160">
        <v>0</v>
      </c>
      <c r="V511" s="160">
        <v>144574.35</v>
      </c>
      <c r="W511" s="160">
        <v>903425.65</v>
      </c>
      <c r="X511" s="161">
        <v>0</v>
      </c>
      <c r="Y511" s="160"/>
      <c r="Z511" s="16">
        <v>13.79</v>
      </c>
      <c r="AA511" s="162">
        <v>144574.35</v>
      </c>
      <c r="AB511" s="162">
        <v>36143.587500000001</v>
      </c>
      <c r="AC511" s="162">
        <v>433723.05000000005</v>
      </c>
      <c r="AD511" s="160"/>
      <c r="AE511" s="145">
        <v>1048000</v>
      </c>
      <c r="AF511" s="163">
        <v>1.0469999999999999</v>
      </c>
      <c r="AG511" s="164">
        <v>1.046</v>
      </c>
      <c r="AH511" s="164">
        <v>1.046</v>
      </c>
      <c r="AI511" s="164">
        <v>1048000</v>
      </c>
      <c r="AJ511" s="164">
        <f t="shared" si="60"/>
        <v>0</v>
      </c>
      <c r="AK511" s="165">
        <v>1200000</v>
      </c>
      <c r="AL511" s="165">
        <f t="shared" si="66"/>
        <v>1200000</v>
      </c>
      <c r="AM511" s="165">
        <f t="shared" si="63"/>
        <v>1255200</v>
      </c>
      <c r="AN511" s="165">
        <f t="shared" si="64"/>
        <v>1312939.2</v>
      </c>
      <c r="AO511" s="16"/>
      <c r="AP511" s="231">
        <f t="shared" si="61"/>
        <v>0</v>
      </c>
      <c r="AR511" s="231"/>
      <c r="AS511" s="231"/>
      <c r="AU511" s="230">
        <v>1048000</v>
      </c>
      <c r="AV511" s="233">
        <v>1048000</v>
      </c>
      <c r="AW511" s="230">
        <f t="shared" si="59"/>
        <v>0</v>
      </c>
    </row>
    <row r="512" spans="1:49" hidden="1" x14ac:dyDescent="0.3">
      <c r="A512" s="16" t="s">
        <v>730</v>
      </c>
      <c r="B512" s="39" t="s">
        <v>1153</v>
      </c>
      <c r="C512" s="39" t="s">
        <v>423</v>
      </c>
      <c r="D512" s="340" t="s">
        <v>3471</v>
      </c>
      <c r="E512" s="159" t="s">
        <v>1085</v>
      </c>
      <c r="F512" s="159" t="s">
        <v>848</v>
      </c>
      <c r="G512" s="159" t="s">
        <v>309</v>
      </c>
      <c r="H512" s="159" t="s">
        <v>424</v>
      </c>
      <c r="I512" s="159" t="s">
        <v>425</v>
      </c>
      <c r="J512" s="159" t="s">
        <v>731</v>
      </c>
      <c r="K512" s="159" t="s">
        <v>1849</v>
      </c>
      <c r="L512" s="39" t="s">
        <v>304</v>
      </c>
      <c r="M512" s="39" t="s">
        <v>305</v>
      </c>
      <c r="N512" s="39">
        <v>11</v>
      </c>
      <c r="O512" s="39" t="s">
        <v>423</v>
      </c>
      <c r="P512" s="39" t="s">
        <v>423</v>
      </c>
      <c r="Q512" s="39" t="s">
        <v>1153</v>
      </c>
      <c r="R512" s="16" t="s">
        <v>730</v>
      </c>
      <c r="S512" s="160">
        <v>0</v>
      </c>
      <c r="T512" s="160">
        <v>0</v>
      </c>
      <c r="U512" s="160">
        <v>0</v>
      </c>
      <c r="V512" s="160">
        <v>0</v>
      </c>
      <c r="W512" s="160">
        <v>0</v>
      </c>
      <c r="X512" s="161">
        <v>0</v>
      </c>
      <c r="Y512" s="160"/>
      <c r="Z512" s="16">
        <v>0</v>
      </c>
      <c r="AA512" s="162">
        <v>0</v>
      </c>
      <c r="AB512" s="162">
        <v>0</v>
      </c>
      <c r="AC512" s="162">
        <v>0</v>
      </c>
      <c r="AD512" s="160"/>
      <c r="AE512" s="145">
        <v>0</v>
      </c>
      <c r="AF512" s="163">
        <v>1.0469999999999999</v>
      </c>
      <c r="AG512" s="164">
        <v>1.046</v>
      </c>
      <c r="AH512" s="164">
        <v>1.046</v>
      </c>
      <c r="AI512" s="164">
        <v>0</v>
      </c>
      <c r="AJ512" s="164">
        <f t="shared" si="60"/>
        <v>0</v>
      </c>
      <c r="AK512" s="165">
        <v>0</v>
      </c>
      <c r="AL512" s="165">
        <f t="shared" si="66"/>
        <v>0</v>
      </c>
      <c r="AM512" s="165">
        <f t="shared" si="63"/>
        <v>0</v>
      </c>
      <c r="AN512" s="165">
        <f t="shared" si="64"/>
        <v>0</v>
      </c>
      <c r="AO512" s="16"/>
      <c r="AP512" s="231">
        <f t="shared" si="61"/>
        <v>0</v>
      </c>
      <c r="AR512" s="231"/>
      <c r="AS512" s="231"/>
      <c r="AU512" s="230">
        <v>0</v>
      </c>
      <c r="AV512" s="233">
        <v>0</v>
      </c>
      <c r="AW512" s="230">
        <f t="shared" si="59"/>
        <v>0</v>
      </c>
    </row>
    <row r="513" spans="1:49" hidden="1" x14ac:dyDescent="0.3">
      <c r="A513" s="16" t="s">
        <v>537</v>
      </c>
      <c r="B513" s="39" t="s">
        <v>1154</v>
      </c>
      <c r="C513" s="39" t="s">
        <v>423</v>
      </c>
      <c r="D513" s="340" t="s">
        <v>3471</v>
      </c>
      <c r="E513" s="159" t="s">
        <v>1085</v>
      </c>
      <c r="F513" s="159" t="s">
        <v>848</v>
      </c>
      <c r="G513" s="159" t="s">
        <v>309</v>
      </c>
      <c r="H513" s="159" t="s">
        <v>424</v>
      </c>
      <c r="I513" s="159" t="s">
        <v>425</v>
      </c>
      <c r="J513" s="159" t="s">
        <v>538</v>
      </c>
      <c r="K513" s="159" t="s">
        <v>1849</v>
      </c>
      <c r="L513" s="39" t="s">
        <v>304</v>
      </c>
      <c r="M513" s="39" t="s">
        <v>305</v>
      </c>
      <c r="N513" s="39">
        <v>11</v>
      </c>
      <c r="O513" s="39" t="s">
        <v>423</v>
      </c>
      <c r="P513" s="39" t="s">
        <v>423</v>
      </c>
      <c r="Q513" s="39" t="s">
        <v>1154</v>
      </c>
      <c r="R513" s="16" t="s">
        <v>537</v>
      </c>
      <c r="S513" s="160">
        <v>52400</v>
      </c>
      <c r="T513" s="160">
        <v>126</v>
      </c>
      <c r="U513" s="160">
        <v>0</v>
      </c>
      <c r="V513" s="160">
        <v>49731.89</v>
      </c>
      <c r="W513" s="160">
        <v>2668.11</v>
      </c>
      <c r="X513" s="161">
        <v>0</v>
      </c>
      <c r="Y513" s="160"/>
      <c r="Z513" s="16">
        <v>94.9</v>
      </c>
      <c r="AA513" s="162">
        <v>49731.89</v>
      </c>
      <c r="AB513" s="162">
        <v>12432.9725</v>
      </c>
      <c r="AC513" s="162">
        <v>149195.66999999998</v>
      </c>
      <c r="AD513" s="160"/>
      <c r="AE513" s="145">
        <v>52400</v>
      </c>
      <c r="AF513" s="163">
        <v>1.0469999999999999</v>
      </c>
      <c r="AG513" s="164">
        <v>1.046</v>
      </c>
      <c r="AH513" s="164">
        <v>1.046</v>
      </c>
      <c r="AI513" s="164">
        <v>52400</v>
      </c>
      <c r="AJ513" s="164">
        <f t="shared" si="60"/>
        <v>0</v>
      </c>
      <c r="AK513" s="165">
        <v>80000</v>
      </c>
      <c r="AL513" s="165">
        <f t="shared" si="66"/>
        <v>80000</v>
      </c>
      <c r="AM513" s="165">
        <f t="shared" si="63"/>
        <v>83680</v>
      </c>
      <c r="AN513" s="165">
        <f t="shared" si="64"/>
        <v>87529.279999999999</v>
      </c>
      <c r="AO513" s="16"/>
      <c r="AP513" s="231">
        <f t="shared" si="61"/>
        <v>0</v>
      </c>
      <c r="AR513" s="231"/>
      <c r="AS513" s="231"/>
      <c r="AU513" s="230">
        <v>52400</v>
      </c>
      <c r="AV513" s="233">
        <v>52400</v>
      </c>
      <c r="AW513" s="230">
        <f t="shared" si="59"/>
        <v>0</v>
      </c>
    </row>
    <row r="514" spans="1:49" hidden="1" x14ac:dyDescent="0.3">
      <c r="A514" s="16" t="s">
        <v>1156</v>
      </c>
      <c r="B514" s="39" t="s">
        <v>1155</v>
      </c>
      <c r="C514" s="39" t="s">
        <v>95</v>
      </c>
      <c r="D514" s="340" t="s">
        <v>3471</v>
      </c>
      <c r="E514" s="159" t="s">
        <v>1085</v>
      </c>
      <c r="F514" s="159" t="s">
        <v>848</v>
      </c>
      <c r="G514" s="159" t="s">
        <v>309</v>
      </c>
      <c r="H514" s="159" t="s">
        <v>501</v>
      </c>
      <c r="I514" s="159" t="s">
        <v>326</v>
      </c>
      <c r="J514" s="159" t="s">
        <v>312</v>
      </c>
      <c r="K514" s="159" t="s">
        <v>1849</v>
      </c>
      <c r="L514" s="39" t="s">
        <v>304</v>
      </c>
      <c r="M514" s="39" t="s">
        <v>305</v>
      </c>
      <c r="N514" s="39">
        <v>11</v>
      </c>
      <c r="O514" s="39" t="s">
        <v>95</v>
      </c>
      <c r="P514" s="39" t="s">
        <v>1157</v>
      </c>
      <c r="Q514" s="39" t="s">
        <v>1155</v>
      </c>
      <c r="R514" s="16" t="s">
        <v>1156</v>
      </c>
      <c r="S514" s="160">
        <v>0</v>
      </c>
      <c r="T514" s="160">
        <v>0</v>
      </c>
      <c r="U514" s="160">
        <v>0</v>
      </c>
      <c r="V514" s="160">
        <v>0</v>
      </c>
      <c r="W514" s="160">
        <v>0</v>
      </c>
      <c r="X514" s="161">
        <v>0</v>
      </c>
      <c r="Y514" s="160"/>
      <c r="Z514" s="16">
        <v>0</v>
      </c>
      <c r="AA514" s="162">
        <v>0</v>
      </c>
      <c r="AB514" s="162">
        <v>0</v>
      </c>
      <c r="AC514" s="162">
        <v>0</v>
      </c>
      <c r="AD514" s="160"/>
      <c r="AE514" s="145">
        <v>0</v>
      </c>
      <c r="AF514" s="163">
        <v>1.0469999999999999</v>
      </c>
      <c r="AG514" s="164">
        <v>1.046</v>
      </c>
      <c r="AH514" s="164">
        <v>1.046</v>
      </c>
      <c r="AI514" s="164">
        <v>0</v>
      </c>
      <c r="AJ514" s="164">
        <f t="shared" si="60"/>
        <v>0</v>
      </c>
      <c r="AK514" s="165">
        <v>0</v>
      </c>
      <c r="AL514" s="165">
        <f t="shared" si="66"/>
        <v>0</v>
      </c>
      <c r="AM514" s="165">
        <f t="shared" si="63"/>
        <v>0</v>
      </c>
      <c r="AN514" s="165">
        <f t="shared" si="64"/>
        <v>0</v>
      </c>
      <c r="AO514" s="16"/>
      <c r="AP514" s="231">
        <f t="shared" si="61"/>
        <v>0</v>
      </c>
      <c r="AR514" s="231"/>
      <c r="AS514" s="231"/>
      <c r="AU514" s="230">
        <v>0</v>
      </c>
      <c r="AV514" s="233">
        <v>0</v>
      </c>
      <c r="AW514" s="230">
        <f t="shared" ref="AW514:AW577" si="67">AU514-S514</f>
        <v>0</v>
      </c>
    </row>
    <row r="515" spans="1:49" hidden="1" x14ac:dyDescent="0.3">
      <c r="A515" s="16" t="s">
        <v>499</v>
      </c>
      <c r="B515" s="39" t="s">
        <v>1158</v>
      </c>
      <c r="C515" s="39" t="s">
        <v>95</v>
      </c>
      <c r="D515" s="340" t="s">
        <v>3471</v>
      </c>
      <c r="E515" s="159" t="s">
        <v>1085</v>
      </c>
      <c r="F515" s="159" t="s">
        <v>848</v>
      </c>
      <c r="G515" s="159" t="s">
        <v>309</v>
      </c>
      <c r="H515" s="159" t="s">
        <v>501</v>
      </c>
      <c r="I515" s="159" t="s">
        <v>502</v>
      </c>
      <c r="J515" s="159" t="s">
        <v>312</v>
      </c>
      <c r="K515" s="159" t="s">
        <v>1849</v>
      </c>
      <c r="L515" s="39" t="s">
        <v>304</v>
      </c>
      <c r="M515" s="39" t="s">
        <v>305</v>
      </c>
      <c r="N515" s="39">
        <v>11</v>
      </c>
      <c r="O515" s="39" t="s">
        <v>95</v>
      </c>
      <c r="P515" s="39" t="s">
        <v>95</v>
      </c>
      <c r="Q515" s="39" t="s">
        <v>1158</v>
      </c>
      <c r="R515" s="16" t="s">
        <v>499</v>
      </c>
      <c r="S515" s="160">
        <v>0</v>
      </c>
      <c r="T515" s="160">
        <v>0</v>
      </c>
      <c r="U515" s="160">
        <v>0</v>
      </c>
      <c r="V515" s="160">
        <v>0</v>
      </c>
      <c r="W515" s="160">
        <v>0</v>
      </c>
      <c r="X515" s="161">
        <v>0</v>
      </c>
      <c r="Y515" s="160"/>
      <c r="Z515" s="16">
        <v>0</v>
      </c>
      <c r="AA515" s="162">
        <v>0</v>
      </c>
      <c r="AB515" s="162">
        <v>0</v>
      </c>
      <c r="AC515" s="162">
        <v>0</v>
      </c>
      <c r="AD515" s="160"/>
      <c r="AE515" s="145">
        <v>0</v>
      </c>
      <c r="AF515" s="163">
        <v>1.0469999999999999</v>
      </c>
      <c r="AG515" s="164">
        <v>1.046</v>
      </c>
      <c r="AH515" s="164">
        <v>1.046</v>
      </c>
      <c r="AI515" s="164">
        <v>0</v>
      </c>
      <c r="AJ515" s="164">
        <f t="shared" si="60"/>
        <v>0</v>
      </c>
      <c r="AK515" s="165">
        <v>0</v>
      </c>
      <c r="AL515" s="165">
        <f t="shared" si="66"/>
        <v>0</v>
      </c>
      <c r="AM515" s="165">
        <f t="shared" si="63"/>
        <v>0</v>
      </c>
      <c r="AN515" s="165">
        <f t="shared" si="64"/>
        <v>0</v>
      </c>
      <c r="AO515" s="16"/>
      <c r="AP515" s="231">
        <f t="shared" si="61"/>
        <v>0</v>
      </c>
      <c r="AR515" s="231"/>
      <c r="AS515" s="231"/>
      <c r="AU515" s="230">
        <v>0</v>
      </c>
      <c r="AV515" s="233">
        <v>0</v>
      </c>
      <c r="AW515" s="230">
        <f t="shared" si="67"/>
        <v>0</v>
      </c>
    </row>
    <row r="516" spans="1:49" hidden="1" x14ac:dyDescent="0.3">
      <c r="A516" s="16" t="s">
        <v>931</v>
      </c>
      <c r="B516" s="39" t="s">
        <v>1159</v>
      </c>
      <c r="C516" s="39" t="s">
        <v>95</v>
      </c>
      <c r="D516" s="340" t="s">
        <v>3471</v>
      </c>
      <c r="E516" s="159" t="s">
        <v>1085</v>
      </c>
      <c r="F516" s="159" t="s">
        <v>848</v>
      </c>
      <c r="G516" s="159" t="s">
        <v>309</v>
      </c>
      <c r="H516" s="159" t="s">
        <v>501</v>
      </c>
      <c r="I516" s="159" t="s">
        <v>573</v>
      </c>
      <c r="J516" s="159" t="s">
        <v>312</v>
      </c>
      <c r="K516" s="159" t="s">
        <v>1849</v>
      </c>
      <c r="L516" s="39" t="s">
        <v>304</v>
      </c>
      <c r="M516" s="39" t="s">
        <v>305</v>
      </c>
      <c r="N516" s="39">
        <v>11</v>
      </c>
      <c r="O516" s="39" t="s">
        <v>95</v>
      </c>
      <c r="P516" s="39" t="s">
        <v>932</v>
      </c>
      <c r="Q516" s="39" t="s">
        <v>1159</v>
      </c>
      <c r="R516" s="16" t="s">
        <v>931</v>
      </c>
      <c r="S516" s="160">
        <v>0</v>
      </c>
      <c r="T516" s="160">
        <v>0</v>
      </c>
      <c r="U516" s="160">
        <v>0</v>
      </c>
      <c r="V516" s="160">
        <v>0</v>
      </c>
      <c r="W516" s="160">
        <v>0</v>
      </c>
      <c r="X516" s="161">
        <v>0</v>
      </c>
      <c r="Y516" s="160"/>
      <c r="Z516" s="16">
        <v>0</v>
      </c>
      <c r="AA516" s="162">
        <v>0</v>
      </c>
      <c r="AB516" s="162">
        <v>0</v>
      </c>
      <c r="AC516" s="162">
        <v>0</v>
      </c>
      <c r="AD516" s="160"/>
      <c r="AE516" s="145">
        <v>0</v>
      </c>
      <c r="AF516" s="163">
        <v>1.0469999999999999</v>
      </c>
      <c r="AG516" s="164">
        <v>1.046</v>
      </c>
      <c r="AH516" s="164">
        <v>1.046</v>
      </c>
      <c r="AI516" s="164">
        <v>0</v>
      </c>
      <c r="AJ516" s="164">
        <f t="shared" si="60"/>
        <v>0</v>
      </c>
      <c r="AK516" s="165">
        <v>0</v>
      </c>
      <c r="AL516" s="165">
        <f t="shared" si="66"/>
        <v>0</v>
      </c>
      <c r="AM516" s="165">
        <f t="shared" si="63"/>
        <v>0</v>
      </c>
      <c r="AN516" s="165">
        <f t="shared" si="64"/>
        <v>0</v>
      </c>
      <c r="AO516" s="16"/>
      <c r="AP516" s="231">
        <f t="shared" si="61"/>
        <v>0</v>
      </c>
      <c r="AR516" s="231"/>
      <c r="AS516" s="231"/>
      <c r="AU516" s="230">
        <v>0</v>
      </c>
      <c r="AV516" s="233">
        <v>0</v>
      </c>
      <c r="AW516" s="230">
        <f t="shared" si="67"/>
        <v>0</v>
      </c>
    </row>
    <row r="517" spans="1:49" hidden="1" x14ac:dyDescent="0.3">
      <c r="A517" s="16" t="s">
        <v>1161</v>
      </c>
      <c r="B517" s="39" t="s">
        <v>1160</v>
      </c>
      <c r="C517" s="39" t="s">
        <v>181</v>
      </c>
      <c r="D517" s="340" t="s">
        <v>3471</v>
      </c>
      <c r="E517" s="159" t="s">
        <v>1085</v>
      </c>
      <c r="F517" s="159" t="s">
        <v>848</v>
      </c>
      <c r="G517" s="159" t="s">
        <v>582</v>
      </c>
      <c r="H517" s="159" t="s">
        <v>805</v>
      </c>
      <c r="I517" s="159" t="s">
        <v>1163</v>
      </c>
      <c r="J517" s="159" t="s">
        <v>312</v>
      </c>
      <c r="K517" s="159" t="s">
        <v>1849</v>
      </c>
      <c r="L517" s="39" t="s">
        <v>304</v>
      </c>
      <c r="M517" s="39" t="s">
        <v>305</v>
      </c>
      <c r="N517" s="39">
        <v>11</v>
      </c>
      <c r="O517" s="39" t="s">
        <v>803</v>
      </c>
      <c r="P517" s="39" t="s">
        <v>1162</v>
      </c>
      <c r="Q517" s="39" t="s">
        <v>1160</v>
      </c>
      <c r="R517" s="16" t="s">
        <v>1161</v>
      </c>
      <c r="S517" s="160">
        <v>-900000</v>
      </c>
      <c r="T517" s="160">
        <v>0</v>
      </c>
      <c r="U517" s="160">
        <v>0</v>
      </c>
      <c r="V517" s="160">
        <v>0</v>
      </c>
      <c r="W517" s="160">
        <v>-900000</v>
      </c>
      <c r="X517" s="161">
        <v>0</v>
      </c>
      <c r="Y517" s="160"/>
      <c r="Z517" s="16">
        <v>0</v>
      </c>
      <c r="AA517" s="162">
        <v>0</v>
      </c>
      <c r="AB517" s="162">
        <v>0</v>
      </c>
      <c r="AC517" s="162">
        <v>0</v>
      </c>
      <c r="AD517" s="160"/>
      <c r="AE517" s="145">
        <v>-900000</v>
      </c>
      <c r="AF517" s="163">
        <v>1.0469999999999999</v>
      </c>
      <c r="AG517" s="164">
        <v>1.046</v>
      </c>
      <c r="AH517" s="164">
        <v>1.046</v>
      </c>
      <c r="AI517" s="164">
        <v>-900000</v>
      </c>
      <c r="AJ517" s="164">
        <f t="shared" si="60"/>
        <v>0</v>
      </c>
      <c r="AK517" s="165">
        <v>-900000</v>
      </c>
      <c r="AL517" s="165">
        <f t="shared" si="66"/>
        <v>-900000</v>
      </c>
      <c r="AM517" s="165">
        <f t="shared" si="63"/>
        <v>-941400</v>
      </c>
      <c r="AN517" s="165">
        <f t="shared" si="64"/>
        <v>-984704.4</v>
      </c>
      <c r="AO517" s="16"/>
      <c r="AP517" s="231">
        <f t="shared" si="61"/>
        <v>0</v>
      </c>
      <c r="AR517" s="231"/>
      <c r="AS517" s="231"/>
      <c r="AU517" s="230">
        <v>-900000</v>
      </c>
      <c r="AV517" s="233">
        <v>-900000</v>
      </c>
      <c r="AW517" s="230">
        <f t="shared" si="67"/>
        <v>0</v>
      </c>
    </row>
    <row r="518" spans="1:49" hidden="1" x14ac:dyDescent="0.3">
      <c r="A518" s="16" t="s">
        <v>1166</v>
      </c>
      <c r="B518" s="39" t="s">
        <v>1164</v>
      </c>
      <c r="C518" s="39" t="s">
        <v>1165</v>
      </c>
      <c r="D518" s="340" t="s">
        <v>3471</v>
      </c>
      <c r="E518" s="159" t="s">
        <v>1085</v>
      </c>
      <c r="F518" s="159" t="s">
        <v>848</v>
      </c>
      <c r="G518" s="159" t="s">
        <v>582</v>
      </c>
      <c r="H518" s="159" t="s">
        <v>805</v>
      </c>
      <c r="I518" s="159" t="s">
        <v>326</v>
      </c>
      <c r="J518" s="159" t="s">
        <v>312</v>
      </c>
      <c r="K518" s="159" t="s">
        <v>1849</v>
      </c>
      <c r="L518" s="39" t="s">
        <v>304</v>
      </c>
      <c r="M518" s="39" t="s">
        <v>305</v>
      </c>
      <c r="N518" s="39">
        <v>11</v>
      </c>
      <c r="O518" s="39" t="s">
        <v>184</v>
      </c>
      <c r="P518" s="39" t="s">
        <v>1165</v>
      </c>
      <c r="Q518" s="39" t="s">
        <v>1164</v>
      </c>
      <c r="R518" s="16" t="s">
        <v>1166</v>
      </c>
      <c r="S518" s="160">
        <v>0</v>
      </c>
      <c r="T518" s="160">
        <v>0</v>
      </c>
      <c r="U518" s="160">
        <v>0</v>
      </c>
      <c r="V518" s="160">
        <v>0</v>
      </c>
      <c r="W518" s="160">
        <v>0</v>
      </c>
      <c r="X518" s="161">
        <v>0</v>
      </c>
      <c r="Y518" s="160"/>
      <c r="Z518" s="16">
        <v>0</v>
      </c>
      <c r="AA518" s="162">
        <v>0</v>
      </c>
      <c r="AB518" s="162">
        <v>0</v>
      </c>
      <c r="AC518" s="162">
        <v>0</v>
      </c>
      <c r="AD518" s="160"/>
      <c r="AE518" s="145">
        <v>0</v>
      </c>
      <c r="AF518" s="163">
        <v>1.0469999999999999</v>
      </c>
      <c r="AG518" s="164">
        <v>1.046</v>
      </c>
      <c r="AH518" s="164">
        <v>1.046</v>
      </c>
      <c r="AI518" s="164">
        <v>0</v>
      </c>
      <c r="AJ518" s="164">
        <f t="shared" si="60"/>
        <v>0</v>
      </c>
      <c r="AK518" s="165">
        <v>0</v>
      </c>
      <c r="AL518" s="165">
        <f t="shared" si="66"/>
        <v>0</v>
      </c>
      <c r="AM518" s="165">
        <f t="shared" si="63"/>
        <v>0</v>
      </c>
      <c r="AN518" s="165">
        <f t="shared" si="64"/>
        <v>0</v>
      </c>
      <c r="AO518" s="16"/>
      <c r="AP518" s="231">
        <f t="shared" si="61"/>
        <v>0</v>
      </c>
      <c r="AR518" s="231"/>
      <c r="AS518" s="231"/>
      <c r="AU518" s="230">
        <v>0</v>
      </c>
      <c r="AV518" s="233">
        <v>0</v>
      </c>
      <c r="AW518" s="230">
        <f t="shared" si="67"/>
        <v>0</v>
      </c>
    </row>
    <row r="519" spans="1:49" hidden="1" x14ac:dyDescent="0.3">
      <c r="A519" s="16" t="s">
        <v>1169</v>
      </c>
      <c r="B519" s="39" t="s">
        <v>1167</v>
      </c>
      <c r="C519" s="39" t="s">
        <v>1168</v>
      </c>
      <c r="D519" s="340" t="s">
        <v>3471</v>
      </c>
      <c r="E519" s="159" t="s">
        <v>1085</v>
      </c>
      <c r="F519" s="159" t="s">
        <v>848</v>
      </c>
      <c r="G519" s="159" t="s">
        <v>582</v>
      </c>
      <c r="H519" s="159" t="s">
        <v>1074</v>
      </c>
      <c r="I519" s="159" t="s">
        <v>407</v>
      </c>
      <c r="J519" s="159" t="s">
        <v>312</v>
      </c>
      <c r="K519" s="159" t="s">
        <v>1849</v>
      </c>
      <c r="L519" s="39" t="s">
        <v>304</v>
      </c>
      <c r="M519" s="39" t="s">
        <v>305</v>
      </c>
      <c r="N519" s="39">
        <v>11</v>
      </c>
      <c r="O519" s="39" t="s">
        <v>1168</v>
      </c>
      <c r="P519" s="39" t="s">
        <v>1168</v>
      </c>
      <c r="Q519" s="39" t="s">
        <v>1167</v>
      </c>
      <c r="R519" s="16" t="s">
        <v>1169</v>
      </c>
      <c r="S519" s="160">
        <v>0</v>
      </c>
      <c r="T519" s="160">
        <v>0</v>
      </c>
      <c r="U519" s="160">
        <v>0</v>
      </c>
      <c r="V519" s="160">
        <v>0</v>
      </c>
      <c r="W519" s="160">
        <v>0</v>
      </c>
      <c r="X519" s="161">
        <v>0</v>
      </c>
      <c r="Y519" s="160"/>
      <c r="Z519" s="16">
        <v>0</v>
      </c>
      <c r="AA519" s="162">
        <v>0</v>
      </c>
      <c r="AB519" s="162">
        <v>0</v>
      </c>
      <c r="AC519" s="162">
        <v>0</v>
      </c>
      <c r="AD519" s="160"/>
      <c r="AE519" s="145">
        <v>0</v>
      </c>
      <c r="AF519" s="163">
        <v>1.0469999999999999</v>
      </c>
      <c r="AG519" s="164">
        <v>1.046</v>
      </c>
      <c r="AH519" s="164">
        <v>1.046</v>
      </c>
      <c r="AI519" s="164">
        <v>0</v>
      </c>
      <c r="AJ519" s="164">
        <f t="shared" ref="AJ519:AJ582" si="68">AE519-AI519</f>
        <v>0</v>
      </c>
      <c r="AK519" s="165">
        <v>0</v>
      </c>
      <c r="AL519" s="165">
        <f t="shared" si="66"/>
        <v>0</v>
      </c>
      <c r="AM519" s="165">
        <f t="shared" si="63"/>
        <v>0</v>
      </c>
      <c r="AN519" s="165">
        <f t="shared" si="64"/>
        <v>0</v>
      </c>
      <c r="AO519" s="16"/>
      <c r="AP519" s="231">
        <f t="shared" ref="AP519:AP582" si="69">AK519-AL519</f>
        <v>0</v>
      </c>
      <c r="AR519" s="231"/>
      <c r="AS519" s="231"/>
      <c r="AU519" s="230">
        <v>0</v>
      </c>
      <c r="AV519" s="233">
        <v>0</v>
      </c>
      <c r="AW519" s="230">
        <f t="shared" si="67"/>
        <v>0</v>
      </c>
    </row>
    <row r="520" spans="1:49" hidden="1" x14ac:dyDescent="0.3">
      <c r="A520" s="16" t="s">
        <v>2006</v>
      </c>
      <c r="B520" s="39" t="s">
        <v>1170</v>
      </c>
      <c r="C520" s="39" t="s">
        <v>184</v>
      </c>
      <c r="D520" s="340" t="s">
        <v>3471</v>
      </c>
      <c r="E520" s="159" t="s">
        <v>1085</v>
      </c>
      <c r="F520" s="159" t="s">
        <v>848</v>
      </c>
      <c r="G520" s="159" t="s">
        <v>582</v>
      </c>
      <c r="H520" s="159" t="s">
        <v>1074</v>
      </c>
      <c r="I520" s="159" t="s">
        <v>1171</v>
      </c>
      <c r="J520" s="159" t="s">
        <v>312</v>
      </c>
      <c r="K520" s="159" t="s">
        <v>1849</v>
      </c>
      <c r="L520" s="39" t="s">
        <v>304</v>
      </c>
      <c r="M520" s="39" t="s">
        <v>305</v>
      </c>
      <c r="N520" s="39">
        <v>11</v>
      </c>
      <c r="O520" s="39" t="s">
        <v>184</v>
      </c>
      <c r="P520" s="39" t="s">
        <v>2007</v>
      </c>
      <c r="Q520" s="39" t="s">
        <v>1170</v>
      </c>
      <c r="R520" s="16" t="s">
        <v>2006</v>
      </c>
      <c r="S520" s="160">
        <v>38916988</v>
      </c>
      <c r="T520" s="160">
        <v>3243082.33</v>
      </c>
      <c r="U520" s="160">
        <v>0</v>
      </c>
      <c r="V520" s="160">
        <v>12972329.32</v>
      </c>
      <c r="W520" s="160">
        <v>25944658.68</v>
      </c>
      <c r="X520" s="161">
        <v>0</v>
      </c>
      <c r="Y520" s="160"/>
      <c r="Z520" s="16">
        <v>33.33</v>
      </c>
      <c r="AA520" s="162">
        <v>12972329.32</v>
      </c>
      <c r="AB520" s="162">
        <v>3243082.33</v>
      </c>
      <c r="AC520" s="162">
        <v>38916987.960000001</v>
      </c>
      <c r="AD520" s="160"/>
      <c r="AE520" s="145">
        <v>38916988</v>
      </c>
      <c r="AF520" s="163">
        <v>1.0469999999999999</v>
      </c>
      <c r="AG520" s="164">
        <v>1.046</v>
      </c>
      <c r="AH520" s="164">
        <v>1.046</v>
      </c>
      <c r="AI520" s="164">
        <v>38916988</v>
      </c>
      <c r="AJ520" s="164">
        <f t="shared" si="68"/>
        <v>0</v>
      </c>
      <c r="AK520" s="203">
        <v>175000000</v>
      </c>
      <c r="AL520" s="165">
        <f t="shared" si="66"/>
        <v>175000000</v>
      </c>
      <c r="AM520" s="165">
        <f t="shared" si="63"/>
        <v>183050000</v>
      </c>
      <c r="AN520" s="165">
        <f t="shared" si="64"/>
        <v>191470300</v>
      </c>
      <c r="AO520" s="16"/>
      <c r="AP520" s="231">
        <f t="shared" si="69"/>
        <v>0</v>
      </c>
      <c r="AR520" s="231"/>
      <c r="AS520" s="231"/>
      <c r="AU520" s="230">
        <v>38916988</v>
      </c>
      <c r="AV520" s="233">
        <v>38916988</v>
      </c>
      <c r="AW520" s="230">
        <f t="shared" si="67"/>
        <v>0</v>
      </c>
    </row>
    <row r="521" spans="1:49" hidden="1" x14ac:dyDescent="0.3">
      <c r="A521" s="16" t="s">
        <v>1073</v>
      </c>
      <c r="B521" s="39" t="s">
        <v>1172</v>
      </c>
      <c r="C521" s="39" t="s">
        <v>1072</v>
      </c>
      <c r="D521" s="340" t="s">
        <v>3471</v>
      </c>
      <c r="E521" s="159" t="s">
        <v>1085</v>
      </c>
      <c r="F521" s="159" t="s">
        <v>848</v>
      </c>
      <c r="G521" s="159" t="s">
        <v>582</v>
      </c>
      <c r="H521" s="159" t="s">
        <v>1074</v>
      </c>
      <c r="I521" s="159" t="s">
        <v>1075</v>
      </c>
      <c r="J521" s="159" t="s">
        <v>312</v>
      </c>
      <c r="K521" s="159" t="s">
        <v>1849</v>
      </c>
      <c r="L521" s="39" t="s">
        <v>304</v>
      </c>
      <c r="M521" s="39" t="s">
        <v>305</v>
      </c>
      <c r="N521" s="39">
        <v>11</v>
      </c>
      <c r="O521" s="39" t="s">
        <v>184</v>
      </c>
      <c r="P521" s="39" t="s">
        <v>1072</v>
      </c>
      <c r="Q521" s="39" t="s">
        <v>1172</v>
      </c>
      <c r="R521" s="16" t="s">
        <v>1073</v>
      </c>
      <c r="S521" s="160">
        <v>0</v>
      </c>
      <c r="T521" s="160">
        <v>0</v>
      </c>
      <c r="U521" s="160">
        <v>0</v>
      </c>
      <c r="V521" s="160">
        <v>0</v>
      </c>
      <c r="W521" s="160">
        <v>0</v>
      </c>
      <c r="X521" s="161">
        <v>0</v>
      </c>
      <c r="Y521" s="160"/>
      <c r="Z521" s="16">
        <v>0</v>
      </c>
      <c r="AA521" s="162">
        <v>0</v>
      </c>
      <c r="AB521" s="162">
        <v>0</v>
      </c>
      <c r="AC521" s="162">
        <v>0</v>
      </c>
      <c r="AD521" s="160"/>
      <c r="AE521" s="145">
        <v>0</v>
      </c>
      <c r="AF521" s="163">
        <v>1.0469999999999999</v>
      </c>
      <c r="AG521" s="164">
        <v>1.046</v>
      </c>
      <c r="AH521" s="164">
        <v>1.046</v>
      </c>
      <c r="AI521" s="164">
        <v>0</v>
      </c>
      <c r="AJ521" s="164">
        <f t="shared" si="68"/>
        <v>0</v>
      </c>
      <c r="AK521" s="165">
        <v>0</v>
      </c>
      <c r="AL521" s="165">
        <f t="shared" si="66"/>
        <v>0</v>
      </c>
      <c r="AM521" s="165">
        <f t="shared" si="63"/>
        <v>0</v>
      </c>
      <c r="AN521" s="165">
        <f t="shared" si="64"/>
        <v>0</v>
      </c>
      <c r="AO521" s="16"/>
      <c r="AP521" s="231">
        <f t="shared" si="69"/>
        <v>0</v>
      </c>
      <c r="AR521" s="231"/>
      <c r="AS521" s="231"/>
      <c r="AU521" s="230">
        <v>0</v>
      </c>
      <c r="AV521" s="233">
        <v>0</v>
      </c>
      <c r="AW521" s="230">
        <f t="shared" si="67"/>
        <v>0</v>
      </c>
    </row>
    <row r="522" spans="1:49" hidden="1" x14ac:dyDescent="0.3">
      <c r="A522" s="16" t="s">
        <v>1175</v>
      </c>
      <c r="B522" s="39" t="s">
        <v>1173</v>
      </c>
      <c r="C522" s="39" t="s">
        <v>1174</v>
      </c>
      <c r="D522" s="340" t="s">
        <v>3471</v>
      </c>
      <c r="E522" s="159" t="s">
        <v>1085</v>
      </c>
      <c r="F522" s="159" t="s">
        <v>848</v>
      </c>
      <c r="G522" s="159" t="s">
        <v>582</v>
      </c>
      <c r="H522" s="159" t="s">
        <v>1176</v>
      </c>
      <c r="I522" s="159" t="s">
        <v>407</v>
      </c>
      <c r="J522" s="159" t="s">
        <v>312</v>
      </c>
      <c r="K522" s="159" t="s">
        <v>1849</v>
      </c>
      <c r="L522" s="39" t="s">
        <v>304</v>
      </c>
      <c r="M522" s="39" t="s">
        <v>305</v>
      </c>
      <c r="N522" s="39">
        <v>11</v>
      </c>
      <c r="O522" s="39" t="s">
        <v>1174</v>
      </c>
      <c r="P522" s="39" t="s">
        <v>1174</v>
      </c>
      <c r="Q522" s="39" t="s">
        <v>1173</v>
      </c>
      <c r="R522" s="16" t="s">
        <v>1175</v>
      </c>
      <c r="S522" s="160">
        <v>0</v>
      </c>
      <c r="T522" s="160">
        <v>0</v>
      </c>
      <c r="U522" s="160">
        <v>0</v>
      </c>
      <c r="V522" s="160">
        <v>0</v>
      </c>
      <c r="W522" s="160">
        <v>0</v>
      </c>
      <c r="X522" s="161">
        <v>0</v>
      </c>
      <c r="Y522" s="160"/>
      <c r="Z522" s="16">
        <v>0</v>
      </c>
      <c r="AA522" s="162">
        <v>0</v>
      </c>
      <c r="AB522" s="162">
        <v>0</v>
      </c>
      <c r="AC522" s="162">
        <v>0</v>
      </c>
      <c r="AD522" s="160"/>
      <c r="AE522" s="145">
        <v>0</v>
      </c>
      <c r="AF522" s="163">
        <v>1.0469999999999999</v>
      </c>
      <c r="AG522" s="164">
        <v>1.046</v>
      </c>
      <c r="AH522" s="164">
        <v>1.046</v>
      </c>
      <c r="AI522" s="164">
        <v>0</v>
      </c>
      <c r="AJ522" s="164">
        <f t="shared" si="68"/>
        <v>0</v>
      </c>
      <c r="AK522" s="165">
        <v>0</v>
      </c>
      <c r="AL522" s="165">
        <f t="shared" si="66"/>
        <v>0</v>
      </c>
      <c r="AM522" s="165">
        <f t="shared" si="63"/>
        <v>0</v>
      </c>
      <c r="AN522" s="165">
        <f t="shared" si="64"/>
        <v>0</v>
      </c>
      <c r="AO522" s="16"/>
      <c r="AP522" s="231">
        <f t="shared" si="69"/>
        <v>0</v>
      </c>
      <c r="AR522" s="231"/>
      <c r="AS522" s="231"/>
      <c r="AU522" s="230">
        <v>0</v>
      </c>
      <c r="AV522" s="233">
        <v>0</v>
      </c>
      <c r="AW522" s="230">
        <f t="shared" si="67"/>
        <v>0</v>
      </c>
    </row>
    <row r="523" spans="1:49" s="250" customFormat="1" hidden="1" x14ac:dyDescent="0.3">
      <c r="A523" s="241" t="s">
        <v>203</v>
      </c>
      <c r="B523" s="242" t="s">
        <v>1177</v>
      </c>
      <c r="C523" s="242" t="s">
        <v>1178</v>
      </c>
      <c r="D523" s="340" t="s">
        <v>3471</v>
      </c>
      <c r="E523" s="243" t="s">
        <v>1085</v>
      </c>
      <c r="F523" s="243" t="s">
        <v>848</v>
      </c>
      <c r="G523" s="243" t="s">
        <v>1078</v>
      </c>
      <c r="H523" s="243" t="s">
        <v>1179</v>
      </c>
      <c r="I523" s="243" t="s">
        <v>1180</v>
      </c>
      <c r="J523" s="243" t="s">
        <v>312</v>
      </c>
      <c r="K523" s="243" t="s">
        <v>1081</v>
      </c>
      <c r="L523" s="242" t="s">
        <v>1181</v>
      </c>
      <c r="M523" s="242" t="s">
        <v>305</v>
      </c>
      <c r="N523" s="242">
        <v>11</v>
      </c>
      <c r="O523" s="242" t="s">
        <v>1178</v>
      </c>
      <c r="P523" s="242" t="s">
        <v>1178</v>
      </c>
      <c r="Q523" s="242" t="s">
        <v>1177</v>
      </c>
      <c r="R523" s="241" t="s">
        <v>203</v>
      </c>
      <c r="S523" s="223">
        <v>3000000</v>
      </c>
      <c r="T523" s="160">
        <v>0</v>
      </c>
      <c r="U523" s="160">
        <v>0</v>
      </c>
      <c r="V523" s="160">
        <v>0</v>
      </c>
      <c r="W523" s="160">
        <v>3000000</v>
      </c>
      <c r="X523" s="161">
        <v>0</v>
      </c>
      <c r="Y523" s="160"/>
      <c r="Z523" s="16">
        <v>0</v>
      </c>
      <c r="AA523" s="162">
        <v>0</v>
      </c>
      <c r="AB523" s="224">
        <v>0</v>
      </c>
      <c r="AC523" s="224">
        <v>0</v>
      </c>
      <c r="AD523" s="223"/>
      <c r="AE523" s="244">
        <v>1000000</v>
      </c>
      <c r="AF523" s="163">
        <v>1.0469999999999999</v>
      </c>
      <c r="AG523" s="164">
        <v>1.046</v>
      </c>
      <c r="AH523" s="164">
        <v>1.046</v>
      </c>
      <c r="AI523" s="245">
        <v>3000000</v>
      </c>
      <c r="AJ523" s="164">
        <f t="shared" si="68"/>
        <v>-2000000</v>
      </c>
      <c r="AK523" s="246">
        <v>1500000</v>
      </c>
      <c r="AL523" s="246">
        <f t="shared" si="66"/>
        <v>1500000</v>
      </c>
      <c r="AM523" s="246">
        <f t="shared" si="63"/>
        <v>1569000</v>
      </c>
      <c r="AN523" s="246">
        <f t="shared" si="64"/>
        <v>1641174</v>
      </c>
      <c r="AO523" s="241"/>
      <c r="AP523" s="247">
        <f t="shared" si="69"/>
        <v>0</v>
      </c>
      <c r="AR523" s="231"/>
      <c r="AS523" s="231"/>
      <c r="AU523" s="248">
        <v>3000000</v>
      </c>
      <c r="AV523" s="249">
        <v>3000000</v>
      </c>
      <c r="AW523" s="248">
        <f t="shared" si="67"/>
        <v>0</v>
      </c>
    </row>
    <row r="524" spans="1:49" hidden="1" x14ac:dyDescent="0.3">
      <c r="A524" s="16" t="s">
        <v>219</v>
      </c>
      <c r="B524" s="39" t="s">
        <v>1182</v>
      </c>
      <c r="C524" s="39" t="s">
        <v>1183</v>
      </c>
      <c r="D524" s="340" t="s">
        <v>3471</v>
      </c>
      <c r="E524" s="159" t="s">
        <v>1085</v>
      </c>
      <c r="F524" s="159" t="s">
        <v>848</v>
      </c>
      <c r="G524" s="159" t="s">
        <v>1078</v>
      </c>
      <c r="H524" s="159" t="s">
        <v>1079</v>
      </c>
      <c r="I524" s="159" t="s">
        <v>1022</v>
      </c>
      <c r="J524" s="159" t="s">
        <v>312</v>
      </c>
      <c r="K524" s="159" t="s">
        <v>1081</v>
      </c>
      <c r="L524" s="39" t="s">
        <v>1184</v>
      </c>
      <c r="M524" s="39" t="s">
        <v>305</v>
      </c>
      <c r="N524" s="39">
        <v>11</v>
      </c>
      <c r="O524" s="39" t="s">
        <v>1183</v>
      </c>
      <c r="P524" s="39" t="s">
        <v>1183</v>
      </c>
      <c r="Q524" s="39" t="s">
        <v>1182</v>
      </c>
      <c r="R524" s="16" t="s">
        <v>219</v>
      </c>
      <c r="S524" s="160">
        <v>0</v>
      </c>
      <c r="T524" s="160">
        <v>0</v>
      </c>
      <c r="U524" s="160">
        <v>0</v>
      </c>
      <c r="V524" s="160">
        <v>0</v>
      </c>
      <c r="W524" s="160">
        <v>0</v>
      </c>
      <c r="X524" s="161">
        <v>0</v>
      </c>
      <c r="Y524" s="160"/>
      <c r="Z524" s="16">
        <v>0</v>
      </c>
      <c r="AA524" s="162">
        <v>0</v>
      </c>
      <c r="AB524" s="162">
        <v>0</v>
      </c>
      <c r="AC524" s="162">
        <v>0</v>
      </c>
      <c r="AD524" s="160"/>
      <c r="AE524" s="145">
        <v>0</v>
      </c>
      <c r="AF524" s="163">
        <v>1.0469999999999999</v>
      </c>
      <c r="AG524" s="164">
        <v>1.046</v>
      </c>
      <c r="AH524" s="164">
        <v>1.046</v>
      </c>
      <c r="AI524" s="164">
        <v>0</v>
      </c>
      <c r="AJ524" s="164">
        <f t="shared" si="68"/>
        <v>0</v>
      </c>
      <c r="AK524" s="165">
        <v>0</v>
      </c>
      <c r="AL524" s="165">
        <f t="shared" si="66"/>
        <v>0</v>
      </c>
      <c r="AM524" s="165">
        <f t="shared" si="63"/>
        <v>0</v>
      </c>
      <c r="AN524" s="165">
        <f t="shared" si="64"/>
        <v>0</v>
      </c>
      <c r="AO524" s="16"/>
      <c r="AP524" s="231">
        <f t="shared" si="69"/>
        <v>0</v>
      </c>
      <c r="AR524" s="231"/>
      <c r="AS524" s="231"/>
      <c r="AU524" s="230">
        <v>0</v>
      </c>
      <c r="AV524" s="233">
        <v>0</v>
      </c>
      <c r="AW524" s="230">
        <f t="shared" si="67"/>
        <v>0</v>
      </c>
    </row>
    <row r="525" spans="1:49" hidden="1" x14ac:dyDescent="0.3">
      <c r="A525" s="16" t="s">
        <v>204</v>
      </c>
      <c r="B525" s="39" t="s">
        <v>1185</v>
      </c>
      <c r="C525" s="39" t="s">
        <v>1186</v>
      </c>
      <c r="D525" s="340" t="s">
        <v>3471</v>
      </c>
      <c r="E525" s="159" t="s">
        <v>1085</v>
      </c>
      <c r="F525" s="159" t="s">
        <v>848</v>
      </c>
      <c r="G525" s="159" t="s">
        <v>1078</v>
      </c>
      <c r="H525" s="159" t="s">
        <v>1079</v>
      </c>
      <c r="I525" s="159" t="s">
        <v>1022</v>
      </c>
      <c r="J525" s="159" t="s">
        <v>312</v>
      </c>
      <c r="K525" s="159" t="s">
        <v>1081</v>
      </c>
      <c r="L525" s="39" t="s">
        <v>1187</v>
      </c>
      <c r="M525" s="39" t="s">
        <v>305</v>
      </c>
      <c r="N525" s="39">
        <v>11</v>
      </c>
      <c r="O525" s="39" t="s">
        <v>1186</v>
      </c>
      <c r="P525" s="39" t="s">
        <v>1186</v>
      </c>
      <c r="Q525" s="39" t="s">
        <v>1185</v>
      </c>
      <c r="R525" s="16" t="s">
        <v>204</v>
      </c>
      <c r="S525" s="160">
        <v>2730000</v>
      </c>
      <c r="T525" s="160">
        <v>0</v>
      </c>
      <c r="U525" s="160">
        <v>0</v>
      </c>
      <c r="V525" s="160">
        <v>0</v>
      </c>
      <c r="W525" s="160">
        <v>2730000</v>
      </c>
      <c r="X525" s="161">
        <v>0</v>
      </c>
      <c r="Y525" s="160"/>
      <c r="Z525" s="16">
        <v>0</v>
      </c>
      <c r="AA525" s="162">
        <v>0</v>
      </c>
      <c r="AB525" s="162">
        <v>0</v>
      </c>
      <c r="AC525" s="162">
        <v>0</v>
      </c>
      <c r="AD525" s="160"/>
      <c r="AE525" s="145">
        <v>2730000</v>
      </c>
      <c r="AF525" s="163">
        <v>1.0469999999999999</v>
      </c>
      <c r="AG525" s="164">
        <v>1.046</v>
      </c>
      <c r="AH525" s="164">
        <v>1.046</v>
      </c>
      <c r="AI525" s="164">
        <v>2730000</v>
      </c>
      <c r="AJ525" s="164">
        <f t="shared" si="68"/>
        <v>0</v>
      </c>
      <c r="AK525" s="165">
        <f>VLOOKUP(Q525,[22]CAPEX!$A:$L,12,FALSE)</f>
        <v>3000000</v>
      </c>
      <c r="AL525" s="165">
        <f t="shared" si="66"/>
        <v>3000000</v>
      </c>
      <c r="AM525" s="165">
        <f t="shared" si="63"/>
        <v>3138000</v>
      </c>
      <c r="AN525" s="165">
        <f t="shared" si="64"/>
        <v>3282348</v>
      </c>
      <c r="AO525" s="16"/>
      <c r="AP525" s="231">
        <f t="shared" si="69"/>
        <v>0</v>
      </c>
      <c r="AR525" s="231"/>
      <c r="AS525" s="231"/>
      <c r="AU525" s="230">
        <v>2730000</v>
      </c>
      <c r="AV525" s="233">
        <v>2730000</v>
      </c>
      <c r="AW525" s="230">
        <f t="shared" si="67"/>
        <v>0</v>
      </c>
    </row>
    <row r="526" spans="1:49" hidden="1" x14ac:dyDescent="0.3">
      <c r="A526" s="16" t="s">
        <v>205</v>
      </c>
      <c r="B526" s="39" t="s">
        <v>1188</v>
      </c>
      <c r="C526" s="39" t="s">
        <v>1189</v>
      </c>
      <c r="D526" s="340" t="s">
        <v>3471</v>
      </c>
      <c r="E526" s="159" t="s">
        <v>1085</v>
      </c>
      <c r="F526" s="159" t="s">
        <v>848</v>
      </c>
      <c r="G526" s="159" t="s">
        <v>1078</v>
      </c>
      <c r="H526" s="159" t="s">
        <v>1079</v>
      </c>
      <c r="I526" s="159" t="s">
        <v>1190</v>
      </c>
      <c r="J526" s="159" t="s">
        <v>312</v>
      </c>
      <c r="K526" s="159" t="s">
        <v>1081</v>
      </c>
      <c r="L526" s="39" t="s">
        <v>1191</v>
      </c>
      <c r="M526" s="39" t="s">
        <v>305</v>
      </c>
      <c r="N526" s="39">
        <v>11</v>
      </c>
      <c r="O526" s="39" t="s">
        <v>1189</v>
      </c>
      <c r="P526" s="39" t="s">
        <v>1189</v>
      </c>
      <c r="Q526" s="39" t="s">
        <v>1188</v>
      </c>
      <c r="R526" s="16" t="s">
        <v>205</v>
      </c>
      <c r="S526" s="160">
        <v>5390000</v>
      </c>
      <c r="T526" s="160">
        <v>33758.92</v>
      </c>
      <c r="U526" s="160">
        <v>0</v>
      </c>
      <c r="V526" s="160">
        <v>2061653.92</v>
      </c>
      <c r="W526" s="160">
        <v>3328346.08</v>
      </c>
      <c r="X526" s="161">
        <v>61497.75</v>
      </c>
      <c r="Y526" s="160"/>
      <c r="Z526" s="16">
        <v>38.24</v>
      </c>
      <c r="AA526" s="162">
        <v>2061653.92</v>
      </c>
      <c r="AB526" s="162">
        <v>515413.48</v>
      </c>
      <c r="AC526" s="162">
        <v>6184961.7599999998</v>
      </c>
      <c r="AD526" s="160"/>
      <c r="AE526" s="145">
        <v>5390000</v>
      </c>
      <c r="AF526" s="163">
        <v>1.0469999999999999</v>
      </c>
      <c r="AG526" s="164">
        <v>1.046</v>
      </c>
      <c r="AH526" s="164">
        <v>1.046</v>
      </c>
      <c r="AI526" s="164">
        <v>5390000</v>
      </c>
      <c r="AJ526" s="164">
        <f t="shared" si="68"/>
        <v>0</v>
      </c>
      <c r="AK526" s="165">
        <f>VLOOKUP(Q526,[22]CAPEX!$A:$L,12,FALSE)</f>
        <v>2000000</v>
      </c>
      <c r="AL526" s="165">
        <f t="shared" si="66"/>
        <v>2000000</v>
      </c>
      <c r="AM526" s="165">
        <f t="shared" si="63"/>
        <v>2092000</v>
      </c>
      <c r="AN526" s="165">
        <f t="shared" si="64"/>
        <v>2188232</v>
      </c>
      <c r="AO526" s="16"/>
      <c r="AP526" s="231">
        <f t="shared" si="69"/>
        <v>0</v>
      </c>
      <c r="AR526" s="231"/>
      <c r="AS526" s="231"/>
      <c r="AU526" s="230">
        <v>5390000</v>
      </c>
      <c r="AV526" s="233">
        <v>5390000</v>
      </c>
      <c r="AW526" s="230">
        <f t="shared" si="67"/>
        <v>0</v>
      </c>
    </row>
    <row r="527" spans="1:49" hidden="1" x14ac:dyDescent="0.3">
      <c r="A527" s="16" t="s">
        <v>2008</v>
      </c>
      <c r="B527" s="39" t="s">
        <v>1192</v>
      </c>
      <c r="C527" s="39" t="s">
        <v>1193</v>
      </c>
      <c r="D527" s="340" t="s">
        <v>3471</v>
      </c>
      <c r="E527" s="159" t="s">
        <v>1085</v>
      </c>
      <c r="F527" s="159" t="s">
        <v>848</v>
      </c>
      <c r="G527" s="159" t="s">
        <v>1078</v>
      </c>
      <c r="H527" s="159" t="s">
        <v>1194</v>
      </c>
      <c r="I527" s="159" t="s">
        <v>1195</v>
      </c>
      <c r="J527" s="159" t="s">
        <v>312</v>
      </c>
      <c r="K527" s="159" t="s">
        <v>1081</v>
      </c>
      <c r="L527" s="39" t="s">
        <v>1196</v>
      </c>
      <c r="M527" s="39" t="s">
        <v>305</v>
      </c>
      <c r="N527" s="39">
        <v>11</v>
      </c>
      <c r="O527" s="39" t="s">
        <v>1193</v>
      </c>
      <c r="P527" s="39" t="s">
        <v>1193</v>
      </c>
      <c r="Q527" s="39" t="s">
        <v>1192</v>
      </c>
      <c r="R527" s="16" t="s">
        <v>2008</v>
      </c>
      <c r="S527" s="160">
        <v>239593</v>
      </c>
      <c r="T527" s="160">
        <v>0</v>
      </c>
      <c r="U527" s="160">
        <v>0</v>
      </c>
      <c r="V527" s="160">
        <v>0</v>
      </c>
      <c r="W527" s="160">
        <v>239593</v>
      </c>
      <c r="X527" s="161">
        <v>0</v>
      </c>
      <c r="Y527" s="160"/>
      <c r="Z527" s="16">
        <v>0</v>
      </c>
      <c r="AA527" s="162">
        <v>0</v>
      </c>
      <c r="AB527" s="162">
        <v>0</v>
      </c>
      <c r="AC527" s="162">
        <v>0</v>
      </c>
      <c r="AD527" s="160"/>
      <c r="AE527" s="145">
        <v>239593</v>
      </c>
      <c r="AF527" s="163">
        <v>1.0469999999999999</v>
      </c>
      <c r="AG527" s="164">
        <v>1.046</v>
      </c>
      <c r="AH527" s="164">
        <v>1.046</v>
      </c>
      <c r="AI527" s="164">
        <v>239593</v>
      </c>
      <c r="AJ527" s="164">
        <f t="shared" si="68"/>
        <v>0</v>
      </c>
      <c r="AK527" s="165">
        <f>VLOOKUP(Q527,[22]CAPEX!$A:$L,12,FALSE)</f>
        <v>0</v>
      </c>
      <c r="AL527" s="165">
        <f t="shared" si="66"/>
        <v>0</v>
      </c>
      <c r="AM527" s="165">
        <f t="shared" si="63"/>
        <v>0</v>
      </c>
      <c r="AN527" s="165">
        <f t="shared" si="64"/>
        <v>0</v>
      </c>
      <c r="AO527" s="16"/>
      <c r="AP527" s="231">
        <f t="shared" si="69"/>
        <v>0</v>
      </c>
      <c r="AR527" s="231"/>
      <c r="AS527" s="231"/>
      <c r="AU527" s="230">
        <v>239593</v>
      </c>
      <c r="AV527" s="233">
        <v>239593</v>
      </c>
      <c r="AW527" s="230">
        <f t="shared" si="67"/>
        <v>0</v>
      </c>
    </row>
    <row r="528" spans="1:49" s="250" customFormat="1" hidden="1" x14ac:dyDescent="0.3">
      <c r="A528" s="241" t="s">
        <v>2009</v>
      </c>
      <c r="B528" s="242" t="s">
        <v>1197</v>
      </c>
      <c r="C528" s="242" t="s">
        <v>1198</v>
      </c>
      <c r="D528" s="340" t="s">
        <v>3471</v>
      </c>
      <c r="E528" s="243" t="s">
        <v>1085</v>
      </c>
      <c r="F528" s="243" t="s">
        <v>848</v>
      </c>
      <c r="G528" s="243" t="s">
        <v>1078</v>
      </c>
      <c r="H528" s="243" t="s">
        <v>1194</v>
      </c>
      <c r="I528" s="243" t="s">
        <v>1199</v>
      </c>
      <c r="J528" s="243" t="s">
        <v>312</v>
      </c>
      <c r="K528" s="243" t="s">
        <v>1081</v>
      </c>
      <c r="L528" s="242" t="s">
        <v>1200</v>
      </c>
      <c r="M528" s="242" t="s">
        <v>305</v>
      </c>
      <c r="N528" s="242">
        <v>11</v>
      </c>
      <c r="O528" s="242" t="s">
        <v>1198</v>
      </c>
      <c r="P528" s="242" t="s">
        <v>1198</v>
      </c>
      <c r="Q528" s="242" t="s">
        <v>1197</v>
      </c>
      <c r="R528" s="241" t="s">
        <v>2009</v>
      </c>
      <c r="S528" s="223">
        <v>15000000</v>
      </c>
      <c r="T528" s="160">
        <v>1806417.81</v>
      </c>
      <c r="U528" s="160">
        <v>0</v>
      </c>
      <c r="V528" s="160">
        <v>6903825.6200000001</v>
      </c>
      <c r="W528" s="160">
        <v>8096174.3799999999</v>
      </c>
      <c r="X528" s="161">
        <v>0</v>
      </c>
      <c r="Y528" s="160"/>
      <c r="Z528" s="16">
        <v>46.02</v>
      </c>
      <c r="AA528" s="162">
        <v>6903825.6200000001</v>
      </c>
      <c r="AB528" s="224">
        <v>1725956.405</v>
      </c>
      <c r="AC528" s="224">
        <v>20711476.859999999</v>
      </c>
      <c r="AD528" s="223"/>
      <c r="AE528" s="244">
        <v>25000000</v>
      </c>
      <c r="AF528" s="220">
        <v>1.0469999999999999</v>
      </c>
      <c r="AG528" s="221">
        <v>1.046</v>
      </c>
      <c r="AH528" s="221">
        <v>1.046</v>
      </c>
      <c r="AI528" s="245">
        <v>15000000</v>
      </c>
      <c r="AJ528" s="164">
        <f t="shared" si="68"/>
        <v>10000000</v>
      </c>
      <c r="AK528" s="246">
        <v>16000000</v>
      </c>
      <c r="AL528" s="246">
        <f t="shared" si="66"/>
        <v>16000000</v>
      </c>
      <c r="AM528" s="246">
        <f t="shared" si="63"/>
        <v>16736000</v>
      </c>
      <c r="AN528" s="246">
        <f t="shared" si="64"/>
        <v>17505856</v>
      </c>
      <c r="AO528" s="241"/>
      <c r="AP528" s="247">
        <f t="shared" si="69"/>
        <v>0</v>
      </c>
      <c r="AR528" s="231"/>
      <c r="AS528" s="231"/>
      <c r="AU528" s="248">
        <v>15000000</v>
      </c>
      <c r="AV528" s="249">
        <v>15000000</v>
      </c>
      <c r="AW528" s="248">
        <f t="shared" si="67"/>
        <v>0</v>
      </c>
    </row>
    <row r="529" spans="1:49" hidden="1" x14ac:dyDescent="0.3">
      <c r="A529" s="16" t="s">
        <v>1203</v>
      </c>
      <c r="B529" s="39" t="s">
        <v>1201</v>
      </c>
      <c r="C529" s="39" t="s">
        <v>1202</v>
      </c>
      <c r="D529" s="340" t="s">
        <v>3472</v>
      </c>
      <c r="E529" s="159" t="s">
        <v>1085</v>
      </c>
      <c r="F529" s="159" t="s">
        <v>589</v>
      </c>
      <c r="G529" s="159" t="s">
        <v>387</v>
      </c>
      <c r="H529" s="159" t="s">
        <v>424</v>
      </c>
      <c r="I529" s="159" t="s">
        <v>1204</v>
      </c>
      <c r="J529" s="159" t="s">
        <v>312</v>
      </c>
      <c r="K529" s="159" t="s">
        <v>1849</v>
      </c>
      <c r="L529" s="39" t="s">
        <v>556</v>
      </c>
      <c r="M529" s="39" t="s">
        <v>305</v>
      </c>
      <c r="N529" s="39">
        <v>11</v>
      </c>
      <c r="O529" s="39" t="s">
        <v>1202</v>
      </c>
      <c r="P529" s="39" t="s">
        <v>1202</v>
      </c>
      <c r="Q529" s="39" t="s">
        <v>1201</v>
      </c>
      <c r="R529" s="16" t="s">
        <v>1203</v>
      </c>
      <c r="S529" s="160">
        <v>0</v>
      </c>
      <c r="T529" s="160">
        <v>0</v>
      </c>
      <c r="U529" s="160">
        <v>0</v>
      </c>
      <c r="V529" s="160">
        <v>0</v>
      </c>
      <c r="W529" s="160">
        <v>0</v>
      </c>
      <c r="X529" s="161" t="e">
        <v>#N/A</v>
      </c>
      <c r="Y529" s="160"/>
      <c r="Z529" s="16">
        <v>0</v>
      </c>
      <c r="AA529" s="162">
        <v>0</v>
      </c>
      <c r="AB529" s="162">
        <v>0</v>
      </c>
      <c r="AC529" s="162">
        <v>0</v>
      </c>
      <c r="AD529" s="160"/>
      <c r="AE529" s="145">
        <v>0</v>
      </c>
      <c r="AF529" s="163">
        <v>1.0469999999999999</v>
      </c>
      <c r="AG529" s="164">
        <v>1.046</v>
      </c>
      <c r="AH529" s="164">
        <v>1.046</v>
      </c>
      <c r="AI529" s="164">
        <v>0</v>
      </c>
      <c r="AJ529" s="164">
        <f t="shared" si="68"/>
        <v>0</v>
      </c>
      <c r="AK529" s="165">
        <v>0</v>
      </c>
      <c r="AL529" s="165">
        <f t="shared" si="66"/>
        <v>0</v>
      </c>
      <c r="AM529" s="165">
        <f t="shared" si="63"/>
        <v>0</v>
      </c>
      <c r="AN529" s="165">
        <f t="shared" si="64"/>
        <v>0</v>
      </c>
      <c r="AO529" s="16"/>
      <c r="AP529" s="231">
        <f t="shared" si="69"/>
        <v>0</v>
      </c>
      <c r="AR529" s="231"/>
      <c r="AS529" s="231"/>
      <c r="AU529" s="230">
        <v>0</v>
      </c>
      <c r="AV529" s="233">
        <v>0</v>
      </c>
      <c r="AW529" s="230">
        <f t="shared" si="67"/>
        <v>0</v>
      </c>
    </row>
    <row r="530" spans="1:49" s="200" customFormat="1" hidden="1" x14ac:dyDescent="0.3">
      <c r="A530" s="191" t="s">
        <v>2010</v>
      </c>
      <c r="B530" s="192" t="s">
        <v>1205</v>
      </c>
      <c r="C530" s="192" t="s">
        <v>119</v>
      </c>
      <c r="D530" s="340" t="s">
        <v>3472</v>
      </c>
      <c r="E530" s="193" t="s">
        <v>1085</v>
      </c>
      <c r="F530" s="193" t="s">
        <v>589</v>
      </c>
      <c r="G530" s="193" t="s">
        <v>387</v>
      </c>
      <c r="H530" s="193" t="s">
        <v>424</v>
      </c>
      <c r="I530" s="193" t="s">
        <v>1206</v>
      </c>
      <c r="J530" s="193" t="s">
        <v>387</v>
      </c>
      <c r="K530" s="193" t="s">
        <v>1849</v>
      </c>
      <c r="L530" s="192" t="s">
        <v>556</v>
      </c>
      <c r="M530" s="192" t="s">
        <v>305</v>
      </c>
      <c r="N530" s="192">
        <v>11</v>
      </c>
      <c r="O530" s="167" t="s">
        <v>119</v>
      </c>
      <c r="P530" s="192" t="s">
        <v>119</v>
      </c>
      <c r="Q530" s="192" t="s">
        <v>1205</v>
      </c>
      <c r="R530" s="191" t="s">
        <v>2010</v>
      </c>
      <c r="S530" s="160">
        <v>-12326563</v>
      </c>
      <c r="T530" s="194">
        <v>301386.63</v>
      </c>
      <c r="U530" s="194">
        <v>0</v>
      </c>
      <c r="V530" s="194">
        <v>-13604500.539999999</v>
      </c>
      <c r="W530" s="194">
        <v>1277937.54</v>
      </c>
      <c r="X530" s="195" t="e">
        <v>#N/A</v>
      </c>
      <c r="Y530" s="194"/>
      <c r="Z530" s="191">
        <v>110.36</v>
      </c>
      <c r="AA530" s="196">
        <v>-13604500.539999999</v>
      </c>
      <c r="AB530" s="196">
        <v>-3401125.1349999998</v>
      </c>
      <c r="AC530" s="196">
        <v>-40813501.619999997</v>
      </c>
      <c r="AD530" s="194"/>
      <c r="AE530" s="145">
        <v>-12326563</v>
      </c>
      <c r="AF530" s="197">
        <v>1.0469999999999999</v>
      </c>
      <c r="AG530" s="198">
        <v>1.046</v>
      </c>
      <c r="AH530" s="198">
        <v>1.046</v>
      </c>
      <c r="AI530" s="198">
        <v>-12326563</v>
      </c>
      <c r="AJ530" s="164">
        <f t="shared" si="68"/>
        <v>0</v>
      </c>
      <c r="AK530" s="199">
        <v>-3314348387</v>
      </c>
      <c r="AL530" s="165">
        <v>-3314348387</v>
      </c>
      <c r="AM530" s="165">
        <f t="shared" si="63"/>
        <v>-3466808412.802</v>
      </c>
      <c r="AN530" s="165">
        <f t="shared" si="64"/>
        <v>-3626281599.7908921</v>
      </c>
      <c r="AO530" s="191"/>
      <c r="AP530" s="231">
        <f t="shared" si="69"/>
        <v>0</v>
      </c>
      <c r="AQ530"/>
      <c r="AR530" s="231"/>
      <c r="AS530" s="231"/>
      <c r="AT530"/>
      <c r="AU530" s="230">
        <v>-12326563</v>
      </c>
      <c r="AV530" s="233">
        <v>-12326563</v>
      </c>
      <c r="AW530" s="230">
        <f t="shared" si="67"/>
        <v>0</v>
      </c>
    </row>
    <row r="531" spans="1:49" hidden="1" x14ac:dyDescent="0.3">
      <c r="A531" s="84" t="s">
        <v>2011</v>
      </c>
      <c r="B531" s="39" t="s">
        <v>1207</v>
      </c>
      <c r="C531" s="39" t="s">
        <v>119</v>
      </c>
      <c r="D531" s="340" t="s">
        <v>3472</v>
      </c>
      <c r="E531" s="159" t="s">
        <v>1085</v>
      </c>
      <c r="F531" s="159" t="s">
        <v>589</v>
      </c>
      <c r="G531" s="159" t="s">
        <v>387</v>
      </c>
      <c r="H531" s="159" t="s">
        <v>424</v>
      </c>
      <c r="I531" s="159" t="s">
        <v>1206</v>
      </c>
      <c r="J531" s="159" t="s">
        <v>309</v>
      </c>
      <c r="K531" s="159" t="s">
        <v>1849</v>
      </c>
      <c r="L531" s="39" t="s">
        <v>556</v>
      </c>
      <c r="M531" s="39" t="s">
        <v>305</v>
      </c>
      <c r="N531" s="39">
        <v>11</v>
      </c>
      <c r="O531" s="167" t="s">
        <v>119</v>
      </c>
      <c r="P531" s="39" t="s">
        <v>119</v>
      </c>
      <c r="Q531" s="39" t="s">
        <v>1207</v>
      </c>
      <c r="R531" s="16" t="s">
        <v>2011</v>
      </c>
      <c r="S531" s="160">
        <v>-14047914</v>
      </c>
      <c r="T531" s="160">
        <v>-2968176.16</v>
      </c>
      <c r="U531" s="160">
        <v>0</v>
      </c>
      <c r="V531" s="160">
        <v>-2968176.16</v>
      </c>
      <c r="W531" s="160">
        <v>-11079737.84</v>
      </c>
      <c r="X531" s="161" t="e">
        <v>#N/A</v>
      </c>
      <c r="Y531" s="160"/>
      <c r="Z531" s="16">
        <v>21.12</v>
      </c>
      <c r="AA531" s="162">
        <v>-2968176.16</v>
      </c>
      <c r="AB531" s="162">
        <v>-742044.04</v>
      </c>
      <c r="AC531" s="162">
        <v>-8904528.4800000004</v>
      </c>
      <c r="AD531" s="160"/>
      <c r="AE531" s="145">
        <v>-14047914</v>
      </c>
      <c r="AF531" s="163">
        <v>1.0469999999999999</v>
      </c>
      <c r="AG531" s="164">
        <v>1.046</v>
      </c>
      <c r="AH531" s="164">
        <v>1.046</v>
      </c>
      <c r="AI531" s="164">
        <v>-14047914</v>
      </c>
      <c r="AJ531" s="164">
        <f t="shared" si="68"/>
        <v>0</v>
      </c>
      <c r="AK531" s="165">
        <v>0</v>
      </c>
      <c r="AL531" s="165">
        <f t="shared" si="66"/>
        <v>0</v>
      </c>
      <c r="AM531" s="165">
        <f t="shared" si="63"/>
        <v>0</v>
      </c>
      <c r="AN531" s="165">
        <f t="shared" si="64"/>
        <v>0</v>
      </c>
      <c r="AO531" s="16"/>
      <c r="AP531" s="231">
        <f t="shared" si="69"/>
        <v>0</v>
      </c>
      <c r="AR531" s="231"/>
      <c r="AS531" s="231"/>
      <c r="AU531" s="230">
        <v>-14047914</v>
      </c>
      <c r="AV531" s="233">
        <v>-14047914</v>
      </c>
      <c r="AW531" s="230">
        <f t="shared" si="67"/>
        <v>0</v>
      </c>
    </row>
    <row r="532" spans="1:49" hidden="1" x14ac:dyDescent="0.3">
      <c r="A532" s="84" t="s">
        <v>2012</v>
      </c>
      <c r="B532" s="39" t="s">
        <v>1208</v>
      </c>
      <c r="C532" s="39" t="s">
        <v>119</v>
      </c>
      <c r="D532" s="340" t="s">
        <v>3472</v>
      </c>
      <c r="E532" s="159" t="s">
        <v>1085</v>
      </c>
      <c r="F532" s="159" t="s">
        <v>589</v>
      </c>
      <c r="G532" s="159" t="s">
        <v>387</v>
      </c>
      <c r="H532" s="159" t="s">
        <v>424</v>
      </c>
      <c r="I532" s="159" t="s">
        <v>1206</v>
      </c>
      <c r="J532" s="159" t="s">
        <v>582</v>
      </c>
      <c r="K532" s="159" t="s">
        <v>1849</v>
      </c>
      <c r="L532" s="39" t="s">
        <v>556</v>
      </c>
      <c r="M532" s="39" t="s">
        <v>305</v>
      </c>
      <c r="N532" s="39">
        <v>11</v>
      </c>
      <c r="O532" s="167" t="s">
        <v>119</v>
      </c>
      <c r="P532" s="39" t="s">
        <v>119</v>
      </c>
      <c r="Q532" s="39" t="s">
        <v>1208</v>
      </c>
      <c r="R532" s="16" t="s">
        <v>2012</v>
      </c>
      <c r="S532" s="160">
        <v>-20705</v>
      </c>
      <c r="T532" s="160">
        <v>0</v>
      </c>
      <c r="U532" s="160">
        <v>0</v>
      </c>
      <c r="V532" s="160">
        <v>-137520.01999999999</v>
      </c>
      <c r="W532" s="160">
        <v>116815.02</v>
      </c>
      <c r="X532" s="161" t="e">
        <v>#N/A</v>
      </c>
      <c r="Y532" s="160"/>
      <c r="Z532" s="16">
        <v>664.18</v>
      </c>
      <c r="AA532" s="162">
        <v>-137520.01999999999</v>
      </c>
      <c r="AB532" s="162">
        <v>-34380.004999999997</v>
      </c>
      <c r="AC532" s="162">
        <v>-412560.05999999994</v>
      </c>
      <c r="AD532" s="160"/>
      <c r="AE532" s="145">
        <v>-20705</v>
      </c>
      <c r="AF532" s="163">
        <v>1.0469999999999999</v>
      </c>
      <c r="AG532" s="164">
        <v>1.046</v>
      </c>
      <c r="AH532" s="164">
        <v>1.046</v>
      </c>
      <c r="AI532" s="164">
        <v>-20705</v>
      </c>
      <c r="AJ532" s="164">
        <f t="shared" si="68"/>
        <v>0</v>
      </c>
      <c r="AK532" s="165">
        <v>0</v>
      </c>
      <c r="AL532" s="165">
        <f t="shared" si="66"/>
        <v>0</v>
      </c>
      <c r="AM532" s="165">
        <f t="shared" si="63"/>
        <v>0</v>
      </c>
      <c r="AN532" s="165">
        <f t="shared" si="64"/>
        <v>0</v>
      </c>
      <c r="AO532" s="16"/>
      <c r="AP532" s="231">
        <f t="shared" si="69"/>
        <v>0</v>
      </c>
      <c r="AR532" s="231"/>
      <c r="AS532" s="231"/>
      <c r="AU532" s="230">
        <v>-20705</v>
      </c>
      <c r="AV532" s="233">
        <v>-20705</v>
      </c>
      <c r="AW532" s="230">
        <f t="shared" si="67"/>
        <v>0</v>
      </c>
    </row>
    <row r="533" spans="1:49" hidden="1" x14ac:dyDescent="0.3">
      <c r="A533" s="84" t="s">
        <v>2013</v>
      </c>
      <c r="B533" s="39" t="s">
        <v>1209</v>
      </c>
      <c r="C533" s="39" t="s">
        <v>119</v>
      </c>
      <c r="D533" s="340" t="s">
        <v>3472</v>
      </c>
      <c r="E533" s="159" t="s">
        <v>1085</v>
      </c>
      <c r="F533" s="159" t="s">
        <v>589</v>
      </c>
      <c r="G533" s="159" t="s">
        <v>387</v>
      </c>
      <c r="H533" s="159" t="s">
        <v>424</v>
      </c>
      <c r="I533" s="159" t="s">
        <v>1206</v>
      </c>
      <c r="J533" s="159" t="s">
        <v>711</v>
      </c>
      <c r="K533" s="159" t="s">
        <v>1849</v>
      </c>
      <c r="L533" s="39" t="s">
        <v>556</v>
      </c>
      <c r="M533" s="39" t="s">
        <v>305</v>
      </c>
      <c r="N533" s="39">
        <v>11</v>
      </c>
      <c r="O533" s="167" t="s">
        <v>119</v>
      </c>
      <c r="P533" s="39" t="s">
        <v>119</v>
      </c>
      <c r="Q533" s="39" t="s">
        <v>1209</v>
      </c>
      <c r="R533" s="16" t="s">
        <v>2013</v>
      </c>
      <c r="S533" s="160">
        <v>-31109</v>
      </c>
      <c r="T533" s="160">
        <v>0</v>
      </c>
      <c r="U533" s="160">
        <v>0</v>
      </c>
      <c r="V533" s="160">
        <v>-201361.97</v>
      </c>
      <c r="W533" s="160">
        <v>170252.97</v>
      </c>
      <c r="X533" s="161" t="e">
        <v>#N/A</v>
      </c>
      <c r="Y533" s="160"/>
      <c r="Z533" s="16">
        <v>647.27</v>
      </c>
      <c r="AA533" s="162">
        <v>-201361.97</v>
      </c>
      <c r="AB533" s="162">
        <v>-50340.4925</v>
      </c>
      <c r="AC533" s="162">
        <v>-604085.91</v>
      </c>
      <c r="AD533" s="160"/>
      <c r="AE533" s="145">
        <v>-31109</v>
      </c>
      <c r="AF533" s="163">
        <v>1.0469999999999999</v>
      </c>
      <c r="AG533" s="164">
        <v>1.046</v>
      </c>
      <c r="AH533" s="164">
        <v>1.046</v>
      </c>
      <c r="AI533" s="164">
        <v>-31109</v>
      </c>
      <c r="AJ533" s="164">
        <f t="shared" si="68"/>
        <v>0</v>
      </c>
      <c r="AK533" s="165">
        <v>0</v>
      </c>
      <c r="AL533" s="165">
        <f t="shared" si="66"/>
        <v>0</v>
      </c>
      <c r="AM533" s="165">
        <f t="shared" si="63"/>
        <v>0</v>
      </c>
      <c r="AN533" s="165">
        <f t="shared" si="64"/>
        <v>0</v>
      </c>
      <c r="AO533" s="16"/>
      <c r="AP533" s="231">
        <f t="shared" si="69"/>
        <v>0</v>
      </c>
      <c r="AR533" s="231"/>
      <c r="AS533" s="231"/>
      <c r="AU533" s="230">
        <v>-31109</v>
      </c>
      <c r="AV533" s="233">
        <v>-31109</v>
      </c>
      <c r="AW533" s="230">
        <f t="shared" si="67"/>
        <v>0</v>
      </c>
    </row>
    <row r="534" spans="1:49" hidden="1" x14ac:dyDescent="0.3">
      <c r="A534" s="84" t="s">
        <v>2014</v>
      </c>
      <c r="B534" s="39" t="s">
        <v>1210</v>
      </c>
      <c r="C534" s="39" t="s">
        <v>119</v>
      </c>
      <c r="D534" s="340" t="s">
        <v>3472</v>
      </c>
      <c r="E534" s="159" t="s">
        <v>1085</v>
      </c>
      <c r="F534" s="159" t="s">
        <v>589</v>
      </c>
      <c r="G534" s="159" t="s">
        <v>387</v>
      </c>
      <c r="H534" s="159" t="s">
        <v>424</v>
      </c>
      <c r="I534" s="159" t="s">
        <v>1206</v>
      </c>
      <c r="J534" s="159" t="s">
        <v>1211</v>
      </c>
      <c r="K534" s="159" t="s">
        <v>1849</v>
      </c>
      <c r="L534" s="39" t="s">
        <v>556</v>
      </c>
      <c r="M534" s="39" t="s">
        <v>305</v>
      </c>
      <c r="N534" s="39">
        <v>11</v>
      </c>
      <c r="O534" s="167" t="s">
        <v>119</v>
      </c>
      <c r="P534" s="39" t="s">
        <v>119</v>
      </c>
      <c r="Q534" s="39" t="s">
        <v>1210</v>
      </c>
      <c r="R534" s="16" t="s">
        <v>2014</v>
      </c>
      <c r="S534" s="160">
        <v>-28643</v>
      </c>
      <c r="T534" s="160">
        <v>0</v>
      </c>
      <c r="U534" s="160">
        <v>0</v>
      </c>
      <c r="V534" s="160">
        <v>-147040.46</v>
      </c>
      <c r="W534" s="160">
        <v>118397.46</v>
      </c>
      <c r="X534" s="161" t="e">
        <v>#N/A</v>
      </c>
      <c r="Y534" s="160"/>
      <c r="Z534" s="16">
        <v>513.35</v>
      </c>
      <c r="AA534" s="162">
        <v>-147040.46</v>
      </c>
      <c r="AB534" s="162">
        <v>-36760.114999999998</v>
      </c>
      <c r="AC534" s="162">
        <v>-441121.38</v>
      </c>
      <c r="AD534" s="160"/>
      <c r="AE534" s="145">
        <v>-28643</v>
      </c>
      <c r="AF534" s="163">
        <v>1.0469999999999999</v>
      </c>
      <c r="AG534" s="164">
        <v>1.046</v>
      </c>
      <c r="AH534" s="164">
        <v>1.046</v>
      </c>
      <c r="AI534" s="164">
        <v>-28643</v>
      </c>
      <c r="AJ534" s="164">
        <f t="shared" si="68"/>
        <v>0</v>
      </c>
      <c r="AK534" s="165">
        <v>0</v>
      </c>
      <c r="AL534" s="165">
        <f t="shared" si="66"/>
        <v>0</v>
      </c>
      <c r="AM534" s="165">
        <f t="shared" si="63"/>
        <v>0</v>
      </c>
      <c r="AN534" s="165">
        <f t="shared" si="64"/>
        <v>0</v>
      </c>
      <c r="AO534" s="16"/>
      <c r="AP534" s="231">
        <f t="shared" si="69"/>
        <v>0</v>
      </c>
      <c r="AR534" s="231"/>
      <c r="AS534" s="231"/>
      <c r="AU534" s="230">
        <v>-28643</v>
      </c>
      <c r="AV534" s="233">
        <v>-28643</v>
      </c>
      <c r="AW534" s="230">
        <f t="shared" si="67"/>
        <v>0</v>
      </c>
    </row>
    <row r="535" spans="1:49" hidden="1" x14ac:dyDescent="0.3">
      <c r="A535" s="84" t="s">
        <v>2015</v>
      </c>
      <c r="B535" s="39" t="s">
        <v>1212</v>
      </c>
      <c r="C535" s="39" t="s">
        <v>119</v>
      </c>
      <c r="D535" s="340" t="s">
        <v>3472</v>
      </c>
      <c r="E535" s="159" t="s">
        <v>1085</v>
      </c>
      <c r="F535" s="159" t="s">
        <v>589</v>
      </c>
      <c r="G535" s="159" t="s">
        <v>387</v>
      </c>
      <c r="H535" s="159" t="s">
        <v>424</v>
      </c>
      <c r="I535" s="159" t="s">
        <v>1206</v>
      </c>
      <c r="J535" s="159" t="s">
        <v>1078</v>
      </c>
      <c r="K535" s="159" t="s">
        <v>1849</v>
      </c>
      <c r="L535" s="39" t="s">
        <v>556</v>
      </c>
      <c r="M535" s="39" t="s">
        <v>305</v>
      </c>
      <c r="N535" s="39">
        <v>11</v>
      </c>
      <c r="O535" s="167" t="s">
        <v>119</v>
      </c>
      <c r="P535" s="39" t="s">
        <v>119</v>
      </c>
      <c r="Q535" s="39" t="s">
        <v>1212</v>
      </c>
      <c r="R535" s="16" t="s">
        <v>2015</v>
      </c>
      <c r="S535" s="160">
        <v>-47247</v>
      </c>
      <c r="T535" s="160">
        <v>-24002.89</v>
      </c>
      <c r="U535" s="160">
        <v>0</v>
      </c>
      <c r="V535" s="160">
        <v>-24002.89</v>
      </c>
      <c r="W535" s="160">
        <v>-23244.11</v>
      </c>
      <c r="X535" s="161" t="e">
        <v>#N/A</v>
      </c>
      <c r="Y535" s="160"/>
      <c r="Z535" s="16">
        <v>50.8</v>
      </c>
      <c r="AA535" s="162">
        <v>-24002.89</v>
      </c>
      <c r="AB535" s="162">
        <v>-6000.7224999999999</v>
      </c>
      <c r="AC535" s="162">
        <v>-72008.67</v>
      </c>
      <c r="AD535" s="160"/>
      <c r="AE535" s="145">
        <v>-47247</v>
      </c>
      <c r="AF535" s="163">
        <v>1.0469999999999999</v>
      </c>
      <c r="AG535" s="164">
        <v>1.046</v>
      </c>
      <c r="AH535" s="164">
        <v>1.046</v>
      </c>
      <c r="AI535" s="164">
        <v>-47247</v>
      </c>
      <c r="AJ535" s="164">
        <f t="shared" si="68"/>
        <v>0</v>
      </c>
      <c r="AK535" s="165">
        <v>0</v>
      </c>
      <c r="AL535" s="165">
        <f t="shared" si="66"/>
        <v>0</v>
      </c>
      <c r="AM535" s="165">
        <f t="shared" si="63"/>
        <v>0</v>
      </c>
      <c r="AN535" s="165">
        <f t="shared" si="64"/>
        <v>0</v>
      </c>
      <c r="AO535" s="16"/>
      <c r="AP535" s="231">
        <f t="shared" si="69"/>
        <v>0</v>
      </c>
      <c r="AR535" s="231"/>
      <c r="AS535" s="231"/>
      <c r="AU535" s="230">
        <v>-47247</v>
      </c>
      <c r="AV535" s="233">
        <v>-47247</v>
      </c>
      <c r="AW535" s="230">
        <f t="shared" si="67"/>
        <v>0</v>
      </c>
    </row>
    <row r="536" spans="1:49" hidden="1" x14ac:dyDescent="0.3">
      <c r="A536" s="84" t="s">
        <v>2016</v>
      </c>
      <c r="B536" s="39" t="s">
        <v>1213</v>
      </c>
      <c r="C536" s="39" t="s">
        <v>119</v>
      </c>
      <c r="D536" s="340" t="s">
        <v>3472</v>
      </c>
      <c r="E536" s="159" t="s">
        <v>1085</v>
      </c>
      <c r="F536" s="159" t="s">
        <v>589</v>
      </c>
      <c r="G536" s="159" t="s">
        <v>387</v>
      </c>
      <c r="H536" s="159" t="s">
        <v>424</v>
      </c>
      <c r="I536" s="159" t="s">
        <v>1206</v>
      </c>
      <c r="J536" s="159" t="s">
        <v>750</v>
      </c>
      <c r="K536" s="159" t="s">
        <v>1849</v>
      </c>
      <c r="L536" s="39" t="s">
        <v>556</v>
      </c>
      <c r="M536" s="39" t="s">
        <v>305</v>
      </c>
      <c r="N536" s="39">
        <v>11</v>
      </c>
      <c r="O536" s="167" t="s">
        <v>119</v>
      </c>
      <c r="P536" s="39" t="s">
        <v>119</v>
      </c>
      <c r="Q536" s="39" t="s">
        <v>1213</v>
      </c>
      <c r="R536" s="16" t="s">
        <v>2016</v>
      </c>
      <c r="S536" s="160">
        <v>-65844</v>
      </c>
      <c r="T536" s="160">
        <v>-30529.11</v>
      </c>
      <c r="U536" s="160">
        <v>0</v>
      </c>
      <c r="V536" s="160">
        <v>-30529.11</v>
      </c>
      <c r="W536" s="160">
        <v>-35314.89</v>
      </c>
      <c r="X536" s="161" t="e">
        <v>#N/A</v>
      </c>
      <c r="Y536" s="160"/>
      <c r="Z536" s="16">
        <v>46.36</v>
      </c>
      <c r="AA536" s="162">
        <v>-30529.11</v>
      </c>
      <c r="AB536" s="162">
        <v>-7632.2775000000001</v>
      </c>
      <c r="AC536" s="162">
        <v>-91587.33</v>
      </c>
      <c r="AD536" s="160"/>
      <c r="AE536" s="145">
        <v>-65844</v>
      </c>
      <c r="AF536" s="163">
        <v>1.0469999999999999</v>
      </c>
      <c r="AG536" s="164">
        <v>1.046</v>
      </c>
      <c r="AH536" s="164">
        <v>1.046</v>
      </c>
      <c r="AI536" s="164">
        <v>-65844</v>
      </c>
      <c r="AJ536" s="164">
        <f t="shared" si="68"/>
        <v>0</v>
      </c>
      <c r="AK536" s="165">
        <v>0</v>
      </c>
      <c r="AL536" s="165">
        <f t="shared" si="66"/>
        <v>0</v>
      </c>
      <c r="AM536" s="165">
        <f t="shared" si="63"/>
        <v>0</v>
      </c>
      <c r="AN536" s="165">
        <f t="shared" si="64"/>
        <v>0</v>
      </c>
      <c r="AO536" s="16"/>
      <c r="AP536" s="231">
        <f t="shared" si="69"/>
        <v>0</v>
      </c>
      <c r="AR536" s="231"/>
      <c r="AS536" s="231"/>
      <c r="AU536" s="230">
        <v>-65844</v>
      </c>
      <c r="AV536" s="233">
        <v>-65844</v>
      </c>
      <c r="AW536" s="230">
        <f t="shared" si="67"/>
        <v>0</v>
      </c>
    </row>
    <row r="537" spans="1:49" hidden="1" x14ac:dyDescent="0.3">
      <c r="A537" s="84" t="s">
        <v>2017</v>
      </c>
      <c r="B537" s="39" t="s">
        <v>1214</v>
      </c>
      <c r="C537" s="39" t="s">
        <v>119</v>
      </c>
      <c r="D537" s="340" t="s">
        <v>3472</v>
      </c>
      <c r="E537" s="159" t="s">
        <v>1085</v>
      </c>
      <c r="F537" s="159" t="s">
        <v>589</v>
      </c>
      <c r="G537" s="159" t="s">
        <v>387</v>
      </c>
      <c r="H537" s="159" t="s">
        <v>424</v>
      </c>
      <c r="I537" s="159" t="s">
        <v>1206</v>
      </c>
      <c r="J537" s="159" t="s">
        <v>1215</v>
      </c>
      <c r="K537" s="159" t="s">
        <v>1849</v>
      </c>
      <c r="L537" s="39" t="s">
        <v>556</v>
      </c>
      <c r="M537" s="39" t="s">
        <v>305</v>
      </c>
      <c r="N537" s="39">
        <v>11</v>
      </c>
      <c r="O537" s="167" t="s">
        <v>119</v>
      </c>
      <c r="P537" s="39" t="s">
        <v>119</v>
      </c>
      <c r="Q537" s="39" t="s">
        <v>1214</v>
      </c>
      <c r="R537" s="16" t="s">
        <v>2017</v>
      </c>
      <c r="S537" s="160">
        <v>-63407</v>
      </c>
      <c r="T537" s="160">
        <v>-28600.77</v>
      </c>
      <c r="U537" s="160">
        <v>0</v>
      </c>
      <c r="V537" s="160">
        <v>-28600.77</v>
      </c>
      <c r="W537" s="160">
        <v>-34806.230000000003</v>
      </c>
      <c r="X537" s="161" t="e">
        <v>#N/A</v>
      </c>
      <c r="Y537" s="160"/>
      <c r="Z537" s="16">
        <v>45.1</v>
      </c>
      <c r="AA537" s="162">
        <v>-28600.77</v>
      </c>
      <c r="AB537" s="162">
        <v>-7150.1925000000001</v>
      </c>
      <c r="AC537" s="162">
        <v>-85802.31</v>
      </c>
      <c r="AD537" s="160"/>
      <c r="AE537" s="145">
        <v>-63407</v>
      </c>
      <c r="AF537" s="163">
        <v>1.0469999999999999</v>
      </c>
      <c r="AG537" s="164">
        <v>1.046</v>
      </c>
      <c r="AH537" s="164">
        <v>1.046</v>
      </c>
      <c r="AI537" s="164">
        <v>-63407</v>
      </c>
      <c r="AJ537" s="164">
        <f t="shared" si="68"/>
        <v>0</v>
      </c>
      <c r="AK537" s="165">
        <v>0</v>
      </c>
      <c r="AL537" s="165">
        <f t="shared" si="66"/>
        <v>0</v>
      </c>
      <c r="AM537" s="165">
        <f t="shared" si="63"/>
        <v>0</v>
      </c>
      <c r="AN537" s="165">
        <f t="shared" si="64"/>
        <v>0</v>
      </c>
      <c r="AO537" s="16"/>
      <c r="AP537" s="231">
        <f t="shared" si="69"/>
        <v>0</v>
      </c>
      <c r="AR537" s="231"/>
      <c r="AS537" s="231"/>
      <c r="AU537" s="230">
        <v>-63407</v>
      </c>
      <c r="AV537" s="233">
        <v>-63407</v>
      </c>
      <c r="AW537" s="230">
        <f t="shared" si="67"/>
        <v>0</v>
      </c>
    </row>
    <row r="538" spans="1:49" hidden="1" x14ac:dyDescent="0.3">
      <c r="A538" s="84" t="s">
        <v>2018</v>
      </c>
      <c r="B538" s="39" t="s">
        <v>1216</v>
      </c>
      <c r="C538" s="39" t="s">
        <v>119</v>
      </c>
      <c r="D538" s="340" t="s">
        <v>3472</v>
      </c>
      <c r="E538" s="159" t="s">
        <v>1085</v>
      </c>
      <c r="F538" s="159" t="s">
        <v>589</v>
      </c>
      <c r="G538" s="159" t="s">
        <v>387</v>
      </c>
      <c r="H538" s="159" t="s">
        <v>424</v>
      </c>
      <c r="I538" s="159" t="s">
        <v>1206</v>
      </c>
      <c r="J538" s="159" t="s">
        <v>1217</v>
      </c>
      <c r="K538" s="159" t="s">
        <v>1849</v>
      </c>
      <c r="L538" s="39" t="s">
        <v>556</v>
      </c>
      <c r="M538" s="39" t="s">
        <v>305</v>
      </c>
      <c r="N538" s="39">
        <v>11</v>
      </c>
      <c r="O538" s="167" t="s">
        <v>119</v>
      </c>
      <c r="P538" s="39" t="s">
        <v>119</v>
      </c>
      <c r="Q538" s="39" t="s">
        <v>1216</v>
      </c>
      <c r="R538" s="16" t="s">
        <v>2018</v>
      </c>
      <c r="S538" s="160">
        <v>-33818</v>
      </c>
      <c r="T538" s="160">
        <v>-13388.38</v>
      </c>
      <c r="U538" s="160">
        <v>0</v>
      </c>
      <c r="V538" s="160">
        <v>-53357.1</v>
      </c>
      <c r="W538" s="160">
        <v>19539.099999999999</v>
      </c>
      <c r="X538" s="161" t="e">
        <v>#N/A</v>
      </c>
      <c r="Y538" s="160"/>
      <c r="Z538" s="16">
        <v>157.77000000000001</v>
      </c>
      <c r="AA538" s="162">
        <v>-53357.1</v>
      </c>
      <c r="AB538" s="162">
        <v>-13339.275</v>
      </c>
      <c r="AC538" s="162">
        <v>-160071.29999999999</v>
      </c>
      <c r="AD538" s="160"/>
      <c r="AE538" s="145">
        <v>-33818</v>
      </c>
      <c r="AF538" s="163">
        <v>1.0469999999999999</v>
      </c>
      <c r="AG538" s="164">
        <v>1.046</v>
      </c>
      <c r="AH538" s="164">
        <v>1.046</v>
      </c>
      <c r="AI538" s="164">
        <v>-33818</v>
      </c>
      <c r="AJ538" s="164">
        <f t="shared" si="68"/>
        <v>0</v>
      </c>
      <c r="AK538" s="165">
        <v>0</v>
      </c>
      <c r="AL538" s="165">
        <f t="shared" si="66"/>
        <v>0</v>
      </c>
      <c r="AM538" s="165">
        <f t="shared" si="63"/>
        <v>0</v>
      </c>
      <c r="AN538" s="165">
        <f t="shared" si="64"/>
        <v>0</v>
      </c>
      <c r="AO538" s="16"/>
      <c r="AP538" s="231">
        <f t="shared" si="69"/>
        <v>0</v>
      </c>
      <c r="AR538" s="231"/>
      <c r="AS538" s="231"/>
      <c r="AU538" s="230">
        <v>-33818</v>
      </c>
      <c r="AV538" s="233">
        <v>-33818</v>
      </c>
      <c r="AW538" s="230">
        <f t="shared" si="67"/>
        <v>0</v>
      </c>
    </row>
    <row r="539" spans="1:49" hidden="1" x14ac:dyDescent="0.3">
      <c r="A539" s="84" t="s">
        <v>1219</v>
      </c>
      <c r="B539" s="39" t="s">
        <v>1218</v>
      </c>
      <c r="C539" s="39" t="s">
        <v>122</v>
      </c>
      <c r="D539" s="340" t="s">
        <v>3472</v>
      </c>
      <c r="E539" s="159" t="s">
        <v>1085</v>
      </c>
      <c r="F539" s="159" t="s">
        <v>589</v>
      </c>
      <c r="G539" s="159" t="s">
        <v>387</v>
      </c>
      <c r="H539" s="159" t="s">
        <v>424</v>
      </c>
      <c r="I539" s="159" t="s">
        <v>1220</v>
      </c>
      <c r="J539" s="159" t="s">
        <v>312</v>
      </c>
      <c r="K539" s="159" t="s">
        <v>1849</v>
      </c>
      <c r="L539" s="39" t="s">
        <v>556</v>
      </c>
      <c r="M539" s="39" t="s">
        <v>305</v>
      </c>
      <c r="N539" s="39">
        <v>11</v>
      </c>
      <c r="O539" s="167" t="s">
        <v>122</v>
      </c>
      <c r="P539" s="39" t="s">
        <v>122</v>
      </c>
      <c r="Q539" s="39" t="s">
        <v>1218</v>
      </c>
      <c r="R539" s="16" t="s">
        <v>1219</v>
      </c>
      <c r="S539" s="160">
        <v>0</v>
      </c>
      <c r="T539" s="160">
        <v>0</v>
      </c>
      <c r="U539" s="160">
        <v>0</v>
      </c>
      <c r="V539" s="160">
        <v>0</v>
      </c>
      <c r="W539" s="160">
        <v>0</v>
      </c>
      <c r="X539" s="161" t="e">
        <v>#N/A</v>
      </c>
      <c r="Y539" s="160"/>
      <c r="Z539" s="16">
        <v>0</v>
      </c>
      <c r="AA539" s="162">
        <v>0</v>
      </c>
      <c r="AB539" s="162">
        <v>0</v>
      </c>
      <c r="AC539" s="162">
        <v>0</v>
      </c>
      <c r="AD539" s="160"/>
      <c r="AE539" s="145">
        <v>0</v>
      </c>
      <c r="AF539" s="163">
        <v>1.0469999999999999</v>
      </c>
      <c r="AG539" s="164">
        <v>1.046</v>
      </c>
      <c r="AH539" s="164">
        <v>1.046</v>
      </c>
      <c r="AI539" s="164">
        <v>0</v>
      </c>
      <c r="AJ539" s="164">
        <f t="shared" si="68"/>
        <v>0</v>
      </c>
      <c r="AK539" s="165">
        <v>0</v>
      </c>
      <c r="AL539" s="165">
        <f t="shared" si="66"/>
        <v>0</v>
      </c>
      <c r="AM539" s="165">
        <f t="shared" si="63"/>
        <v>0</v>
      </c>
      <c r="AN539" s="165">
        <f t="shared" si="64"/>
        <v>0</v>
      </c>
      <c r="AO539" s="16"/>
      <c r="AP539" s="231">
        <f t="shared" si="69"/>
        <v>0</v>
      </c>
      <c r="AR539" s="231"/>
      <c r="AS539" s="231"/>
      <c r="AU539" s="230">
        <v>0</v>
      </c>
      <c r="AV539" s="233">
        <v>0</v>
      </c>
      <c r="AW539" s="230">
        <f t="shared" si="67"/>
        <v>0</v>
      </c>
    </row>
    <row r="540" spans="1:49" hidden="1" x14ac:dyDescent="0.3">
      <c r="A540" s="84" t="s">
        <v>1222</v>
      </c>
      <c r="B540" s="39" t="s">
        <v>1221</v>
      </c>
      <c r="C540" s="39" t="s">
        <v>122</v>
      </c>
      <c r="D540" s="340" t="s">
        <v>3472</v>
      </c>
      <c r="E540" s="159" t="s">
        <v>1085</v>
      </c>
      <c r="F540" s="159" t="s">
        <v>589</v>
      </c>
      <c r="G540" s="159" t="s">
        <v>387</v>
      </c>
      <c r="H540" s="159" t="s">
        <v>424</v>
      </c>
      <c r="I540" s="159" t="s">
        <v>1220</v>
      </c>
      <c r="J540" s="159" t="s">
        <v>387</v>
      </c>
      <c r="K540" s="159" t="s">
        <v>1849</v>
      </c>
      <c r="L540" s="39" t="s">
        <v>556</v>
      </c>
      <c r="M540" s="39" t="s">
        <v>305</v>
      </c>
      <c r="N540" s="39">
        <v>11</v>
      </c>
      <c r="O540" s="167" t="s">
        <v>122</v>
      </c>
      <c r="P540" s="39" t="s">
        <v>122</v>
      </c>
      <c r="Q540" s="39" t="s">
        <v>1221</v>
      </c>
      <c r="R540" s="16" t="s">
        <v>1222</v>
      </c>
      <c r="S540" s="160">
        <v>-5793182</v>
      </c>
      <c r="T540" s="160">
        <v>605.77</v>
      </c>
      <c r="U540" s="160">
        <v>0</v>
      </c>
      <c r="V540" s="160">
        <v>-7343902.1900000004</v>
      </c>
      <c r="W540" s="160">
        <v>1550720.19</v>
      </c>
      <c r="X540" s="161" t="e">
        <v>#N/A</v>
      </c>
      <c r="Y540" s="160"/>
      <c r="Z540" s="16">
        <v>126.76</v>
      </c>
      <c r="AA540" s="162">
        <v>-7343902.1900000004</v>
      </c>
      <c r="AB540" s="162">
        <v>-1835975.5475000001</v>
      </c>
      <c r="AC540" s="162">
        <v>-22031706.57</v>
      </c>
      <c r="AD540" s="160"/>
      <c r="AE540" s="145">
        <v>-5793182</v>
      </c>
      <c r="AF540" s="163">
        <v>1.0469999999999999</v>
      </c>
      <c r="AG540" s="164">
        <v>1.046</v>
      </c>
      <c r="AH540" s="164">
        <v>1.046</v>
      </c>
      <c r="AI540" s="164">
        <v>-5793182</v>
      </c>
      <c r="AJ540" s="164">
        <f t="shared" si="68"/>
        <v>0</v>
      </c>
      <c r="AK540" s="165">
        <v>0</v>
      </c>
      <c r="AL540" s="165">
        <f t="shared" si="66"/>
        <v>0</v>
      </c>
      <c r="AM540" s="165">
        <f t="shared" si="63"/>
        <v>0</v>
      </c>
      <c r="AN540" s="165">
        <f t="shared" si="64"/>
        <v>0</v>
      </c>
      <c r="AO540" s="16"/>
      <c r="AP540" s="231">
        <f t="shared" si="69"/>
        <v>0</v>
      </c>
      <c r="AR540" s="231"/>
      <c r="AS540" s="231"/>
      <c r="AU540" s="230">
        <v>-5793182</v>
      </c>
      <c r="AV540" s="233">
        <v>-5793182</v>
      </c>
      <c r="AW540" s="230">
        <f t="shared" si="67"/>
        <v>0</v>
      </c>
    </row>
    <row r="541" spans="1:49" hidden="1" x14ac:dyDescent="0.3">
      <c r="A541" s="84" t="s">
        <v>1224</v>
      </c>
      <c r="B541" s="39" t="s">
        <v>1223</v>
      </c>
      <c r="C541" s="39" t="s">
        <v>122</v>
      </c>
      <c r="D541" s="340" t="s">
        <v>3472</v>
      </c>
      <c r="E541" s="159" t="s">
        <v>1085</v>
      </c>
      <c r="F541" s="159" t="s">
        <v>589</v>
      </c>
      <c r="G541" s="159" t="s">
        <v>387</v>
      </c>
      <c r="H541" s="159" t="s">
        <v>424</v>
      </c>
      <c r="I541" s="159" t="s">
        <v>1220</v>
      </c>
      <c r="J541" s="159" t="s">
        <v>309</v>
      </c>
      <c r="K541" s="159" t="s">
        <v>1849</v>
      </c>
      <c r="L541" s="39" t="s">
        <v>556</v>
      </c>
      <c r="M541" s="39" t="s">
        <v>305</v>
      </c>
      <c r="N541" s="39">
        <v>11</v>
      </c>
      <c r="O541" s="167" t="s">
        <v>122</v>
      </c>
      <c r="P541" s="39" t="s">
        <v>122</v>
      </c>
      <c r="Q541" s="39" t="s">
        <v>1223</v>
      </c>
      <c r="R541" s="16" t="s">
        <v>1224</v>
      </c>
      <c r="S541" s="160">
        <v>-8920305</v>
      </c>
      <c r="T541" s="160">
        <v>0</v>
      </c>
      <c r="U541" s="160">
        <v>0</v>
      </c>
      <c r="V541" s="160">
        <v>-10789143.939999999</v>
      </c>
      <c r="W541" s="160">
        <v>1868838.94</v>
      </c>
      <c r="X541" s="161" t="e">
        <v>#N/A</v>
      </c>
      <c r="Y541" s="160"/>
      <c r="Z541" s="16">
        <v>120.95</v>
      </c>
      <c r="AA541" s="162">
        <v>-10789143.939999999</v>
      </c>
      <c r="AB541" s="162">
        <v>-2697285.9849999999</v>
      </c>
      <c r="AC541" s="162">
        <v>-32367431.82</v>
      </c>
      <c r="AD541" s="160"/>
      <c r="AE541" s="145">
        <v>-8920305</v>
      </c>
      <c r="AF541" s="163">
        <v>1.0469999999999999</v>
      </c>
      <c r="AG541" s="164">
        <v>1.046</v>
      </c>
      <c r="AH541" s="164">
        <v>1.046</v>
      </c>
      <c r="AI541" s="164">
        <v>-8920305</v>
      </c>
      <c r="AJ541" s="164">
        <f t="shared" si="68"/>
        <v>0</v>
      </c>
      <c r="AK541" s="165">
        <v>0</v>
      </c>
      <c r="AL541" s="165">
        <f t="shared" si="66"/>
        <v>0</v>
      </c>
      <c r="AM541" s="165">
        <f t="shared" si="63"/>
        <v>0</v>
      </c>
      <c r="AN541" s="165">
        <f t="shared" si="64"/>
        <v>0</v>
      </c>
      <c r="AO541" s="16"/>
      <c r="AP541" s="231">
        <f t="shared" si="69"/>
        <v>0</v>
      </c>
      <c r="AR541" s="231"/>
      <c r="AS541" s="231"/>
      <c r="AU541" s="230">
        <v>-8920305</v>
      </c>
      <c r="AV541" s="233">
        <v>-8920305</v>
      </c>
      <c r="AW541" s="230">
        <f t="shared" si="67"/>
        <v>0</v>
      </c>
    </row>
    <row r="542" spans="1:49" hidden="1" x14ac:dyDescent="0.3">
      <c r="A542" s="84" t="s">
        <v>2019</v>
      </c>
      <c r="B542" s="39" t="s">
        <v>1225</v>
      </c>
      <c r="C542" s="39" t="s">
        <v>122</v>
      </c>
      <c r="D542" s="340" t="s">
        <v>3472</v>
      </c>
      <c r="E542" s="159" t="s">
        <v>1085</v>
      </c>
      <c r="F542" s="159" t="s">
        <v>589</v>
      </c>
      <c r="G542" s="159" t="s">
        <v>387</v>
      </c>
      <c r="H542" s="159" t="s">
        <v>424</v>
      </c>
      <c r="I542" s="159" t="s">
        <v>1220</v>
      </c>
      <c r="J542" s="159" t="s">
        <v>582</v>
      </c>
      <c r="K542" s="159" t="s">
        <v>1849</v>
      </c>
      <c r="L542" s="39" t="s">
        <v>556</v>
      </c>
      <c r="M542" s="39" t="s">
        <v>305</v>
      </c>
      <c r="N542" s="39">
        <v>11</v>
      </c>
      <c r="O542" s="167" t="s">
        <v>122</v>
      </c>
      <c r="P542" s="39" t="s">
        <v>122</v>
      </c>
      <c r="Q542" s="39" t="s">
        <v>1225</v>
      </c>
      <c r="R542" s="16" t="s">
        <v>2019</v>
      </c>
      <c r="S542" s="160">
        <v>-5784945</v>
      </c>
      <c r="T542" s="160">
        <v>0</v>
      </c>
      <c r="U542" s="160">
        <v>0</v>
      </c>
      <c r="V542" s="160">
        <v>-6852220.96</v>
      </c>
      <c r="W542" s="160">
        <v>1067275.96</v>
      </c>
      <c r="X542" s="161" t="e">
        <v>#N/A</v>
      </c>
      <c r="Y542" s="160"/>
      <c r="Z542" s="16">
        <v>118.44</v>
      </c>
      <c r="AA542" s="162">
        <v>-6852220.96</v>
      </c>
      <c r="AB542" s="162">
        <v>-1713055.24</v>
      </c>
      <c r="AC542" s="162">
        <v>-20556662.879999999</v>
      </c>
      <c r="AD542" s="160"/>
      <c r="AE542" s="145">
        <v>-5784945</v>
      </c>
      <c r="AF542" s="163">
        <v>1.0469999999999999</v>
      </c>
      <c r="AG542" s="164">
        <v>1.046</v>
      </c>
      <c r="AH542" s="164">
        <v>1.046</v>
      </c>
      <c r="AI542" s="164">
        <v>-5784945</v>
      </c>
      <c r="AJ542" s="164">
        <f t="shared" si="68"/>
        <v>0</v>
      </c>
      <c r="AK542" s="165">
        <v>0</v>
      </c>
      <c r="AL542" s="165">
        <f t="shared" si="66"/>
        <v>0</v>
      </c>
      <c r="AM542" s="165">
        <f t="shared" ref="AM542:AM605" si="70">AL542*AG542</f>
        <v>0</v>
      </c>
      <c r="AN542" s="165">
        <f t="shared" ref="AN542:AN605" si="71">AM542*AH542</f>
        <v>0</v>
      </c>
      <c r="AO542" s="16"/>
      <c r="AP542" s="231">
        <f t="shared" si="69"/>
        <v>0</v>
      </c>
      <c r="AR542" s="231"/>
      <c r="AS542" s="231"/>
      <c r="AU542" s="230">
        <v>-5784945</v>
      </c>
      <c r="AV542" s="233">
        <v>-5784945</v>
      </c>
      <c r="AW542" s="230">
        <f t="shared" si="67"/>
        <v>0</v>
      </c>
    </row>
    <row r="543" spans="1:49" hidden="1" x14ac:dyDescent="0.3">
      <c r="A543" s="84" t="s">
        <v>2020</v>
      </c>
      <c r="B543" s="39" t="s">
        <v>1226</v>
      </c>
      <c r="C543" s="39" t="s">
        <v>122</v>
      </c>
      <c r="D543" s="340" t="s">
        <v>3472</v>
      </c>
      <c r="E543" s="159" t="s">
        <v>1085</v>
      </c>
      <c r="F543" s="159" t="s">
        <v>589</v>
      </c>
      <c r="G543" s="159" t="s">
        <v>387</v>
      </c>
      <c r="H543" s="159" t="s">
        <v>424</v>
      </c>
      <c r="I543" s="159" t="s">
        <v>1220</v>
      </c>
      <c r="J543" s="159" t="s">
        <v>711</v>
      </c>
      <c r="K543" s="159" t="s">
        <v>1849</v>
      </c>
      <c r="L543" s="39" t="s">
        <v>556</v>
      </c>
      <c r="M543" s="39" t="s">
        <v>305</v>
      </c>
      <c r="N543" s="39">
        <v>11</v>
      </c>
      <c r="O543" s="167" t="s">
        <v>122</v>
      </c>
      <c r="P543" s="39" t="s">
        <v>122</v>
      </c>
      <c r="Q543" s="39" t="s">
        <v>1226</v>
      </c>
      <c r="R543" s="16" t="s">
        <v>2020</v>
      </c>
      <c r="S543" s="160">
        <v>-10898264</v>
      </c>
      <c r="T543" s="160">
        <v>-1888704.82</v>
      </c>
      <c r="U543" s="160">
        <v>0</v>
      </c>
      <c r="V543" s="160">
        <v>-1894619.24</v>
      </c>
      <c r="W543" s="160">
        <v>-9003644.7599999998</v>
      </c>
      <c r="X543" s="161" t="e">
        <v>#N/A</v>
      </c>
      <c r="Y543" s="160"/>
      <c r="Z543" s="16">
        <v>17.38</v>
      </c>
      <c r="AA543" s="162">
        <v>-1894619.24</v>
      </c>
      <c r="AB543" s="162">
        <v>-473654.81</v>
      </c>
      <c r="AC543" s="162">
        <v>-5683857.7199999997</v>
      </c>
      <c r="AD543" s="160"/>
      <c r="AE543" s="145">
        <v>-10898264</v>
      </c>
      <c r="AF543" s="163">
        <v>1.0469999999999999</v>
      </c>
      <c r="AG543" s="164">
        <v>1.046</v>
      </c>
      <c r="AH543" s="164">
        <v>1.046</v>
      </c>
      <c r="AI543" s="164">
        <v>-10898264</v>
      </c>
      <c r="AJ543" s="164">
        <f t="shared" si="68"/>
        <v>0</v>
      </c>
      <c r="AK543" s="165">
        <v>0</v>
      </c>
      <c r="AL543" s="165">
        <f t="shared" si="66"/>
        <v>0</v>
      </c>
      <c r="AM543" s="165">
        <f t="shared" si="70"/>
        <v>0</v>
      </c>
      <c r="AN543" s="165">
        <f t="shared" si="71"/>
        <v>0</v>
      </c>
      <c r="AO543" s="16"/>
      <c r="AP543" s="231">
        <f t="shared" si="69"/>
        <v>0</v>
      </c>
      <c r="AR543" s="231"/>
      <c r="AS543" s="231"/>
      <c r="AU543" s="230">
        <v>-10898264</v>
      </c>
      <c r="AV543" s="233">
        <v>-10898264</v>
      </c>
      <c r="AW543" s="230">
        <f t="shared" si="67"/>
        <v>0</v>
      </c>
    </row>
    <row r="544" spans="1:49" hidden="1" x14ac:dyDescent="0.3">
      <c r="A544" s="84" t="s">
        <v>2021</v>
      </c>
      <c r="B544" s="39" t="s">
        <v>1227</v>
      </c>
      <c r="C544" s="39" t="s">
        <v>122</v>
      </c>
      <c r="D544" s="340" t="s">
        <v>3472</v>
      </c>
      <c r="E544" s="159" t="s">
        <v>1085</v>
      </c>
      <c r="F544" s="159" t="s">
        <v>589</v>
      </c>
      <c r="G544" s="159" t="s">
        <v>387</v>
      </c>
      <c r="H544" s="159" t="s">
        <v>424</v>
      </c>
      <c r="I544" s="159" t="s">
        <v>1220</v>
      </c>
      <c r="J544" s="159" t="s">
        <v>1211</v>
      </c>
      <c r="K544" s="159" t="s">
        <v>1849</v>
      </c>
      <c r="L544" s="39" t="s">
        <v>556</v>
      </c>
      <c r="M544" s="39" t="s">
        <v>305</v>
      </c>
      <c r="N544" s="39">
        <v>11</v>
      </c>
      <c r="O544" s="167" t="s">
        <v>122</v>
      </c>
      <c r="P544" s="39" t="s">
        <v>122</v>
      </c>
      <c r="Q544" s="39" t="s">
        <v>1227</v>
      </c>
      <c r="R544" s="16" t="s">
        <v>2021</v>
      </c>
      <c r="S544" s="160">
        <v>-15678241</v>
      </c>
      <c r="T544" s="160">
        <v>-2589992.9300000002</v>
      </c>
      <c r="U544" s="160">
        <v>0</v>
      </c>
      <c r="V544" s="160">
        <v>-2589992.9300000002</v>
      </c>
      <c r="W544" s="160">
        <v>-13088248.07</v>
      </c>
      <c r="X544" s="161" t="e">
        <v>#N/A</v>
      </c>
      <c r="Y544" s="160"/>
      <c r="Z544" s="16">
        <v>16.510000000000002</v>
      </c>
      <c r="AA544" s="162">
        <v>-2589992.9300000002</v>
      </c>
      <c r="AB544" s="162">
        <v>-647498.23250000004</v>
      </c>
      <c r="AC544" s="162">
        <v>-7769978.790000001</v>
      </c>
      <c r="AD544" s="160"/>
      <c r="AE544" s="145">
        <v>-15678241</v>
      </c>
      <c r="AF544" s="163">
        <v>1.0469999999999999</v>
      </c>
      <c r="AG544" s="164">
        <v>1.046</v>
      </c>
      <c r="AH544" s="164">
        <v>1.046</v>
      </c>
      <c r="AI544" s="164">
        <v>-15678241</v>
      </c>
      <c r="AJ544" s="164">
        <f t="shared" si="68"/>
        <v>0</v>
      </c>
      <c r="AK544" s="165">
        <v>0</v>
      </c>
      <c r="AL544" s="165">
        <f t="shared" si="66"/>
        <v>0</v>
      </c>
      <c r="AM544" s="165">
        <f t="shared" si="70"/>
        <v>0</v>
      </c>
      <c r="AN544" s="165">
        <f t="shared" si="71"/>
        <v>0</v>
      </c>
      <c r="AO544" s="16"/>
      <c r="AP544" s="231">
        <f t="shared" si="69"/>
        <v>0</v>
      </c>
      <c r="AR544" s="231"/>
      <c r="AS544" s="231"/>
      <c r="AU544" s="230">
        <v>-15678241</v>
      </c>
      <c r="AV544" s="233">
        <v>-15678241</v>
      </c>
      <c r="AW544" s="230">
        <f t="shared" si="67"/>
        <v>0</v>
      </c>
    </row>
    <row r="545" spans="1:49" hidden="1" x14ac:dyDescent="0.3">
      <c r="A545" s="84" t="s">
        <v>2022</v>
      </c>
      <c r="B545" s="39" t="s">
        <v>1228</v>
      </c>
      <c r="C545" s="39" t="s">
        <v>122</v>
      </c>
      <c r="D545" s="340" t="s">
        <v>3472</v>
      </c>
      <c r="E545" s="159" t="s">
        <v>1085</v>
      </c>
      <c r="F545" s="159" t="s">
        <v>589</v>
      </c>
      <c r="G545" s="159" t="s">
        <v>387</v>
      </c>
      <c r="H545" s="159" t="s">
        <v>424</v>
      </c>
      <c r="I545" s="159" t="s">
        <v>1220</v>
      </c>
      <c r="J545" s="159" t="s">
        <v>1078</v>
      </c>
      <c r="K545" s="159" t="s">
        <v>1849</v>
      </c>
      <c r="L545" s="39" t="s">
        <v>556</v>
      </c>
      <c r="M545" s="39" t="s">
        <v>305</v>
      </c>
      <c r="N545" s="39">
        <v>11</v>
      </c>
      <c r="O545" s="167" t="s">
        <v>122</v>
      </c>
      <c r="P545" s="39" t="s">
        <v>122</v>
      </c>
      <c r="Q545" s="39" t="s">
        <v>1228</v>
      </c>
      <c r="R545" s="16" t="s">
        <v>2022</v>
      </c>
      <c r="S545" s="160">
        <v>-12930281</v>
      </c>
      <c r="T545" s="160">
        <v>-2040555.23</v>
      </c>
      <c r="U545" s="160">
        <v>0</v>
      </c>
      <c r="V545" s="160">
        <v>-2040555.23</v>
      </c>
      <c r="W545" s="160">
        <v>-10889725.77</v>
      </c>
      <c r="X545" s="161" t="e">
        <v>#N/A</v>
      </c>
      <c r="Y545" s="160"/>
      <c r="Z545" s="16">
        <v>15.78</v>
      </c>
      <c r="AA545" s="162">
        <v>-2040555.23</v>
      </c>
      <c r="AB545" s="162">
        <v>-510138.8075</v>
      </c>
      <c r="AC545" s="162">
        <v>-6121665.6899999995</v>
      </c>
      <c r="AD545" s="160"/>
      <c r="AE545" s="145">
        <v>-12930281</v>
      </c>
      <c r="AF545" s="163">
        <v>1.0469999999999999</v>
      </c>
      <c r="AG545" s="164">
        <v>1.046</v>
      </c>
      <c r="AH545" s="164">
        <v>1.046</v>
      </c>
      <c r="AI545" s="164">
        <v>-12930281</v>
      </c>
      <c r="AJ545" s="164">
        <f t="shared" si="68"/>
        <v>0</v>
      </c>
      <c r="AK545" s="165">
        <v>0</v>
      </c>
      <c r="AL545" s="165">
        <f t="shared" si="66"/>
        <v>0</v>
      </c>
      <c r="AM545" s="165">
        <f t="shared" si="70"/>
        <v>0</v>
      </c>
      <c r="AN545" s="165">
        <f t="shared" si="71"/>
        <v>0</v>
      </c>
      <c r="AO545" s="16"/>
      <c r="AP545" s="231">
        <f t="shared" si="69"/>
        <v>0</v>
      </c>
      <c r="AR545" s="231"/>
      <c r="AS545" s="231"/>
      <c r="AU545" s="230">
        <v>-12930281</v>
      </c>
      <c r="AV545" s="233">
        <v>-12930281</v>
      </c>
      <c r="AW545" s="230">
        <f t="shared" si="67"/>
        <v>0</v>
      </c>
    </row>
    <row r="546" spans="1:49" hidden="1" x14ac:dyDescent="0.3">
      <c r="A546" s="84" t="s">
        <v>1230</v>
      </c>
      <c r="B546" s="39" t="s">
        <v>1229</v>
      </c>
      <c r="C546" s="39" t="s">
        <v>122</v>
      </c>
      <c r="D546" s="340" t="s">
        <v>3472</v>
      </c>
      <c r="E546" s="159" t="s">
        <v>1085</v>
      </c>
      <c r="F546" s="159" t="s">
        <v>589</v>
      </c>
      <c r="G546" s="159" t="s">
        <v>387</v>
      </c>
      <c r="H546" s="159" t="s">
        <v>424</v>
      </c>
      <c r="I546" s="159" t="s">
        <v>1220</v>
      </c>
      <c r="J546" s="159" t="s">
        <v>750</v>
      </c>
      <c r="K546" s="159" t="s">
        <v>1849</v>
      </c>
      <c r="L546" s="39" t="s">
        <v>556</v>
      </c>
      <c r="M546" s="39" t="s">
        <v>305</v>
      </c>
      <c r="N546" s="39">
        <v>11</v>
      </c>
      <c r="O546" s="167" t="s">
        <v>122</v>
      </c>
      <c r="P546" s="39" t="s">
        <v>122</v>
      </c>
      <c r="Q546" s="39" t="s">
        <v>1229</v>
      </c>
      <c r="R546" s="16" t="s">
        <v>1230</v>
      </c>
      <c r="S546" s="160">
        <v>-4233162</v>
      </c>
      <c r="T546" s="160">
        <v>-406021.28</v>
      </c>
      <c r="U546" s="160">
        <v>0</v>
      </c>
      <c r="V546" s="160">
        <v>-1610595.56</v>
      </c>
      <c r="W546" s="160">
        <v>-2622566.44</v>
      </c>
      <c r="X546" s="161" t="e">
        <v>#N/A</v>
      </c>
      <c r="Y546" s="160"/>
      <c r="Z546" s="16">
        <v>38.04</v>
      </c>
      <c r="AA546" s="162">
        <v>-1610595.56</v>
      </c>
      <c r="AB546" s="162">
        <v>-402648.89</v>
      </c>
      <c r="AC546" s="162">
        <v>-4831786.68</v>
      </c>
      <c r="AD546" s="160"/>
      <c r="AE546" s="145">
        <v>-4233162</v>
      </c>
      <c r="AF546" s="163">
        <v>1.0469999999999999</v>
      </c>
      <c r="AG546" s="164">
        <v>1.046</v>
      </c>
      <c r="AH546" s="164">
        <v>1.046</v>
      </c>
      <c r="AI546" s="164">
        <v>-4233162</v>
      </c>
      <c r="AJ546" s="164">
        <f t="shared" si="68"/>
        <v>0</v>
      </c>
      <c r="AK546" s="165">
        <v>0</v>
      </c>
      <c r="AL546" s="165">
        <f t="shared" si="66"/>
        <v>0</v>
      </c>
      <c r="AM546" s="165">
        <f t="shared" si="70"/>
        <v>0</v>
      </c>
      <c r="AN546" s="165">
        <f t="shared" si="71"/>
        <v>0</v>
      </c>
      <c r="AO546" s="16"/>
      <c r="AP546" s="231">
        <f t="shared" si="69"/>
        <v>0</v>
      </c>
      <c r="AR546" s="231"/>
      <c r="AS546" s="231"/>
      <c r="AU546" s="230">
        <v>-4233162</v>
      </c>
      <c r="AV546" s="233">
        <v>-4233162</v>
      </c>
      <c r="AW546" s="230">
        <f t="shared" si="67"/>
        <v>0</v>
      </c>
    </row>
    <row r="547" spans="1:49" hidden="1" x14ac:dyDescent="0.3">
      <c r="A547" s="84" t="s">
        <v>2023</v>
      </c>
      <c r="B547" s="39" t="s">
        <v>1231</v>
      </c>
      <c r="C547" s="39" t="s">
        <v>2024</v>
      </c>
      <c r="D547" s="340" t="s">
        <v>3472</v>
      </c>
      <c r="E547" s="159" t="s">
        <v>1085</v>
      </c>
      <c r="F547" s="159" t="s">
        <v>589</v>
      </c>
      <c r="G547" s="159" t="s">
        <v>387</v>
      </c>
      <c r="H547" s="159" t="s">
        <v>424</v>
      </c>
      <c r="I547" s="159" t="s">
        <v>1232</v>
      </c>
      <c r="J547" s="159" t="s">
        <v>387</v>
      </c>
      <c r="K547" s="159" t="s">
        <v>1849</v>
      </c>
      <c r="L547" s="39" t="s">
        <v>556</v>
      </c>
      <c r="M547" s="39" t="s">
        <v>305</v>
      </c>
      <c r="N547" s="39">
        <v>11</v>
      </c>
      <c r="O547" s="167" t="s">
        <v>2024</v>
      </c>
      <c r="P547" s="39" t="s">
        <v>2024</v>
      </c>
      <c r="Q547" s="39" t="s">
        <v>1231</v>
      </c>
      <c r="R547" s="16" t="s">
        <v>2023</v>
      </c>
      <c r="S547" s="160">
        <v>-22075702</v>
      </c>
      <c r="T547" s="160">
        <v>0</v>
      </c>
      <c r="U547" s="160">
        <v>0</v>
      </c>
      <c r="V547" s="160">
        <v>-18137115.170000002</v>
      </c>
      <c r="W547" s="160">
        <v>-3938586.83</v>
      </c>
      <c r="X547" s="161" t="e">
        <v>#N/A</v>
      </c>
      <c r="Y547" s="160"/>
      <c r="Z547" s="16">
        <v>82.15</v>
      </c>
      <c r="AA547" s="162">
        <v>-18137115.170000002</v>
      </c>
      <c r="AB547" s="162">
        <v>-4534278.7925000004</v>
      </c>
      <c r="AC547" s="162">
        <v>-54411345.510000005</v>
      </c>
      <c r="AD547" s="160"/>
      <c r="AE547" s="145">
        <v>-22075702</v>
      </c>
      <c r="AF547" s="163">
        <v>1.0469999999999999</v>
      </c>
      <c r="AG547" s="164">
        <v>1.046</v>
      </c>
      <c r="AH547" s="164">
        <v>1.046</v>
      </c>
      <c r="AI547" s="164">
        <v>-22075702</v>
      </c>
      <c r="AJ547" s="164">
        <f t="shared" si="68"/>
        <v>0</v>
      </c>
      <c r="AK547" s="165">
        <v>0</v>
      </c>
      <c r="AL547" s="165">
        <f t="shared" si="66"/>
        <v>0</v>
      </c>
      <c r="AM547" s="165">
        <f t="shared" si="70"/>
        <v>0</v>
      </c>
      <c r="AN547" s="165">
        <f t="shared" si="71"/>
        <v>0</v>
      </c>
      <c r="AO547" s="16"/>
      <c r="AP547" s="231">
        <f t="shared" si="69"/>
        <v>0</v>
      </c>
      <c r="AR547" s="231"/>
      <c r="AS547" s="231"/>
      <c r="AU547" s="230">
        <v>-22075702</v>
      </c>
      <c r="AV547" s="233">
        <v>-22075702</v>
      </c>
      <c r="AW547" s="230">
        <f t="shared" si="67"/>
        <v>0</v>
      </c>
    </row>
    <row r="548" spans="1:49" hidden="1" x14ac:dyDescent="0.3">
      <c r="A548" s="84" t="s">
        <v>2025</v>
      </c>
      <c r="B548" s="39" t="s">
        <v>1233</v>
      </c>
      <c r="C548" s="39" t="s">
        <v>2024</v>
      </c>
      <c r="D548" s="340" t="s">
        <v>3472</v>
      </c>
      <c r="E548" s="159" t="s">
        <v>1085</v>
      </c>
      <c r="F548" s="159" t="s">
        <v>589</v>
      </c>
      <c r="G548" s="159" t="s">
        <v>387</v>
      </c>
      <c r="H548" s="159" t="s">
        <v>424</v>
      </c>
      <c r="I548" s="159" t="s">
        <v>1232</v>
      </c>
      <c r="J548" s="159" t="s">
        <v>309</v>
      </c>
      <c r="K548" s="159" t="s">
        <v>1849</v>
      </c>
      <c r="L548" s="39" t="s">
        <v>556</v>
      </c>
      <c r="M548" s="39" t="s">
        <v>305</v>
      </c>
      <c r="N548" s="39">
        <v>11</v>
      </c>
      <c r="O548" s="167" t="s">
        <v>2156</v>
      </c>
      <c r="P548" s="39" t="s">
        <v>2156</v>
      </c>
      <c r="Q548" s="39" t="s">
        <v>1233</v>
      </c>
      <c r="R548" s="16" t="s">
        <v>2025</v>
      </c>
      <c r="S548" s="160">
        <v>-61029169</v>
      </c>
      <c r="T548" s="160">
        <v>-7920850.7800000003</v>
      </c>
      <c r="U548" s="160">
        <v>0</v>
      </c>
      <c r="V548" s="160">
        <v>-15925920.74</v>
      </c>
      <c r="W548" s="160">
        <v>-45103248.259999998</v>
      </c>
      <c r="X548" s="161" t="e">
        <v>#N/A</v>
      </c>
      <c r="Y548" s="160"/>
      <c r="Z548" s="16">
        <v>26.09</v>
      </c>
      <c r="AA548" s="162">
        <v>-15925920.74</v>
      </c>
      <c r="AB548" s="162">
        <v>-3981480.1850000001</v>
      </c>
      <c r="AC548" s="162">
        <v>-47777762.219999999</v>
      </c>
      <c r="AD548" s="160"/>
      <c r="AE548" s="145">
        <v>-61029169</v>
      </c>
      <c r="AF548" s="163">
        <v>1.0469999999999999</v>
      </c>
      <c r="AG548" s="164">
        <v>1.046</v>
      </c>
      <c r="AH548" s="164">
        <v>1.046</v>
      </c>
      <c r="AI548" s="164">
        <v>-61029169</v>
      </c>
      <c r="AJ548" s="164">
        <f t="shared" si="68"/>
        <v>0</v>
      </c>
      <c r="AK548" s="165">
        <v>0</v>
      </c>
      <c r="AL548" s="165">
        <f t="shared" si="66"/>
        <v>0</v>
      </c>
      <c r="AM548" s="165">
        <f t="shared" si="70"/>
        <v>0</v>
      </c>
      <c r="AN548" s="165">
        <f t="shared" si="71"/>
        <v>0</v>
      </c>
      <c r="AO548" s="16"/>
      <c r="AP548" s="231">
        <f t="shared" si="69"/>
        <v>0</v>
      </c>
      <c r="AR548" s="231"/>
      <c r="AS548" s="231"/>
      <c r="AU548" s="230">
        <v>-61029169</v>
      </c>
      <c r="AV548" s="233">
        <v>-61029169</v>
      </c>
      <c r="AW548" s="230">
        <f t="shared" si="67"/>
        <v>0</v>
      </c>
    </row>
    <row r="549" spans="1:49" hidden="1" x14ac:dyDescent="0.3">
      <c r="A549" s="84" t="s">
        <v>1235</v>
      </c>
      <c r="B549" s="39" t="s">
        <v>1234</v>
      </c>
      <c r="C549" s="39" t="s">
        <v>125</v>
      </c>
      <c r="D549" s="340" t="s">
        <v>3472</v>
      </c>
      <c r="E549" s="159" t="s">
        <v>1085</v>
      </c>
      <c r="F549" s="159" t="s">
        <v>589</v>
      </c>
      <c r="G549" s="159" t="s">
        <v>387</v>
      </c>
      <c r="H549" s="159" t="s">
        <v>424</v>
      </c>
      <c r="I549" s="159" t="s">
        <v>1236</v>
      </c>
      <c r="J549" s="159" t="s">
        <v>312</v>
      </c>
      <c r="K549" s="159" t="s">
        <v>1849</v>
      </c>
      <c r="L549" s="39" t="s">
        <v>556</v>
      </c>
      <c r="M549" s="39" t="s">
        <v>305</v>
      </c>
      <c r="N549" s="39">
        <v>11</v>
      </c>
      <c r="O549" s="167" t="s">
        <v>125</v>
      </c>
      <c r="P549" s="39" t="s">
        <v>125</v>
      </c>
      <c r="Q549" s="39" t="s">
        <v>1234</v>
      </c>
      <c r="R549" s="16" t="s">
        <v>1235</v>
      </c>
      <c r="S549" s="160">
        <v>0</v>
      </c>
      <c r="T549" s="160">
        <v>0</v>
      </c>
      <c r="U549" s="160">
        <v>0</v>
      </c>
      <c r="V549" s="160">
        <v>0</v>
      </c>
      <c r="W549" s="160">
        <v>0</v>
      </c>
      <c r="X549" s="161" t="e">
        <v>#N/A</v>
      </c>
      <c r="Y549" s="160"/>
      <c r="Z549" s="16">
        <v>0</v>
      </c>
      <c r="AA549" s="162">
        <v>0</v>
      </c>
      <c r="AB549" s="162">
        <v>0</v>
      </c>
      <c r="AC549" s="162">
        <v>0</v>
      </c>
      <c r="AD549" s="160"/>
      <c r="AE549" s="145">
        <v>0</v>
      </c>
      <c r="AF549" s="163">
        <v>1.0469999999999999</v>
      </c>
      <c r="AG549" s="164">
        <v>1.046</v>
      </c>
      <c r="AH549" s="164">
        <v>1.046</v>
      </c>
      <c r="AI549" s="164">
        <v>0</v>
      </c>
      <c r="AJ549" s="164">
        <f t="shared" si="68"/>
        <v>0</v>
      </c>
      <c r="AK549" s="165">
        <v>0</v>
      </c>
      <c r="AL549" s="165">
        <f t="shared" si="66"/>
        <v>0</v>
      </c>
      <c r="AM549" s="165">
        <f t="shared" si="70"/>
        <v>0</v>
      </c>
      <c r="AN549" s="165">
        <f t="shared" si="71"/>
        <v>0</v>
      </c>
      <c r="AO549" s="16"/>
      <c r="AP549" s="231">
        <f t="shared" si="69"/>
        <v>0</v>
      </c>
      <c r="AR549" s="231"/>
      <c r="AS549" s="231"/>
      <c r="AU549" s="230">
        <v>0</v>
      </c>
      <c r="AV549" s="233">
        <v>0</v>
      </c>
      <c r="AW549" s="230">
        <f t="shared" si="67"/>
        <v>0</v>
      </c>
    </row>
    <row r="550" spans="1:49" hidden="1" x14ac:dyDescent="0.3">
      <c r="A550" s="84" t="s">
        <v>2026</v>
      </c>
      <c r="B550" s="39" t="s">
        <v>1237</v>
      </c>
      <c r="C550" s="39" t="s">
        <v>125</v>
      </c>
      <c r="D550" s="340" t="s">
        <v>3472</v>
      </c>
      <c r="E550" s="159" t="s">
        <v>1085</v>
      </c>
      <c r="F550" s="159" t="s">
        <v>589</v>
      </c>
      <c r="G550" s="159" t="s">
        <v>387</v>
      </c>
      <c r="H550" s="159" t="s">
        <v>424</v>
      </c>
      <c r="I550" s="159" t="s">
        <v>1236</v>
      </c>
      <c r="J550" s="159" t="s">
        <v>387</v>
      </c>
      <c r="K550" s="159" t="s">
        <v>1849</v>
      </c>
      <c r="L550" s="39" t="s">
        <v>556</v>
      </c>
      <c r="M550" s="39" t="s">
        <v>305</v>
      </c>
      <c r="N550" s="39">
        <v>11</v>
      </c>
      <c r="O550" s="167" t="s">
        <v>125</v>
      </c>
      <c r="P550" s="39" t="s">
        <v>125</v>
      </c>
      <c r="Q550" s="39" t="s">
        <v>1237</v>
      </c>
      <c r="R550" s="16" t="s">
        <v>2026</v>
      </c>
      <c r="S550" s="160">
        <v>-44787013</v>
      </c>
      <c r="T550" s="160">
        <v>-1569642.11</v>
      </c>
      <c r="U550" s="160">
        <v>0</v>
      </c>
      <c r="V550" s="160">
        <v>-1567610.19</v>
      </c>
      <c r="W550" s="160">
        <v>-43219402.810000002</v>
      </c>
      <c r="X550" s="161" t="e">
        <v>#N/A</v>
      </c>
      <c r="Y550" s="160"/>
      <c r="Z550" s="16">
        <v>3.5</v>
      </c>
      <c r="AA550" s="162">
        <v>-1567610.19</v>
      </c>
      <c r="AB550" s="162">
        <v>-391902.54749999999</v>
      </c>
      <c r="AC550" s="162">
        <v>-4702830.57</v>
      </c>
      <c r="AD550" s="160"/>
      <c r="AE550" s="145">
        <v>-44787013</v>
      </c>
      <c r="AF550" s="163">
        <v>1.0469999999999999</v>
      </c>
      <c r="AG550" s="164">
        <v>1.046</v>
      </c>
      <c r="AH550" s="164">
        <v>1.046</v>
      </c>
      <c r="AI550" s="164">
        <v>-44787013</v>
      </c>
      <c r="AJ550" s="164">
        <f t="shared" si="68"/>
        <v>0</v>
      </c>
      <c r="AK550" s="165">
        <v>0</v>
      </c>
      <c r="AL550" s="165">
        <f t="shared" si="66"/>
        <v>0</v>
      </c>
      <c r="AM550" s="165">
        <f t="shared" si="70"/>
        <v>0</v>
      </c>
      <c r="AN550" s="165">
        <f t="shared" si="71"/>
        <v>0</v>
      </c>
      <c r="AO550" s="16"/>
      <c r="AP550" s="231">
        <f t="shared" si="69"/>
        <v>0</v>
      </c>
      <c r="AR550" s="231"/>
      <c r="AS550" s="231"/>
      <c r="AU550" s="230">
        <v>-44787013</v>
      </c>
      <c r="AV550" s="233">
        <v>-44787013</v>
      </c>
      <c r="AW550" s="230">
        <f t="shared" si="67"/>
        <v>0</v>
      </c>
    </row>
    <row r="551" spans="1:49" hidden="1" x14ac:dyDescent="0.3">
      <c r="A551" s="84" t="s">
        <v>1239</v>
      </c>
      <c r="B551" s="39" t="s">
        <v>1238</v>
      </c>
      <c r="C551" s="39" t="s">
        <v>174</v>
      </c>
      <c r="D551" s="340" t="s">
        <v>3472</v>
      </c>
      <c r="E551" s="159" t="s">
        <v>1085</v>
      </c>
      <c r="F551" s="159" t="s">
        <v>589</v>
      </c>
      <c r="G551" s="159" t="s">
        <v>387</v>
      </c>
      <c r="H551" s="159" t="s">
        <v>424</v>
      </c>
      <c r="I551" s="159" t="s">
        <v>1240</v>
      </c>
      <c r="J551" s="159" t="s">
        <v>312</v>
      </c>
      <c r="K551" s="159" t="s">
        <v>848</v>
      </c>
      <c r="L551" s="39" t="s">
        <v>1241</v>
      </c>
      <c r="M551" s="39" t="s">
        <v>305</v>
      </c>
      <c r="N551" s="39">
        <v>11</v>
      </c>
      <c r="O551" s="167" t="s">
        <v>174</v>
      </c>
      <c r="P551" s="39" t="s">
        <v>174</v>
      </c>
      <c r="Q551" s="39" t="s">
        <v>1238</v>
      </c>
      <c r="R551" s="16" t="s">
        <v>1239</v>
      </c>
      <c r="S551" s="160">
        <v>18571140</v>
      </c>
      <c r="T551" s="160">
        <v>2838227.5</v>
      </c>
      <c r="U551" s="160">
        <v>0</v>
      </c>
      <c r="V551" s="160">
        <v>11103707.710000001</v>
      </c>
      <c r="W551" s="160">
        <v>7467432.29</v>
      </c>
      <c r="X551" s="161" t="e">
        <v>#N/A</v>
      </c>
      <c r="Y551" s="160"/>
      <c r="Z551" s="16">
        <v>59.79</v>
      </c>
      <c r="AA551" s="162">
        <v>11103707.710000001</v>
      </c>
      <c r="AB551" s="162">
        <v>2775926.9275000002</v>
      </c>
      <c r="AC551" s="162">
        <v>33311123.130000003</v>
      </c>
      <c r="AD551" s="160"/>
      <c r="AE551" s="145">
        <v>18571140</v>
      </c>
      <c r="AF551" s="163">
        <v>1.0469999999999999</v>
      </c>
      <c r="AG551" s="164">
        <v>1.046</v>
      </c>
      <c r="AH551" s="164">
        <v>1.046</v>
      </c>
      <c r="AI551" s="164">
        <v>18571140</v>
      </c>
      <c r="AJ551" s="164">
        <f t="shared" si="68"/>
        <v>0</v>
      </c>
      <c r="AK551" s="165">
        <v>0</v>
      </c>
      <c r="AL551" s="165">
        <f t="shared" si="66"/>
        <v>0</v>
      </c>
      <c r="AM551" s="165">
        <f t="shared" si="70"/>
        <v>0</v>
      </c>
      <c r="AN551" s="165">
        <f t="shared" si="71"/>
        <v>0</v>
      </c>
      <c r="AO551" s="16"/>
      <c r="AP551" s="231">
        <f t="shared" si="69"/>
        <v>0</v>
      </c>
      <c r="AR551" s="231"/>
      <c r="AS551" s="231"/>
      <c r="AU551" s="230">
        <v>18571140</v>
      </c>
      <c r="AV551" s="233">
        <v>18571140</v>
      </c>
      <c r="AW551" s="230">
        <f t="shared" si="67"/>
        <v>0</v>
      </c>
    </row>
    <row r="552" spans="1:49" s="250" customFormat="1" hidden="1" x14ac:dyDescent="0.3">
      <c r="A552" s="241" t="s">
        <v>2027</v>
      </c>
      <c r="B552" s="242" t="s">
        <v>1242</v>
      </c>
      <c r="C552" s="242" t="s">
        <v>2028</v>
      </c>
      <c r="D552" s="340" t="s">
        <v>3472</v>
      </c>
      <c r="E552" s="243" t="s">
        <v>1085</v>
      </c>
      <c r="F552" s="243" t="s">
        <v>589</v>
      </c>
      <c r="G552" s="243" t="s">
        <v>387</v>
      </c>
      <c r="H552" s="243" t="s">
        <v>424</v>
      </c>
      <c r="I552" s="243" t="s">
        <v>1240</v>
      </c>
      <c r="J552" s="243" t="s">
        <v>312</v>
      </c>
      <c r="K552" s="243" t="s">
        <v>1849</v>
      </c>
      <c r="L552" s="242" t="s">
        <v>556</v>
      </c>
      <c r="M552" s="242" t="s">
        <v>305</v>
      </c>
      <c r="N552" s="242">
        <v>11</v>
      </c>
      <c r="O552" s="242" t="s">
        <v>125</v>
      </c>
      <c r="P552" s="242" t="s">
        <v>2028</v>
      </c>
      <c r="Q552" s="242" t="s">
        <v>1242</v>
      </c>
      <c r="R552" s="241" t="s">
        <v>2027</v>
      </c>
      <c r="S552" s="223">
        <v>-1079251541</v>
      </c>
      <c r="T552" s="160">
        <v>-86176868.030000001</v>
      </c>
      <c r="U552" s="160">
        <v>0</v>
      </c>
      <c r="V552" s="160">
        <v>-146565734.55000001</v>
      </c>
      <c r="W552" s="160">
        <v>-932685806.45000005</v>
      </c>
      <c r="X552" s="161" t="e">
        <v>#N/A</v>
      </c>
      <c r="Y552" s="160"/>
      <c r="Z552" s="16">
        <v>13.58</v>
      </c>
      <c r="AA552" s="162">
        <v>-146565734.55000001</v>
      </c>
      <c r="AB552" s="224">
        <v>-36641433.637500003</v>
      </c>
      <c r="AC552" s="224">
        <v>-439697203.65000004</v>
      </c>
      <c r="AD552" s="223"/>
      <c r="AE552" s="244">
        <v>-903485300.98000002</v>
      </c>
      <c r="AF552" s="163">
        <v>1.0469999999999999</v>
      </c>
      <c r="AG552" s="164">
        <v>1.046</v>
      </c>
      <c r="AH552" s="164">
        <v>1.046</v>
      </c>
      <c r="AI552" s="245">
        <v>-1079251541</v>
      </c>
      <c r="AJ552" s="164">
        <f t="shared" si="68"/>
        <v>175766240.01999998</v>
      </c>
      <c r="AK552" s="246">
        <v>0</v>
      </c>
      <c r="AL552" s="246">
        <f t="shared" si="66"/>
        <v>0</v>
      </c>
      <c r="AM552" s="246">
        <f t="shared" si="70"/>
        <v>0</v>
      </c>
      <c r="AN552" s="246">
        <f t="shared" si="71"/>
        <v>0</v>
      </c>
      <c r="AO552" s="241"/>
      <c r="AP552" s="247">
        <f t="shared" si="69"/>
        <v>0</v>
      </c>
      <c r="AR552" s="231"/>
      <c r="AS552" s="231"/>
      <c r="AU552" s="248">
        <v>-1079251541</v>
      </c>
      <c r="AV552" s="249">
        <v>-1079251541</v>
      </c>
      <c r="AW552" s="248">
        <f t="shared" si="67"/>
        <v>0</v>
      </c>
    </row>
    <row r="553" spans="1:49" hidden="1" x14ac:dyDescent="0.3">
      <c r="A553" s="84" t="s">
        <v>2029</v>
      </c>
      <c r="B553" s="39" t="s">
        <v>1243</v>
      </c>
      <c r="C553" s="39" t="s">
        <v>2028</v>
      </c>
      <c r="D553" s="340" t="s">
        <v>3472</v>
      </c>
      <c r="E553" s="159" t="s">
        <v>1085</v>
      </c>
      <c r="F553" s="159" t="s">
        <v>589</v>
      </c>
      <c r="G553" s="159" t="s">
        <v>387</v>
      </c>
      <c r="H553" s="159" t="s">
        <v>424</v>
      </c>
      <c r="I553" s="159" t="s">
        <v>1240</v>
      </c>
      <c r="J553" s="159" t="s">
        <v>387</v>
      </c>
      <c r="K553" s="159" t="s">
        <v>1849</v>
      </c>
      <c r="L553" s="39" t="s">
        <v>556</v>
      </c>
      <c r="M553" s="39" t="s">
        <v>305</v>
      </c>
      <c r="N553" s="39">
        <v>11</v>
      </c>
      <c r="O553" s="167" t="s">
        <v>125</v>
      </c>
      <c r="P553" s="39" t="s">
        <v>2028</v>
      </c>
      <c r="Q553" s="39" t="s">
        <v>1243</v>
      </c>
      <c r="R553" s="16" t="s">
        <v>2029</v>
      </c>
      <c r="S553" s="160">
        <v>-509935828</v>
      </c>
      <c r="T553" s="160">
        <v>0</v>
      </c>
      <c r="U553" s="160">
        <v>0</v>
      </c>
      <c r="V553" s="160">
        <v>-262666455.34999999</v>
      </c>
      <c r="W553" s="160">
        <v>-247269372.65000001</v>
      </c>
      <c r="X553" s="161" t="e">
        <v>#N/A</v>
      </c>
      <c r="Y553" s="160"/>
      <c r="Z553" s="16">
        <v>51.5</v>
      </c>
      <c r="AA553" s="162">
        <v>-262666455.34999999</v>
      </c>
      <c r="AB553" s="162">
        <v>-65666613.837499999</v>
      </c>
      <c r="AC553" s="162">
        <v>-787999366.04999995</v>
      </c>
      <c r="AD553" s="160"/>
      <c r="AE553" s="145">
        <v>-509935828</v>
      </c>
      <c r="AF553" s="163">
        <v>1.0469999999999999</v>
      </c>
      <c r="AG553" s="164">
        <v>1.046</v>
      </c>
      <c r="AH553" s="164">
        <v>1.046</v>
      </c>
      <c r="AI553" s="164">
        <v>-509935828</v>
      </c>
      <c r="AJ553" s="164">
        <f t="shared" si="68"/>
        <v>0</v>
      </c>
      <c r="AK553" s="165">
        <v>0</v>
      </c>
      <c r="AL553" s="165">
        <f t="shared" si="66"/>
        <v>0</v>
      </c>
      <c r="AM553" s="165">
        <f t="shared" si="70"/>
        <v>0</v>
      </c>
      <c r="AN553" s="165">
        <f t="shared" si="71"/>
        <v>0</v>
      </c>
      <c r="AO553" s="16"/>
      <c r="AP553" s="231">
        <f t="shared" si="69"/>
        <v>0</v>
      </c>
      <c r="AR553" s="231"/>
      <c r="AS553" s="231"/>
      <c r="AU553" s="230">
        <v>-509935828</v>
      </c>
      <c r="AV553" s="233">
        <v>-509935828</v>
      </c>
      <c r="AW553" s="230">
        <f t="shared" si="67"/>
        <v>0</v>
      </c>
    </row>
    <row r="554" spans="1:49" hidden="1" x14ac:dyDescent="0.3">
      <c r="A554" s="84" t="s">
        <v>1245</v>
      </c>
      <c r="B554" s="39" t="s">
        <v>1244</v>
      </c>
      <c r="C554" s="39" t="s">
        <v>174</v>
      </c>
      <c r="D554" s="340" t="s">
        <v>3472</v>
      </c>
      <c r="E554" s="159" t="s">
        <v>1085</v>
      </c>
      <c r="F554" s="159" t="s">
        <v>589</v>
      </c>
      <c r="G554" s="159" t="s">
        <v>387</v>
      </c>
      <c r="H554" s="159" t="s">
        <v>424</v>
      </c>
      <c r="I554" s="159" t="s">
        <v>1240</v>
      </c>
      <c r="J554" s="159" t="s">
        <v>1215</v>
      </c>
      <c r="K554" s="159" t="s">
        <v>848</v>
      </c>
      <c r="L554" s="39" t="s">
        <v>1241</v>
      </c>
      <c r="M554" s="39" t="s">
        <v>305</v>
      </c>
      <c r="N554" s="39">
        <v>11</v>
      </c>
      <c r="O554" s="167" t="s">
        <v>174</v>
      </c>
      <c r="P554" s="39" t="s">
        <v>174</v>
      </c>
      <c r="Q554" s="39" t="s">
        <v>1244</v>
      </c>
      <c r="R554" s="16" t="s">
        <v>1245</v>
      </c>
      <c r="S554" s="160">
        <v>7909837</v>
      </c>
      <c r="T554" s="160">
        <v>0</v>
      </c>
      <c r="U554" s="160">
        <v>0</v>
      </c>
      <c r="V554" s="160">
        <v>0</v>
      </c>
      <c r="W554" s="160">
        <v>7909837</v>
      </c>
      <c r="X554" s="161" t="e">
        <v>#N/A</v>
      </c>
      <c r="Y554" s="160"/>
      <c r="Z554" s="16">
        <v>0</v>
      </c>
      <c r="AA554" s="162">
        <v>0</v>
      </c>
      <c r="AB554" s="162">
        <v>0</v>
      </c>
      <c r="AC554" s="162">
        <v>0</v>
      </c>
      <c r="AD554" s="160"/>
      <c r="AE554" s="145">
        <v>7909837</v>
      </c>
      <c r="AF554" s="163">
        <v>1.0469999999999999</v>
      </c>
      <c r="AG554" s="164">
        <v>1.046</v>
      </c>
      <c r="AH554" s="164">
        <v>1.046</v>
      </c>
      <c r="AI554" s="164">
        <v>7909837</v>
      </c>
      <c r="AJ554" s="164">
        <f t="shared" si="68"/>
        <v>0</v>
      </c>
      <c r="AK554" s="165">
        <v>0</v>
      </c>
      <c r="AL554" s="165">
        <f t="shared" si="66"/>
        <v>0</v>
      </c>
      <c r="AM554" s="165">
        <f t="shared" si="70"/>
        <v>0</v>
      </c>
      <c r="AN554" s="165">
        <f t="shared" si="71"/>
        <v>0</v>
      </c>
      <c r="AO554" s="16"/>
      <c r="AP554" s="231">
        <f t="shared" si="69"/>
        <v>0</v>
      </c>
      <c r="AR554" s="231"/>
      <c r="AS554" s="231"/>
      <c r="AU554" s="230">
        <v>7909837</v>
      </c>
      <c r="AV554" s="233">
        <v>7909837</v>
      </c>
      <c r="AW554" s="230">
        <f t="shared" si="67"/>
        <v>0</v>
      </c>
    </row>
    <row r="555" spans="1:49" hidden="1" x14ac:dyDescent="0.3">
      <c r="A555" s="84" t="s">
        <v>1247</v>
      </c>
      <c r="B555" s="39" t="s">
        <v>1246</v>
      </c>
      <c r="C555" s="39" t="s">
        <v>173</v>
      </c>
      <c r="D555" s="340" t="s">
        <v>3472</v>
      </c>
      <c r="E555" s="159" t="s">
        <v>1085</v>
      </c>
      <c r="F555" s="159" t="s">
        <v>589</v>
      </c>
      <c r="G555" s="159" t="s">
        <v>387</v>
      </c>
      <c r="H555" s="159" t="s">
        <v>424</v>
      </c>
      <c r="I555" s="159" t="s">
        <v>1249</v>
      </c>
      <c r="J555" s="159" t="s">
        <v>312</v>
      </c>
      <c r="K555" s="159" t="s">
        <v>1849</v>
      </c>
      <c r="L555" s="39" t="s">
        <v>556</v>
      </c>
      <c r="M555" s="39" t="s">
        <v>305</v>
      </c>
      <c r="N555" s="39">
        <v>11</v>
      </c>
      <c r="O555" s="167" t="s">
        <v>173</v>
      </c>
      <c r="P555" s="39" t="s">
        <v>1248</v>
      </c>
      <c r="Q555" s="39" t="s">
        <v>1246</v>
      </c>
      <c r="R555" s="16" t="s">
        <v>1247</v>
      </c>
      <c r="S555" s="160">
        <v>-64343821</v>
      </c>
      <c r="T555" s="160">
        <v>0</v>
      </c>
      <c r="U555" s="160">
        <v>0</v>
      </c>
      <c r="V555" s="160">
        <v>0</v>
      </c>
      <c r="W555" s="160">
        <v>-64343821</v>
      </c>
      <c r="X555" s="161" t="e">
        <v>#N/A</v>
      </c>
      <c r="Y555" s="160"/>
      <c r="Z555" s="16">
        <v>0</v>
      </c>
      <c r="AA555" s="162">
        <v>0</v>
      </c>
      <c r="AB555" s="162">
        <v>0</v>
      </c>
      <c r="AC555" s="162">
        <v>0</v>
      </c>
      <c r="AD555" s="160"/>
      <c r="AE555" s="145">
        <v>-64343821</v>
      </c>
      <c r="AF555" s="163">
        <v>1.0469999999999999</v>
      </c>
      <c r="AG555" s="164">
        <v>1.046</v>
      </c>
      <c r="AH555" s="164">
        <v>1.046</v>
      </c>
      <c r="AI555" s="164">
        <v>-64343821</v>
      </c>
      <c r="AJ555" s="164">
        <f t="shared" si="68"/>
        <v>0</v>
      </c>
      <c r="AK555" s="165">
        <v>0</v>
      </c>
      <c r="AL555" s="165">
        <f t="shared" si="66"/>
        <v>0</v>
      </c>
      <c r="AM555" s="165">
        <f t="shared" si="70"/>
        <v>0</v>
      </c>
      <c r="AN555" s="165">
        <f t="shared" si="71"/>
        <v>0</v>
      </c>
      <c r="AO555" s="16"/>
      <c r="AP555" s="231">
        <f t="shared" si="69"/>
        <v>0</v>
      </c>
      <c r="AR555" s="231"/>
      <c r="AS555" s="231"/>
      <c r="AU555" s="230">
        <v>-64343821</v>
      </c>
      <c r="AV555" s="233">
        <v>-64343821</v>
      </c>
      <c r="AW555" s="230">
        <f t="shared" si="67"/>
        <v>0</v>
      </c>
    </row>
    <row r="556" spans="1:49" hidden="1" x14ac:dyDescent="0.3">
      <c r="A556" s="84" t="s">
        <v>1253</v>
      </c>
      <c r="B556" s="39" t="s">
        <v>1250</v>
      </c>
      <c r="C556" s="39" t="s">
        <v>128</v>
      </c>
      <c r="D556" s="340" t="s">
        <v>3472</v>
      </c>
      <c r="E556" s="159" t="s">
        <v>1085</v>
      </c>
      <c r="F556" s="159" t="s">
        <v>589</v>
      </c>
      <c r="G556" s="159" t="s">
        <v>387</v>
      </c>
      <c r="H556" s="159" t="s">
        <v>424</v>
      </c>
      <c r="I556" s="159" t="s">
        <v>1006</v>
      </c>
      <c r="J556" s="159" t="s">
        <v>387</v>
      </c>
      <c r="K556" s="159" t="s">
        <v>1849</v>
      </c>
      <c r="L556" s="39" t="s">
        <v>556</v>
      </c>
      <c r="M556" s="39" t="s">
        <v>305</v>
      </c>
      <c r="N556" s="39">
        <v>11</v>
      </c>
      <c r="O556" s="167" t="s">
        <v>128</v>
      </c>
      <c r="P556" s="39" t="s">
        <v>128</v>
      </c>
      <c r="Q556" s="39" t="s">
        <v>1250</v>
      </c>
      <c r="R556" s="16" t="s">
        <v>1253</v>
      </c>
      <c r="S556" s="160">
        <v>-387989</v>
      </c>
      <c r="T556" s="160">
        <v>0</v>
      </c>
      <c r="U556" s="160">
        <v>0</v>
      </c>
      <c r="V556" s="160">
        <v>-61982.76</v>
      </c>
      <c r="W556" s="160">
        <v>-326006.24</v>
      </c>
      <c r="X556" s="161" t="e">
        <v>#N/A</v>
      </c>
      <c r="Y556" s="160"/>
      <c r="Z556" s="16">
        <v>15.97</v>
      </c>
      <c r="AA556" s="162">
        <v>-61982.76</v>
      </c>
      <c r="AB556" s="162">
        <v>-15495.69</v>
      </c>
      <c r="AC556" s="162">
        <v>-185948.28</v>
      </c>
      <c r="AD556" s="160"/>
      <c r="AE556" s="145">
        <v>-387989</v>
      </c>
      <c r="AF556" s="163">
        <v>1.0469999999999999</v>
      </c>
      <c r="AG556" s="164">
        <v>1.046</v>
      </c>
      <c r="AH556" s="164">
        <v>1.046</v>
      </c>
      <c r="AI556" s="164">
        <v>-387989</v>
      </c>
      <c r="AJ556" s="164">
        <f t="shared" si="68"/>
        <v>0</v>
      </c>
      <c r="AK556" s="165">
        <v>0</v>
      </c>
      <c r="AL556" s="165">
        <f t="shared" si="66"/>
        <v>0</v>
      </c>
      <c r="AM556" s="165">
        <f t="shared" si="70"/>
        <v>0</v>
      </c>
      <c r="AN556" s="165">
        <f t="shared" si="71"/>
        <v>0</v>
      </c>
      <c r="AO556" s="16"/>
      <c r="AP556" s="231">
        <f t="shared" si="69"/>
        <v>0</v>
      </c>
      <c r="AR556" s="231"/>
      <c r="AS556" s="231"/>
      <c r="AU556" s="230">
        <v>-387989</v>
      </c>
      <c r="AV556" s="233">
        <v>-387989</v>
      </c>
      <c r="AW556" s="230">
        <f t="shared" si="67"/>
        <v>0</v>
      </c>
    </row>
    <row r="557" spans="1:49" hidden="1" x14ac:dyDescent="0.3">
      <c r="A557" s="84" t="s">
        <v>1251</v>
      </c>
      <c r="B557" s="39" t="s">
        <v>1252</v>
      </c>
      <c r="C557" s="39" t="s">
        <v>128</v>
      </c>
      <c r="D557" s="340" t="s">
        <v>3472</v>
      </c>
      <c r="E557" s="159" t="s">
        <v>1085</v>
      </c>
      <c r="F557" s="159" t="s">
        <v>589</v>
      </c>
      <c r="G557" s="159" t="s">
        <v>387</v>
      </c>
      <c r="H557" s="159" t="s">
        <v>424</v>
      </c>
      <c r="I557" s="159" t="s">
        <v>1006</v>
      </c>
      <c r="J557" s="159" t="s">
        <v>309</v>
      </c>
      <c r="K557" s="159" t="s">
        <v>1849</v>
      </c>
      <c r="L557" s="39" t="s">
        <v>556</v>
      </c>
      <c r="M557" s="39" t="s">
        <v>305</v>
      </c>
      <c r="N557" s="39">
        <v>11</v>
      </c>
      <c r="O557" s="167" t="s">
        <v>128</v>
      </c>
      <c r="P557" s="39" t="s">
        <v>128</v>
      </c>
      <c r="Q557" s="39" t="s">
        <v>1252</v>
      </c>
      <c r="R557" s="16" t="s">
        <v>1251</v>
      </c>
      <c r="S557" s="160">
        <v>-166311</v>
      </c>
      <c r="T557" s="160">
        <v>-39554.93</v>
      </c>
      <c r="U557" s="160">
        <v>0</v>
      </c>
      <c r="V557" s="160">
        <v>-39554.93</v>
      </c>
      <c r="W557" s="160">
        <v>-126756.07</v>
      </c>
      <c r="X557" s="161" t="e">
        <v>#N/A</v>
      </c>
      <c r="Y557" s="160"/>
      <c r="Z557" s="16">
        <v>23.78</v>
      </c>
      <c r="AA557" s="162">
        <v>-39554.93</v>
      </c>
      <c r="AB557" s="162">
        <v>-9888.7325000000001</v>
      </c>
      <c r="AC557" s="162">
        <v>-118664.79000000001</v>
      </c>
      <c r="AD557" s="160"/>
      <c r="AE557" s="145">
        <v>-166311</v>
      </c>
      <c r="AF557" s="163">
        <v>1.0469999999999999</v>
      </c>
      <c r="AG557" s="164">
        <v>1.046</v>
      </c>
      <c r="AH557" s="164">
        <v>1.046</v>
      </c>
      <c r="AI557" s="164">
        <v>-166311</v>
      </c>
      <c r="AJ557" s="164">
        <f t="shared" si="68"/>
        <v>0</v>
      </c>
      <c r="AK557" s="165">
        <v>0</v>
      </c>
      <c r="AL557" s="165">
        <f t="shared" si="66"/>
        <v>0</v>
      </c>
      <c r="AM557" s="165">
        <f t="shared" si="70"/>
        <v>0</v>
      </c>
      <c r="AN557" s="165">
        <f t="shared" si="71"/>
        <v>0</v>
      </c>
      <c r="AO557" s="16"/>
      <c r="AP557" s="231">
        <f t="shared" si="69"/>
        <v>0</v>
      </c>
      <c r="AR557" s="231"/>
      <c r="AS557" s="231"/>
      <c r="AU557" s="230">
        <v>-166311</v>
      </c>
      <c r="AV557" s="233">
        <v>-166311</v>
      </c>
      <c r="AW557" s="230">
        <f t="shared" si="67"/>
        <v>0</v>
      </c>
    </row>
    <row r="558" spans="1:49" hidden="1" x14ac:dyDescent="0.3">
      <c r="A558" s="84" t="s">
        <v>1255</v>
      </c>
      <c r="B558" s="39" t="s">
        <v>1254</v>
      </c>
      <c r="C558" s="39" t="s">
        <v>128</v>
      </c>
      <c r="D558" s="340" t="s">
        <v>3472</v>
      </c>
      <c r="E558" s="159" t="s">
        <v>1085</v>
      </c>
      <c r="F558" s="159" t="s">
        <v>589</v>
      </c>
      <c r="G558" s="159" t="s">
        <v>387</v>
      </c>
      <c r="H558" s="159" t="s">
        <v>424</v>
      </c>
      <c r="I558" s="159" t="s">
        <v>1006</v>
      </c>
      <c r="J558" s="159" t="s">
        <v>582</v>
      </c>
      <c r="K558" s="159" t="s">
        <v>1849</v>
      </c>
      <c r="L558" s="39" t="s">
        <v>556</v>
      </c>
      <c r="M558" s="39" t="s">
        <v>305</v>
      </c>
      <c r="N558" s="39">
        <v>11</v>
      </c>
      <c r="O558" s="167" t="s">
        <v>128</v>
      </c>
      <c r="P558" s="39" t="s">
        <v>128</v>
      </c>
      <c r="Q558" s="39" t="s">
        <v>1254</v>
      </c>
      <c r="R558" s="16" t="s">
        <v>1255</v>
      </c>
      <c r="S558" s="160">
        <v>0</v>
      </c>
      <c r="T558" s="160">
        <v>0</v>
      </c>
      <c r="U558" s="160">
        <v>0</v>
      </c>
      <c r="V558" s="160">
        <v>0</v>
      </c>
      <c r="W558" s="160">
        <v>0</v>
      </c>
      <c r="X558" s="161" t="e">
        <v>#N/A</v>
      </c>
      <c r="Y558" s="160"/>
      <c r="Z558" s="16">
        <v>0</v>
      </c>
      <c r="AA558" s="162">
        <v>0</v>
      </c>
      <c r="AB558" s="162">
        <v>0</v>
      </c>
      <c r="AC558" s="162">
        <v>0</v>
      </c>
      <c r="AD558" s="160"/>
      <c r="AE558" s="145">
        <v>0</v>
      </c>
      <c r="AF558" s="163">
        <v>1.0469999999999999</v>
      </c>
      <c r="AG558" s="164">
        <v>1.046</v>
      </c>
      <c r="AH558" s="164">
        <v>1.046</v>
      </c>
      <c r="AI558" s="164">
        <v>0</v>
      </c>
      <c r="AJ558" s="164">
        <f t="shared" si="68"/>
        <v>0</v>
      </c>
      <c r="AK558" s="165">
        <v>0</v>
      </c>
      <c r="AL558" s="165">
        <f t="shared" si="66"/>
        <v>0</v>
      </c>
      <c r="AM558" s="165">
        <f t="shared" si="70"/>
        <v>0</v>
      </c>
      <c r="AN558" s="165">
        <f t="shared" si="71"/>
        <v>0</v>
      </c>
      <c r="AO558" s="16"/>
      <c r="AP558" s="231">
        <f t="shared" si="69"/>
        <v>0</v>
      </c>
      <c r="AR558" s="231"/>
      <c r="AS558" s="231"/>
      <c r="AU558" s="230">
        <v>0</v>
      </c>
      <c r="AV558" s="233">
        <v>0</v>
      </c>
      <c r="AW558" s="230">
        <f t="shared" si="67"/>
        <v>0</v>
      </c>
    </row>
    <row r="559" spans="1:49" hidden="1" x14ac:dyDescent="0.3">
      <c r="A559" s="84" t="s">
        <v>2030</v>
      </c>
      <c r="B559" s="39" t="s">
        <v>1256</v>
      </c>
      <c r="C559" s="39" t="s">
        <v>1257</v>
      </c>
      <c r="D559" s="340" t="s">
        <v>3472</v>
      </c>
      <c r="E559" s="159" t="s">
        <v>1085</v>
      </c>
      <c r="F559" s="159" t="s">
        <v>589</v>
      </c>
      <c r="G559" s="159" t="s">
        <v>387</v>
      </c>
      <c r="H559" s="159" t="s">
        <v>424</v>
      </c>
      <c r="I559" s="159" t="s">
        <v>1258</v>
      </c>
      <c r="J559" s="159" t="s">
        <v>387</v>
      </c>
      <c r="K559" s="159" t="s">
        <v>1849</v>
      </c>
      <c r="L559" s="39" t="s">
        <v>556</v>
      </c>
      <c r="M559" s="39" t="s">
        <v>305</v>
      </c>
      <c r="N559" s="39">
        <v>11</v>
      </c>
      <c r="O559" s="167" t="s">
        <v>125</v>
      </c>
      <c r="P559" s="39" t="s">
        <v>1257</v>
      </c>
      <c r="Q559" s="39" t="s">
        <v>1256</v>
      </c>
      <c r="R559" s="16" t="s">
        <v>2030</v>
      </c>
      <c r="S559" s="160">
        <v>-16553973</v>
      </c>
      <c r="T559" s="160">
        <v>413017.59</v>
      </c>
      <c r="U559" s="160">
        <v>0</v>
      </c>
      <c r="V559" s="160">
        <v>-8075541.5099999998</v>
      </c>
      <c r="W559" s="160">
        <v>-8478431.4900000002</v>
      </c>
      <c r="X559" s="161" t="e">
        <v>#N/A</v>
      </c>
      <c r="Y559" s="160"/>
      <c r="Z559" s="16">
        <v>48.78</v>
      </c>
      <c r="AA559" s="162">
        <v>-8075541.5099999998</v>
      </c>
      <c r="AB559" s="162">
        <v>-2018885.3774999999</v>
      </c>
      <c r="AC559" s="162">
        <v>-24226624.530000001</v>
      </c>
      <c r="AD559" s="160"/>
      <c r="AE559" s="145">
        <v>-16553973</v>
      </c>
      <c r="AF559" s="163">
        <v>1.0469999999999999</v>
      </c>
      <c r="AG559" s="164">
        <v>1.046</v>
      </c>
      <c r="AH559" s="164">
        <v>1.046</v>
      </c>
      <c r="AI559" s="164">
        <v>-16553973</v>
      </c>
      <c r="AJ559" s="164">
        <f t="shared" si="68"/>
        <v>0</v>
      </c>
      <c r="AK559" s="165">
        <v>0</v>
      </c>
      <c r="AL559" s="165">
        <f t="shared" si="66"/>
        <v>0</v>
      </c>
      <c r="AM559" s="165">
        <f t="shared" si="70"/>
        <v>0</v>
      </c>
      <c r="AN559" s="165">
        <f t="shared" si="71"/>
        <v>0</v>
      </c>
      <c r="AO559" s="16"/>
      <c r="AP559" s="231">
        <f t="shared" si="69"/>
        <v>0</v>
      </c>
      <c r="AR559" s="231"/>
      <c r="AS559" s="231"/>
      <c r="AU559" s="230">
        <v>-16553973</v>
      </c>
      <c r="AV559" s="233">
        <v>-16553973</v>
      </c>
      <c r="AW559" s="230">
        <f t="shared" si="67"/>
        <v>0</v>
      </c>
    </row>
    <row r="560" spans="1:49" hidden="1" x14ac:dyDescent="0.3">
      <c r="A560" s="84" t="s">
        <v>2031</v>
      </c>
      <c r="B560" s="39" t="s">
        <v>1259</v>
      </c>
      <c r="C560" s="39" t="s">
        <v>134</v>
      </c>
      <c r="D560" s="340" t="s">
        <v>3472</v>
      </c>
      <c r="E560" s="159" t="s">
        <v>1085</v>
      </c>
      <c r="F560" s="159" t="s">
        <v>589</v>
      </c>
      <c r="G560" s="159" t="s">
        <v>387</v>
      </c>
      <c r="H560" s="159" t="s">
        <v>424</v>
      </c>
      <c r="I560" s="159" t="s">
        <v>1260</v>
      </c>
      <c r="J560" s="159" t="s">
        <v>387</v>
      </c>
      <c r="K560" s="159" t="s">
        <v>1849</v>
      </c>
      <c r="L560" s="39" t="s">
        <v>556</v>
      </c>
      <c r="M560" s="39" t="s">
        <v>305</v>
      </c>
      <c r="N560" s="39">
        <v>11</v>
      </c>
      <c r="O560" s="167" t="s">
        <v>134</v>
      </c>
      <c r="P560" s="39" t="s">
        <v>134</v>
      </c>
      <c r="Q560" s="39" t="s">
        <v>1259</v>
      </c>
      <c r="R560" s="16" t="s">
        <v>2031</v>
      </c>
      <c r="S560" s="160">
        <v>-3828853</v>
      </c>
      <c r="T560" s="160">
        <v>0</v>
      </c>
      <c r="U560" s="160">
        <v>0</v>
      </c>
      <c r="V560" s="160">
        <v>-3301009.41</v>
      </c>
      <c r="W560" s="160">
        <v>-527843.59</v>
      </c>
      <c r="X560" s="161" t="e">
        <v>#N/A</v>
      </c>
      <c r="Y560" s="160"/>
      <c r="Z560" s="16">
        <v>86.21</v>
      </c>
      <c r="AA560" s="162">
        <v>-3301009.41</v>
      </c>
      <c r="AB560" s="162">
        <v>-825252.35250000004</v>
      </c>
      <c r="AC560" s="162">
        <v>-9903028.2300000004</v>
      </c>
      <c r="AD560" s="160"/>
      <c r="AE560" s="145">
        <v>-3828853</v>
      </c>
      <c r="AF560" s="163">
        <v>1.0469999999999999</v>
      </c>
      <c r="AG560" s="164">
        <v>1.046</v>
      </c>
      <c r="AH560" s="164">
        <v>1.046</v>
      </c>
      <c r="AI560" s="164">
        <v>-3828853</v>
      </c>
      <c r="AJ560" s="164">
        <f t="shared" si="68"/>
        <v>0</v>
      </c>
      <c r="AK560" s="165">
        <v>0</v>
      </c>
      <c r="AL560" s="165">
        <f t="shared" si="66"/>
        <v>0</v>
      </c>
      <c r="AM560" s="165">
        <f t="shared" si="70"/>
        <v>0</v>
      </c>
      <c r="AN560" s="165">
        <f t="shared" si="71"/>
        <v>0</v>
      </c>
      <c r="AO560" s="16"/>
      <c r="AP560" s="231">
        <f t="shared" si="69"/>
        <v>0</v>
      </c>
      <c r="AR560" s="231"/>
      <c r="AS560" s="231"/>
      <c r="AU560" s="230">
        <v>-3828853</v>
      </c>
      <c r="AV560" s="233">
        <v>-3828853</v>
      </c>
      <c r="AW560" s="230">
        <f t="shared" si="67"/>
        <v>0</v>
      </c>
    </row>
    <row r="561" spans="1:49" hidden="1" x14ac:dyDescent="0.3">
      <c r="A561" s="84" t="s">
        <v>2032</v>
      </c>
      <c r="B561" s="39" t="s">
        <v>1261</v>
      </c>
      <c r="C561" s="39" t="s">
        <v>134</v>
      </c>
      <c r="D561" s="340" t="s">
        <v>3472</v>
      </c>
      <c r="E561" s="159" t="s">
        <v>1085</v>
      </c>
      <c r="F561" s="159" t="s">
        <v>589</v>
      </c>
      <c r="G561" s="159" t="s">
        <v>387</v>
      </c>
      <c r="H561" s="159" t="s">
        <v>424</v>
      </c>
      <c r="I561" s="159" t="s">
        <v>1260</v>
      </c>
      <c r="J561" s="159" t="s">
        <v>309</v>
      </c>
      <c r="K561" s="159" t="s">
        <v>1849</v>
      </c>
      <c r="L561" s="39" t="s">
        <v>556</v>
      </c>
      <c r="M561" s="39" t="s">
        <v>305</v>
      </c>
      <c r="N561" s="39">
        <v>11</v>
      </c>
      <c r="O561" s="167" t="s">
        <v>134</v>
      </c>
      <c r="P561" s="39" t="s">
        <v>134</v>
      </c>
      <c r="Q561" s="39" t="s">
        <v>1261</v>
      </c>
      <c r="R561" s="16" t="s">
        <v>2032</v>
      </c>
      <c r="S561" s="160">
        <v>-4482354</v>
      </c>
      <c r="T561" s="160">
        <v>0</v>
      </c>
      <c r="U561" s="160">
        <v>0</v>
      </c>
      <c r="V561" s="160">
        <v>-3786628.09</v>
      </c>
      <c r="W561" s="160">
        <v>-695725.91</v>
      </c>
      <c r="X561" s="161" t="e">
        <v>#N/A</v>
      </c>
      <c r="Y561" s="160"/>
      <c r="Z561" s="16">
        <v>84.47</v>
      </c>
      <c r="AA561" s="162">
        <v>-3786628.09</v>
      </c>
      <c r="AB561" s="162">
        <v>-946657.02249999996</v>
      </c>
      <c r="AC561" s="162">
        <v>-11359884.27</v>
      </c>
      <c r="AD561" s="160"/>
      <c r="AE561" s="145">
        <v>-4482354</v>
      </c>
      <c r="AF561" s="163">
        <v>1.0469999999999999</v>
      </c>
      <c r="AG561" s="164">
        <v>1.046</v>
      </c>
      <c r="AH561" s="164">
        <v>1.046</v>
      </c>
      <c r="AI561" s="164">
        <v>-4482354</v>
      </c>
      <c r="AJ561" s="164">
        <f t="shared" si="68"/>
        <v>0</v>
      </c>
      <c r="AK561" s="165">
        <v>0</v>
      </c>
      <c r="AL561" s="165">
        <f t="shared" si="66"/>
        <v>0</v>
      </c>
      <c r="AM561" s="165">
        <f t="shared" si="70"/>
        <v>0</v>
      </c>
      <c r="AN561" s="165">
        <f t="shared" si="71"/>
        <v>0</v>
      </c>
      <c r="AO561" s="16"/>
      <c r="AP561" s="231">
        <f t="shared" si="69"/>
        <v>0</v>
      </c>
      <c r="AR561" s="231"/>
      <c r="AS561" s="231"/>
      <c r="AU561" s="230">
        <v>-4482354</v>
      </c>
      <c r="AV561" s="233">
        <v>-4482354</v>
      </c>
      <c r="AW561" s="230">
        <f t="shared" si="67"/>
        <v>0</v>
      </c>
    </row>
    <row r="562" spans="1:49" hidden="1" x14ac:dyDescent="0.3">
      <c r="A562" s="84" t="s">
        <v>2033</v>
      </c>
      <c r="B562" s="39" t="s">
        <v>1262</v>
      </c>
      <c r="C562" s="39" t="s">
        <v>134</v>
      </c>
      <c r="D562" s="340" t="s">
        <v>3472</v>
      </c>
      <c r="E562" s="159" t="s">
        <v>1085</v>
      </c>
      <c r="F562" s="159" t="s">
        <v>589</v>
      </c>
      <c r="G562" s="159" t="s">
        <v>387</v>
      </c>
      <c r="H562" s="159" t="s">
        <v>424</v>
      </c>
      <c r="I562" s="159" t="s">
        <v>1260</v>
      </c>
      <c r="J562" s="159" t="s">
        <v>582</v>
      </c>
      <c r="K562" s="159" t="s">
        <v>1849</v>
      </c>
      <c r="L562" s="39" t="s">
        <v>556</v>
      </c>
      <c r="M562" s="39" t="s">
        <v>305</v>
      </c>
      <c r="N562" s="39">
        <v>11</v>
      </c>
      <c r="O562" s="167" t="s">
        <v>134</v>
      </c>
      <c r="P562" s="39" t="s">
        <v>134</v>
      </c>
      <c r="Q562" s="39" t="s">
        <v>1262</v>
      </c>
      <c r="R562" s="16" t="s">
        <v>2033</v>
      </c>
      <c r="S562" s="160">
        <v>-4031442</v>
      </c>
      <c r="T562" s="160">
        <v>0</v>
      </c>
      <c r="U562" s="160">
        <v>0</v>
      </c>
      <c r="V562" s="160">
        <v>-3697220.64</v>
      </c>
      <c r="W562" s="160">
        <v>-334221.36</v>
      </c>
      <c r="X562" s="161" t="e">
        <v>#N/A</v>
      </c>
      <c r="Y562" s="160"/>
      <c r="Z562" s="16">
        <v>91.7</v>
      </c>
      <c r="AA562" s="162">
        <v>-3697220.64</v>
      </c>
      <c r="AB562" s="162">
        <v>-924305.16</v>
      </c>
      <c r="AC562" s="162">
        <v>-11091661.92</v>
      </c>
      <c r="AD562" s="160"/>
      <c r="AE562" s="145">
        <v>-4031442</v>
      </c>
      <c r="AF562" s="163">
        <v>1.0469999999999999</v>
      </c>
      <c r="AG562" s="164">
        <v>1.046</v>
      </c>
      <c r="AH562" s="164">
        <v>1.046</v>
      </c>
      <c r="AI562" s="164">
        <v>-4031442</v>
      </c>
      <c r="AJ562" s="164">
        <f t="shared" si="68"/>
        <v>0</v>
      </c>
      <c r="AK562" s="165">
        <v>0</v>
      </c>
      <c r="AL562" s="165">
        <f t="shared" si="66"/>
        <v>0</v>
      </c>
      <c r="AM562" s="165">
        <f t="shared" si="70"/>
        <v>0</v>
      </c>
      <c r="AN562" s="165">
        <f t="shared" si="71"/>
        <v>0</v>
      </c>
      <c r="AO562" s="16"/>
      <c r="AP562" s="231">
        <f t="shared" si="69"/>
        <v>0</v>
      </c>
      <c r="AR562" s="231"/>
      <c r="AS562" s="231"/>
      <c r="AU562" s="230">
        <v>-4031442</v>
      </c>
      <c r="AV562" s="233">
        <v>-4031442</v>
      </c>
      <c r="AW562" s="230">
        <f t="shared" si="67"/>
        <v>0</v>
      </c>
    </row>
    <row r="563" spans="1:49" hidden="1" x14ac:dyDescent="0.3">
      <c r="A563" s="84" t="s">
        <v>1264</v>
      </c>
      <c r="B563" s="39" t="s">
        <v>1263</v>
      </c>
      <c r="C563" s="39" t="s">
        <v>134</v>
      </c>
      <c r="D563" s="340" t="s">
        <v>3472</v>
      </c>
      <c r="E563" s="159" t="s">
        <v>1085</v>
      </c>
      <c r="F563" s="159" t="s">
        <v>589</v>
      </c>
      <c r="G563" s="159" t="s">
        <v>387</v>
      </c>
      <c r="H563" s="159" t="s">
        <v>424</v>
      </c>
      <c r="I563" s="159" t="s">
        <v>1260</v>
      </c>
      <c r="J563" s="159" t="s">
        <v>711</v>
      </c>
      <c r="K563" s="159" t="s">
        <v>1849</v>
      </c>
      <c r="L563" s="39" t="s">
        <v>556</v>
      </c>
      <c r="M563" s="39" t="s">
        <v>305</v>
      </c>
      <c r="N563" s="39">
        <v>11</v>
      </c>
      <c r="O563" s="167" t="s">
        <v>134</v>
      </c>
      <c r="P563" s="39" t="s">
        <v>134</v>
      </c>
      <c r="Q563" s="39" t="s">
        <v>1263</v>
      </c>
      <c r="R563" s="16" t="s">
        <v>1264</v>
      </c>
      <c r="S563" s="160">
        <v>-4196600</v>
      </c>
      <c r="T563" s="160">
        <v>-642343.28</v>
      </c>
      <c r="U563" s="160">
        <v>0</v>
      </c>
      <c r="V563" s="160">
        <v>-659012.57999999996</v>
      </c>
      <c r="W563" s="160">
        <v>-3537587.42</v>
      </c>
      <c r="X563" s="161" t="e">
        <v>#N/A</v>
      </c>
      <c r="Y563" s="160"/>
      <c r="Z563" s="16">
        <v>15.7</v>
      </c>
      <c r="AA563" s="162">
        <v>-659012.57999999996</v>
      </c>
      <c r="AB563" s="162">
        <v>-164753.14499999999</v>
      </c>
      <c r="AC563" s="162">
        <v>-1977037.7399999998</v>
      </c>
      <c r="AD563" s="160"/>
      <c r="AE563" s="145">
        <v>-4196600</v>
      </c>
      <c r="AF563" s="163">
        <v>1.0469999999999999</v>
      </c>
      <c r="AG563" s="164">
        <v>1.046</v>
      </c>
      <c r="AH563" s="164">
        <v>1.046</v>
      </c>
      <c r="AI563" s="164">
        <v>-4196600</v>
      </c>
      <c r="AJ563" s="164">
        <f t="shared" si="68"/>
        <v>0</v>
      </c>
      <c r="AK563" s="165">
        <v>0</v>
      </c>
      <c r="AL563" s="165">
        <f t="shared" si="66"/>
        <v>0</v>
      </c>
      <c r="AM563" s="165">
        <f t="shared" si="70"/>
        <v>0</v>
      </c>
      <c r="AN563" s="165">
        <f t="shared" si="71"/>
        <v>0</v>
      </c>
      <c r="AO563" s="16"/>
      <c r="AP563" s="231">
        <f t="shared" si="69"/>
        <v>0</v>
      </c>
      <c r="AR563" s="231"/>
      <c r="AS563" s="231"/>
      <c r="AU563" s="230">
        <v>-4196600</v>
      </c>
      <c r="AV563" s="233">
        <v>-4196600</v>
      </c>
      <c r="AW563" s="230">
        <f t="shared" si="67"/>
        <v>0</v>
      </c>
    </row>
    <row r="564" spans="1:49" hidden="1" x14ac:dyDescent="0.3">
      <c r="A564" s="84" t="s">
        <v>2034</v>
      </c>
      <c r="B564" s="39" t="s">
        <v>1265</v>
      </c>
      <c r="C564" s="39" t="s">
        <v>134</v>
      </c>
      <c r="D564" s="340" t="s">
        <v>3472</v>
      </c>
      <c r="E564" s="159" t="s">
        <v>1085</v>
      </c>
      <c r="F564" s="159" t="s">
        <v>589</v>
      </c>
      <c r="G564" s="159" t="s">
        <v>387</v>
      </c>
      <c r="H564" s="159" t="s">
        <v>424</v>
      </c>
      <c r="I564" s="159" t="s">
        <v>1260</v>
      </c>
      <c r="J564" s="159" t="s">
        <v>1211</v>
      </c>
      <c r="K564" s="159" t="s">
        <v>1849</v>
      </c>
      <c r="L564" s="39" t="s">
        <v>556</v>
      </c>
      <c r="M564" s="39" t="s">
        <v>305</v>
      </c>
      <c r="N564" s="39">
        <v>11</v>
      </c>
      <c r="O564" s="167" t="s">
        <v>134</v>
      </c>
      <c r="P564" s="39" t="s">
        <v>134</v>
      </c>
      <c r="Q564" s="39" t="s">
        <v>1265</v>
      </c>
      <c r="R564" s="16" t="s">
        <v>2034</v>
      </c>
      <c r="S564" s="160">
        <v>-6666952</v>
      </c>
      <c r="T564" s="160">
        <v>-1012029.35</v>
      </c>
      <c r="U564" s="160">
        <v>0</v>
      </c>
      <c r="V564" s="160">
        <v>-1040935.29</v>
      </c>
      <c r="W564" s="160">
        <v>-5626016.71</v>
      </c>
      <c r="X564" s="161" t="e">
        <v>#N/A</v>
      </c>
      <c r="Y564" s="160"/>
      <c r="Z564" s="16">
        <v>15.61</v>
      </c>
      <c r="AA564" s="162">
        <v>-1040935.29</v>
      </c>
      <c r="AB564" s="162">
        <v>-260233.82250000001</v>
      </c>
      <c r="AC564" s="162">
        <v>-3122805.87</v>
      </c>
      <c r="AD564" s="160"/>
      <c r="AE564" s="145">
        <v>-6666952</v>
      </c>
      <c r="AF564" s="163">
        <v>1.0469999999999999</v>
      </c>
      <c r="AG564" s="164">
        <v>1.046</v>
      </c>
      <c r="AH564" s="164">
        <v>1.046</v>
      </c>
      <c r="AI564" s="164">
        <v>-6666952</v>
      </c>
      <c r="AJ564" s="164">
        <f t="shared" si="68"/>
        <v>0</v>
      </c>
      <c r="AK564" s="165">
        <v>0</v>
      </c>
      <c r="AL564" s="165">
        <f t="shared" si="66"/>
        <v>0</v>
      </c>
      <c r="AM564" s="165">
        <f t="shared" si="70"/>
        <v>0</v>
      </c>
      <c r="AN564" s="165">
        <f t="shared" si="71"/>
        <v>0</v>
      </c>
      <c r="AO564" s="16"/>
      <c r="AP564" s="231">
        <f t="shared" si="69"/>
        <v>0</v>
      </c>
      <c r="AR564" s="231"/>
      <c r="AS564" s="231"/>
      <c r="AU564" s="230">
        <v>-6666952</v>
      </c>
      <c r="AV564" s="233">
        <v>-6666952</v>
      </c>
      <c r="AW564" s="230">
        <f t="shared" si="67"/>
        <v>0</v>
      </c>
    </row>
    <row r="565" spans="1:49" hidden="1" x14ac:dyDescent="0.3">
      <c r="A565" s="84" t="s">
        <v>2035</v>
      </c>
      <c r="B565" s="39" t="s">
        <v>1266</v>
      </c>
      <c r="C565" s="39" t="s">
        <v>134</v>
      </c>
      <c r="D565" s="340" t="s">
        <v>3472</v>
      </c>
      <c r="E565" s="159" t="s">
        <v>1085</v>
      </c>
      <c r="F565" s="159" t="s">
        <v>589</v>
      </c>
      <c r="G565" s="159" t="s">
        <v>387</v>
      </c>
      <c r="H565" s="159" t="s">
        <v>424</v>
      </c>
      <c r="I565" s="159" t="s">
        <v>1260</v>
      </c>
      <c r="J565" s="159" t="s">
        <v>1078</v>
      </c>
      <c r="K565" s="159" t="s">
        <v>1849</v>
      </c>
      <c r="L565" s="39" t="s">
        <v>556</v>
      </c>
      <c r="M565" s="39" t="s">
        <v>305</v>
      </c>
      <c r="N565" s="39">
        <v>11</v>
      </c>
      <c r="O565" s="167" t="s">
        <v>134</v>
      </c>
      <c r="P565" s="39" t="s">
        <v>134</v>
      </c>
      <c r="Q565" s="39" t="s">
        <v>1266</v>
      </c>
      <c r="R565" s="16" t="s">
        <v>2035</v>
      </c>
      <c r="S565" s="160">
        <v>-6216636</v>
      </c>
      <c r="T565" s="160">
        <v>-788775.76</v>
      </c>
      <c r="U565" s="160">
        <v>0</v>
      </c>
      <c r="V565" s="160">
        <v>-807639.59</v>
      </c>
      <c r="W565" s="160">
        <v>-5408996.4100000001</v>
      </c>
      <c r="X565" s="161" t="e">
        <v>#N/A</v>
      </c>
      <c r="Y565" s="160"/>
      <c r="Z565" s="16">
        <v>12.99</v>
      </c>
      <c r="AA565" s="162">
        <v>-807639.59</v>
      </c>
      <c r="AB565" s="162">
        <v>-201909.89749999999</v>
      </c>
      <c r="AC565" s="162">
        <v>-2422918.77</v>
      </c>
      <c r="AD565" s="160"/>
      <c r="AE565" s="145">
        <v>-6216636</v>
      </c>
      <c r="AF565" s="163">
        <v>1.0469999999999999</v>
      </c>
      <c r="AG565" s="164">
        <v>1.046</v>
      </c>
      <c r="AH565" s="164">
        <v>1.046</v>
      </c>
      <c r="AI565" s="164">
        <v>-6216636</v>
      </c>
      <c r="AJ565" s="164">
        <f t="shared" si="68"/>
        <v>0</v>
      </c>
      <c r="AK565" s="165">
        <v>0</v>
      </c>
      <c r="AL565" s="165">
        <f t="shared" si="66"/>
        <v>0</v>
      </c>
      <c r="AM565" s="165">
        <f t="shared" si="70"/>
        <v>0</v>
      </c>
      <c r="AN565" s="165">
        <f t="shared" si="71"/>
        <v>0</v>
      </c>
      <c r="AO565" s="16"/>
      <c r="AP565" s="231">
        <f t="shared" si="69"/>
        <v>0</v>
      </c>
      <c r="AR565" s="231"/>
      <c r="AS565" s="231"/>
      <c r="AU565" s="230">
        <v>-6216636</v>
      </c>
      <c r="AV565" s="233">
        <v>-6216636</v>
      </c>
      <c r="AW565" s="230">
        <f t="shared" si="67"/>
        <v>0</v>
      </c>
    </row>
    <row r="566" spans="1:49" hidden="1" x14ac:dyDescent="0.3">
      <c r="A566" s="84" t="s">
        <v>1268</v>
      </c>
      <c r="B566" s="39" t="s">
        <v>1267</v>
      </c>
      <c r="C566" s="39" t="s">
        <v>134</v>
      </c>
      <c r="D566" s="340" t="s">
        <v>3472</v>
      </c>
      <c r="E566" s="159" t="s">
        <v>1085</v>
      </c>
      <c r="F566" s="159" t="s">
        <v>589</v>
      </c>
      <c r="G566" s="159" t="s">
        <v>387</v>
      </c>
      <c r="H566" s="159" t="s">
        <v>424</v>
      </c>
      <c r="I566" s="159" t="s">
        <v>1260</v>
      </c>
      <c r="J566" s="159" t="s">
        <v>750</v>
      </c>
      <c r="K566" s="159" t="s">
        <v>1849</v>
      </c>
      <c r="L566" s="39" t="s">
        <v>556</v>
      </c>
      <c r="M566" s="39" t="s">
        <v>305</v>
      </c>
      <c r="N566" s="39">
        <v>11</v>
      </c>
      <c r="O566" s="167" t="s">
        <v>134</v>
      </c>
      <c r="P566" s="39" t="s">
        <v>134</v>
      </c>
      <c r="Q566" s="39" t="s">
        <v>1267</v>
      </c>
      <c r="R566" s="16" t="s">
        <v>1268</v>
      </c>
      <c r="S566" s="160">
        <v>-1264241</v>
      </c>
      <c r="T566" s="160">
        <v>-94676.92</v>
      </c>
      <c r="U566" s="160">
        <v>0</v>
      </c>
      <c r="V566" s="160">
        <v>-393887.48</v>
      </c>
      <c r="W566" s="160">
        <v>-870353.52</v>
      </c>
      <c r="X566" s="161" t="e">
        <v>#N/A</v>
      </c>
      <c r="Y566" s="160"/>
      <c r="Z566" s="16">
        <v>31.15</v>
      </c>
      <c r="AA566" s="162">
        <v>-393887.48</v>
      </c>
      <c r="AB566" s="162">
        <v>-98471.87</v>
      </c>
      <c r="AC566" s="162">
        <v>-1181662.44</v>
      </c>
      <c r="AD566" s="160"/>
      <c r="AE566" s="145">
        <v>-1264241</v>
      </c>
      <c r="AF566" s="163">
        <v>1.0469999999999999</v>
      </c>
      <c r="AG566" s="164">
        <v>1.046</v>
      </c>
      <c r="AH566" s="164">
        <v>1.046</v>
      </c>
      <c r="AI566" s="164">
        <v>-1264241</v>
      </c>
      <c r="AJ566" s="164">
        <f t="shared" si="68"/>
        <v>0</v>
      </c>
      <c r="AK566" s="165">
        <v>0</v>
      </c>
      <c r="AL566" s="165">
        <f t="shared" si="66"/>
        <v>0</v>
      </c>
      <c r="AM566" s="165">
        <f t="shared" si="70"/>
        <v>0</v>
      </c>
      <c r="AN566" s="165">
        <f t="shared" si="71"/>
        <v>0</v>
      </c>
      <c r="AO566" s="16"/>
      <c r="AP566" s="231">
        <f t="shared" si="69"/>
        <v>0</v>
      </c>
      <c r="AR566" s="231"/>
      <c r="AS566" s="231"/>
      <c r="AU566" s="230">
        <v>-1264241</v>
      </c>
      <c r="AV566" s="233">
        <v>-1264241</v>
      </c>
      <c r="AW566" s="230">
        <f t="shared" si="67"/>
        <v>0</v>
      </c>
    </row>
    <row r="567" spans="1:49" hidden="1" x14ac:dyDescent="0.3">
      <c r="A567" s="84" t="s">
        <v>2036</v>
      </c>
      <c r="B567" s="39" t="s">
        <v>1269</v>
      </c>
      <c r="C567" s="39" t="s">
        <v>134</v>
      </c>
      <c r="D567" s="340" t="s">
        <v>3472</v>
      </c>
      <c r="E567" s="159" t="s">
        <v>1085</v>
      </c>
      <c r="F567" s="159" t="s">
        <v>589</v>
      </c>
      <c r="G567" s="159" t="s">
        <v>387</v>
      </c>
      <c r="H567" s="159" t="s">
        <v>424</v>
      </c>
      <c r="I567" s="159" t="s">
        <v>1260</v>
      </c>
      <c r="J567" s="159" t="s">
        <v>1215</v>
      </c>
      <c r="K567" s="159" t="s">
        <v>1849</v>
      </c>
      <c r="L567" s="39" t="s">
        <v>556</v>
      </c>
      <c r="M567" s="39" t="s">
        <v>305</v>
      </c>
      <c r="N567" s="39">
        <v>11</v>
      </c>
      <c r="O567" s="167" t="s">
        <v>134</v>
      </c>
      <c r="P567" s="39" t="s">
        <v>134</v>
      </c>
      <c r="Q567" s="39" t="s">
        <v>1269</v>
      </c>
      <c r="R567" s="16" t="s">
        <v>2036</v>
      </c>
      <c r="S567" s="160">
        <v>-40411</v>
      </c>
      <c r="T567" s="160">
        <v>0</v>
      </c>
      <c r="U567" s="160">
        <v>0</v>
      </c>
      <c r="V567" s="160">
        <v>-93119.94</v>
      </c>
      <c r="W567" s="160">
        <v>52708.94</v>
      </c>
      <c r="X567" s="161" t="e">
        <v>#N/A</v>
      </c>
      <c r="Y567" s="160"/>
      <c r="Z567" s="16">
        <v>230.43</v>
      </c>
      <c r="AA567" s="162">
        <v>-93119.94</v>
      </c>
      <c r="AB567" s="162">
        <v>-23279.985000000001</v>
      </c>
      <c r="AC567" s="162">
        <v>-279359.82</v>
      </c>
      <c r="AD567" s="160"/>
      <c r="AE567" s="145">
        <v>-40411</v>
      </c>
      <c r="AF567" s="163">
        <v>1.0469999999999999</v>
      </c>
      <c r="AG567" s="164">
        <v>1.046</v>
      </c>
      <c r="AH567" s="164">
        <v>1.046</v>
      </c>
      <c r="AI567" s="164">
        <v>-40411</v>
      </c>
      <c r="AJ567" s="164">
        <f t="shared" si="68"/>
        <v>0</v>
      </c>
      <c r="AK567" s="165">
        <v>0</v>
      </c>
      <c r="AL567" s="165">
        <f t="shared" si="66"/>
        <v>0</v>
      </c>
      <c r="AM567" s="165">
        <f t="shared" si="70"/>
        <v>0</v>
      </c>
      <c r="AN567" s="165">
        <f t="shared" si="71"/>
        <v>0</v>
      </c>
      <c r="AO567" s="16"/>
      <c r="AP567" s="231">
        <f t="shared" si="69"/>
        <v>0</v>
      </c>
      <c r="AR567" s="231"/>
      <c r="AS567" s="231"/>
      <c r="AU567" s="230">
        <v>-40411</v>
      </c>
      <c r="AV567" s="233">
        <v>-40411</v>
      </c>
      <c r="AW567" s="230">
        <f t="shared" si="67"/>
        <v>0</v>
      </c>
    </row>
    <row r="568" spans="1:49" hidden="1" x14ac:dyDescent="0.3">
      <c r="A568" s="84" t="s">
        <v>2037</v>
      </c>
      <c r="B568" s="39" t="s">
        <v>1270</v>
      </c>
      <c r="C568" s="39" t="s">
        <v>134</v>
      </c>
      <c r="D568" s="340" t="s">
        <v>3472</v>
      </c>
      <c r="E568" s="159" t="s">
        <v>1085</v>
      </c>
      <c r="F568" s="159" t="s">
        <v>589</v>
      </c>
      <c r="G568" s="159" t="s">
        <v>387</v>
      </c>
      <c r="H568" s="159" t="s">
        <v>424</v>
      </c>
      <c r="I568" s="159" t="s">
        <v>1260</v>
      </c>
      <c r="J568" s="159" t="s">
        <v>1217</v>
      </c>
      <c r="K568" s="159" t="s">
        <v>1849</v>
      </c>
      <c r="L568" s="39" t="s">
        <v>556</v>
      </c>
      <c r="M568" s="39" t="s">
        <v>305</v>
      </c>
      <c r="N568" s="39">
        <v>11</v>
      </c>
      <c r="O568" s="167" t="s">
        <v>134</v>
      </c>
      <c r="P568" s="39" t="s">
        <v>134</v>
      </c>
      <c r="Q568" s="39" t="s">
        <v>1270</v>
      </c>
      <c r="R568" s="16" t="s">
        <v>2037</v>
      </c>
      <c r="S568" s="160">
        <v>-39938</v>
      </c>
      <c r="T568" s="160">
        <v>0</v>
      </c>
      <c r="U568" s="160">
        <v>0</v>
      </c>
      <c r="V568" s="160">
        <v>-110177.28</v>
      </c>
      <c r="W568" s="160">
        <v>70239.28</v>
      </c>
      <c r="X568" s="161" t="e">
        <v>#N/A</v>
      </c>
      <c r="Y568" s="160"/>
      <c r="Z568" s="16">
        <v>275.87</v>
      </c>
      <c r="AA568" s="162">
        <v>-110177.28</v>
      </c>
      <c r="AB568" s="162">
        <v>-27544.32</v>
      </c>
      <c r="AC568" s="162">
        <v>-330531.83999999997</v>
      </c>
      <c r="AD568" s="160"/>
      <c r="AE568" s="145">
        <v>-39938</v>
      </c>
      <c r="AF568" s="163">
        <v>1.0469999999999999</v>
      </c>
      <c r="AG568" s="164">
        <v>1.046</v>
      </c>
      <c r="AH568" s="164">
        <v>1.046</v>
      </c>
      <c r="AI568" s="164">
        <v>-39938</v>
      </c>
      <c r="AJ568" s="164">
        <f t="shared" si="68"/>
        <v>0</v>
      </c>
      <c r="AK568" s="165">
        <v>0</v>
      </c>
      <c r="AL568" s="165">
        <f t="shared" si="66"/>
        <v>0</v>
      </c>
      <c r="AM568" s="165">
        <f t="shared" si="70"/>
        <v>0</v>
      </c>
      <c r="AN568" s="165">
        <f t="shared" si="71"/>
        <v>0</v>
      </c>
      <c r="AO568" s="16"/>
      <c r="AP568" s="231">
        <f t="shared" si="69"/>
        <v>0</v>
      </c>
      <c r="AR568" s="231"/>
      <c r="AS568" s="231"/>
      <c r="AU568" s="230">
        <v>-39938</v>
      </c>
      <c r="AV568" s="233">
        <v>-39938</v>
      </c>
      <c r="AW568" s="230">
        <f t="shared" si="67"/>
        <v>0</v>
      </c>
    </row>
    <row r="569" spans="1:49" hidden="1" x14ac:dyDescent="0.3">
      <c r="A569" s="84" t="s">
        <v>2038</v>
      </c>
      <c r="B569" s="39" t="s">
        <v>1271</v>
      </c>
      <c r="C569" s="39" t="s">
        <v>134</v>
      </c>
      <c r="D569" s="340" t="s">
        <v>3472</v>
      </c>
      <c r="E569" s="159" t="s">
        <v>1085</v>
      </c>
      <c r="F569" s="159" t="s">
        <v>589</v>
      </c>
      <c r="G569" s="159" t="s">
        <v>387</v>
      </c>
      <c r="H569" s="159" t="s">
        <v>424</v>
      </c>
      <c r="I569" s="159" t="s">
        <v>1260</v>
      </c>
      <c r="J569" s="159" t="s">
        <v>894</v>
      </c>
      <c r="K569" s="159" t="s">
        <v>1849</v>
      </c>
      <c r="L569" s="39" t="s">
        <v>556</v>
      </c>
      <c r="M569" s="39" t="s">
        <v>305</v>
      </c>
      <c r="N569" s="39">
        <v>11</v>
      </c>
      <c r="O569" s="167" t="s">
        <v>134</v>
      </c>
      <c r="P569" s="39" t="s">
        <v>134</v>
      </c>
      <c r="Q569" s="39" t="s">
        <v>1271</v>
      </c>
      <c r="R569" s="16" t="s">
        <v>2038</v>
      </c>
      <c r="S569" s="160">
        <v>-49615</v>
      </c>
      <c r="T569" s="160">
        <v>0</v>
      </c>
      <c r="U569" s="160">
        <v>0</v>
      </c>
      <c r="V569" s="160">
        <v>-134281.78</v>
      </c>
      <c r="W569" s="160">
        <v>84666.78</v>
      </c>
      <c r="X569" s="161" t="e">
        <v>#N/A</v>
      </c>
      <c r="Y569" s="160"/>
      <c r="Z569" s="16">
        <v>270.64</v>
      </c>
      <c r="AA569" s="162">
        <v>-134281.78</v>
      </c>
      <c r="AB569" s="162">
        <v>-33570.445</v>
      </c>
      <c r="AC569" s="162">
        <v>-402845.33999999997</v>
      </c>
      <c r="AD569" s="160"/>
      <c r="AE569" s="145">
        <v>-49615</v>
      </c>
      <c r="AF569" s="163">
        <v>1.0469999999999999</v>
      </c>
      <c r="AG569" s="164">
        <v>1.046</v>
      </c>
      <c r="AH569" s="164">
        <v>1.046</v>
      </c>
      <c r="AI569" s="164">
        <v>-49615</v>
      </c>
      <c r="AJ569" s="164">
        <f t="shared" si="68"/>
        <v>0</v>
      </c>
      <c r="AK569" s="165">
        <v>0</v>
      </c>
      <c r="AL569" s="165">
        <f t="shared" si="66"/>
        <v>0</v>
      </c>
      <c r="AM569" s="165">
        <f t="shared" si="70"/>
        <v>0</v>
      </c>
      <c r="AN569" s="165">
        <f t="shared" si="71"/>
        <v>0</v>
      </c>
      <c r="AO569" s="16"/>
      <c r="AP569" s="231">
        <f t="shared" si="69"/>
        <v>0</v>
      </c>
      <c r="AR569" s="231"/>
      <c r="AS569" s="231"/>
      <c r="AU569" s="230">
        <v>-49615</v>
      </c>
      <c r="AV569" s="233">
        <v>-49615</v>
      </c>
      <c r="AW569" s="230">
        <f t="shared" si="67"/>
        <v>0</v>
      </c>
    </row>
    <row r="570" spans="1:49" hidden="1" x14ac:dyDescent="0.3">
      <c r="A570" s="84" t="s">
        <v>2039</v>
      </c>
      <c r="B570" s="39" t="s">
        <v>1272</v>
      </c>
      <c r="C570" s="39" t="s">
        <v>134</v>
      </c>
      <c r="D570" s="340" t="s">
        <v>3472</v>
      </c>
      <c r="E570" s="159" t="s">
        <v>1085</v>
      </c>
      <c r="F570" s="159" t="s">
        <v>589</v>
      </c>
      <c r="G570" s="159" t="s">
        <v>387</v>
      </c>
      <c r="H570" s="159" t="s">
        <v>424</v>
      </c>
      <c r="I570" s="159" t="s">
        <v>1260</v>
      </c>
      <c r="J570" s="159" t="s">
        <v>776</v>
      </c>
      <c r="K570" s="159" t="s">
        <v>1849</v>
      </c>
      <c r="L570" s="39" t="s">
        <v>556</v>
      </c>
      <c r="M570" s="39" t="s">
        <v>305</v>
      </c>
      <c r="N570" s="39">
        <v>11</v>
      </c>
      <c r="O570" s="167" t="s">
        <v>134</v>
      </c>
      <c r="P570" s="39" t="s">
        <v>134</v>
      </c>
      <c r="Q570" s="39" t="s">
        <v>1272</v>
      </c>
      <c r="R570" s="16" t="s">
        <v>2039</v>
      </c>
      <c r="S570" s="160">
        <v>-30608</v>
      </c>
      <c r="T570" s="160">
        <v>-14145.07</v>
      </c>
      <c r="U570" s="160">
        <v>0</v>
      </c>
      <c r="V570" s="160">
        <v>-14145.07</v>
      </c>
      <c r="W570" s="160">
        <v>-16462.93</v>
      </c>
      <c r="X570" s="161" t="e">
        <v>#N/A</v>
      </c>
      <c r="Y570" s="160"/>
      <c r="Z570" s="16">
        <v>46.21</v>
      </c>
      <c r="AA570" s="162">
        <v>-14145.07</v>
      </c>
      <c r="AB570" s="162">
        <v>-3536.2674999999999</v>
      </c>
      <c r="AC570" s="162">
        <v>-42435.21</v>
      </c>
      <c r="AD570" s="160"/>
      <c r="AE570" s="145">
        <v>-30608</v>
      </c>
      <c r="AF570" s="163">
        <v>1.0469999999999999</v>
      </c>
      <c r="AG570" s="164">
        <v>1.046</v>
      </c>
      <c r="AH570" s="164">
        <v>1.046</v>
      </c>
      <c r="AI570" s="164">
        <v>-30608</v>
      </c>
      <c r="AJ570" s="164">
        <f t="shared" si="68"/>
        <v>0</v>
      </c>
      <c r="AK570" s="165">
        <v>0</v>
      </c>
      <c r="AL570" s="165">
        <f t="shared" si="66"/>
        <v>0</v>
      </c>
      <c r="AM570" s="165">
        <f t="shared" si="70"/>
        <v>0</v>
      </c>
      <c r="AN570" s="165">
        <f t="shared" si="71"/>
        <v>0</v>
      </c>
      <c r="AO570" s="16"/>
      <c r="AP570" s="231">
        <f t="shared" si="69"/>
        <v>0</v>
      </c>
      <c r="AR570" s="231"/>
      <c r="AS570" s="231"/>
      <c r="AU570" s="230">
        <v>-30608</v>
      </c>
      <c r="AV570" s="233">
        <v>-30608</v>
      </c>
      <c r="AW570" s="230">
        <f t="shared" si="67"/>
        <v>0</v>
      </c>
    </row>
    <row r="571" spans="1:49" hidden="1" x14ac:dyDescent="0.3">
      <c r="A571" s="84" t="s">
        <v>2040</v>
      </c>
      <c r="B571" s="39" t="s">
        <v>1273</v>
      </c>
      <c r="C571" s="39" t="s">
        <v>134</v>
      </c>
      <c r="D571" s="340" t="s">
        <v>3472</v>
      </c>
      <c r="E571" s="159" t="s">
        <v>1085</v>
      </c>
      <c r="F571" s="159" t="s">
        <v>589</v>
      </c>
      <c r="G571" s="159" t="s">
        <v>387</v>
      </c>
      <c r="H571" s="159" t="s">
        <v>424</v>
      </c>
      <c r="I571" s="159" t="s">
        <v>1260</v>
      </c>
      <c r="J571" s="159" t="s">
        <v>876</v>
      </c>
      <c r="K571" s="159" t="s">
        <v>1849</v>
      </c>
      <c r="L571" s="39" t="s">
        <v>556</v>
      </c>
      <c r="M571" s="39" t="s">
        <v>305</v>
      </c>
      <c r="N571" s="39">
        <v>11</v>
      </c>
      <c r="O571" s="167" t="s">
        <v>134</v>
      </c>
      <c r="P571" s="39" t="s">
        <v>134</v>
      </c>
      <c r="Q571" s="39" t="s">
        <v>1273</v>
      </c>
      <c r="R571" s="16" t="s">
        <v>2040</v>
      </c>
      <c r="S571" s="160">
        <v>-52778</v>
      </c>
      <c r="T571" s="160">
        <v>-21340.39</v>
      </c>
      <c r="U571" s="160">
        <v>0</v>
      </c>
      <c r="V571" s="160">
        <v>-21340.39</v>
      </c>
      <c r="W571" s="160">
        <v>-31437.61</v>
      </c>
      <c r="X571" s="161" t="e">
        <v>#N/A</v>
      </c>
      <c r="Y571" s="160"/>
      <c r="Z571" s="16">
        <v>40.43</v>
      </c>
      <c r="AA571" s="162">
        <v>-21340.39</v>
      </c>
      <c r="AB571" s="162">
        <v>-5335.0974999999999</v>
      </c>
      <c r="AC571" s="162">
        <v>-64021.17</v>
      </c>
      <c r="AD571" s="160"/>
      <c r="AE571" s="145">
        <v>-52778</v>
      </c>
      <c r="AF571" s="163">
        <v>1.0469999999999999</v>
      </c>
      <c r="AG571" s="164">
        <v>1.046</v>
      </c>
      <c r="AH571" s="164">
        <v>1.046</v>
      </c>
      <c r="AI571" s="164">
        <v>-52778</v>
      </c>
      <c r="AJ571" s="164">
        <f t="shared" si="68"/>
        <v>0</v>
      </c>
      <c r="AK571" s="165">
        <v>0</v>
      </c>
      <c r="AL571" s="165">
        <f t="shared" si="66"/>
        <v>0</v>
      </c>
      <c r="AM571" s="165">
        <f t="shared" si="70"/>
        <v>0</v>
      </c>
      <c r="AN571" s="165">
        <f t="shared" si="71"/>
        <v>0</v>
      </c>
      <c r="AO571" s="16"/>
      <c r="AP571" s="231">
        <f t="shared" si="69"/>
        <v>0</v>
      </c>
      <c r="AR571" s="231"/>
      <c r="AS571" s="231"/>
      <c r="AU571" s="230">
        <v>-52778</v>
      </c>
      <c r="AV571" s="233">
        <v>-52778</v>
      </c>
      <c r="AW571" s="230">
        <f t="shared" si="67"/>
        <v>0</v>
      </c>
    </row>
    <row r="572" spans="1:49" hidden="1" x14ac:dyDescent="0.3">
      <c r="A572" s="84" t="s">
        <v>2041</v>
      </c>
      <c r="B572" s="39" t="s">
        <v>1274</v>
      </c>
      <c r="C572" s="39" t="s">
        <v>134</v>
      </c>
      <c r="D572" s="340" t="s">
        <v>3472</v>
      </c>
      <c r="E572" s="159" t="s">
        <v>1085</v>
      </c>
      <c r="F572" s="159" t="s">
        <v>589</v>
      </c>
      <c r="G572" s="159" t="s">
        <v>387</v>
      </c>
      <c r="H572" s="159" t="s">
        <v>424</v>
      </c>
      <c r="I572" s="159" t="s">
        <v>1260</v>
      </c>
      <c r="J572" s="159" t="s">
        <v>426</v>
      </c>
      <c r="K572" s="159" t="s">
        <v>1849</v>
      </c>
      <c r="L572" s="39" t="s">
        <v>556</v>
      </c>
      <c r="M572" s="39" t="s">
        <v>305</v>
      </c>
      <c r="N572" s="39">
        <v>11</v>
      </c>
      <c r="O572" s="167" t="s">
        <v>134</v>
      </c>
      <c r="P572" s="39" t="s">
        <v>134</v>
      </c>
      <c r="Q572" s="39" t="s">
        <v>1274</v>
      </c>
      <c r="R572" s="16" t="s">
        <v>2041</v>
      </c>
      <c r="S572" s="160">
        <v>-62996</v>
      </c>
      <c r="T572" s="160">
        <v>-20122.48</v>
      </c>
      <c r="U572" s="160">
        <v>0</v>
      </c>
      <c r="V572" s="160">
        <v>-20122.48</v>
      </c>
      <c r="W572" s="160">
        <v>-42873.52</v>
      </c>
      <c r="X572" s="161" t="e">
        <v>#N/A</v>
      </c>
      <c r="Y572" s="160"/>
      <c r="Z572" s="16">
        <v>31.94</v>
      </c>
      <c r="AA572" s="162">
        <v>-20122.48</v>
      </c>
      <c r="AB572" s="162">
        <v>-5030.62</v>
      </c>
      <c r="AC572" s="162">
        <v>-60367.44</v>
      </c>
      <c r="AD572" s="160"/>
      <c r="AE572" s="145">
        <v>-62996</v>
      </c>
      <c r="AF572" s="163">
        <v>1.0469999999999999</v>
      </c>
      <c r="AG572" s="164">
        <v>1.046</v>
      </c>
      <c r="AH572" s="164">
        <v>1.046</v>
      </c>
      <c r="AI572" s="164">
        <v>-62996</v>
      </c>
      <c r="AJ572" s="164">
        <f t="shared" si="68"/>
        <v>0</v>
      </c>
      <c r="AK572" s="165">
        <v>0</v>
      </c>
      <c r="AL572" s="165">
        <f t="shared" si="66"/>
        <v>0</v>
      </c>
      <c r="AM572" s="165">
        <f t="shared" si="70"/>
        <v>0</v>
      </c>
      <c r="AN572" s="165">
        <f t="shared" si="71"/>
        <v>0</v>
      </c>
      <c r="AO572" s="16"/>
      <c r="AP572" s="231">
        <f t="shared" si="69"/>
        <v>0</v>
      </c>
      <c r="AR572" s="231"/>
      <c r="AS572" s="231"/>
      <c r="AU572" s="230">
        <v>-62996</v>
      </c>
      <c r="AV572" s="233">
        <v>-62996</v>
      </c>
      <c r="AW572" s="230">
        <f t="shared" si="67"/>
        <v>0</v>
      </c>
    </row>
    <row r="573" spans="1:49" hidden="1" x14ac:dyDescent="0.3">
      <c r="A573" s="84" t="s">
        <v>2042</v>
      </c>
      <c r="B573" s="39" t="s">
        <v>1275</v>
      </c>
      <c r="C573" s="39" t="s">
        <v>134</v>
      </c>
      <c r="D573" s="340" t="s">
        <v>3472</v>
      </c>
      <c r="E573" s="159" t="s">
        <v>1085</v>
      </c>
      <c r="F573" s="159" t="s">
        <v>589</v>
      </c>
      <c r="G573" s="159" t="s">
        <v>387</v>
      </c>
      <c r="H573" s="159" t="s">
        <v>424</v>
      </c>
      <c r="I573" s="159" t="s">
        <v>1260</v>
      </c>
      <c r="J573" s="159" t="s">
        <v>1276</v>
      </c>
      <c r="K573" s="159" t="s">
        <v>1849</v>
      </c>
      <c r="L573" s="39" t="s">
        <v>556</v>
      </c>
      <c r="M573" s="39" t="s">
        <v>305</v>
      </c>
      <c r="N573" s="39">
        <v>11</v>
      </c>
      <c r="O573" s="167" t="s">
        <v>134</v>
      </c>
      <c r="P573" s="39" t="s">
        <v>134</v>
      </c>
      <c r="Q573" s="39" t="s">
        <v>1275</v>
      </c>
      <c r="R573" s="16" t="s">
        <v>2042</v>
      </c>
      <c r="S573" s="160">
        <v>-34203</v>
      </c>
      <c r="T573" s="160">
        <v>-6510.95</v>
      </c>
      <c r="U573" s="160">
        <v>0</v>
      </c>
      <c r="V573" s="160">
        <v>-26015.46</v>
      </c>
      <c r="W573" s="160">
        <v>-8187.54</v>
      </c>
      <c r="X573" s="161" t="e">
        <v>#N/A</v>
      </c>
      <c r="Y573" s="160"/>
      <c r="Z573" s="16">
        <v>76.06</v>
      </c>
      <c r="AA573" s="162">
        <v>-26015.46</v>
      </c>
      <c r="AB573" s="162">
        <v>-6503.8649999999998</v>
      </c>
      <c r="AC573" s="162">
        <v>-78046.38</v>
      </c>
      <c r="AD573" s="160"/>
      <c r="AE573" s="145">
        <v>-34203</v>
      </c>
      <c r="AF573" s="163">
        <v>1.0469999999999999</v>
      </c>
      <c r="AG573" s="164">
        <v>1.046</v>
      </c>
      <c r="AH573" s="164">
        <v>1.046</v>
      </c>
      <c r="AI573" s="164">
        <v>-34203</v>
      </c>
      <c r="AJ573" s="164">
        <f t="shared" si="68"/>
        <v>0</v>
      </c>
      <c r="AK573" s="165">
        <v>0</v>
      </c>
      <c r="AL573" s="165">
        <f t="shared" si="66"/>
        <v>0</v>
      </c>
      <c r="AM573" s="165">
        <f t="shared" si="70"/>
        <v>0</v>
      </c>
      <c r="AN573" s="165">
        <f t="shared" si="71"/>
        <v>0</v>
      </c>
      <c r="AO573" s="16"/>
      <c r="AP573" s="231">
        <f t="shared" si="69"/>
        <v>0</v>
      </c>
      <c r="AR573" s="231"/>
      <c r="AS573" s="231"/>
      <c r="AU573" s="230">
        <v>-34203</v>
      </c>
      <c r="AV573" s="233">
        <v>-34203</v>
      </c>
      <c r="AW573" s="230">
        <f t="shared" si="67"/>
        <v>0</v>
      </c>
    </row>
    <row r="574" spans="1:49" hidden="1" x14ac:dyDescent="0.3">
      <c r="A574" s="84" t="s">
        <v>2043</v>
      </c>
      <c r="B574" s="39" t="s">
        <v>1277</v>
      </c>
      <c r="C574" s="39" t="s">
        <v>134</v>
      </c>
      <c r="D574" s="340" t="s">
        <v>3472</v>
      </c>
      <c r="E574" s="159" t="s">
        <v>1085</v>
      </c>
      <c r="F574" s="159" t="s">
        <v>589</v>
      </c>
      <c r="G574" s="159" t="s">
        <v>387</v>
      </c>
      <c r="H574" s="159" t="s">
        <v>424</v>
      </c>
      <c r="I574" s="159" t="s">
        <v>1260</v>
      </c>
      <c r="J574" s="159" t="s">
        <v>1278</v>
      </c>
      <c r="K574" s="159" t="s">
        <v>1849</v>
      </c>
      <c r="L574" s="39" t="s">
        <v>556</v>
      </c>
      <c r="M574" s="39" t="s">
        <v>305</v>
      </c>
      <c r="N574" s="39">
        <v>11</v>
      </c>
      <c r="O574" s="167" t="s">
        <v>134</v>
      </c>
      <c r="P574" s="39" t="s">
        <v>134</v>
      </c>
      <c r="Q574" s="39" t="s">
        <v>1277</v>
      </c>
      <c r="R574" s="16" t="s">
        <v>2043</v>
      </c>
      <c r="S574" s="160">
        <v>-6690626</v>
      </c>
      <c r="T574" s="160">
        <v>0</v>
      </c>
      <c r="U574" s="160">
        <v>0</v>
      </c>
      <c r="V574" s="160">
        <v>-6591570.9299999997</v>
      </c>
      <c r="W574" s="160">
        <v>-99055.07</v>
      </c>
      <c r="X574" s="161" t="e">
        <v>#N/A</v>
      </c>
      <c r="Y574" s="160"/>
      <c r="Z574" s="16">
        <v>98.51</v>
      </c>
      <c r="AA574" s="162">
        <v>-6591570.9299999997</v>
      </c>
      <c r="AB574" s="162">
        <v>-1647892.7324999999</v>
      </c>
      <c r="AC574" s="162">
        <v>-19774712.789999999</v>
      </c>
      <c r="AD574" s="160"/>
      <c r="AE574" s="145">
        <v>-6690626</v>
      </c>
      <c r="AF574" s="163">
        <v>1.0469999999999999</v>
      </c>
      <c r="AG574" s="164">
        <v>1.046</v>
      </c>
      <c r="AH574" s="164">
        <v>1.046</v>
      </c>
      <c r="AI574" s="164">
        <v>-6690626</v>
      </c>
      <c r="AJ574" s="164">
        <f t="shared" si="68"/>
        <v>0</v>
      </c>
      <c r="AK574" s="165">
        <v>0</v>
      </c>
      <c r="AL574" s="165">
        <f t="shared" ref="AL574:AL632" si="72">AK574</f>
        <v>0</v>
      </c>
      <c r="AM574" s="165">
        <f t="shared" si="70"/>
        <v>0</v>
      </c>
      <c r="AN574" s="165">
        <f t="shared" si="71"/>
        <v>0</v>
      </c>
      <c r="AO574" s="16"/>
      <c r="AP574" s="231">
        <f t="shared" si="69"/>
        <v>0</v>
      </c>
      <c r="AR574" s="231"/>
      <c r="AS574" s="231"/>
      <c r="AU574" s="230">
        <v>-6690626</v>
      </c>
      <c r="AV574" s="233">
        <v>-6690626</v>
      </c>
      <c r="AW574" s="230">
        <f t="shared" si="67"/>
        <v>0</v>
      </c>
    </row>
    <row r="575" spans="1:49" hidden="1" x14ac:dyDescent="0.3">
      <c r="A575" s="84" t="s">
        <v>2044</v>
      </c>
      <c r="B575" s="39" t="s">
        <v>1279</v>
      </c>
      <c r="C575" s="39" t="s">
        <v>134</v>
      </c>
      <c r="D575" s="340" t="s">
        <v>3472</v>
      </c>
      <c r="E575" s="159" t="s">
        <v>1085</v>
      </c>
      <c r="F575" s="159" t="s">
        <v>589</v>
      </c>
      <c r="G575" s="159" t="s">
        <v>387</v>
      </c>
      <c r="H575" s="159" t="s">
        <v>424</v>
      </c>
      <c r="I575" s="159" t="s">
        <v>1260</v>
      </c>
      <c r="J575" s="159" t="s">
        <v>1280</v>
      </c>
      <c r="K575" s="159" t="s">
        <v>1849</v>
      </c>
      <c r="L575" s="39" t="s">
        <v>556</v>
      </c>
      <c r="M575" s="39" t="s">
        <v>305</v>
      </c>
      <c r="N575" s="39">
        <v>11</v>
      </c>
      <c r="O575" s="167" t="s">
        <v>134</v>
      </c>
      <c r="P575" s="39" t="s">
        <v>134</v>
      </c>
      <c r="Q575" s="39" t="s">
        <v>1279</v>
      </c>
      <c r="R575" s="16" t="s">
        <v>2044</v>
      </c>
      <c r="S575" s="160">
        <v>-7106004</v>
      </c>
      <c r="T575" s="160">
        <v>0</v>
      </c>
      <c r="U575" s="160">
        <v>0</v>
      </c>
      <c r="V575" s="160">
        <v>-9558210.4199999999</v>
      </c>
      <c r="W575" s="160">
        <v>2452206.42</v>
      </c>
      <c r="X575" s="161" t="e">
        <v>#N/A</v>
      </c>
      <c r="Y575" s="160"/>
      <c r="Z575" s="16">
        <v>134.5</v>
      </c>
      <c r="AA575" s="162">
        <v>-9558210.4199999999</v>
      </c>
      <c r="AB575" s="162">
        <v>-2389552.605</v>
      </c>
      <c r="AC575" s="162">
        <v>-28674631.259999998</v>
      </c>
      <c r="AD575" s="160"/>
      <c r="AE575" s="145">
        <v>-7106004</v>
      </c>
      <c r="AF575" s="163">
        <v>1.0469999999999999</v>
      </c>
      <c r="AG575" s="164">
        <v>1.046</v>
      </c>
      <c r="AH575" s="164">
        <v>1.046</v>
      </c>
      <c r="AI575" s="164">
        <v>-7106004</v>
      </c>
      <c r="AJ575" s="164">
        <f t="shared" si="68"/>
        <v>0</v>
      </c>
      <c r="AK575" s="165">
        <v>0</v>
      </c>
      <c r="AL575" s="165">
        <f t="shared" si="72"/>
        <v>0</v>
      </c>
      <c r="AM575" s="165">
        <f t="shared" si="70"/>
        <v>0</v>
      </c>
      <c r="AN575" s="165">
        <f t="shared" si="71"/>
        <v>0</v>
      </c>
      <c r="AO575" s="16"/>
      <c r="AP575" s="231">
        <f t="shared" si="69"/>
        <v>0</v>
      </c>
      <c r="AR575" s="231"/>
      <c r="AS575" s="231"/>
      <c r="AU575" s="230">
        <v>-7106004</v>
      </c>
      <c r="AV575" s="233">
        <v>-7106004</v>
      </c>
      <c r="AW575" s="230">
        <f t="shared" si="67"/>
        <v>0</v>
      </c>
    </row>
    <row r="576" spans="1:49" hidden="1" x14ac:dyDescent="0.3">
      <c r="A576" s="84" t="s">
        <v>2045</v>
      </c>
      <c r="B576" s="39" t="s">
        <v>1281</v>
      </c>
      <c r="C576" s="39" t="s">
        <v>134</v>
      </c>
      <c r="D576" s="340" t="s">
        <v>3472</v>
      </c>
      <c r="E576" s="159" t="s">
        <v>1085</v>
      </c>
      <c r="F576" s="159" t="s">
        <v>589</v>
      </c>
      <c r="G576" s="159" t="s">
        <v>387</v>
      </c>
      <c r="H576" s="159" t="s">
        <v>424</v>
      </c>
      <c r="I576" s="159" t="s">
        <v>1260</v>
      </c>
      <c r="J576" s="159" t="s">
        <v>327</v>
      </c>
      <c r="K576" s="159" t="s">
        <v>1849</v>
      </c>
      <c r="L576" s="39" t="s">
        <v>556</v>
      </c>
      <c r="M576" s="39" t="s">
        <v>305</v>
      </c>
      <c r="N576" s="39">
        <v>11</v>
      </c>
      <c r="O576" s="167" t="s">
        <v>134</v>
      </c>
      <c r="P576" s="39" t="s">
        <v>134</v>
      </c>
      <c r="Q576" s="39" t="s">
        <v>1281</v>
      </c>
      <c r="R576" s="16" t="s">
        <v>2045</v>
      </c>
      <c r="S576" s="160">
        <v>-8622356</v>
      </c>
      <c r="T576" s="160">
        <v>0</v>
      </c>
      <c r="U576" s="160">
        <v>0</v>
      </c>
      <c r="V576" s="160">
        <v>-8493514.6600000001</v>
      </c>
      <c r="W576" s="160">
        <v>-128841.34</v>
      </c>
      <c r="X576" s="161" t="e">
        <v>#N/A</v>
      </c>
      <c r="Y576" s="160"/>
      <c r="Z576" s="16">
        <v>98.5</v>
      </c>
      <c r="AA576" s="162">
        <v>-8493514.6600000001</v>
      </c>
      <c r="AB576" s="162">
        <v>-2123378.665</v>
      </c>
      <c r="AC576" s="162">
        <v>-25480543.98</v>
      </c>
      <c r="AD576" s="160"/>
      <c r="AE576" s="145">
        <v>-8622356</v>
      </c>
      <c r="AF576" s="163">
        <v>1.0469999999999999</v>
      </c>
      <c r="AG576" s="164">
        <v>1.046</v>
      </c>
      <c r="AH576" s="164">
        <v>1.046</v>
      </c>
      <c r="AI576" s="164">
        <v>-8622356</v>
      </c>
      <c r="AJ576" s="164">
        <f t="shared" si="68"/>
        <v>0</v>
      </c>
      <c r="AK576" s="165">
        <v>0</v>
      </c>
      <c r="AL576" s="165">
        <f t="shared" si="72"/>
        <v>0</v>
      </c>
      <c r="AM576" s="165">
        <f t="shared" si="70"/>
        <v>0</v>
      </c>
      <c r="AN576" s="165">
        <f t="shared" si="71"/>
        <v>0</v>
      </c>
      <c r="AO576" s="16"/>
      <c r="AP576" s="231">
        <f t="shared" si="69"/>
        <v>0</v>
      </c>
      <c r="AR576" s="231"/>
      <c r="AS576" s="231"/>
      <c r="AU576" s="230">
        <v>-8622356</v>
      </c>
      <c r="AV576" s="233">
        <v>-8622356</v>
      </c>
      <c r="AW576" s="230">
        <f t="shared" si="67"/>
        <v>0</v>
      </c>
    </row>
    <row r="577" spans="1:49" hidden="1" x14ac:dyDescent="0.3">
      <c r="A577" s="84" t="s">
        <v>2046</v>
      </c>
      <c r="B577" s="39" t="s">
        <v>1282</v>
      </c>
      <c r="C577" s="39" t="s">
        <v>134</v>
      </c>
      <c r="D577" s="340" t="s">
        <v>3472</v>
      </c>
      <c r="E577" s="159" t="s">
        <v>1085</v>
      </c>
      <c r="F577" s="159" t="s">
        <v>589</v>
      </c>
      <c r="G577" s="159" t="s">
        <v>387</v>
      </c>
      <c r="H577" s="159" t="s">
        <v>424</v>
      </c>
      <c r="I577" s="159" t="s">
        <v>1260</v>
      </c>
      <c r="J577" s="159" t="s">
        <v>1152</v>
      </c>
      <c r="K577" s="159" t="s">
        <v>1849</v>
      </c>
      <c r="L577" s="39" t="s">
        <v>556</v>
      </c>
      <c r="M577" s="39" t="s">
        <v>305</v>
      </c>
      <c r="N577" s="39">
        <v>11</v>
      </c>
      <c r="O577" s="167" t="s">
        <v>134</v>
      </c>
      <c r="P577" s="39" t="s">
        <v>134</v>
      </c>
      <c r="Q577" s="39" t="s">
        <v>1282</v>
      </c>
      <c r="R577" s="16" t="s">
        <v>2046</v>
      </c>
      <c r="S577" s="160">
        <v>-9806043</v>
      </c>
      <c r="T577" s="160">
        <v>-1587930.08</v>
      </c>
      <c r="U577" s="160">
        <v>0</v>
      </c>
      <c r="V577" s="160">
        <v>-1587930.08</v>
      </c>
      <c r="W577" s="160">
        <v>-8218112.9199999999</v>
      </c>
      <c r="X577" s="161" t="e">
        <v>#N/A</v>
      </c>
      <c r="Y577" s="160"/>
      <c r="Z577" s="16">
        <v>16.190000000000001</v>
      </c>
      <c r="AA577" s="162">
        <v>-1587930.08</v>
      </c>
      <c r="AB577" s="162">
        <v>-396982.52</v>
      </c>
      <c r="AC577" s="162">
        <v>-4763790.24</v>
      </c>
      <c r="AD577" s="160"/>
      <c r="AE577" s="145">
        <v>-9806043</v>
      </c>
      <c r="AF577" s="163">
        <v>1.0469999999999999</v>
      </c>
      <c r="AG577" s="164">
        <v>1.046</v>
      </c>
      <c r="AH577" s="164">
        <v>1.046</v>
      </c>
      <c r="AI577" s="164">
        <v>-9806043</v>
      </c>
      <c r="AJ577" s="164">
        <f t="shared" si="68"/>
        <v>0</v>
      </c>
      <c r="AK577" s="165">
        <v>0</v>
      </c>
      <c r="AL577" s="165">
        <f t="shared" si="72"/>
        <v>0</v>
      </c>
      <c r="AM577" s="165">
        <f t="shared" si="70"/>
        <v>0</v>
      </c>
      <c r="AN577" s="165">
        <f t="shared" si="71"/>
        <v>0</v>
      </c>
      <c r="AO577" s="16"/>
      <c r="AP577" s="231">
        <f t="shared" si="69"/>
        <v>0</v>
      </c>
      <c r="AR577" s="231"/>
      <c r="AS577" s="231"/>
      <c r="AU577" s="230">
        <v>-9806043</v>
      </c>
      <c r="AV577" s="233">
        <v>-9806043</v>
      </c>
      <c r="AW577" s="230">
        <f t="shared" si="67"/>
        <v>0</v>
      </c>
    </row>
    <row r="578" spans="1:49" hidden="1" x14ac:dyDescent="0.3">
      <c r="A578" s="84" t="s">
        <v>2047</v>
      </c>
      <c r="B578" s="39" t="s">
        <v>1283</v>
      </c>
      <c r="C578" s="39" t="s">
        <v>134</v>
      </c>
      <c r="D578" s="340" t="s">
        <v>3472</v>
      </c>
      <c r="E578" s="159" t="s">
        <v>1085</v>
      </c>
      <c r="F578" s="159" t="s">
        <v>589</v>
      </c>
      <c r="G578" s="159" t="s">
        <v>387</v>
      </c>
      <c r="H578" s="159" t="s">
        <v>424</v>
      </c>
      <c r="I578" s="159" t="s">
        <v>1260</v>
      </c>
      <c r="J578" s="159" t="s">
        <v>898</v>
      </c>
      <c r="K578" s="159" t="s">
        <v>1849</v>
      </c>
      <c r="L578" s="39" t="s">
        <v>556</v>
      </c>
      <c r="M578" s="39" t="s">
        <v>305</v>
      </c>
      <c r="N578" s="39">
        <v>11</v>
      </c>
      <c r="O578" s="167" t="s">
        <v>134</v>
      </c>
      <c r="P578" s="39" t="s">
        <v>134</v>
      </c>
      <c r="Q578" s="39" t="s">
        <v>1283</v>
      </c>
      <c r="R578" s="16" t="s">
        <v>2047</v>
      </c>
      <c r="S578" s="160">
        <v>-16957932</v>
      </c>
      <c r="T578" s="160">
        <v>-2506468.69</v>
      </c>
      <c r="U578" s="160">
        <v>0</v>
      </c>
      <c r="V578" s="160">
        <v>-2506468.69</v>
      </c>
      <c r="W578" s="160">
        <v>-14451463.310000001</v>
      </c>
      <c r="X578" s="161" t="e">
        <v>#N/A</v>
      </c>
      <c r="Y578" s="160"/>
      <c r="Z578" s="16">
        <v>14.78</v>
      </c>
      <c r="AA578" s="162">
        <v>-2506468.69</v>
      </c>
      <c r="AB578" s="162">
        <v>-626617.17249999999</v>
      </c>
      <c r="AC578" s="162">
        <v>-7519406.0700000003</v>
      </c>
      <c r="AD578" s="160"/>
      <c r="AE578" s="145">
        <v>-16957932</v>
      </c>
      <c r="AF578" s="163">
        <v>1.0469999999999999</v>
      </c>
      <c r="AG578" s="164">
        <v>1.046</v>
      </c>
      <c r="AH578" s="164">
        <v>1.046</v>
      </c>
      <c r="AI578" s="164">
        <v>-16957932</v>
      </c>
      <c r="AJ578" s="164">
        <f t="shared" si="68"/>
        <v>0</v>
      </c>
      <c r="AK578" s="165">
        <v>0</v>
      </c>
      <c r="AL578" s="165">
        <f t="shared" si="72"/>
        <v>0</v>
      </c>
      <c r="AM578" s="165">
        <f t="shared" si="70"/>
        <v>0</v>
      </c>
      <c r="AN578" s="165">
        <f t="shared" si="71"/>
        <v>0</v>
      </c>
      <c r="AO578" s="16"/>
      <c r="AP578" s="231">
        <f t="shared" si="69"/>
        <v>0</v>
      </c>
      <c r="AR578" s="231"/>
      <c r="AS578" s="231"/>
      <c r="AU578" s="230">
        <v>-16957932</v>
      </c>
      <c r="AV578" s="233">
        <v>-16957932</v>
      </c>
      <c r="AW578" s="230">
        <f t="shared" ref="AW578:AW641" si="73">AU578-S578</f>
        <v>0</v>
      </c>
    </row>
    <row r="579" spans="1:49" hidden="1" x14ac:dyDescent="0.3">
      <c r="A579" s="84" t="s">
        <v>1285</v>
      </c>
      <c r="B579" s="39" t="s">
        <v>1284</v>
      </c>
      <c r="C579" s="39" t="s">
        <v>134</v>
      </c>
      <c r="D579" s="340" t="s">
        <v>3472</v>
      </c>
      <c r="E579" s="159" t="s">
        <v>1085</v>
      </c>
      <c r="F579" s="159" t="s">
        <v>589</v>
      </c>
      <c r="G579" s="159" t="s">
        <v>387</v>
      </c>
      <c r="H579" s="159" t="s">
        <v>424</v>
      </c>
      <c r="I579" s="159" t="s">
        <v>1260</v>
      </c>
      <c r="J579" s="159" t="s">
        <v>1286</v>
      </c>
      <c r="K579" s="159" t="s">
        <v>1849</v>
      </c>
      <c r="L579" s="39" t="s">
        <v>556</v>
      </c>
      <c r="M579" s="39" t="s">
        <v>305</v>
      </c>
      <c r="N579" s="39">
        <v>11</v>
      </c>
      <c r="O579" s="167" t="s">
        <v>134</v>
      </c>
      <c r="P579" s="39" t="s">
        <v>134</v>
      </c>
      <c r="Q579" s="39" t="s">
        <v>1284</v>
      </c>
      <c r="R579" s="16" t="s">
        <v>1285</v>
      </c>
      <c r="S579" s="160">
        <v>-14042204</v>
      </c>
      <c r="T579" s="160">
        <v>-1800056.47</v>
      </c>
      <c r="U579" s="160">
        <v>0</v>
      </c>
      <c r="V579" s="160">
        <v>-1800056.47</v>
      </c>
      <c r="W579" s="160">
        <v>-12242147.529999999</v>
      </c>
      <c r="X579" s="161" t="e">
        <v>#N/A</v>
      </c>
      <c r="Y579" s="160"/>
      <c r="Z579" s="16">
        <v>12.81</v>
      </c>
      <c r="AA579" s="162">
        <v>-1800056.47</v>
      </c>
      <c r="AB579" s="162">
        <v>-450014.11749999999</v>
      </c>
      <c r="AC579" s="162">
        <v>-5400169.4100000001</v>
      </c>
      <c r="AD579" s="160"/>
      <c r="AE579" s="145">
        <v>-14042204</v>
      </c>
      <c r="AF579" s="163">
        <v>1.0469999999999999</v>
      </c>
      <c r="AG579" s="164">
        <v>1.046</v>
      </c>
      <c r="AH579" s="164">
        <v>1.046</v>
      </c>
      <c r="AI579" s="164">
        <v>-14042204</v>
      </c>
      <c r="AJ579" s="164">
        <f t="shared" si="68"/>
        <v>0</v>
      </c>
      <c r="AK579" s="165">
        <v>0</v>
      </c>
      <c r="AL579" s="165">
        <f t="shared" si="72"/>
        <v>0</v>
      </c>
      <c r="AM579" s="165">
        <f t="shared" si="70"/>
        <v>0</v>
      </c>
      <c r="AN579" s="165">
        <f t="shared" si="71"/>
        <v>0</v>
      </c>
      <c r="AO579" s="16"/>
      <c r="AP579" s="231">
        <f t="shared" si="69"/>
        <v>0</v>
      </c>
      <c r="AR579" s="231"/>
      <c r="AS579" s="231"/>
      <c r="AU579" s="230">
        <v>-14042204</v>
      </c>
      <c r="AV579" s="233">
        <v>-14042204</v>
      </c>
      <c r="AW579" s="230">
        <f t="shared" si="73"/>
        <v>0</v>
      </c>
    </row>
    <row r="580" spans="1:49" hidden="1" x14ac:dyDescent="0.3">
      <c r="A580" s="84" t="s">
        <v>2048</v>
      </c>
      <c r="B580" s="39" t="s">
        <v>1287</v>
      </c>
      <c r="C580" s="39" t="s">
        <v>134</v>
      </c>
      <c r="D580" s="340" t="s">
        <v>3472</v>
      </c>
      <c r="E580" s="159" t="s">
        <v>1085</v>
      </c>
      <c r="F580" s="159" t="s">
        <v>589</v>
      </c>
      <c r="G580" s="159" t="s">
        <v>387</v>
      </c>
      <c r="H580" s="159" t="s">
        <v>424</v>
      </c>
      <c r="I580" s="159" t="s">
        <v>1260</v>
      </c>
      <c r="J580" s="159" t="s">
        <v>731</v>
      </c>
      <c r="K580" s="159" t="s">
        <v>1849</v>
      </c>
      <c r="L580" s="39" t="s">
        <v>556</v>
      </c>
      <c r="M580" s="39" t="s">
        <v>305</v>
      </c>
      <c r="N580" s="39">
        <v>11</v>
      </c>
      <c r="O580" s="167" t="s">
        <v>134</v>
      </c>
      <c r="P580" s="39" t="s">
        <v>134</v>
      </c>
      <c r="Q580" s="39" t="s">
        <v>1287</v>
      </c>
      <c r="R580" s="16" t="s">
        <v>2048</v>
      </c>
      <c r="S580" s="160">
        <v>-1452599</v>
      </c>
      <c r="T580" s="160">
        <v>-70164.34</v>
      </c>
      <c r="U580" s="160">
        <v>0</v>
      </c>
      <c r="V580" s="160">
        <v>-280400.68</v>
      </c>
      <c r="W580" s="160">
        <v>-1172198.32</v>
      </c>
      <c r="X580" s="161" t="e">
        <v>#N/A</v>
      </c>
      <c r="Y580" s="160"/>
      <c r="Z580" s="16">
        <v>19.3</v>
      </c>
      <c r="AA580" s="162">
        <v>-280400.68</v>
      </c>
      <c r="AB580" s="162">
        <v>-70100.17</v>
      </c>
      <c r="AC580" s="162">
        <v>-841202.04</v>
      </c>
      <c r="AD580" s="160"/>
      <c r="AE580" s="145">
        <v>-1452599</v>
      </c>
      <c r="AF580" s="163">
        <v>1.0469999999999999</v>
      </c>
      <c r="AG580" s="164">
        <v>1.046</v>
      </c>
      <c r="AH580" s="164">
        <v>1.046</v>
      </c>
      <c r="AI580" s="164">
        <v>-1452599</v>
      </c>
      <c r="AJ580" s="164">
        <f t="shared" si="68"/>
        <v>0</v>
      </c>
      <c r="AK580" s="165">
        <v>0</v>
      </c>
      <c r="AL580" s="165">
        <f t="shared" si="72"/>
        <v>0</v>
      </c>
      <c r="AM580" s="165">
        <f t="shared" si="70"/>
        <v>0</v>
      </c>
      <c r="AN580" s="165">
        <f t="shared" si="71"/>
        <v>0</v>
      </c>
      <c r="AO580" s="16"/>
      <c r="AP580" s="231">
        <f t="shared" si="69"/>
        <v>0</v>
      </c>
      <c r="AR580" s="231"/>
      <c r="AS580" s="231"/>
      <c r="AU580" s="230">
        <v>-1452599</v>
      </c>
      <c r="AV580" s="233">
        <v>-1452599</v>
      </c>
      <c r="AW580" s="230">
        <f t="shared" si="73"/>
        <v>0</v>
      </c>
    </row>
    <row r="581" spans="1:49" hidden="1" x14ac:dyDescent="0.3">
      <c r="A581" s="84" t="s">
        <v>1289</v>
      </c>
      <c r="B581" s="39" t="s">
        <v>1288</v>
      </c>
      <c r="C581" s="39" t="s">
        <v>134</v>
      </c>
      <c r="D581" s="340" t="s">
        <v>3472</v>
      </c>
      <c r="E581" s="159" t="s">
        <v>1085</v>
      </c>
      <c r="F581" s="159" t="s">
        <v>589</v>
      </c>
      <c r="G581" s="159" t="s">
        <v>387</v>
      </c>
      <c r="H581" s="159" t="s">
        <v>424</v>
      </c>
      <c r="I581" s="159" t="s">
        <v>1260</v>
      </c>
      <c r="J581" s="159" t="s">
        <v>1290</v>
      </c>
      <c r="K581" s="159" t="s">
        <v>1849</v>
      </c>
      <c r="L581" s="39" t="s">
        <v>556</v>
      </c>
      <c r="M581" s="39" t="s">
        <v>305</v>
      </c>
      <c r="N581" s="39">
        <v>11</v>
      </c>
      <c r="O581" s="167" t="s">
        <v>134</v>
      </c>
      <c r="P581" s="39" t="s">
        <v>134</v>
      </c>
      <c r="Q581" s="39" t="s">
        <v>1288</v>
      </c>
      <c r="R581" s="16" t="s">
        <v>1289</v>
      </c>
      <c r="S581" s="160">
        <v>-2417250</v>
      </c>
      <c r="T581" s="160">
        <v>-278700.88</v>
      </c>
      <c r="U581" s="160">
        <v>0</v>
      </c>
      <c r="V581" s="160">
        <v>-1184829.24</v>
      </c>
      <c r="W581" s="160">
        <v>-1232420.76</v>
      </c>
      <c r="X581" s="161" t="e">
        <v>#N/A</v>
      </c>
      <c r="Y581" s="160"/>
      <c r="Z581" s="16">
        <v>49.01</v>
      </c>
      <c r="AA581" s="162">
        <v>-1184829.24</v>
      </c>
      <c r="AB581" s="162">
        <v>-296207.31</v>
      </c>
      <c r="AC581" s="162">
        <v>-3554487.7199999997</v>
      </c>
      <c r="AD581" s="160"/>
      <c r="AE581" s="145">
        <v>-2417250</v>
      </c>
      <c r="AF581" s="163">
        <v>1.0469999999999999</v>
      </c>
      <c r="AG581" s="164">
        <v>1.046</v>
      </c>
      <c r="AH581" s="164">
        <v>1.046</v>
      </c>
      <c r="AI581" s="164">
        <v>-2417250</v>
      </c>
      <c r="AJ581" s="164">
        <f t="shared" si="68"/>
        <v>0</v>
      </c>
      <c r="AK581" s="165">
        <v>0</v>
      </c>
      <c r="AL581" s="165">
        <f t="shared" si="72"/>
        <v>0</v>
      </c>
      <c r="AM581" s="165">
        <f t="shared" si="70"/>
        <v>0</v>
      </c>
      <c r="AN581" s="165">
        <f t="shared" si="71"/>
        <v>0</v>
      </c>
      <c r="AO581" s="16"/>
      <c r="AP581" s="231">
        <f t="shared" si="69"/>
        <v>0</v>
      </c>
      <c r="AR581" s="231"/>
      <c r="AS581" s="231"/>
      <c r="AU581" s="230">
        <v>-2417250</v>
      </c>
      <c r="AV581" s="233">
        <v>-2417250</v>
      </c>
      <c r="AW581" s="230">
        <f t="shared" si="73"/>
        <v>0</v>
      </c>
    </row>
    <row r="582" spans="1:49" hidden="1" x14ac:dyDescent="0.3">
      <c r="A582" s="84" t="s">
        <v>1292</v>
      </c>
      <c r="B582" s="39" t="s">
        <v>1291</v>
      </c>
      <c r="C582" s="39" t="s">
        <v>134</v>
      </c>
      <c r="D582" s="340" t="s">
        <v>3472</v>
      </c>
      <c r="E582" s="159" t="s">
        <v>1085</v>
      </c>
      <c r="F582" s="159" t="s">
        <v>589</v>
      </c>
      <c r="G582" s="159" t="s">
        <v>387</v>
      </c>
      <c r="H582" s="159" t="s">
        <v>424</v>
      </c>
      <c r="I582" s="159" t="s">
        <v>1260</v>
      </c>
      <c r="J582" s="159" t="s">
        <v>1293</v>
      </c>
      <c r="K582" s="159" t="s">
        <v>1849</v>
      </c>
      <c r="L582" s="39" t="s">
        <v>556</v>
      </c>
      <c r="M582" s="39" t="s">
        <v>305</v>
      </c>
      <c r="N582" s="39">
        <v>11</v>
      </c>
      <c r="O582" s="167" t="s">
        <v>134</v>
      </c>
      <c r="P582" s="39" t="s">
        <v>134</v>
      </c>
      <c r="Q582" s="39" t="s">
        <v>1291</v>
      </c>
      <c r="R582" s="16" t="s">
        <v>1292</v>
      </c>
      <c r="S582" s="160">
        <v>-7997552</v>
      </c>
      <c r="T582" s="160">
        <v>0</v>
      </c>
      <c r="U582" s="160">
        <v>0</v>
      </c>
      <c r="V582" s="160">
        <v>-8324868.0499999998</v>
      </c>
      <c r="W582" s="160">
        <v>327316.05</v>
      </c>
      <c r="X582" s="161" t="e">
        <v>#N/A</v>
      </c>
      <c r="Y582" s="160"/>
      <c r="Z582" s="16">
        <v>104.09</v>
      </c>
      <c r="AA582" s="162">
        <v>-8324868.0499999998</v>
      </c>
      <c r="AB582" s="162">
        <v>-2081217.0125</v>
      </c>
      <c r="AC582" s="162">
        <v>-24974604.149999999</v>
      </c>
      <c r="AD582" s="160"/>
      <c r="AE582" s="145">
        <v>-7997552</v>
      </c>
      <c r="AF582" s="163">
        <v>1.0469999999999999</v>
      </c>
      <c r="AG582" s="164">
        <v>1.046</v>
      </c>
      <c r="AH582" s="164">
        <v>1.046</v>
      </c>
      <c r="AI582" s="164">
        <v>-7997552</v>
      </c>
      <c r="AJ582" s="164">
        <f t="shared" si="68"/>
        <v>0</v>
      </c>
      <c r="AK582" s="165">
        <v>0</v>
      </c>
      <c r="AL582" s="165">
        <f t="shared" si="72"/>
        <v>0</v>
      </c>
      <c r="AM582" s="165">
        <f t="shared" si="70"/>
        <v>0</v>
      </c>
      <c r="AN582" s="165">
        <f t="shared" si="71"/>
        <v>0</v>
      </c>
      <c r="AO582" s="16"/>
      <c r="AP582" s="231">
        <f t="shared" si="69"/>
        <v>0</v>
      </c>
      <c r="AR582" s="231"/>
      <c r="AS582" s="231"/>
      <c r="AU582" s="230">
        <v>-7997552</v>
      </c>
      <c r="AV582" s="233">
        <v>-7997552</v>
      </c>
      <c r="AW582" s="230">
        <f t="shared" si="73"/>
        <v>0</v>
      </c>
    </row>
    <row r="583" spans="1:49" hidden="1" x14ac:dyDescent="0.3">
      <c r="A583" s="84" t="s">
        <v>2049</v>
      </c>
      <c r="B583" s="39" t="s">
        <v>1294</v>
      </c>
      <c r="C583" s="39" t="s">
        <v>134</v>
      </c>
      <c r="D583" s="340" t="s">
        <v>3472</v>
      </c>
      <c r="E583" s="159" t="s">
        <v>1085</v>
      </c>
      <c r="F583" s="159" t="s">
        <v>589</v>
      </c>
      <c r="G583" s="159" t="s">
        <v>387</v>
      </c>
      <c r="H583" s="159" t="s">
        <v>424</v>
      </c>
      <c r="I583" s="159" t="s">
        <v>1260</v>
      </c>
      <c r="J583" s="159" t="s">
        <v>1295</v>
      </c>
      <c r="K583" s="159" t="s">
        <v>1849</v>
      </c>
      <c r="L583" s="39" t="s">
        <v>556</v>
      </c>
      <c r="M583" s="39" t="s">
        <v>305</v>
      </c>
      <c r="N583" s="39">
        <v>11</v>
      </c>
      <c r="O583" s="167" t="s">
        <v>134</v>
      </c>
      <c r="P583" s="39" t="s">
        <v>134</v>
      </c>
      <c r="Q583" s="39" t="s">
        <v>1294</v>
      </c>
      <c r="R583" s="16" t="s">
        <v>2049</v>
      </c>
      <c r="S583" s="160">
        <v>-14003071</v>
      </c>
      <c r="T583" s="160">
        <v>0</v>
      </c>
      <c r="U583" s="160">
        <v>0</v>
      </c>
      <c r="V583" s="160">
        <v>-14557512.35</v>
      </c>
      <c r="W583" s="160">
        <v>554441.35</v>
      </c>
      <c r="X583" s="161" t="e">
        <v>#N/A</v>
      </c>
      <c r="Y583" s="160"/>
      <c r="Z583" s="16">
        <v>103.95</v>
      </c>
      <c r="AA583" s="162">
        <v>-14557512.35</v>
      </c>
      <c r="AB583" s="162">
        <v>-3639378.0874999999</v>
      </c>
      <c r="AC583" s="162">
        <v>-43672537.049999997</v>
      </c>
      <c r="AD583" s="160"/>
      <c r="AE583" s="145">
        <v>-14003071</v>
      </c>
      <c r="AF583" s="163">
        <v>1.0469999999999999</v>
      </c>
      <c r="AG583" s="164">
        <v>1.046</v>
      </c>
      <c r="AH583" s="164">
        <v>1.046</v>
      </c>
      <c r="AI583" s="164">
        <v>-14003071</v>
      </c>
      <c r="AJ583" s="164">
        <f t="shared" ref="AJ583:AJ646" si="74">AE583-AI583</f>
        <v>0</v>
      </c>
      <c r="AK583" s="165">
        <v>0</v>
      </c>
      <c r="AL583" s="165">
        <f t="shared" si="72"/>
        <v>0</v>
      </c>
      <c r="AM583" s="165">
        <f t="shared" si="70"/>
        <v>0</v>
      </c>
      <c r="AN583" s="165">
        <f t="shared" si="71"/>
        <v>0</v>
      </c>
      <c r="AO583" s="16"/>
      <c r="AP583" s="231">
        <f t="shared" ref="AP583:AP646" si="75">AK583-AL583</f>
        <v>0</v>
      </c>
      <c r="AR583" s="231"/>
      <c r="AS583" s="231"/>
      <c r="AU583" s="230">
        <v>-14003071</v>
      </c>
      <c r="AV583" s="233">
        <v>-14003071</v>
      </c>
      <c r="AW583" s="230">
        <f t="shared" si="73"/>
        <v>0</v>
      </c>
    </row>
    <row r="584" spans="1:49" hidden="1" x14ac:dyDescent="0.3">
      <c r="A584" s="84" t="s">
        <v>1297</v>
      </c>
      <c r="B584" s="39" t="s">
        <v>1296</v>
      </c>
      <c r="C584" s="39" t="s">
        <v>134</v>
      </c>
      <c r="D584" s="340" t="s">
        <v>3472</v>
      </c>
      <c r="E584" s="159" t="s">
        <v>1085</v>
      </c>
      <c r="F584" s="159" t="s">
        <v>589</v>
      </c>
      <c r="G584" s="159" t="s">
        <v>387</v>
      </c>
      <c r="H584" s="159" t="s">
        <v>424</v>
      </c>
      <c r="I584" s="159" t="s">
        <v>1260</v>
      </c>
      <c r="J584" s="159" t="s">
        <v>1298</v>
      </c>
      <c r="K584" s="159" t="s">
        <v>1849</v>
      </c>
      <c r="L584" s="39" t="s">
        <v>556</v>
      </c>
      <c r="M584" s="39" t="s">
        <v>305</v>
      </c>
      <c r="N584" s="39">
        <v>11</v>
      </c>
      <c r="O584" s="167" t="s">
        <v>134</v>
      </c>
      <c r="P584" s="39" t="s">
        <v>134</v>
      </c>
      <c r="Q584" s="39" t="s">
        <v>1296</v>
      </c>
      <c r="R584" s="16" t="s">
        <v>1297</v>
      </c>
      <c r="S584" s="160">
        <v>-10245303</v>
      </c>
      <c r="T584" s="160">
        <v>0</v>
      </c>
      <c r="U584" s="160">
        <v>0</v>
      </c>
      <c r="V584" s="160">
        <v>-11006786.869999999</v>
      </c>
      <c r="W584" s="160">
        <v>761483.87</v>
      </c>
      <c r="X584" s="161" t="e">
        <v>#N/A</v>
      </c>
      <c r="Y584" s="160"/>
      <c r="Z584" s="16">
        <v>107.43</v>
      </c>
      <c r="AA584" s="162">
        <v>-11006786.869999999</v>
      </c>
      <c r="AB584" s="162">
        <v>-2751696.7174999998</v>
      </c>
      <c r="AC584" s="162">
        <v>-33020360.609999999</v>
      </c>
      <c r="AD584" s="160"/>
      <c r="AE584" s="145">
        <v>-10245303</v>
      </c>
      <c r="AF584" s="163">
        <v>1.0469999999999999</v>
      </c>
      <c r="AG584" s="164">
        <v>1.046</v>
      </c>
      <c r="AH584" s="164">
        <v>1.046</v>
      </c>
      <c r="AI584" s="164">
        <v>-10245303</v>
      </c>
      <c r="AJ584" s="164">
        <f t="shared" si="74"/>
        <v>0</v>
      </c>
      <c r="AK584" s="165">
        <v>0</v>
      </c>
      <c r="AL584" s="165">
        <f t="shared" si="72"/>
        <v>0</v>
      </c>
      <c r="AM584" s="165">
        <f t="shared" si="70"/>
        <v>0</v>
      </c>
      <c r="AN584" s="165">
        <f t="shared" si="71"/>
        <v>0</v>
      </c>
      <c r="AO584" s="16"/>
      <c r="AP584" s="231">
        <f t="shared" si="75"/>
        <v>0</v>
      </c>
      <c r="AR584" s="231"/>
      <c r="AS584" s="231"/>
      <c r="AU584" s="230">
        <v>-10245303</v>
      </c>
      <c r="AV584" s="233">
        <v>-10245303</v>
      </c>
      <c r="AW584" s="230">
        <f t="shared" si="73"/>
        <v>0</v>
      </c>
    </row>
    <row r="585" spans="1:49" hidden="1" x14ac:dyDescent="0.3">
      <c r="A585" s="84" t="s">
        <v>1300</v>
      </c>
      <c r="B585" s="39" t="s">
        <v>1299</v>
      </c>
      <c r="C585" s="39" t="s">
        <v>134</v>
      </c>
      <c r="D585" s="340" t="s">
        <v>3472</v>
      </c>
      <c r="E585" s="159" t="s">
        <v>1085</v>
      </c>
      <c r="F585" s="159" t="s">
        <v>589</v>
      </c>
      <c r="G585" s="159" t="s">
        <v>387</v>
      </c>
      <c r="H585" s="159" t="s">
        <v>424</v>
      </c>
      <c r="I585" s="159" t="s">
        <v>1260</v>
      </c>
      <c r="J585" s="159" t="s">
        <v>1301</v>
      </c>
      <c r="K585" s="159" t="s">
        <v>1849</v>
      </c>
      <c r="L585" s="39" t="s">
        <v>556</v>
      </c>
      <c r="M585" s="39" t="s">
        <v>305</v>
      </c>
      <c r="N585" s="39">
        <v>11</v>
      </c>
      <c r="O585" s="167" t="s">
        <v>134</v>
      </c>
      <c r="P585" s="39" t="s">
        <v>134</v>
      </c>
      <c r="Q585" s="39" t="s">
        <v>1299</v>
      </c>
      <c r="R585" s="16" t="s">
        <v>1300</v>
      </c>
      <c r="S585" s="160">
        <v>-11221629</v>
      </c>
      <c r="T585" s="160">
        <v>-2003667.5</v>
      </c>
      <c r="U585" s="160">
        <v>0</v>
      </c>
      <c r="V585" s="160">
        <v>-2003667.5</v>
      </c>
      <c r="W585" s="160">
        <v>-9217961.5</v>
      </c>
      <c r="X585" s="161" t="e">
        <v>#N/A</v>
      </c>
      <c r="Y585" s="160"/>
      <c r="Z585" s="16">
        <v>17.850000000000001</v>
      </c>
      <c r="AA585" s="162">
        <v>-2003667.5</v>
      </c>
      <c r="AB585" s="162">
        <v>-500916.875</v>
      </c>
      <c r="AC585" s="162">
        <v>-6011002.5</v>
      </c>
      <c r="AD585" s="160"/>
      <c r="AE585" s="145">
        <v>-11221629</v>
      </c>
      <c r="AF585" s="163">
        <v>1.0469999999999999</v>
      </c>
      <c r="AG585" s="164">
        <v>1.046</v>
      </c>
      <c r="AH585" s="164">
        <v>1.046</v>
      </c>
      <c r="AI585" s="164">
        <v>-11221629</v>
      </c>
      <c r="AJ585" s="164">
        <f t="shared" si="74"/>
        <v>0</v>
      </c>
      <c r="AK585" s="165">
        <v>0</v>
      </c>
      <c r="AL585" s="165">
        <f t="shared" si="72"/>
        <v>0</v>
      </c>
      <c r="AM585" s="165">
        <f t="shared" si="70"/>
        <v>0</v>
      </c>
      <c r="AN585" s="165">
        <f t="shared" si="71"/>
        <v>0</v>
      </c>
      <c r="AO585" s="16"/>
      <c r="AP585" s="231">
        <f t="shared" si="75"/>
        <v>0</v>
      </c>
      <c r="AR585" s="231"/>
      <c r="AS585" s="231"/>
      <c r="AU585" s="230">
        <v>-11221629</v>
      </c>
      <c r="AV585" s="233">
        <v>-11221629</v>
      </c>
      <c r="AW585" s="230">
        <f t="shared" si="73"/>
        <v>0</v>
      </c>
    </row>
    <row r="586" spans="1:49" hidden="1" x14ac:dyDescent="0.3">
      <c r="A586" s="84" t="s">
        <v>2050</v>
      </c>
      <c r="B586" s="39" t="s">
        <v>1302</v>
      </c>
      <c r="C586" s="39" t="s">
        <v>134</v>
      </c>
      <c r="D586" s="340" t="s">
        <v>3472</v>
      </c>
      <c r="E586" s="159" t="s">
        <v>1085</v>
      </c>
      <c r="F586" s="159" t="s">
        <v>589</v>
      </c>
      <c r="G586" s="159" t="s">
        <v>387</v>
      </c>
      <c r="H586" s="159" t="s">
        <v>424</v>
      </c>
      <c r="I586" s="159" t="s">
        <v>1260</v>
      </c>
      <c r="J586" s="159" t="s">
        <v>538</v>
      </c>
      <c r="K586" s="159" t="s">
        <v>1849</v>
      </c>
      <c r="L586" s="39" t="s">
        <v>556</v>
      </c>
      <c r="M586" s="39" t="s">
        <v>305</v>
      </c>
      <c r="N586" s="39">
        <v>11</v>
      </c>
      <c r="O586" s="167" t="s">
        <v>134</v>
      </c>
      <c r="P586" s="39" t="s">
        <v>134</v>
      </c>
      <c r="Q586" s="39" t="s">
        <v>1302</v>
      </c>
      <c r="R586" s="16" t="s">
        <v>2050</v>
      </c>
      <c r="S586" s="160">
        <v>-19842744</v>
      </c>
      <c r="T586" s="160">
        <v>-3452589.24</v>
      </c>
      <c r="U586" s="160">
        <v>0</v>
      </c>
      <c r="V586" s="160">
        <v>-3452589.24</v>
      </c>
      <c r="W586" s="160">
        <v>-16390154.76</v>
      </c>
      <c r="X586" s="161" t="e">
        <v>#N/A</v>
      </c>
      <c r="Y586" s="160"/>
      <c r="Z586" s="16">
        <v>17.39</v>
      </c>
      <c r="AA586" s="162">
        <v>-3452589.24</v>
      </c>
      <c r="AB586" s="162">
        <v>-863147.31</v>
      </c>
      <c r="AC586" s="162">
        <v>-10357767.720000001</v>
      </c>
      <c r="AD586" s="160"/>
      <c r="AE586" s="145">
        <v>-19842744</v>
      </c>
      <c r="AF586" s="163">
        <v>1.0469999999999999</v>
      </c>
      <c r="AG586" s="164">
        <v>1.046</v>
      </c>
      <c r="AH586" s="164">
        <v>1.046</v>
      </c>
      <c r="AI586" s="164">
        <v>-19842744</v>
      </c>
      <c r="AJ586" s="164">
        <f t="shared" si="74"/>
        <v>0</v>
      </c>
      <c r="AK586" s="165">
        <v>0</v>
      </c>
      <c r="AL586" s="165">
        <f t="shared" si="72"/>
        <v>0</v>
      </c>
      <c r="AM586" s="165">
        <f t="shared" si="70"/>
        <v>0</v>
      </c>
      <c r="AN586" s="165">
        <f t="shared" si="71"/>
        <v>0</v>
      </c>
      <c r="AO586" s="16"/>
      <c r="AP586" s="231">
        <f t="shared" si="75"/>
        <v>0</v>
      </c>
      <c r="AR586" s="231"/>
      <c r="AS586" s="231"/>
      <c r="AU586" s="230">
        <v>-19842744</v>
      </c>
      <c r="AV586" s="233">
        <v>-19842744</v>
      </c>
      <c r="AW586" s="230">
        <f t="shared" si="73"/>
        <v>0</v>
      </c>
    </row>
    <row r="587" spans="1:49" hidden="1" x14ac:dyDescent="0.3">
      <c r="A587" s="84" t="s">
        <v>2051</v>
      </c>
      <c r="B587" s="39" t="s">
        <v>1303</v>
      </c>
      <c r="C587" s="39" t="s">
        <v>134</v>
      </c>
      <c r="D587" s="340" t="s">
        <v>3472</v>
      </c>
      <c r="E587" s="159" t="s">
        <v>1085</v>
      </c>
      <c r="F587" s="159" t="s">
        <v>589</v>
      </c>
      <c r="G587" s="159" t="s">
        <v>387</v>
      </c>
      <c r="H587" s="159" t="s">
        <v>424</v>
      </c>
      <c r="I587" s="159" t="s">
        <v>1260</v>
      </c>
      <c r="J587" s="159" t="s">
        <v>1304</v>
      </c>
      <c r="K587" s="159" t="s">
        <v>1849</v>
      </c>
      <c r="L587" s="39" t="s">
        <v>556</v>
      </c>
      <c r="M587" s="39" t="s">
        <v>305</v>
      </c>
      <c r="N587" s="39">
        <v>11</v>
      </c>
      <c r="O587" s="167" t="s">
        <v>134</v>
      </c>
      <c r="P587" s="39" t="s">
        <v>134</v>
      </c>
      <c r="Q587" s="39" t="s">
        <v>1303</v>
      </c>
      <c r="R587" s="16" t="s">
        <v>2051</v>
      </c>
      <c r="S587" s="160">
        <v>-16089773</v>
      </c>
      <c r="T587" s="160">
        <v>-2409042.3199999998</v>
      </c>
      <c r="U587" s="160">
        <v>0</v>
      </c>
      <c r="V587" s="160">
        <v>-2409042.3199999998</v>
      </c>
      <c r="W587" s="160">
        <v>-13680730.68</v>
      </c>
      <c r="X587" s="161" t="e">
        <v>#N/A</v>
      </c>
      <c r="Y587" s="160"/>
      <c r="Z587" s="16">
        <v>14.97</v>
      </c>
      <c r="AA587" s="162">
        <v>-2409042.3199999998</v>
      </c>
      <c r="AB587" s="162">
        <v>-602260.57999999996</v>
      </c>
      <c r="AC587" s="162">
        <v>-7227126.959999999</v>
      </c>
      <c r="AD587" s="160"/>
      <c r="AE587" s="145">
        <v>-16089773</v>
      </c>
      <c r="AF587" s="163">
        <v>1.0469999999999999</v>
      </c>
      <c r="AG587" s="164">
        <v>1.046</v>
      </c>
      <c r="AH587" s="164">
        <v>1.046</v>
      </c>
      <c r="AI587" s="164">
        <v>-16089773</v>
      </c>
      <c r="AJ587" s="164">
        <f t="shared" si="74"/>
        <v>0</v>
      </c>
      <c r="AK587" s="165">
        <v>0</v>
      </c>
      <c r="AL587" s="165">
        <f t="shared" si="72"/>
        <v>0</v>
      </c>
      <c r="AM587" s="165">
        <f t="shared" si="70"/>
        <v>0</v>
      </c>
      <c r="AN587" s="165">
        <f t="shared" si="71"/>
        <v>0</v>
      </c>
      <c r="AO587" s="16"/>
      <c r="AP587" s="231">
        <f t="shared" si="75"/>
        <v>0</v>
      </c>
      <c r="AR587" s="231"/>
      <c r="AS587" s="231"/>
      <c r="AU587" s="230">
        <v>-16089773</v>
      </c>
      <c r="AV587" s="233">
        <v>-16089773</v>
      </c>
      <c r="AW587" s="230">
        <f t="shared" si="73"/>
        <v>0</v>
      </c>
    </row>
    <row r="588" spans="1:49" hidden="1" x14ac:dyDescent="0.3">
      <c r="A588" s="84" t="s">
        <v>2052</v>
      </c>
      <c r="B588" s="39" t="s">
        <v>1305</v>
      </c>
      <c r="C588" s="39" t="s">
        <v>134</v>
      </c>
      <c r="D588" s="340" t="s">
        <v>3472</v>
      </c>
      <c r="E588" s="159" t="s">
        <v>1085</v>
      </c>
      <c r="F588" s="159" t="s">
        <v>589</v>
      </c>
      <c r="G588" s="159" t="s">
        <v>387</v>
      </c>
      <c r="H588" s="159" t="s">
        <v>424</v>
      </c>
      <c r="I588" s="159" t="s">
        <v>1260</v>
      </c>
      <c r="J588" s="159" t="s">
        <v>1306</v>
      </c>
      <c r="K588" s="159" t="s">
        <v>1849</v>
      </c>
      <c r="L588" s="39" t="s">
        <v>556</v>
      </c>
      <c r="M588" s="39" t="s">
        <v>305</v>
      </c>
      <c r="N588" s="39">
        <v>11</v>
      </c>
      <c r="O588" s="167" t="s">
        <v>134</v>
      </c>
      <c r="P588" s="39" t="s">
        <v>134</v>
      </c>
      <c r="Q588" s="39" t="s">
        <v>1305</v>
      </c>
      <c r="R588" s="16" t="s">
        <v>2052</v>
      </c>
      <c r="S588" s="160">
        <v>-8409863</v>
      </c>
      <c r="T588" s="160">
        <v>-376586.56</v>
      </c>
      <c r="U588" s="160">
        <v>0</v>
      </c>
      <c r="V588" s="160">
        <v>-1525559.84</v>
      </c>
      <c r="W588" s="160">
        <v>-6884303.1600000001</v>
      </c>
      <c r="X588" s="161" t="e">
        <v>#N/A</v>
      </c>
      <c r="Y588" s="160"/>
      <c r="Z588" s="16">
        <v>18.14</v>
      </c>
      <c r="AA588" s="162">
        <v>-1525559.84</v>
      </c>
      <c r="AB588" s="162">
        <v>-381389.96</v>
      </c>
      <c r="AC588" s="162">
        <v>-4576679.5200000005</v>
      </c>
      <c r="AD588" s="160"/>
      <c r="AE588" s="145">
        <v>-8409863</v>
      </c>
      <c r="AF588" s="163">
        <v>1.0469999999999999</v>
      </c>
      <c r="AG588" s="164">
        <v>1.046</v>
      </c>
      <c r="AH588" s="164">
        <v>1.046</v>
      </c>
      <c r="AI588" s="164">
        <v>-8409863</v>
      </c>
      <c r="AJ588" s="164">
        <f t="shared" si="74"/>
        <v>0</v>
      </c>
      <c r="AK588" s="165">
        <v>0</v>
      </c>
      <c r="AL588" s="165">
        <f t="shared" si="72"/>
        <v>0</v>
      </c>
      <c r="AM588" s="165">
        <f t="shared" si="70"/>
        <v>0</v>
      </c>
      <c r="AN588" s="165">
        <f t="shared" si="71"/>
        <v>0</v>
      </c>
      <c r="AO588" s="16"/>
      <c r="AP588" s="231">
        <f t="shared" si="75"/>
        <v>0</v>
      </c>
      <c r="AR588" s="231"/>
      <c r="AS588" s="231"/>
      <c r="AU588" s="230">
        <v>-8409863</v>
      </c>
      <c r="AV588" s="233">
        <v>-8409863</v>
      </c>
      <c r="AW588" s="230">
        <f t="shared" si="73"/>
        <v>0</v>
      </c>
    </row>
    <row r="589" spans="1:49" hidden="1" x14ac:dyDescent="0.3">
      <c r="A589" s="84" t="s">
        <v>1308</v>
      </c>
      <c r="B589" s="39" t="s">
        <v>1307</v>
      </c>
      <c r="C589" s="39" t="s">
        <v>134</v>
      </c>
      <c r="D589" s="340" t="s">
        <v>3472</v>
      </c>
      <c r="E589" s="159" t="s">
        <v>1085</v>
      </c>
      <c r="F589" s="159" t="s">
        <v>589</v>
      </c>
      <c r="G589" s="159" t="s">
        <v>387</v>
      </c>
      <c r="H589" s="159" t="s">
        <v>424</v>
      </c>
      <c r="I589" s="159" t="s">
        <v>1260</v>
      </c>
      <c r="J589" s="159" t="s">
        <v>1309</v>
      </c>
      <c r="K589" s="159" t="s">
        <v>1849</v>
      </c>
      <c r="L589" s="39" t="s">
        <v>556</v>
      </c>
      <c r="M589" s="39" t="s">
        <v>305</v>
      </c>
      <c r="N589" s="39">
        <v>11</v>
      </c>
      <c r="O589" s="167" t="s">
        <v>134</v>
      </c>
      <c r="P589" s="39" t="s">
        <v>134</v>
      </c>
      <c r="Q589" s="39" t="s">
        <v>1307</v>
      </c>
      <c r="R589" s="16" t="s">
        <v>1308</v>
      </c>
      <c r="S589" s="160">
        <v>-2497164</v>
      </c>
      <c r="T589" s="160">
        <v>-632613.52</v>
      </c>
      <c r="U589" s="160">
        <v>0</v>
      </c>
      <c r="V589" s="160">
        <v>-2542873.9</v>
      </c>
      <c r="W589" s="160">
        <v>45709.9</v>
      </c>
      <c r="X589" s="161" t="e">
        <v>#N/A</v>
      </c>
      <c r="Y589" s="160"/>
      <c r="Z589" s="16">
        <v>101.83</v>
      </c>
      <c r="AA589" s="162">
        <v>-2542873.9</v>
      </c>
      <c r="AB589" s="162">
        <v>-635718.47499999998</v>
      </c>
      <c r="AC589" s="162">
        <v>-7628621.6999999993</v>
      </c>
      <c r="AD589" s="160"/>
      <c r="AE589" s="145">
        <v>-2497164</v>
      </c>
      <c r="AF589" s="163">
        <v>1.0469999999999999</v>
      </c>
      <c r="AG589" s="164">
        <v>1.046</v>
      </c>
      <c r="AH589" s="164">
        <v>1.046</v>
      </c>
      <c r="AI589" s="164">
        <v>-2497164</v>
      </c>
      <c r="AJ589" s="164">
        <f t="shared" si="74"/>
        <v>0</v>
      </c>
      <c r="AK589" s="165">
        <v>0</v>
      </c>
      <c r="AL589" s="165">
        <f t="shared" si="72"/>
        <v>0</v>
      </c>
      <c r="AM589" s="165">
        <f t="shared" si="70"/>
        <v>0</v>
      </c>
      <c r="AN589" s="165">
        <f t="shared" si="71"/>
        <v>0</v>
      </c>
      <c r="AO589" s="16"/>
      <c r="AP589" s="231">
        <f t="shared" si="75"/>
        <v>0</v>
      </c>
      <c r="AR589" s="231"/>
      <c r="AS589" s="231"/>
      <c r="AU589" s="230">
        <v>-2497164</v>
      </c>
      <c r="AV589" s="233">
        <v>-2497164</v>
      </c>
      <c r="AW589" s="230">
        <f t="shared" si="73"/>
        <v>0</v>
      </c>
    </row>
    <row r="590" spans="1:49" hidden="1" x14ac:dyDescent="0.3">
      <c r="A590" s="84" t="s">
        <v>1311</v>
      </c>
      <c r="B590" s="39" t="s">
        <v>1310</v>
      </c>
      <c r="C590" s="39" t="s">
        <v>173</v>
      </c>
      <c r="D590" s="340" t="s">
        <v>3472</v>
      </c>
      <c r="E590" s="159" t="s">
        <v>1085</v>
      </c>
      <c r="F590" s="159" t="s">
        <v>589</v>
      </c>
      <c r="G590" s="159" t="s">
        <v>387</v>
      </c>
      <c r="H590" s="159" t="s">
        <v>424</v>
      </c>
      <c r="I590" s="159" t="s">
        <v>1312</v>
      </c>
      <c r="J590" s="159" t="s">
        <v>312</v>
      </c>
      <c r="K590" s="159" t="s">
        <v>1849</v>
      </c>
      <c r="L590" s="39" t="s">
        <v>556</v>
      </c>
      <c r="M590" s="39" t="s">
        <v>305</v>
      </c>
      <c r="N590" s="39">
        <v>11</v>
      </c>
      <c r="O590" s="167" t="s">
        <v>173</v>
      </c>
      <c r="P590" s="39" t="s">
        <v>173</v>
      </c>
      <c r="Q590" s="39" t="s">
        <v>1310</v>
      </c>
      <c r="R590" s="16" t="s">
        <v>1311</v>
      </c>
      <c r="S590" s="160">
        <v>0</v>
      </c>
      <c r="T590" s="160">
        <v>0</v>
      </c>
      <c r="U590" s="160">
        <v>0</v>
      </c>
      <c r="V590" s="160">
        <v>0</v>
      </c>
      <c r="W590" s="160">
        <v>0</v>
      </c>
      <c r="X590" s="161" t="e">
        <v>#N/A</v>
      </c>
      <c r="Y590" s="160"/>
      <c r="Z590" s="16">
        <v>0</v>
      </c>
      <c r="AA590" s="162">
        <v>0</v>
      </c>
      <c r="AB590" s="162">
        <v>0</v>
      </c>
      <c r="AC590" s="162">
        <v>0</v>
      </c>
      <c r="AD590" s="160"/>
      <c r="AE590" s="145">
        <v>0</v>
      </c>
      <c r="AF590" s="163">
        <v>1.0469999999999999</v>
      </c>
      <c r="AG590" s="164">
        <v>1.046</v>
      </c>
      <c r="AH590" s="164">
        <v>1.046</v>
      </c>
      <c r="AI590" s="164">
        <v>0</v>
      </c>
      <c r="AJ590" s="164">
        <f t="shared" si="74"/>
        <v>0</v>
      </c>
      <c r="AK590" s="165">
        <v>0</v>
      </c>
      <c r="AL590" s="165">
        <f t="shared" si="72"/>
        <v>0</v>
      </c>
      <c r="AM590" s="165">
        <f t="shared" si="70"/>
        <v>0</v>
      </c>
      <c r="AN590" s="165">
        <f t="shared" si="71"/>
        <v>0</v>
      </c>
      <c r="AO590" s="16"/>
      <c r="AP590" s="231">
        <f t="shared" si="75"/>
        <v>0</v>
      </c>
      <c r="AR590" s="231"/>
      <c r="AS590" s="231"/>
      <c r="AU590" s="230">
        <v>0</v>
      </c>
      <c r="AV590" s="233">
        <v>0</v>
      </c>
      <c r="AW590" s="230">
        <f t="shared" si="73"/>
        <v>0</v>
      </c>
    </row>
    <row r="591" spans="1:49" hidden="1" x14ac:dyDescent="0.3">
      <c r="A591" s="84" t="s">
        <v>2053</v>
      </c>
      <c r="B591" s="39" t="s">
        <v>1313</v>
      </c>
      <c r="C591" s="39" t="s">
        <v>173</v>
      </c>
      <c r="D591" s="340" t="s">
        <v>3472</v>
      </c>
      <c r="E591" s="159" t="s">
        <v>1085</v>
      </c>
      <c r="F591" s="159" t="s">
        <v>589</v>
      </c>
      <c r="G591" s="159" t="s">
        <v>387</v>
      </c>
      <c r="H591" s="159" t="s">
        <v>424</v>
      </c>
      <c r="I591" s="159" t="s">
        <v>1312</v>
      </c>
      <c r="J591" s="159" t="s">
        <v>309</v>
      </c>
      <c r="K591" s="159" t="s">
        <v>1849</v>
      </c>
      <c r="L591" s="39" t="s">
        <v>556</v>
      </c>
      <c r="M591" s="39" t="s">
        <v>305</v>
      </c>
      <c r="N591" s="39">
        <v>11</v>
      </c>
      <c r="O591" s="167" t="s">
        <v>173</v>
      </c>
      <c r="P591" s="39" t="s">
        <v>1314</v>
      </c>
      <c r="Q591" s="39" t="s">
        <v>1313</v>
      </c>
      <c r="R591" s="16" t="s">
        <v>2053</v>
      </c>
      <c r="S591" s="160">
        <v>-25232607</v>
      </c>
      <c r="T591" s="160">
        <v>0</v>
      </c>
      <c r="U591" s="160">
        <v>0</v>
      </c>
      <c r="V591" s="160">
        <v>0</v>
      </c>
      <c r="W591" s="160">
        <v>-25232607</v>
      </c>
      <c r="X591" s="161" t="e">
        <v>#N/A</v>
      </c>
      <c r="Y591" s="160"/>
      <c r="Z591" s="16">
        <v>0</v>
      </c>
      <c r="AA591" s="162">
        <v>0</v>
      </c>
      <c r="AB591" s="162">
        <v>0</v>
      </c>
      <c r="AC591" s="162">
        <v>0</v>
      </c>
      <c r="AD591" s="160"/>
      <c r="AE591" s="145">
        <v>-25232607</v>
      </c>
      <c r="AF591" s="163">
        <v>1.0469999999999999</v>
      </c>
      <c r="AG591" s="164">
        <v>1.046</v>
      </c>
      <c r="AH591" s="164">
        <v>1.046</v>
      </c>
      <c r="AI591" s="164">
        <v>-25232607</v>
      </c>
      <c r="AJ591" s="164">
        <f t="shared" si="74"/>
        <v>0</v>
      </c>
      <c r="AK591" s="165">
        <v>0</v>
      </c>
      <c r="AL591" s="165">
        <f t="shared" si="72"/>
        <v>0</v>
      </c>
      <c r="AM591" s="165">
        <f t="shared" si="70"/>
        <v>0</v>
      </c>
      <c r="AN591" s="165">
        <f t="shared" si="71"/>
        <v>0</v>
      </c>
      <c r="AO591" s="16"/>
      <c r="AP591" s="231">
        <f t="shared" si="75"/>
        <v>0</v>
      </c>
      <c r="AR591" s="231"/>
      <c r="AS591" s="231"/>
      <c r="AU591" s="230">
        <v>-25232607</v>
      </c>
      <c r="AV591" s="233">
        <v>-25232607</v>
      </c>
      <c r="AW591" s="230">
        <f t="shared" si="73"/>
        <v>0</v>
      </c>
    </row>
    <row r="592" spans="1:49" hidden="1" x14ac:dyDescent="0.3">
      <c r="A592" s="84" t="s">
        <v>2054</v>
      </c>
      <c r="B592" s="39" t="s">
        <v>1315</v>
      </c>
      <c r="C592" s="39" t="s">
        <v>173</v>
      </c>
      <c r="D592" s="340" t="s">
        <v>3472</v>
      </c>
      <c r="E592" s="159" t="s">
        <v>1085</v>
      </c>
      <c r="F592" s="159" t="s">
        <v>589</v>
      </c>
      <c r="G592" s="159" t="s">
        <v>387</v>
      </c>
      <c r="H592" s="159" t="s">
        <v>424</v>
      </c>
      <c r="I592" s="159" t="s">
        <v>1312</v>
      </c>
      <c r="J592" s="159" t="s">
        <v>582</v>
      </c>
      <c r="K592" s="159" t="s">
        <v>1849</v>
      </c>
      <c r="L592" s="39" t="s">
        <v>556</v>
      </c>
      <c r="M592" s="39" t="s">
        <v>305</v>
      </c>
      <c r="N592" s="39">
        <v>11</v>
      </c>
      <c r="O592" s="167" t="s">
        <v>173</v>
      </c>
      <c r="P592" s="39" t="s">
        <v>173</v>
      </c>
      <c r="Q592" s="39" t="s">
        <v>1315</v>
      </c>
      <c r="R592" s="16" t="s">
        <v>2054</v>
      </c>
      <c r="S592" s="160">
        <v>-7909837</v>
      </c>
      <c r="T592" s="160">
        <v>0</v>
      </c>
      <c r="U592" s="160">
        <v>0</v>
      </c>
      <c r="V592" s="160">
        <v>-5713605.8700000001</v>
      </c>
      <c r="W592" s="160">
        <v>-2196231.13</v>
      </c>
      <c r="X592" s="161" t="e">
        <v>#N/A</v>
      </c>
      <c r="Y592" s="160"/>
      <c r="Z592" s="16">
        <v>72.23</v>
      </c>
      <c r="AA592" s="162">
        <v>-5713605.8700000001</v>
      </c>
      <c r="AB592" s="162">
        <v>-1428401.4675</v>
      </c>
      <c r="AC592" s="162">
        <v>-17140817.609999999</v>
      </c>
      <c r="AD592" s="160"/>
      <c r="AE592" s="145">
        <v>-7909837</v>
      </c>
      <c r="AF592" s="163">
        <v>1.0469999999999999</v>
      </c>
      <c r="AG592" s="164">
        <v>1.046</v>
      </c>
      <c r="AH592" s="164">
        <v>1.046</v>
      </c>
      <c r="AI592" s="164">
        <v>-7909837</v>
      </c>
      <c r="AJ592" s="164">
        <f t="shared" si="74"/>
        <v>0</v>
      </c>
      <c r="AK592" s="165">
        <v>0</v>
      </c>
      <c r="AL592" s="165">
        <f t="shared" si="72"/>
        <v>0</v>
      </c>
      <c r="AM592" s="165">
        <f t="shared" si="70"/>
        <v>0</v>
      </c>
      <c r="AN592" s="165">
        <f t="shared" si="71"/>
        <v>0</v>
      </c>
      <c r="AO592" s="16"/>
      <c r="AP592" s="231">
        <f t="shared" si="75"/>
        <v>0</v>
      </c>
      <c r="AR592" s="231"/>
      <c r="AS592" s="231"/>
      <c r="AU592" s="230">
        <v>-7909837</v>
      </c>
      <c r="AV592" s="233">
        <v>-7909837</v>
      </c>
      <c r="AW592" s="230">
        <f t="shared" si="73"/>
        <v>0</v>
      </c>
    </row>
    <row r="593" spans="1:49" hidden="1" x14ac:dyDescent="0.3">
      <c r="A593" s="84" t="s">
        <v>2055</v>
      </c>
      <c r="B593" s="39" t="s">
        <v>1316</v>
      </c>
      <c r="C593" s="39" t="s">
        <v>173</v>
      </c>
      <c r="D593" s="340" t="s">
        <v>3472</v>
      </c>
      <c r="E593" s="159" t="s">
        <v>1085</v>
      </c>
      <c r="F593" s="159" t="s">
        <v>589</v>
      </c>
      <c r="G593" s="159" t="s">
        <v>387</v>
      </c>
      <c r="H593" s="159" t="s">
        <v>424</v>
      </c>
      <c r="I593" s="159" t="s">
        <v>1312</v>
      </c>
      <c r="J593" s="159" t="s">
        <v>711</v>
      </c>
      <c r="K593" s="159" t="s">
        <v>1849</v>
      </c>
      <c r="L593" s="39" t="s">
        <v>556</v>
      </c>
      <c r="M593" s="39" t="s">
        <v>305</v>
      </c>
      <c r="N593" s="39">
        <v>11</v>
      </c>
      <c r="O593" s="167" t="s">
        <v>173</v>
      </c>
      <c r="P593" s="39" t="s">
        <v>173</v>
      </c>
      <c r="Q593" s="39" t="s">
        <v>1316</v>
      </c>
      <c r="R593" s="16" t="s">
        <v>2055</v>
      </c>
      <c r="S593" s="160">
        <v>-18571140</v>
      </c>
      <c r="T593" s="160">
        <v>-2233371.88</v>
      </c>
      <c r="U593" s="160">
        <v>0</v>
      </c>
      <c r="V593" s="160">
        <v>-4471849.3099999996</v>
      </c>
      <c r="W593" s="160">
        <v>-14099290.689999999</v>
      </c>
      <c r="X593" s="161" t="e">
        <v>#N/A</v>
      </c>
      <c r="Y593" s="160"/>
      <c r="Z593" s="16">
        <v>24.07</v>
      </c>
      <c r="AA593" s="162">
        <v>-4471849.3099999996</v>
      </c>
      <c r="AB593" s="162">
        <v>-1117962.3274999999</v>
      </c>
      <c r="AC593" s="162">
        <v>-13415547.93</v>
      </c>
      <c r="AD593" s="160"/>
      <c r="AE593" s="145">
        <v>-18571140</v>
      </c>
      <c r="AF593" s="163">
        <v>1.0469999999999999</v>
      </c>
      <c r="AG593" s="164">
        <v>1.046</v>
      </c>
      <c r="AH593" s="164">
        <v>1.046</v>
      </c>
      <c r="AI593" s="164">
        <v>-18571140</v>
      </c>
      <c r="AJ593" s="164">
        <f t="shared" si="74"/>
        <v>0</v>
      </c>
      <c r="AK593" s="165">
        <v>0</v>
      </c>
      <c r="AL593" s="165">
        <f t="shared" si="72"/>
        <v>0</v>
      </c>
      <c r="AM593" s="165">
        <f t="shared" si="70"/>
        <v>0</v>
      </c>
      <c r="AN593" s="165">
        <f t="shared" si="71"/>
        <v>0</v>
      </c>
      <c r="AO593" s="16"/>
      <c r="AP593" s="231">
        <f t="shared" si="75"/>
        <v>0</v>
      </c>
      <c r="AR593" s="231"/>
      <c r="AS593" s="231"/>
      <c r="AU593" s="230">
        <v>-18571140</v>
      </c>
      <c r="AV593" s="233">
        <v>-18571140</v>
      </c>
      <c r="AW593" s="230">
        <f t="shared" si="73"/>
        <v>0</v>
      </c>
    </row>
    <row r="594" spans="1:49" hidden="1" x14ac:dyDescent="0.3">
      <c r="A594" s="84" t="s">
        <v>2056</v>
      </c>
      <c r="B594" s="39" t="s">
        <v>1317</v>
      </c>
      <c r="C594" s="39" t="s">
        <v>137</v>
      </c>
      <c r="D594" s="340" t="s">
        <v>3472</v>
      </c>
      <c r="E594" s="159" t="s">
        <v>1085</v>
      </c>
      <c r="F594" s="159" t="s">
        <v>589</v>
      </c>
      <c r="G594" s="159" t="s">
        <v>387</v>
      </c>
      <c r="H594" s="159" t="s">
        <v>424</v>
      </c>
      <c r="I594" s="159" t="s">
        <v>1318</v>
      </c>
      <c r="J594" s="159" t="s">
        <v>387</v>
      </c>
      <c r="K594" s="159" t="s">
        <v>1849</v>
      </c>
      <c r="L594" s="39" t="s">
        <v>556</v>
      </c>
      <c r="M594" s="39" t="s">
        <v>305</v>
      </c>
      <c r="N594" s="39">
        <v>11</v>
      </c>
      <c r="O594" s="167" t="s">
        <v>137</v>
      </c>
      <c r="P594" s="39" t="s">
        <v>137</v>
      </c>
      <c r="Q594" s="39" t="s">
        <v>1317</v>
      </c>
      <c r="R594" s="16" t="s">
        <v>2056</v>
      </c>
      <c r="S594" s="160">
        <v>-41910551</v>
      </c>
      <c r="T594" s="160">
        <v>-3200801.65</v>
      </c>
      <c r="U594" s="160">
        <v>0</v>
      </c>
      <c r="V594" s="160">
        <v>-13315547.470000001</v>
      </c>
      <c r="W594" s="160">
        <v>-28595003.530000001</v>
      </c>
      <c r="X594" s="161" t="e">
        <v>#N/A</v>
      </c>
      <c r="Y594" s="160"/>
      <c r="Z594" s="16">
        <v>31.77</v>
      </c>
      <c r="AA594" s="162">
        <v>-13315547.470000001</v>
      </c>
      <c r="AB594" s="162">
        <v>-3328886.8675000002</v>
      </c>
      <c r="AC594" s="162">
        <v>-39946642.410000004</v>
      </c>
      <c r="AD594" s="160"/>
      <c r="AE594" s="145">
        <v>-41910551</v>
      </c>
      <c r="AF594" s="163">
        <v>1.0469999999999999</v>
      </c>
      <c r="AG594" s="164">
        <v>1.046</v>
      </c>
      <c r="AH594" s="164">
        <v>1.046</v>
      </c>
      <c r="AI594" s="164">
        <v>-41910551</v>
      </c>
      <c r="AJ594" s="164">
        <f t="shared" si="74"/>
        <v>0</v>
      </c>
      <c r="AK594" s="165">
        <v>0</v>
      </c>
      <c r="AL594" s="165">
        <f t="shared" si="72"/>
        <v>0</v>
      </c>
      <c r="AM594" s="165">
        <f t="shared" si="70"/>
        <v>0</v>
      </c>
      <c r="AN594" s="165">
        <f t="shared" si="71"/>
        <v>0</v>
      </c>
      <c r="AO594" s="16"/>
      <c r="AP594" s="231">
        <f t="shared" si="75"/>
        <v>0</v>
      </c>
      <c r="AR594" s="231"/>
      <c r="AS594" s="231"/>
      <c r="AU594" s="230">
        <v>-41910551</v>
      </c>
      <c r="AV594" s="233">
        <v>-41910551</v>
      </c>
      <c r="AW594" s="230">
        <f t="shared" si="73"/>
        <v>0</v>
      </c>
    </row>
    <row r="595" spans="1:49" hidden="1" x14ac:dyDescent="0.3">
      <c r="A595" s="84" t="s">
        <v>2057</v>
      </c>
      <c r="B595" s="39" t="s">
        <v>1319</v>
      </c>
      <c r="C595" s="39" t="s">
        <v>137</v>
      </c>
      <c r="D595" s="340" t="s">
        <v>3472</v>
      </c>
      <c r="E595" s="159" t="s">
        <v>1085</v>
      </c>
      <c r="F595" s="159" t="s">
        <v>589</v>
      </c>
      <c r="G595" s="159" t="s">
        <v>387</v>
      </c>
      <c r="H595" s="159" t="s">
        <v>424</v>
      </c>
      <c r="I595" s="159" t="s">
        <v>1318</v>
      </c>
      <c r="J595" s="159" t="s">
        <v>309</v>
      </c>
      <c r="K595" s="159" t="s">
        <v>1849</v>
      </c>
      <c r="L595" s="39" t="s">
        <v>556</v>
      </c>
      <c r="M595" s="39" t="s">
        <v>305</v>
      </c>
      <c r="N595" s="39">
        <v>11</v>
      </c>
      <c r="O595" s="167" t="s">
        <v>137</v>
      </c>
      <c r="P595" s="39" t="s">
        <v>137</v>
      </c>
      <c r="Q595" s="39" t="s">
        <v>1319</v>
      </c>
      <c r="R595" s="16" t="s">
        <v>2057</v>
      </c>
      <c r="S595" s="160">
        <v>-85722168</v>
      </c>
      <c r="T595" s="160">
        <v>-7473175.9400000004</v>
      </c>
      <c r="U595" s="160">
        <v>0</v>
      </c>
      <c r="V595" s="160">
        <v>-31927035.390000001</v>
      </c>
      <c r="W595" s="160">
        <v>-53795132.609999999</v>
      </c>
      <c r="X595" s="161" t="e">
        <v>#N/A</v>
      </c>
      <c r="Y595" s="160"/>
      <c r="Z595" s="16">
        <v>37.24</v>
      </c>
      <c r="AA595" s="162">
        <v>-31927035.390000001</v>
      </c>
      <c r="AB595" s="162">
        <v>-7981758.8475000001</v>
      </c>
      <c r="AC595" s="162">
        <v>-95781106.170000002</v>
      </c>
      <c r="AD595" s="160"/>
      <c r="AE595" s="145">
        <v>-85722168</v>
      </c>
      <c r="AF595" s="163">
        <v>1.0469999999999999</v>
      </c>
      <c r="AG595" s="164">
        <v>1.046</v>
      </c>
      <c r="AH595" s="164">
        <v>1.046</v>
      </c>
      <c r="AI595" s="164">
        <v>-85722168</v>
      </c>
      <c r="AJ595" s="164">
        <f t="shared" si="74"/>
        <v>0</v>
      </c>
      <c r="AK595" s="165">
        <v>0</v>
      </c>
      <c r="AL595" s="165">
        <f t="shared" si="72"/>
        <v>0</v>
      </c>
      <c r="AM595" s="165">
        <f t="shared" si="70"/>
        <v>0</v>
      </c>
      <c r="AN595" s="165">
        <f t="shared" si="71"/>
        <v>0</v>
      </c>
      <c r="AO595" s="16"/>
      <c r="AP595" s="231">
        <f t="shared" si="75"/>
        <v>0</v>
      </c>
      <c r="AR595" s="231"/>
      <c r="AS595" s="231"/>
      <c r="AU595" s="230">
        <v>-85722168</v>
      </c>
      <c r="AV595" s="233">
        <v>-85722168</v>
      </c>
      <c r="AW595" s="230">
        <f t="shared" si="73"/>
        <v>0</v>
      </c>
    </row>
    <row r="596" spans="1:49" hidden="1" x14ac:dyDescent="0.3">
      <c r="A596" s="84" t="s">
        <v>1321</v>
      </c>
      <c r="B596" s="39" t="s">
        <v>1320</v>
      </c>
      <c r="C596" s="39" t="s">
        <v>137</v>
      </c>
      <c r="D596" s="340" t="s">
        <v>3472</v>
      </c>
      <c r="E596" s="159" t="s">
        <v>1085</v>
      </c>
      <c r="F596" s="159" t="s">
        <v>589</v>
      </c>
      <c r="G596" s="159" t="s">
        <v>387</v>
      </c>
      <c r="H596" s="159" t="s">
        <v>424</v>
      </c>
      <c r="I596" s="159" t="s">
        <v>1318</v>
      </c>
      <c r="J596" s="159" t="s">
        <v>582</v>
      </c>
      <c r="K596" s="159" t="s">
        <v>1849</v>
      </c>
      <c r="L596" s="39" t="s">
        <v>556</v>
      </c>
      <c r="M596" s="39" t="s">
        <v>305</v>
      </c>
      <c r="N596" s="39">
        <v>11</v>
      </c>
      <c r="O596" s="167" t="s">
        <v>137</v>
      </c>
      <c r="P596" s="39" t="s">
        <v>137</v>
      </c>
      <c r="Q596" s="39" t="s">
        <v>1320</v>
      </c>
      <c r="R596" s="16" t="s">
        <v>1321</v>
      </c>
      <c r="S596" s="160">
        <v>-22169812</v>
      </c>
      <c r="T596" s="160">
        <v>0</v>
      </c>
      <c r="U596" s="160">
        <v>0</v>
      </c>
      <c r="V596" s="160">
        <v>-22854863.260000002</v>
      </c>
      <c r="W596" s="160">
        <v>685051.26</v>
      </c>
      <c r="X596" s="161" t="e">
        <v>#N/A</v>
      </c>
      <c r="Y596" s="160"/>
      <c r="Z596" s="16">
        <v>103.09</v>
      </c>
      <c r="AA596" s="162">
        <v>-22854863.260000002</v>
      </c>
      <c r="AB596" s="162">
        <v>-5713715.8150000004</v>
      </c>
      <c r="AC596" s="162">
        <v>-68564589.780000001</v>
      </c>
      <c r="AD596" s="160"/>
      <c r="AE596" s="145">
        <v>-22169812</v>
      </c>
      <c r="AF596" s="163">
        <v>1.0469999999999999</v>
      </c>
      <c r="AG596" s="164">
        <v>1.046</v>
      </c>
      <c r="AH596" s="164">
        <v>1.046</v>
      </c>
      <c r="AI596" s="164">
        <v>-22169812</v>
      </c>
      <c r="AJ596" s="164">
        <f t="shared" si="74"/>
        <v>0</v>
      </c>
      <c r="AK596" s="165">
        <v>0</v>
      </c>
      <c r="AL596" s="165">
        <f t="shared" si="72"/>
        <v>0</v>
      </c>
      <c r="AM596" s="165">
        <f t="shared" si="70"/>
        <v>0</v>
      </c>
      <c r="AN596" s="165">
        <f t="shared" si="71"/>
        <v>0</v>
      </c>
      <c r="AO596" s="16"/>
      <c r="AP596" s="231">
        <f t="shared" si="75"/>
        <v>0</v>
      </c>
      <c r="AR596" s="231"/>
      <c r="AS596" s="231"/>
      <c r="AU596" s="230">
        <v>-22169812</v>
      </c>
      <c r="AV596" s="233">
        <v>-22169812</v>
      </c>
      <c r="AW596" s="230">
        <f t="shared" si="73"/>
        <v>0</v>
      </c>
    </row>
    <row r="597" spans="1:49" hidden="1" x14ac:dyDescent="0.3">
      <c r="A597" s="84" t="s">
        <v>2058</v>
      </c>
      <c r="B597" s="39" t="s">
        <v>1322</v>
      </c>
      <c r="C597" s="39" t="s">
        <v>137</v>
      </c>
      <c r="D597" s="340" t="s">
        <v>3472</v>
      </c>
      <c r="E597" s="159" t="s">
        <v>1085</v>
      </c>
      <c r="F597" s="159" t="s">
        <v>589</v>
      </c>
      <c r="G597" s="159" t="s">
        <v>387</v>
      </c>
      <c r="H597" s="159" t="s">
        <v>424</v>
      </c>
      <c r="I597" s="159" t="s">
        <v>1318</v>
      </c>
      <c r="J597" s="159" t="s">
        <v>711</v>
      </c>
      <c r="K597" s="159" t="s">
        <v>1849</v>
      </c>
      <c r="L597" s="39" t="s">
        <v>556</v>
      </c>
      <c r="M597" s="39" t="s">
        <v>305</v>
      </c>
      <c r="N597" s="39">
        <v>11</v>
      </c>
      <c r="O597" s="167" t="s">
        <v>137</v>
      </c>
      <c r="P597" s="39" t="s">
        <v>137</v>
      </c>
      <c r="Q597" s="39" t="s">
        <v>1322</v>
      </c>
      <c r="R597" s="16" t="s">
        <v>2058</v>
      </c>
      <c r="S597" s="160">
        <v>-27130784</v>
      </c>
      <c r="T597" s="160">
        <v>0</v>
      </c>
      <c r="U597" s="160">
        <v>0</v>
      </c>
      <c r="V597" s="160">
        <v>-27568515.239999998</v>
      </c>
      <c r="W597" s="160">
        <v>437731.24</v>
      </c>
      <c r="X597" s="161" t="e">
        <v>#N/A</v>
      </c>
      <c r="Y597" s="160"/>
      <c r="Z597" s="16">
        <v>101.61</v>
      </c>
      <c r="AA597" s="162">
        <v>-27568515.239999998</v>
      </c>
      <c r="AB597" s="162">
        <v>-6892128.8099999996</v>
      </c>
      <c r="AC597" s="162">
        <v>-82705545.719999999</v>
      </c>
      <c r="AD597" s="160"/>
      <c r="AE597" s="145">
        <v>-27130784</v>
      </c>
      <c r="AF597" s="163">
        <v>1.0469999999999999</v>
      </c>
      <c r="AG597" s="164">
        <v>1.046</v>
      </c>
      <c r="AH597" s="164">
        <v>1.046</v>
      </c>
      <c r="AI597" s="164">
        <v>-27130784</v>
      </c>
      <c r="AJ597" s="164">
        <f t="shared" si="74"/>
        <v>0</v>
      </c>
      <c r="AK597" s="165">
        <v>0</v>
      </c>
      <c r="AL597" s="165">
        <f t="shared" si="72"/>
        <v>0</v>
      </c>
      <c r="AM597" s="165">
        <f t="shared" si="70"/>
        <v>0</v>
      </c>
      <c r="AN597" s="165">
        <f t="shared" si="71"/>
        <v>0</v>
      </c>
      <c r="AO597" s="16"/>
      <c r="AP597" s="231">
        <f t="shared" si="75"/>
        <v>0</v>
      </c>
      <c r="AR597" s="231"/>
      <c r="AS597" s="231"/>
      <c r="AU597" s="230">
        <v>-27130784</v>
      </c>
      <c r="AV597" s="233">
        <v>-27130784</v>
      </c>
      <c r="AW597" s="230">
        <f t="shared" si="73"/>
        <v>0</v>
      </c>
    </row>
    <row r="598" spans="1:49" hidden="1" x14ac:dyDescent="0.3">
      <c r="A598" s="84" t="s">
        <v>2059</v>
      </c>
      <c r="B598" s="39" t="s">
        <v>1323</v>
      </c>
      <c r="C598" s="39" t="s">
        <v>137</v>
      </c>
      <c r="D598" s="340" t="s">
        <v>3472</v>
      </c>
      <c r="E598" s="159" t="s">
        <v>1085</v>
      </c>
      <c r="F598" s="159" t="s">
        <v>589</v>
      </c>
      <c r="G598" s="159" t="s">
        <v>387</v>
      </c>
      <c r="H598" s="159" t="s">
        <v>424</v>
      </c>
      <c r="I598" s="159" t="s">
        <v>1318</v>
      </c>
      <c r="J598" s="159" t="s">
        <v>1211</v>
      </c>
      <c r="K598" s="159" t="s">
        <v>1849</v>
      </c>
      <c r="L598" s="39" t="s">
        <v>556</v>
      </c>
      <c r="M598" s="39" t="s">
        <v>305</v>
      </c>
      <c r="N598" s="39">
        <v>11</v>
      </c>
      <c r="O598" s="167" t="s">
        <v>137</v>
      </c>
      <c r="P598" s="39" t="s">
        <v>137</v>
      </c>
      <c r="Q598" s="39" t="s">
        <v>1323</v>
      </c>
      <c r="R598" s="16" t="s">
        <v>2059</v>
      </c>
      <c r="S598" s="160">
        <v>-21170953</v>
      </c>
      <c r="T598" s="160">
        <v>0</v>
      </c>
      <c r="U598" s="160">
        <v>0</v>
      </c>
      <c r="V598" s="160">
        <v>-22247615.32</v>
      </c>
      <c r="W598" s="160">
        <v>1076662.32</v>
      </c>
      <c r="X598" s="161" t="e">
        <v>#N/A</v>
      </c>
      <c r="Y598" s="160"/>
      <c r="Z598" s="16">
        <v>105.08</v>
      </c>
      <c r="AA598" s="162">
        <v>-22247615.32</v>
      </c>
      <c r="AB598" s="162">
        <v>-5561903.8300000001</v>
      </c>
      <c r="AC598" s="162">
        <v>-66742845.960000001</v>
      </c>
      <c r="AD598" s="160"/>
      <c r="AE598" s="145">
        <v>-21170953</v>
      </c>
      <c r="AF598" s="163">
        <v>1.0469999999999999</v>
      </c>
      <c r="AG598" s="164">
        <v>1.046</v>
      </c>
      <c r="AH598" s="164">
        <v>1.046</v>
      </c>
      <c r="AI598" s="164">
        <v>-21170953</v>
      </c>
      <c r="AJ598" s="164">
        <f t="shared" si="74"/>
        <v>0</v>
      </c>
      <c r="AK598" s="165">
        <v>0</v>
      </c>
      <c r="AL598" s="165">
        <f t="shared" si="72"/>
        <v>0</v>
      </c>
      <c r="AM598" s="165">
        <f t="shared" si="70"/>
        <v>0</v>
      </c>
      <c r="AN598" s="165">
        <f t="shared" si="71"/>
        <v>0</v>
      </c>
      <c r="AO598" s="16"/>
      <c r="AP598" s="231">
        <f t="shared" si="75"/>
        <v>0</v>
      </c>
      <c r="AR598" s="231"/>
      <c r="AS598" s="231"/>
      <c r="AU598" s="230">
        <v>-21170953</v>
      </c>
      <c r="AV598" s="233">
        <v>-21170953</v>
      </c>
      <c r="AW598" s="230">
        <f t="shared" si="73"/>
        <v>0</v>
      </c>
    </row>
    <row r="599" spans="1:49" hidden="1" x14ac:dyDescent="0.3">
      <c r="A599" s="84" t="s">
        <v>2060</v>
      </c>
      <c r="B599" s="39" t="s">
        <v>1324</v>
      </c>
      <c r="C599" s="39" t="s">
        <v>137</v>
      </c>
      <c r="D599" s="340" t="s">
        <v>3472</v>
      </c>
      <c r="E599" s="159" t="s">
        <v>1085</v>
      </c>
      <c r="F599" s="159" t="s">
        <v>589</v>
      </c>
      <c r="G599" s="159" t="s">
        <v>387</v>
      </c>
      <c r="H599" s="159" t="s">
        <v>424</v>
      </c>
      <c r="I599" s="159" t="s">
        <v>1318</v>
      </c>
      <c r="J599" s="159" t="s">
        <v>1078</v>
      </c>
      <c r="K599" s="159" t="s">
        <v>1849</v>
      </c>
      <c r="L599" s="39" t="s">
        <v>556</v>
      </c>
      <c r="M599" s="39" t="s">
        <v>305</v>
      </c>
      <c r="N599" s="39">
        <v>11</v>
      </c>
      <c r="O599" s="167" t="s">
        <v>137</v>
      </c>
      <c r="P599" s="39" t="s">
        <v>137</v>
      </c>
      <c r="Q599" s="39" t="s">
        <v>1324</v>
      </c>
      <c r="R599" s="16" t="s">
        <v>2060</v>
      </c>
      <c r="S599" s="160">
        <v>-32243455</v>
      </c>
      <c r="T599" s="160">
        <v>-4429020.91</v>
      </c>
      <c r="U599" s="160">
        <v>0</v>
      </c>
      <c r="V599" s="160">
        <v>-4483041.76</v>
      </c>
      <c r="W599" s="160">
        <v>-27760413.239999998</v>
      </c>
      <c r="X599" s="161" t="e">
        <v>#N/A</v>
      </c>
      <c r="Y599" s="160"/>
      <c r="Z599" s="16">
        <v>13.9</v>
      </c>
      <c r="AA599" s="162">
        <v>-4483041.76</v>
      </c>
      <c r="AB599" s="162">
        <v>-1120760.44</v>
      </c>
      <c r="AC599" s="162">
        <v>-13449125.279999999</v>
      </c>
      <c r="AD599" s="160"/>
      <c r="AE599" s="145">
        <v>-32243455</v>
      </c>
      <c r="AF599" s="163">
        <v>1.0469999999999999</v>
      </c>
      <c r="AG599" s="164">
        <v>1.046</v>
      </c>
      <c r="AH599" s="164">
        <v>1.046</v>
      </c>
      <c r="AI599" s="164">
        <v>-32243455</v>
      </c>
      <c r="AJ599" s="164">
        <f t="shared" si="74"/>
        <v>0</v>
      </c>
      <c r="AK599" s="165">
        <v>0</v>
      </c>
      <c r="AL599" s="165">
        <f t="shared" si="72"/>
        <v>0</v>
      </c>
      <c r="AM599" s="165">
        <f t="shared" si="70"/>
        <v>0</v>
      </c>
      <c r="AN599" s="165">
        <f t="shared" si="71"/>
        <v>0</v>
      </c>
      <c r="AO599" s="16"/>
      <c r="AP599" s="231">
        <f t="shared" si="75"/>
        <v>0</v>
      </c>
      <c r="AR599" s="231"/>
      <c r="AS599" s="231"/>
      <c r="AU599" s="230">
        <v>-32243455</v>
      </c>
      <c r="AV599" s="233">
        <v>-32243455</v>
      </c>
      <c r="AW599" s="230">
        <f t="shared" si="73"/>
        <v>0</v>
      </c>
    </row>
    <row r="600" spans="1:49" hidden="1" x14ac:dyDescent="0.3">
      <c r="A600" s="84" t="s">
        <v>2061</v>
      </c>
      <c r="B600" s="39" t="s">
        <v>1325</v>
      </c>
      <c r="C600" s="39" t="s">
        <v>137</v>
      </c>
      <c r="D600" s="340" t="s">
        <v>3472</v>
      </c>
      <c r="E600" s="159" t="s">
        <v>1085</v>
      </c>
      <c r="F600" s="159" t="s">
        <v>589</v>
      </c>
      <c r="G600" s="159" t="s">
        <v>387</v>
      </c>
      <c r="H600" s="159" t="s">
        <v>424</v>
      </c>
      <c r="I600" s="159" t="s">
        <v>1318</v>
      </c>
      <c r="J600" s="159" t="s">
        <v>750</v>
      </c>
      <c r="K600" s="159" t="s">
        <v>1849</v>
      </c>
      <c r="L600" s="39" t="s">
        <v>556</v>
      </c>
      <c r="M600" s="39" t="s">
        <v>305</v>
      </c>
      <c r="N600" s="39">
        <v>11</v>
      </c>
      <c r="O600" s="167" t="s">
        <v>137</v>
      </c>
      <c r="P600" s="39" t="s">
        <v>137</v>
      </c>
      <c r="Q600" s="39" t="s">
        <v>1325</v>
      </c>
      <c r="R600" s="16" t="s">
        <v>2061</v>
      </c>
      <c r="S600" s="160">
        <v>-54401447</v>
      </c>
      <c r="T600" s="160">
        <v>-6960812</v>
      </c>
      <c r="U600" s="160">
        <v>0</v>
      </c>
      <c r="V600" s="160">
        <v>-7053053.7699999996</v>
      </c>
      <c r="W600" s="160">
        <v>-47348393.229999997</v>
      </c>
      <c r="X600" s="161" t="e">
        <v>#N/A</v>
      </c>
      <c r="Y600" s="160"/>
      <c r="Z600" s="16">
        <v>12.96</v>
      </c>
      <c r="AA600" s="162">
        <v>-7053053.7699999996</v>
      </c>
      <c r="AB600" s="162">
        <v>-1763263.4424999999</v>
      </c>
      <c r="AC600" s="162">
        <v>-21159161.309999999</v>
      </c>
      <c r="AD600" s="160"/>
      <c r="AE600" s="145">
        <v>-54401447</v>
      </c>
      <c r="AF600" s="163">
        <v>1.0469999999999999</v>
      </c>
      <c r="AG600" s="164">
        <v>1.046</v>
      </c>
      <c r="AH600" s="164">
        <v>1.046</v>
      </c>
      <c r="AI600" s="164">
        <v>-54401447</v>
      </c>
      <c r="AJ600" s="164">
        <f t="shared" si="74"/>
        <v>0</v>
      </c>
      <c r="AK600" s="165">
        <v>0</v>
      </c>
      <c r="AL600" s="165">
        <f t="shared" si="72"/>
        <v>0</v>
      </c>
      <c r="AM600" s="165">
        <f t="shared" si="70"/>
        <v>0</v>
      </c>
      <c r="AN600" s="165">
        <f t="shared" si="71"/>
        <v>0</v>
      </c>
      <c r="AO600" s="16"/>
      <c r="AP600" s="231">
        <f t="shared" si="75"/>
        <v>0</v>
      </c>
      <c r="AR600" s="231"/>
      <c r="AS600" s="231"/>
      <c r="AU600" s="230">
        <v>-54401447</v>
      </c>
      <c r="AV600" s="233">
        <v>-54401447</v>
      </c>
      <c r="AW600" s="230">
        <f t="shared" si="73"/>
        <v>0</v>
      </c>
    </row>
    <row r="601" spans="1:49" hidden="1" x14ac:dyDescent="0.3">
      <c r="A601" s="84" t="s">
        <v>2062</v>
      </c>
      <c r="B601" s="39" t="s">
        <v>1326</v>
      </c>
      <c r="C601" s="39" t="s">
        <v>137</v>
      </c>
      <c r="D601" s="340" t="s">
        <v>3472</v>
      </c>
      <c r="E601" s="159" t="s">
        <v>1085</v>
      </c>
      <c r="F601" s="159" t="s">
        <v>589</v>
      </c>
      <c r="G601" s="159" t="s">
        <v>387</v>
      </c>
      <c r="H601" s="159" t="s">
        <v>424</v>
      </c>
      <c r="I601" s="159" t="s">
        <v>1318</v>
      </c>
      <c r="J601" s="159" t="s">
        <v>1215</v>
      </c>
      <c r="K601" s="159" t="s">
        <v>1849</v>
      </c>
      <c r="L601" s="39" t="s">
        <v>556</v>
      </c>
      <c r="M601" s="39" t="s">
        <v>305</v>
      </c>
      <c r="N601" s="39">
        <v>11</v>
      </c>
      <c r="O601" s="167" t="s">
        <v>137</v>
      </c>
      <c r="P601" s="39" t="s">
        <v>137</v>
      </c>
      <c r="Q601" s="39" t="s">
        <v>1326</v>
      </c>
      <c r="R601" s="16" t="s">
        <v>2062</v>
      </c>
      <c r="S601" s="160">
        <v>-42858611</v>
      </c>
      <c r="T601" s="160">
        <v>-5005715.6100000003</v>
      </c>
      <c r="U601" s="160">
        <v>0</v>
      </c>
      <c r="V601" s="160">
        <v>-5090127.62</v>
      </c>
      <c r="W601" s="160">
        <v>-37768483.380000003</v>
      </c>
      <c r="X601" s="161" t="e">
        <v>#N/A</v>
      </c>
      <c r="Y601" s="160"/>
      <c r="Z601" s="16">
        <v>11.87</v>
      </c>
      <c r="AA601" s="162">
        <v>-5090127.62</v>
      </c>
      <c r="AB601" s="162">
        <v>-1272531.905</v>
      </c>
      <c r="AC601" s="162">
        <v>-15270382.859999999</v>
      </c>
      <c r="AD601" s="160"/>
      <c r="AE601" s="145">
        <v>-42858611</v>
      </c>
      <c r="AF601" s="163">
        <v>1.0469999999999999</v>
      </c>
      <c r="AG601" s="164">
        <v>1.046</v>
      </c>
      <c r="AH601" s="164">
        <v>1.046</v>
      </c>
      <c r="AI601" s="164">
        <v>-42858611</v>
      </c>
      <c r="AJ601" s="164">
        <f t="shared" si="74"/>
        <v>0</v>
      </c>
      <c r="AK601" s="165">
        <v>0</v>
      </c>
      <c r="AL601" s="165">
        <f t="shared" si="72"/>
        <v>0</v>
      </c>
      <c r="AM601" s="165">
        <f t="shared" si="70"/>
        <v>0</v>
      </c>
      <c r="AN601" s="165">
        <f t="shared" si="71"/>
        <v>0</v>
      </c>
      <c r="AO601" s="16"/>
      <c r="AP601" s="231">
        <f t="shared" si="75"/>
        <v>0</v>
      </c>
      <c r="AR601" s="231"/>
      <c r="AS601" s="231"/>
      <c r="AU601" s="230">
        <v>-42858611</v>
      </c>
      <c r="AV601" s="233">
        <v>-42858611</v>
      </c>
      <c r="AW601" s="230">
        <f t="shared" si="73"/>
        <v>0</v>
      </c>
    </row>
    <row r="602" spans="1:49" hidden="1" x14ac:dyDescent="0.3">
      <c r="A602" s="84" t="s">
        <v>2063</v>
      </c>
      <c r="B602" s="39" t="s">
        <v>1327</v>
      </c>
      <c r="C602" s="39" t="s">
        <v>1328</v>
      </c>
      <c r="D602" s="340" t="s">
        <v>3472</v>
      </c>
      <c r="E602" s="159" t="s">
        <v>1085</v>
      </c>
      <c r="F602" s="159" t="s">
        <v>589</v>
      </c>
      <c r="G602" s="159" t="s">
        <v>387</v>
      </c>
      <c r="H602" s="159" t="s">
        <v>424</v>
      </c>
      <c r="I602" s="159" t="s">
        <v>1329</v>
      </c>
      <c r="J602" s="159" t="s">
        <v>387</v>
      </c>
      <c r="K602" s="159" t="s">
        <v>1849</v>
      </c>
      <c r="L602" s="39" t="s">
        <v>556</v>
      </c>
      <c r="M602" s="39" t="s">
        <v>305</v>
      </c>
      <c r="N602" s="39">
        <v>11</v>
      </c>
      <c r="O602" s="167" t="s">
        <v>1328</v>
      </c>
      <c r="P602" s="39" t="s">
        <v>1328</v>
      </c>
      <c r="Q602" s="39" t="s">
        <v>1327</v>
      </c>
      <c r="R602" s="16" t="s">
        <v>2063</v>
      </c>
      <c r="S602" s="160">
        <v>-12346067</v>
      </c>
      <c r="T602" s="160">
        <v>-617273.48</v>
      </c>
      <c r="U602" s="160">
        <v>0</v>
      </c>
      <c r="V602" s="160">
        <v>-4359131.62</v>
      </c>
      <c r="W602" s="160">
        <v>-7986935.3799999999</v>
      </c>
      <c r="X602" s="161" t="e">
        <v>#N/A</v>
      </c>
      <c r="Y602" s="160"/>
      <c r="Z602" s="16">
        <v>35.299999999999997</v>
      </c>
      <c r="AA602" s="162">
        <v>-4359131.62</v>
      </c>
      <c r="AB602" s="162">
        <v>-1089782.905</v>
      </c>
      <c r="AC602" s="162">
        <v>-13077394.859999999</v>
      </c>
      <c r="AD602" s="160"/>
      <c r="AE602" s="145">
        <v>-12346067</v>
      </c>
      <c r="AF602" s="163">
        <v>1.0469999999999999</v>
      </c>
      <c r="AG602" s="164">
        <v>1.046</v>
      </c>
      <c r="AH602" s="164">
        <v>1.046</v>
      </c>
      <c r="AI602" s="164">
        <v>-12346067</v>
      </c>
      <c r="AJ602" s="164">
        <f t="shared" si="74"/>
        <v>0</v>
      </c>
      <c r="AK602" s="165">
        <v>0</v>
      </c>
      <c r="AL602" s="165">
        <f t="shared" si="72"/>
        <v>0</v>
      </c>
      <c r="AM602" s="165">
        <f t="shared" si="70"/>
        <v>0</v>
      </c>
      <c r="AN602" s="165">
        <f t="shared" si="71"/>
        <v>0</v>
      </c>
      <c r="AO602" s="16"/>
      <c r="AP602" s="231">
        <f t="shared" si="75"/>
        <v>0</v>
      </c>
      <c r="AR602" s="231"/>
      <c r="AS602" s="231"/>
      <c r="AU602" s="230">
        <v>-12346067</v>
      </c>
      <c r="AV602" s="233">
        <v>-12346067</v>
      </c>
      <c r="AW602" s="230">
        <f t="shared" si="73"/>
        <v>0</v>
      </c>
    </row>
    <row r="603" spans="1:49" hidden="1" x14ac:dyDescent="0.3">
      <c r="A603" s="84" t="s">
        <v>2064</v>
      </c>
      <c r="B603" s="39" t="s">
        <v>1330</v>
      </c>
      <c r="C603" s="39" t="s">
        <v>1328</v>
      </c>
      <c r="D603" s="340" t="s">
        <v>3472</v>
      </c>
      <c r="E603" s="159" t="s">
        <v>1085</v>
      </c>
      <c r="F603" s="159" t="s">
        <v>589</v>
      </c>
      <c r="G603" s="159" t="s">
        <v>387</v>
      </c>
      <c r="H603" s="159" t="s">
        <v>424</v>
      </c>
      <c r="I603" s="159" t="s">
        <v>1329</v>
      </c>
      <c r="J603" s="159" t="s">
        <v>309</v>
      </c>
      <c r="K603" s="159" t="s">
        <v>1849</v>
      </c>
      <c r="L603" s="39" t="s">
        <v>556</v>
      </c>
      <c r="M603" s="39" t="s">
        <v>305</v>
      </c>
      <c r="N603" s="39">
        <v>11</v>
      </c>
      <c r="O603" s="167" t="s">
        <v>1328</v>
      </c>
      <c r="P603" s="39" t="s">
        <v>1328</v>
      </c>
      <c r="Q603" s="39" t="s">
        <v>1330</v>
      </c>
      <c r="R603" s="16" t="s">
        <v>2064</v>
      </c>
      <c r="S603" s="160">
        <v>-24766710</v>
      </c>
      <c r="T603" s="160">
        <v>-1413943.22</v>
      </c>
      <c r="U603" s="160">
        <v>0</v>
      </c>
      <c r="V603" s="160">
        <v>-11230721.16</v>
      </c>
      <c r="W603" s="160">
        <v>-13535988.84</v>
      </c>
      <c r="X603" s="161" t="e">
        <v>#N/A</v>
      </c>
      <c r="Y603" s="160"/>
      <c r="Z603" s="16">
        <v>45.34</v>
      </c>
      <c r="AA603" s="162">
        <v>-11230721.16</v>
      </c>
      <c r="AB603" s="162">
        <v>-2807680.29</v>
      </c>
      <c r="AC603" s="162">
        <v>-33692163.480000004</v>
      </c>
      <c r="AD603" s="160"/>
      <c r="AE603" s="145">
        <v>-24766710</v>
      </c>
      <c r="AF603" s="163">
        <v>1.0469999999999999</v>
      </c>
      <c r="AG603" s="164">
        <v>1.046</v>
      </c>
      <c r="AH603" s="164">
        <v>1.046</v>
      </c>
      <c r="AI603" s="164">
        <v>-24766710</v>
      </c>
      <c r="AJ603" s="164">
        <f t="shared" si="74"/>
        <v>0</v>
      </c>
      <c r="AK603" s="165">
        <v>0</v>
      </c>
      <c r="AL603" s="165">
        <f t="shared" si="72"/>
        <v>0</v>
      </c>
      <c r="AM603" s="165">
        <f t="shared" si="70"/>
        <v>0</v>
      </c>
      <c r="AN603" s="165">
        <f t="shared" si="71"/>
        <v>0</v>
      </c>
      <c r="AO603" s="16"/>
      <c r="AP603" s="231">
        <f t="shared" si="75"/>
        <v>0</v>
      </c>
      <c r="AR603" s="231"/>
      <c r="AS603" s="231"/>
      <c r="AU603" s="230">
        <v>-24766710</v>
      </c>
      <c r="AV603" s="233">
        <v>-24766710</v>
      </c>
      <c r="AW603" s="230">
        <f t="shared" si="73"/>
        <v>0</v>
      </c>
    </row>
    <row r="604" spans="1:49" hidden="1" x14ac:dyDescent="0.3">
      <c r="A604" s="84" t="s">
        <v>1334</v>
      </c>
      <c r="B604" s="39" t="s">
        <v>1331</v>
      </c>
      <c r="C604" s="39" t="s">
        <v>1328</v>
      </c>
      <c r="D604" s="340" t="s">
        <v>3472</v>
      </c>
      <c r="E604" s="159" t="s">
        <v>1085</v>
      </c>
      <c r="F604" s="159" t="s">
        <v>589</v>
      </c>
      <c r="G604" s="159" t="s">
        <v>387</v>
      </c>
      <c r="H604" s="159" t="s">
        <v>424</v>
      </c>
      <c r="I604" s="159" t="s">
        <v>1329</v>
      </c>
      <c r="J604" s="159" t="s">
        <v>582</v>
      </c>
      <c r="K604" s="159" t="s">
        <v>1849</v>
      </c>
      <c r="L604" s="39" t="s">
        <v>556</v>
      </c>
      <c r="M604" s="39" t="s">
        <v>305</v>
      </c>
      <c r="N604" s="39">
        <v>11</v>
      </c>
      <c r="O604" s="167" t="s">
        <v>1328</v>
      </c>
      <c r="P604" s="39" t="s">
        <v>1328</v>
      </c>
      <c r="Q604" s="39" t="s">
        <v>1331</v>
      </c>
      <c r="R604" s="16" t="s">
        <v>1334</v>
      </c>
      <c r="S604" s="160">
        <v>-69932437</v>
      </c>
      <c r="T604" s="160">
        <v>0</v>
      </c>
      <c r="U604" s="160">
        <v>0</v>
      </c>
      <c r="V604" s="160">
        <v>-14071689.68</v>
      </c>
      <c r="W604" s="160">
        <v>-55860747.32</v>
      </c>
      <c r="X604" s="161" t="e">
        <v>#N/A</v>
      </c>
      <c r="Y604" s="160"/>
      <c r="Z604" s="16">
        <v>20.12</v>
      </c>
      <c r="AA604" s="162">
        <v>-14071689.68</v>
      </c>
      <c r="AB604" s="162">
        <v>-3517922.42</v>
      </c>
      <c r="AC604" s="162">
        <v>-42215069.039999999</v>
      </c>
      <c r="AD604" s="160"/>
      <c r="AE604" s="145">
        <v>-69932437</v>
      </c>
      <c r="AF604" s="163">
        <v>1.0469999999999999</v>
      </c>
      <c r="AG604" s="164">
        <v>1.046</v>
      </c>
      <c r="AH604" s="164">
        <v>1.046</v>
      </c>
      <c r="AI604" s="164">
        <v>-69932437</v>
      </c>
      <c r="AJ604" s="164">
        <f t="shared" si="74"/>
        <v>0</v>
      </c>
      <c r="AK604" s="165">
        <v>0</v>
      </c>
      <c r="AL604" s="165">
        <f t="shared" si="72"/>
        <v>0</v>
      </c>
      <c r="AM604" s="165">
        <f t="shared" si="70"/>
        <v>0</v>
      </c>
      <c r="AN604" s="165">
        <f t="shared" si="71"/>
        <v>0</v>
      </c>
      <c r="AO604" s="16"/>
      <c r="AP604" s="231">
        <f t="shared" si="75"/>
        <v>0</v>
      </c>
      <c r="AR604" s="231"/>
      <c r="AS604" s="231"/>
      <c r="AU604" s="230">
        <v>-69932437</v>
      </c>
      <c r="AV604" s="233">
        <v>-69932437</v>
      </c>
      <c r="AW604" s="230">
        <f t="shared" si="73"/>
        <v>0</v>
      </c>
    </row>
    <row r="605" spans="1:49" hidden="1" x14ac:dyDescent="0.3">
      <c r="A605" s="84" t="s">
        <v>2065</v>
      </c>
      <c r="B605" s="39" t="s">
        <v>1332</v>
      </c>
      <c r="C605" s="39" t="s">
        <v>1328</v>
      </c>
      <c r="D605" s="340" t="s">
        <v>3472</v>
      </c>
      <c r="E605" s="159" t="s">
        <v>1085</v>
      </c>
      <c r="F605" s="159" t="s">
        <v>589</v>
      </c>
      <c r="G605" s="159" t="s">
        <v>387</v>
      </c>
      <c r="H605" s="159" t="s">
        <v>424</v>
      </c>
      <c r="I605" s="159" t="s">
        <v>1329</v>
      </c>
      <c r="J605" s="159" t="s">
        <v>711</v>
      </c>
      <c r="K605" s="159" t="s">
        <v>1849</v>
      </c>
      <c r="L605" s="39" t="s">
        <v>556</v>
      </c>
      <c r="M605" s="39" t="s">
        <v>305</v>
      </c>
      <c r="N605" s="39">
        <v>11</v>
      </c>
      <c r="O605" s="167" t="s">
        <v>1328</v>
      </c>
      <c r="P605" s="39" t="s">
        <v>1328</v>
      </c>
      <c r="Q605" s="39" t="s">
        <v>1332</v>
      </c>
      <c r="R605" s="16" t="s">
        <v>2065</v>
      </c>
      <c r="S605" s="160">
        <v>-12834499</v>
      </c>
      <c r="T605" s="160">
        <v>0</v>
      </c>
      <c r="U605" s="160">
        <v>0</v>
      </c>
      <c r="V605" s="160">
        <v>-16349822.050000001</v>
      </c>
      <c r="W605" s="160">
        <v>3515323.05</v>
      </c>
      <c r="X605" s="161" t="e">
        <v>#N/A</v>
      </c>
      <c r="Y605" s="160"/>
      <c r="Z605" s="16">
        <v>127.38</v>
      </c>
      <c r="AA605" s="162">
        <v>-16349822.050000001</v>
      </c>
      <c r="AB605" s="162">
        <v>-4087455.5125000002</v>
      </c>
      <c r="AC605" s="162">
        <v>-49049466.150000006</v>
      </c>
      <c r="AD605" s="160"/>
      <c r="AE605" s="145">
        <v>-12834499</v>
      </c>
      <c r="AF605" s="163">
        <v>1.0469999999999999</v>
      </c>
      <c r="AG605" s="164">
        <v>1.046</v>
      </c>
      <c r="AH605" s="164">
        <v>1.046</v>
      </c>
      <c r="AI605" s="164">
        <v>-12834499</v>
      </c>
      <c r="AJ605" s="164">
        <f t="shared" si="74"/>
        <v>0</v>
      </c>
      <c r="AK605" s="165">
        <v>0</v>
      </c>
      <c r="AL605" s="165">
        <f t="shared" si="72"/>
        <v>0</v>
      </c>
      <c r="AM605" s="165">
        <f t="shared" si="70"/>
        <v>0</v>
      </c>
      <c r="AN605" s="165">
        <f t="shared" si="71"/>
        <v>0</v>
      </c>
      <c r="AO605" s="16"/>
      <c r="AP605" s="231">
        <f t="shared" si="75"/>
        <v>0</v>
      </c>
      <c r="AR605" s="231"/>
      <c r="AS605" s="231"/>
      <c r="AU605" s="230">
        <v>-12834499</v>
      </c>
      <c r="AV605" s="233">
        <v>-12834499</v>
      </c>
      <c r="AW605" s="230">
        <f t="shared" si="73"/>
        <v>0</v>
      </c>
    </row>
    <row r="606" spans="1:49" hidden="1" x14ac:dyDescent="0.3">
      <c r="A606" s="84" t="s">
        <v>2066</v>
      </c>
      <c r="B606" s="39" t="s">
        <v>1333</v>
      </c>
      <c r="C606" s="39" t="s">
        <v>1328</v>
      </c>
      <c r="D606" s="340" t="s">
        <v>3472</v>
      </c>
      <c r="E606" s="159" t="s">
        <v>1085</v>
      </c>
      <c r="F606" s="159" t="s">
        <v>589</v>
      </c>
      <c r="G606" s="159" t="s">
        <v>387</v>
      </c>
      <c r="H606" s="159" t="s">
        <v>424</v>
      </c>
      <c r="I606" s="159" t="s">
        <v>1329</v>
      </c>
      <c r="J606" s="159" t="s">
        <v>1211</v>
      </c>
      <c r="K606" s="159" t="s">
        <v>1849</v>
      </c>
      <c r="L606" s="39" t="s">
        <v>556</v>
      </c>
      <c r="M606" s="39" t="s">
        <v>305</v>
      </c>
      <c r="N606" s="39">
        <v>11</v>
      </c>
      <c r="O606" s="167" t="s">
        <v>1328</v>
      </c>
      <c r="P606" s="39" t="s">
        <v>1328</v>
      </c>
      <c r="Q606" s="39" t="s">
        <v>1333</v>
      </c>
      <c r="R606" s="16" t="s">
        <v>2066</v>
      </c>
      <c r="S606" s="160">
        <v>-10467447</v>
      </c>
      <c r="T606" s="160">
        <v>0</v>
      </c>
      <c r="U606" s="160">
        <v>0</v>
      </c>
      <c r="V606" s="160">
        <v>-16019164.98</v>
      </c>
      <c r="W606" s="160">
        <v>5551717.9800000004</v>
      </c>
      <c r="X606" s="161" t="e">
        <v>#N/A</v>
      </c>
      <c r="Y606" s="160"/>
      <c r="Z606" s="16">
        <v>153.03</v>
      </c>
      <c r="AA606" s="162">
        <v>-16019164.98</v>
      </c>
      <c r="AB606" s="162">
        <v>-4004791.2450000001</v>
      </c>
      <c r="AC606" s="162">
        <v>-48057494.939999998</v>
      </c>
      <c r="AD606" s="160"/>
      <c r="AE606" s="145">
        <v>-10467447</v>
      </c>
      <c r="AF606" s="163">
        <v>1.0469999999999999</v>
      </c>
      <c r="AG606" s="164">
        <v>1.046</v>
      </c>
      <c r="AH606" s="164">
        <v>1.046</v>
      </c>
      <c r="AI606" s="164">
        <v>-10467447</v>
      </c>
      <c r="AJ606" s="164">
        <f t="shared" si="74"/>
        <v>0</v>
      </c>
      <c r="AK606" s="165">
        <v>0</v>
      </c>
      <c r="AL606" s="165">
        <f t="shared" si="72"/>
        <v>0</v>
      </c>
      <c r="AM606" s="165">
        <f t="shared" ref="AM606:AM669" si="76">AL606*AG606</f>
        <v>0</v>
      </c>
      <c r="AN606" s="165">
        <f t="shared" ref="AN606:AN669" si="77">AM606*AH606</f>
        <v>0</v>
      </c>
      <c r="AO606" s="16"/>
      <c r="AP606" s="231">
        <f t="shared" si="75"/>
        <v>0</v>
      </c>
      <c r="AR606" s="231"/>
      <c r="AS606" s="231"/>
      <c r="AU606" s="230">
        <v>-10467447</v>
      </c>
      <c r="AV606" s="233">
        <v>-10467447</v>
      </c>
      <c r="AW606" s="230">
        <f t="shared" si="73"/>
        <v>0</v>
      </c>
    </row>
    <row r="607" spans="1:49" hidden="1" x14ac:dyDescent="0.3">
      <c r="A607" s="84" t="s">
        <v>1336</v>
      </c>
      <c r="B607" s="39" t="s">
        <v>1335</v>
      </c>
      <c r="C607" s="39" t="s">
        <v>1328</v>
      </c>
      <c r="D607" s="340" t="s">
        <v>3472</v>
      </c>
      <c r="E607" s="159" t="s">
        <v>1085</v>
      </c>
      <c r="F607" s="159" t="s">
        <v>589</v>
      </c>
      <c r="G607" s="159" t="s">
        <v>387</v>
      </c>
      <c r="H607" s="159" t="s">
        <v>424</v>
      </c>
      <c r="I607" s="159" t="s">
        <v>1329</v>
      </c>
      <c r="J607" s="159" t="s">
        <v>1078</v>
      </c>
      <c r="K607" s="159" t="s">
        <v>1849</v>
      </c>
      <c r="L607" s="39" t="s">
        <v>556</v>
      </c>
      <c r="M607" s="39" t="s">
        <v>305</v>
      </c>
      <c r="N607" s="39">
        <v>11</v>
      </c>
      <c r="O607" s="167" t="s">
        <v>1328</v>
      </c>
      <c r="P607" s="39" t="s">
        <v>1328</v>
      </c>
      <c r="Q607" s="39" t="s">
        <v>1335</v>
      </c>
      <c r="R607" s="16" t="s">
        <v>1336</v>
      </c>
      <c r="S607" s="160">
        <v>-12262101</v>
      </c>
      <c r="T607" s="160">
        <v>-1965800.41</v>
      </c>
      <c r="U607" s="160">
        <v>0</v>
      </c>
      <c r="V607" s="160">
        <v>-1965800.41</v>
      </c>
      <c r="W607" s="160">
        <v>-10296300.59</v>
      </c>
      <c r="X607" s="161" t="e">
        <v>#N/A</v>
      </c>
      <c r="Y607" s="160"/>
      <c r="Z607" s="16">
        <v>16.03</v>
      </c>
      <c r="AA607" s="162">
        <v>-1965800.41</v>
      </c>
      <c r="AB607" s="162">
        <v>-491450.10249999998</v>
      </c>
      <c r="AC607" s="162">
        <v>-5897401.2299999995</v>
      </c>
      <c r="AD607" s="160"/>
      <c r="AE607" s="145">
        <v>-12262101</v>
      </c>
      <c r="AF607" s="163">
        <v>1.0469999999999999</v>
      </c>
      <c r="AG607" s="164">
        <v>1.046</v>
      </c>
      <c r="AH607" s="164">
        <v>1.046</v>
      </c>
      <c r="AI607" s="164">
        <v>-12262101</v>
      </c>
      <c r="AJ607" s="164">
        <f t="shared" si="74"/>
        <v>0</v>
      </c>
      <c r="AK607" s="165">
        <v>0</v>
      </c>
      <c r="AL607" s="165">
        <f t="shared" si="72"/>
        <v>0</v>
      </c>
      <c r="AM607" s="165">
        <f t="shared" si="76"/>
        <v>0</v>
      </c>
      <c r="AN607" s="165">
        <f t="shared" si="77"/>
        <v>0</v>
      </c>
      <c r="AO607" s="16"/>
      <c r="AP607" s="231">
        <f t="shared" si="75"/>
        <v>0</v>
      </c>
      <c r="AR607" s="231"/>
      <c r="AS607" s="231"/>
      <c r="AU607" s="230">
        <v>-12262101</v>
      </c>
      <c r="AV607" s="233">
        <v>-12262101</v>
      </c>
      <c r="AW607" s="230">
        <f t="shared" si="73"/>
        <v>0</v>
      </c>
    </row>
    <row r="608" spans="1:49" hidden="1" x14ac:dyDescent="0.3">
      <c r="A608" s="84" t="s">
        <v>2067</v>
      </c>
      <c r="B608" s="39" t="s">
        <v>1337</v>
      </c>
      <c r="C608" s="39" t="s">
        <v>1328</v>
      </c>
      <c r="D608" s="340" t="s">
        <v>3472</v>
      </c>
      <c r="E608" s="159" t="s">
        <v>1085</v>
      </c>
      <c r="F608" s="159" t="s">
        <v>589</v>
      </c>
      <c r="G608" s="159" t="s">
        <v>387</v>
      </c>
      <c r="H608" s="159" t="s">
        <v>424</v>
      </c>
      <c r="I608" s="159" t="s">
        <v>1329</v>
      </c>
      <c r="J608" s="159" t="s">
        <v>750</v>
      </c>
      <c r="K608" s="159" t="s">
        <v>1849</v>
      </c>
      <c r="L608" s="39" t="s">
        <v>556</v>
      </c>
      <c r="M608" s="39" t="s">
        <v>305</v>
      </c>
      <c r="N608" s="39">
        <v>11</v>
      </c>
      <c r="O608" s="167" t="s">
        <v>1328</v>
      </c>
      <c r="P608" s="39" t="s">
        <v>1328</v>
      </c>
      <c r="Q608" s="39" t="s">
        <v>1337</v>
      </c>
      <c r="R608" s="16" t="s">
        <v>2067</v>
      </c>
      <c r="S608" s="160">
        <v>-19024890</v>
      </c>
      <c r="T608" s="160">
        <v>-2886428.98</v>
      </c>
      <c r="U608" s="160">
        <v>0</v>
      </c>
      <c r="V608" s="160">
        <v>-2886428.98</v>
      </c>
      <c r="W608" s="160">
        <v>-16138461.02</v>
      </c>
      <c r="X608" s="161" t="e">
        <v>#N/A</v>
      </c>
      <c r="Y608" s="160"/>
      <c r="Z608" s="16">
        <v>15.17</v>
      </c>
      <c r="AA608" s="162">
        <v>-2886428.98</v>
      </c>
      <c r="AB608" s="162">
        <v>-721607.245</v>
      </c>
      <c r="AC608" s="162">
        <v>-8659286.9399999995</v>
      </c>
      <c r="AD608" s="160"/>
      <c r="AE608" s="145">
        <v>-19024890</v>
      </c>
      <c r="AF608" s="163">
        <v>1.0469999999999999</v>
      </c>
      <c r="AG608" s="164">
        <v>1.046</v>
      </c>
      <c r="AH608" s="164">
        <v>1.046</v>
      </c>
      <c r="AI608" s="164">
        <v>-19024890</v>
      </c>
      <c r="AJ608" s="164">
        <f t="shared" si="74"/>
        <v>0</v>
      </c>
      <c r="AK608" s="165">
        <v>0</v>
      </c>
      <c r="AL608" s="165">
        <f t="shared" si="72"/>
        <v>0</v>
      </c>
      <c r="AM608" s="165">
        <f t="shared" si="76"/>
        <v>0</v>
      </c>
      <c r="AN608" s="165">
        <f t="shared" si="77"/>
        <v>0</v>
      </c>
      <c r="AO608" s="16"/>
      <c r="AP608" s="231">
        <f t="shared" si="75"/>
        <v>0</v>
      </c>
      <c r="AR608" s="231"/>
      <c r="AS608" s="231"/>
      <c r="AU608" s="230">
        <v>-19024890</v>
      </c>
      <c r="AV608" s="233">
        <v>-19024890</v>
      </c>
      <c r="AW608" s="230">
        <f t="shared" si="73"/>
        <v>0</v>
      </c>
    </row>
    <row r="609" spans="1:49" hidden="1" x14ac:dyDescent="0.3">
      <c r="A609" s="84" t="s">
        <v>2068</v>
      </c>
      <c r="B609" s="39" t="s">
        <v>1338</v>
      </c>
      <c r="C609" s="39" t="s">
        <v>1328</v>
      </c>
      <c r="D609" s="340" t="s">
        <v>3472</v>
      </c>
      <c r="E609" s="159" t="s">
        <v>1085</v>
      </c>
      <c r="F609" s="159" t="s">
        <v>589</v>
      </c>
      <c r="G609" s="159" t="s">
        <v>387</v>
      </c>
      <c r="H609" s="159" t="s">
        <v>424</v>
      </c>
      <c r="I609" s="159" t="s">
        <v>1329</v>
      </c>
      <c r="J609" s="159" t="s">
        <v>1215</v>
      </c>
      <c r="K609" s="159" t="s">
        <v>1849</v>
      </c>
      <c r="L609" s="39" t="s">
        <v>556</v>
      </c>
      <c r="M609" s="39" t="s">
        <v>305</v>
      </c>
      <c r="N609" s="39">
        <v>11</v>
      </c>
      <c r="O609" s="167" t="s">
        <v>1328</v>
      </c>
      <c r="P609" s="39" t="s">
        <v>1328</v>
      </c>
      <c r="Q609" s="39" t="s">
        <v>1338</v>
      </c>
      <c r="R609" s="16" t="s">
        <v>2068</v>
      </c>
      <c r="S609" s="160">
        <v>-18756538</v>
      </c>
      <c r="T609" s="160">
        <v>-2640839.23</v>
      </c>
      <c r="U609" s="160">
        <v>0</v>
      </c>
      <c r="V609" s="160">
        <v>-2640839.23</v>
      </c>
      <c r="W609" s="160">
        <v>-16115698.77</v>
      </c>
      <c r="X609" s="161" t="e">
        <v>#N/A</v>
      </c>
      <c r="Y609" s="160"/>
      <c r="Z609" s="16">
        <v>14.07</v>
      </c>
      <c r="AA609" s="162">
        <v>-2640839.23</v>
      </c>
      <c r="AB609" s="162">
        <v>-660209.8075</v>
      </c>
      <c r="AC609" s="162">
        <v>-7922517.6899999995</v>
      </c>
      <c r="AD609" s="160"/>
      <c r="AE609" s="145">
        <v>-18756538</v>
      </c>
      <c r="AF609" s="163">
        <v>1.0469999999999999</v>
      </c>
      <c r="AG609" s="164">
        <v>1.046</v>
      </c>
      <c r="AH609" s="164">
        <v>1.046</v>
      </c>
      <c r="AI609" s="164">
        <v>-18756538</v>
      </c>
      <c r="AJ609" s="164">
        <f t="shared" si="74"/>
        <v>0</v>
      </c>
      <c r="AK609" s="165">
        <v>0</v>
      </c>
      <c r="AL609" s="165">
        <f t="shared" si="72"/>
        <v>0</v>
      </c>
      <c r="AM609" s="165">
        <f t="shared" si="76"/>
        <v>0</v>
      </c>
      <c r="AN609" s="165">
        <f t="shared" si="77"/>
        <v>0</v>
      </c>
      <c r="AO609" s="16"/>
      <c r="AP609" s="231">
        <f t="shared" si="75"/>
        <v>0</v>
      </c>
      <c r="AR609" s="231"/>
      <c r="AS609" s="231"/>
      <c r="AU609" s="230">
        <v>-18756538</v>
      </c>
      <c r="AV609" s="233">
        <v>-18756538</v>
      </c>
      <c r="AW609" s="230">
        <f t="shared" si="73"/>
        <v>0</v>
      </c>
    </row>
    <row r="610" spans="1:49" hidden="1" x14ac:dyDescent="0.3">
      <c r="A610" s="84" t="s">
        <v>2069</v>
      </c>
      <c r="B610" s="39" t="s">
        <v>1339</v>
      </c>
      <c r="C610" s="39" t="s">
        <v>1328</v>
      </c>
      <c r="D610" s="340" t="s">
        <v>3472</v>
      </c>
      <c r="E610" s="159" t="s">
        <v>1085</v>
      </c>
      <c r="F610" s="159" t="s">
        <v>589</v>
      </c>
      <c r="G610" s="159" t="s">
        <v>387</v>
      </c>
      <c r="H610" s="159" t="s">
        <v>424</v>
      </c>
      <c r="I610" s="159" t="s">
        <v>1329</v>
      </c>
      <c r="J610" s="159" t="s">
        <v>1217</v>
      </c>
      <c r="K610" s="159" t="s">
        <v>1849</v>
      </c>
      <c r="L610" s="39" t="s">
        <v>556</v>
      </c>
      <c r="M610" s="39" t="s">
        <v>305</v>
      </c>
      <c r="N610" s="39">
        <v>11</v>
      </c>
      <c r="O610" s="167" t="s">
        <v>1328</v>
      </c>
      <c r="P610" s="39" t="s">
        <v>1328</v>
      </c>
      <c r="Q610" s="39" t="s">
        <v>1339</v>
      </c>
      <c r="R610" s="16" t="s">
        <v>2069</v>
      </c>
      <c r="S610" s="160">
        <v>-77947021</v>
      </c>
      <c r="T610" s="160">
        <v>-6408616.3600000003</v>
      </c>
      <c r="U610" s="160">
        <v>0</v>
      </c>
      <c r="V610" s="160">
        <v>-26041792.760000002</v>
      </c>
      <c r="W610" s="160">
        <v>-51905228.240000002</v>
      </c>
      <c r="X610" s="161" t="e">
        <v>#N/A</v>
      </c>
      <c r="Y610" s="160"/>
      <c r="Z610" s="16">
        <v>33.4</v>
      </c>
      <c r="AA610" s="162">
        <v>-26041792.760000002</v>
      </c>
      <c r="AB610" s="162">
        <v>-6510448.1900000004</v>
      </c>
      <c r="AC610" s="162">
        <v>-78125378.280000001</v>
      </c>
      <c r="AD610" s="160"/>
      <c r="AE610" s="145">
        <v>-77947021</v>
      </c>
      <c r="AF610" s="163">
        <v>1.0469999999999999</v>
      </c>
      <c r="AG610" s="164">
        <v>1.046</v>
      </c>
      <c r="AH610" s="164">
        <v>1.046</v>
      </c>
      <c r="AI610" s="164">
        <v>-77947021</v>
      </c>
      <c r="AJ610" s="164">
        <f t="shared" si="74"/>
        <v>0</v>
      </c>
      <c r="AK610" s="165">
        <v>0</v>
      </c>
      <c r="AL610" s="165">
        <f t="shared" si="72"/>
        <v>0</v>
      </c>
      <c r="AM610" s="165">
        <f t="shared" si="76"/>
        <v>0</v>
      </c>
      <c r="AN610" s="165">
        <f t="shared" si="77"/>
        <v>0</v>
      </c>
      <c r="AO610" s="16"/>
      <c r="AP610" s="231">
        <f t="shared" si="75"/>
        <v>0</v>
      </c>
      <c r="AR610" s="231"/>
      <c r="AS610" s="231"/>
      <c r="AU610" s="230">
        <v>-77947021</v>
      </c>
      <c r="AV610" s="233">
        <v>-77947021</v>
      </c>
      <c r="AW610" s="230">
        <f t="shared" si="73"/>
        <v>0</v>
      </c>
    </row>
    <row r="611" spans="1:49" hidden="1" x14ac:dyDescent="0.3">
      <c r="A611" s="84" t="s">
        <v>2070</v>
      </c>
      <c r="B611" s="39" t="s">
        <v>1340</v>
      </c>
      <c r="C611" s="39" t="s">
        <v>1328</v>
      </c>
      <c r="D611" s="340" t="s">
        <v>3472</v>
      </c>
      <c r="E611" s="159" t="s">
        <v>1085</v>
      </c>
      <c r="F611" s="159" t="s">
        <v>589</v>
      </c>
      <c r="G611" s="159" t="s">
        <v>387</v>
      </c>
      <c r="H611" s="159" t="s">
        <v>424</v>
      </c>
      <c r="I611" s="159" t="s">
        <v>1329</v>
      </c>
      <c r="J611" s="159" t="s">
        <v>894</v>
      </c>
      <c r="K611" s="159" t="s">
        <v>1849</v>
      </c>
      <c r="L611" s="39" t="s">
        <v>556</v>
      </c>
      <c r="M611" s="39" t="s">
        <v>305</v>
      </c>
      <c r="N611" s="39">
        <v>11</v>
      </c>
      <c r="O611" s="167" t="s">
        <v>1328</v>
      </c>
      <c r="P611" s="39" t="s">
        <v>1328</v>
      </c>
      <c r="Q611" s="39" t="s">
        <v>1340</v>
      </c>
      <c r="R611" s="16" t="s">
        <v>2070</v>
      </c>
      <c r="S611" s="160">
        <v>-178156429</v>
      </c>
      <c r="T611" s="160">
        <v>-14638093.35</v>
      </c>
      <c r="U611" s="160">
        <v>0</v>
      </c>
      <c r="V611" s="160">
        <v>-60147376.490000002</v>
      </c>
      <c r="W611" s="160">
        <v>-118009052.51000001</v>
      </c>
      <c r="X611" s="161" t="e">
        <v>#N/A</v>
      </c>
      <c r="Y611" s="160"/>
      <c r="Z611" s="16">
        <v>33.76</v>
      </c>
      <c r="AA611" s="162">
        <v>-60147376.490000002</v>
      </c>
      <c r="AB611" s="162">
        <v>-15036844.122500001</v>
      </c>
      <c r="AC611" s="162">
        <v>-180442129.47</v>
      </c>
      <c r="AD611" s="160"/>
      <c r="AE611" s="145">
        <v>-178156429</v>
      </c>
      <c r="AF611" s="163">
        <v>1.0469999999999999</v>
      </c>
      <c r="AG611" s="164">
        <v>1.046</v>
      </c>
      <c r="AH611" s="164">
        <v>1.046</v>
      </c>
      <c r="AI611" s="164">
        <v>-178156429</v>
      </c>
      <c r="AJ611" s="164">
        <f t="shared" si="74"/>
        <v>0</v>
      </c>
      <c r="AK611" s="165">
        <v>0</v>
      </c>
      <c r="AL611" s="165">
        <f t="shared" si="72"/>
        <v>0</v>
      </c>
      <c r="AM611" s="165">
        <f t="shared" si="76"/>
        <v>0</v>
      </c>
      <c r="AN611" s="165">
        <f t="shared" si="77"/>
        <v>0</v>
      </c>
      <c r="AO611" s="16"/>
      <c r="AP611" s="231">
        <f t="shared" si="75"/>
        <v>0</v>
      </c>
      <c r="AR611" s="231"/>
      <c r="AS611" s="231"/>
      <c r="AU611" s="230">
        <v>-178156429</v>
      </c>
      <c r="AV611" s="233">
        <v>-178156429</v>
      </c>
      <c r="AW611" s="230">
        <f t="shared" si="73"/>
        <v>0</v>
      </c>
    </row>
    <row r="612" spans="1:49" hidden="1" x14ac:dyDescent="0.3">
      <c r="A612" s="84" t="s">
        <v>1342</v>
      </c>
      <c r="B612" s="39" t="s">
        <v>1341</v>
      </c>
      <c r="C612" s="39" t="s">
        <v>1328</v>
      </c>
      <c r="D612" s="340" t="s">
        <v>3472</v>
      </c>
      <c r="E612" s="159" t="s">
        <v>1085</v>
      </c>
      <c r="F612" s="159" t="s">
        <v>589</v>
      </c>
      <c r="G612" s="159" t="s">
        <v>387</v>
      </c>
      <c r="H612" s="159" t="s">
        <v>424</v>
      </c>
      <c r="I612" s="159" t="s">
        <v>1329</v>
      </c>
      <c r="J612" s="159" t="s">
        <v>776</v>
      </c>
      <c r="K612" s="159" t="s">
        <v>1849</v>
      </c>
      <c r="L612" s="39" t="s">
        <v>556</v>
      </c>
      <c r="M612" s="39" t="s">
        <v>305</v>
      </c>
      <c r="N612" s="39">
        <v>11</v>
      </c>
      <c r="O612" s="167" t="s">
        <v>1328</v>
      </c>
      <c r="P612" s="39" t="s">
        <v>1328</v>
      </c>
      <c r="Q612" s="39" t="s">
        <v>1341</v>
      </c>
      <c r="R612" s="16" t="s">
        <v>1342</v>
      </c>
      <c r="S612" s="160">
        <v>-60667657</v>
      </c>
      <c r="T612" s="160">
        <v>0</v>
      </c>
      <c r="U612" s="160">
        <v>0</v>
      </c>
      <c r="V612" s="160">
        <v>-58484309.299999997</v>
      </c>
      <c r="W612" s="160">
        <v>-2183347.7000000002</v>
      </c>
      <c r="X612" s="161" t="e">
        <v>#N/A</v>
      </c>
      <c r="Y612" s="160"/>
      <c r="Z612" s="16">
        <v>96.4</v>
      </c>
      <c r="AA612" s="162">
        <v>-58484309.299999997</v>
      </c>
      <c r="AB612" s="162">
        <v>-14621077.324999999</v>
      </c>
      <c r="AC612" s="162">
        <v>-175452927.89999998</v>
      </c>
      <c r="AD612" s="160"/>
      <c r="AE612" s="145">
        <v>-60667657</v>
      </c>
      <c r="AF612" s="163">
        <v>1.0469999999999999</v>
      </c>
      <c r="AG612" s="164">
        <v>1.046</v>
      </c>
      <c r="AH612" s="164">
        <v>1.046</v>
      </c>
      <c r="AI612" s="164">
        <v>-60667657</v>
      </c>
      <c r="AJ612" s="164">
        <f t="shared" si="74"/>
        <v>0</v>
      </c>
      <c r="AK612" s="165">
        <v>0</v>
      </c>
      <c r="AL612" s="165">
        <f t="shared" si="72"/>
        <v>0</v>
      </c>
      <c r="AM612" s="165">
        <f t="shared" si="76"/>
        <v>0</v>
      </c>
      <c r="AN612" s="165">
        <f t="shared" si="77"/>
        <v>0</v>
      </c>
      <c r="AO612" s="16"/>
      <c r="AP612" s="231">
        <f t="shared" si="75"/>
        <v>0</v>
      </c>
      <c r="AR612" s="231"/>
      <c r="AS612" s="231"/>
      <c r="AU612" s="230">
        <v>-60667657</v>
      </c>
      <c r="AV612" s="233">
        <v>-60667657</v>
      </c>
      <c r="AW612" s="230">
        <f t="shared" si="73"/>
        <v>0</v>
      </c>
    </row>
    <row r="613" spans="1:49" hidden="1" x14ac:dyDescent="0.3">
      <c r="A613" s="84" t="s">
        <v>2071</v>
      </c>
      <c r="B613" s="39" t="s">
        <v>1343</v>
      </c>
      <c r="C613" s="39" t="s">
        <v>1328</v>
      </c>
      <c r="D613" s="340" t="s">
        <v>3472</v>
      </c>
      <c r="E613" s="159" t="s">
        <v>1085</v>
      </c>
      <c r="F613" s="159" t="s">
        <v>589</v>
      </c>
      <c r="G613" s="159" t="s">
        <v>387</v>
      </c>
      <c r="H613" s="159" t="s">
        <v>424</v>
      </c>
      <c r="I613" s="159" t="s">
        <v>1329</v>
      </c>
      <c r="J613" s="159" t="s">
        <v>876</v>
      </c>
      <c r="K613" s="159" t="s">
        <v>1849</v>
      </c>
      <c r="L613" s="39" t="s">
        <v>556</v>
      </c>
      <c r="M613" s="39" t="s">
        <v>305</v>
      </c>
      <c r="N613" s="39">
        <v>11</v>
      </c>
      <c r="O613" s="167" t="s">
        <v>1328</v>
      </c>
      <c r="P613" s="39" t="s">
        <v>1328</v>
      </c>
      <c r="Q613" s="39" t="s">
        <v>1343</v>
      </c>
      <c r="R613" s="16" t="s">
        <v>2071</v>
      </c>
      <c r="S613" s="160">
        <v>-76406639</v>
      </c>
      <c r="T613" s="160">
        <v>0</v>
      </c>
      <c r="U613" s="160">
        <v>0</v>
      </c>
      <c r="V613" s="160">
        <v>-72046776.810000002</v>
      </c>
      <c r="W613" s="160">
        <v>-4359862.1900000004</v>
      </c>
      <c r="X613" s="161" t="e">
        <v>#N/A</v>
      </c>
      <c r="Y613" s="160"/>
      <c r="Z613" s="16">
        <v>94.29</v>
      </c>
      <c r="AA613" s="162">
        <v>-72046776.810000002</v>
      </c>
      <c r="AB613" s="162">
        <v>-18011694.202500001</v>
      </c>
      <c r="AC613" s="162">
        <v>-216140330.43000001</v>
      </c>
      <c r="AD613" s="160"/>
      <c r="AE613" s="145">
        <v>-76406639</v>
      </c>
      <c r="AF613" s="163">
        <v>1.0469999999999999</v>
      </c>
      <c r="AG613" s="164">
        <v>1.046</v>
      </c>
      <c r="AH613" s="164">
        <v>1.046</v>
      </c>
      <c r="AI613" s="164">
        <v>-76406639</v>
      </c>
      <c r="AJ613" s="164">
        <f t="shared" si="74"/>
        <v>0</v>
      </c>
      <c r="AK613" s="165">
        <v>0</v>
      </c>
      <c r="AL613" s="165">
        <f t="shared" si="72"/>
        <v>0</v>
      </c>
      <c r="AM613" s="165">
        <f t="shared" si="76"/>
        <v>0</v>
      </c>
      <c r="AN613" s="165">
        <f t="shared" si="77"/>
        <v>0</v>
      </c>
      <c r="AO613" s="16"/>
      <c r="AP613" s="231">
        <f t="shared" si="75"/>
        <v>0</v>
      </c>
      <c r="AR613" s="231"/>
      <c r="AS613" s="231"/>
      <c r="AU613" s="230">
        <v>-76406639</v>
      </c>
      <c r="AV613" s="233">
        <v>-76406639</v>
      </c>
      <c r="AW613" s="230">
        <f t="shared" si="73"/>
        <v>0</v>
      </c>
    </row>
    <row r="614" spans="1:49" hidden="1" x14ac:dyDescent="0.3">
      <c r="A614" s="84" t="s">
        <v>2072</v>
      </c>
      <c r="B614" s="39" t="s">
        <v>1344</v>
      </c>
      <c r="C614" s="39" t="s">
        <v>1328</v>
      </c>
      <c r="D614" s="340" t="s">
        <v>3472</v>
      </c>
      <c r="E614" s="159" t="s">
        <v>1085</v>
      </c>
      <c r="F614" s="159" t="s">
        <v>589</v>
      </c>
      <c r="G614" s="159" t="s">
        <v>387</v>
      </c>
      <c r="H614" s="159" t="s">
        <v>424</v>
      </c>
      <c r="I614" s="159" t="s">
        <v>1329</v>
      </c>
      <c r="J614" s="159" t="s">
        <v>426</v>
      </c>
      <c r="K614" s="159" t="s">
        <v>1849</v>
      </c>
      <c r="L614" s="39" t="s">
        <v>556</v>
      </c>
      <c r="M614" s="39" t="s">
        <v>305</v>
      </c>
      <c r="N614" s="39">
        <v>11</v>
      </c>
      <c r="O614" s="167" t="s">
        <v>1328</v>
      </c>
      <c r="P614" s="39" t="s">
        <v>1328</v>
      </c>
      <c r="Q614" s="39" t="s">
        <v>1344</v>
      </c>
      <c r="R614" s="16" t="s">
        <v>2072</v>
      </c>
      <c r="S614" s="160">
        <v>-12679209</v>
      </c>
      <c r="T614" s="160">
        <v>0</v>
      </c>
      <c r="U614" s="160">
        <v>0</v>
      </c>
      <c r="V614" s="160">
        <v>-67221255.519999996</v>
      </c>
      <c r="W614" s="160">
        <v>54542046.520000003</v>
      </c>
      <c r="X614" s="161" t="e">
        <v>#N/A</v>
      </c>
      <c r="Y614" s="160"/>
      <c r="Z614" s="16">
        <v>530.16</v>
      </c>
      <c r="AA614" s="162">
        <v>-67221255.519999996</v>
      </c>
      <c r="AB614" s="162">
        <v>-16805313.879999999</v>
      </c>
      <c r="AC614" s="162">
        <v>-201663766.56</v>
      </c>
      <c r="AD614" s="160"/>
      <c r="AE614" s="145">
        <v>-12679209</v>
      </c>
      <c r="AF614" s="163">
        <v>1.0469999999999999</v>
      </c>
      <c r="AG614" s="164">
        <v>1.046</v>
      </c>
      <c r="AH614" s="164">
        <v>1.046</v>
      </c>
      <c r="AI614" s="164">
        <v>-12679209</v>
      </c>
      <c r="AJ614" s="164">
        <f t="shared" si="74"/>
        <v>0</v>
      </c>
      <c r="AK614" s="165">
        <v>0</v>
      </c>
      <c r="AL614" s="165">
        <f t="shared" si="72"/>
        <v>0</v>
      </c>
      <c r="AM614" s="165">
        <f t="shared" si="76"/>
        <v>0</v>
      </c>
      <c r="AN614" s="165">
        <f t="shared" si="77"/>
        <v>0</v>
      </c>
      <c r="AO614" s="16"/>
      <c r="AP614" s="231">
        <f t="shared" si="75"/>
        <v>0</v>
      </c>
      <c r="AR614" s="231"/>
      <c r="AS614" s="231"/>
      <c r="AU614" s="230">
        <v>-12679209</v>
      </c>
      <c r="AV614" s="233">
        <v>-12679209</v>
      </c>
      <c r="AW614" s="230">
        <f t="shared" si="73"/>
        <v>0</v>
      </c>
    </row>
    <row r="615" spans="1:49" hidden="1" x14ac:dyDescent="0.3">
      <c r="A615" s="84" t="s">
        <v>2073</v>
      </c>
      <c r="B615" s="39" t="s">
        <v>1345</v>
      </c>
      <c r="C615" s="39" t="s">
        <v>1328</v>
      </c>
      <c r="D615" s="340" t="s">
        <v>3472</v>
      </c>
      <c r="E615" s="159" t="s">
        <v>1085</v>
      </c>
      <c r="F615" s="159" t="s">
        <v>589</v>
      </c>
      <c r="G615" s="159" t="s">
        <v>387</v>
      </c>
      <c r="H615" s="159" t="s">
        <v>424</v>
      </c>
      <c r="I615" s="159" t="s">
        <v>1329</v>
      </c>
      <c r="J615" s="159" t="s">
        <v>1276</v>
      </c>
      <c r="K615" s="159" t="s">
        <v>1849</v>
      </c>
      <c r="L615" s="39" t="s">
        <v>556</v>
      </c>
      <c r="M615" s="39" t="s">
        <v>305</v>
      </c>
      <c r="N615" s="39">
        <v>11</v>
      </c>
      <c r="O615" s="167" t="s">
        <v>1328</v>
      </c>
      <c r="P615" s="39" t="s">
        <v>1328</v>
      </c>
      <c r="Q615" s="39" t="s">
        <v>1345</v>
      </c>
      <c r="R615" s="16" t="s">
        <v>2073</v>
      </c>
      <c r="S615" s="160">
        <v>-83161376</v>
      </c>
      <c r="T615" s="160">
        <v>-10262099.310000001</v>
      </c>
      <c r="U615" s="160">
        <v>0</v>
      </c>
      <c r="V615" s="160">
        <v>-10262099.310000001</v>
      </c>
      <c r="W615" s="160">
        <v>-72899276.689999998</v>
      </c>
      <c r="X615" s="161" t="e">
        <v>#N/A</v>
      </c>
      <c r="Y615" s="160"/>
      <c r="Z615" s="16">
        <v>12.33</v>
      </c>
      <c r="AA615" s="162">
        <v>-10262099.310000001</v>
      </c>
      <c r="AB615" s="162">
        <v>-2565524.8275000001</v>
      </c>
      <c r="AC615" s="162">
        <v>-30786297.93</v>
      </c>
      <c r="AD615" s="160"/>
      <c r="AE615" s="145">
        <v>-83161376</v>
      </c>
      <c r="AF615" s="163">
        <v>1.0469999999999999</v>
      </c>
      <c r="AG615" s="164">
        <v>1.046</v>
      </c>
      <c r="AH615" s="164">
        <v>1.046</v>
      </c>
      <c r="AI615" s="164">
        <v>-83161376</v>
      </c>
      <c r="AJ615" s="164">
        <f t="shared" si="74"/>
        <v>0</v>
      </c>
      <c r="AK615" s="165">
        <v>0</v>
      </c>
      <c r="AL615" s="165">
        <f t="shared" si="72"/>
        <v>0</v>
      </c>
      <c r="AM615" s="165">
        <f t="shared" si="76"/>
        <v>0</v>
      </c>
      <c r="AN615" s="165">
        <f t="shared" si="77"/>
        <v>0</v>
      </c>
      <c r="AO615" s="16"/>
      <c r="AP615" s="231">
        <f t="shared" si="75"/>
        <v>0</v>
      </c>
      <c r="AR615" s="231"/>
      <c r="AS615" s="231"/>
      <c r="AU615" s="230">
        <v>-83161376</v>
      </c>
      <c r="AV615" s="233">
        <v>-83161376</v>
      </c>
      <c r="AW615" s="230">
        <f t="shared" si="73"/>
        <v>0</v>
      </c>
    </row>
    <row r="616" spans="1:49" hidden="1" x14ac:dyDescent="0.3">
      <c r="A616" s="84" t="s">
        <v>2074</v>
      </c>
      <c r="B616" s="39" t="s">
        <v>1346</v>
      </c>
      <c r="C616" s="39" t="s">
        <v>1328</v>
      </c>
      <c r="D616" s="340" t="s">
        <v>3472</v>
      </c>
      <c r="E616" s="159" t="s">
        <v>1085</v>
      </c>
      <c r="F616" s="159" t="s">
        <v>589</v>
      </c>
      <c r="G616" s="159" t="s">
        <v>387</v>
      </c>
      <c r="H616" s="159" t="s">
        <v>424</v>
      </c>
      <c r="I616" s="159" t="s">
        <v>1329</v>
      </c>
      <c r="J616" s="159" t="s">
        <v>1278</v>
      </c>
      <c r="K616" s="159" t="s">
        <v>1849</v>
      </c>
      <c r="L616" s="39" t="s">
        <v>556</v>
      </c>
      <c r="M616" s="39" t="s">
        <v>305</v>
      </c>
      <c r="N616" s="39">
        <v>11</v>
      </c>
      <c r="O616" s="167" t="s">
        <v>1328</v>
      </c>
      <c r="P616" s="39" t="s">
        <v>1328</v>
      </c>
      <c r="Q616" s="39" t="s">
        <v>1346</v>
      </c>
      <c r="R616" s="16" t="s">
        <v>2074</v>
      </c>
      <c r="S616" s="160">
        <v>-139953967</v>
      </c>
      <c r="T616" s="160">
        <v>-16334958.609999999</v>
      </c>
      <c r="U616" s="160">
        <v>0</v>
      </c>
      <c r="V616" s="160">
        <v>-16334958.609999999</v>
      </c>
      <c r="W616" s="160">
        <v>-123619008.39</v>
      </c>
      <c r="X616" s="161" t="e">
        <v>#N/A</v>
      </c>
      <c r="Y616" s="160"/>
      <c r="Z616" s="16">
        <v>11.67</v>
      </c>
      <c r="AA616" s="162">
        <v>-16334958.609999999</v>
      </c>
      <c r="AB616" s="162">
        <v>-4083739.6524999999</v>
      </c>
      <c r="AC616" s="162">
        <v>-49004875.829999998</v>
      </c>
      <c r="AD616" s="160"/>
      <c r="AE616" s="145">
        <v>-139953967</v>
      </c>
      <c r="AF616" s="163">
        <v>1.0469999999999999</v>
      </c>
      <c r="AG616" s="164">
        <v>1.046</v>
      </c>
      <c r="AH616" s="164">
        <v>1.046</v>
      </c>
      <c r="AI616" s="164">
        <v>-139953967</v>
      </c>
      <c r="AJ616" s="164">
        <f t="shared" si="74"/>
        <v>0</v>
      </c>
      <c r="AK616" s="165">
        <v>0</v>
      </c>
      <c r="AL616" s="165">
        <f t="shared" si="72"/>
        <v>0</v>
      </c>
      <c r="AM616" s="165">
        <f t="shared" si="76"/>
        <v>0</v>
      </c>
      <c r="AN616" s="165">
        <f t="shared" si="77"/>
        <v>0</v>
      </c>
      <c r="AO616" s="16"/>
      <c r="AP616" s="231">
        <f t="shared" si="75"/>
        <v>0</v>
      </c>
      <c r="AR616" s="231"/>
      <c r="AS616" s="231"/>
      <c r="AU616" s="230">
        <v>-139953967</v>
      </c>
      <c r="AV616" s="233">
        <v>-139953967</v>
      </c>
      <c r="AW616" s="230">
        <f t="shared" si="73"/>
        <v>0</v>
      </c>
    </row>
    <row r="617" spans="1:49" hidden="1" x14ac:dyDescent="0.3">
      <c r="A617" s="84" t="s">
        <v>2075</v>
      </c>
      <c r="B617" s="39" t="s">
        <v>1347</v>
      </c>
      <c r="C617" s="39" t="s">
        <v>1328</v>
      </c>
      <c r="D617" s="340" t="s">
        <v>3472</v>
      </c>
      <c r="E617" s="159" t="s">
        <v>1085</v>
      </c>
      <c r="F617" s="159" t="s">
        <v>589</v>
      </c>
      <c r="G617" s="159" t="s">
        <v>387</v>
      </c>
      <c r="H617" s="159" t="s">
        <v>424</v>
      </c>
      <c r="I617" s="159" t="s">
        <v>1329</v>
      </c>
      <c r="J617" s="159" t="s">
        <v>1280</v>
      </c>
      <c r="K617" s="159" t="s">
        <v>1849</v>
      </c>
      <c r="L617" s="39" t="s">
        <v>556</v>
      </c>
      <c r="M617" s="39" t="s">
        <v>305</v>
      </c>
      <c r="N617" s="39">
        <v>11</v>
      </c>
      <c r="O617" s="167" t="s">
        <v>1328</v>
      </c>
      <c r="P617" s="39" t="s">
        <v>1328</v>
      </c>
      <c r="Q617" s="39" t="s">
        <v>1347</v>
      </c>
      <c r="R617" s="16" t="s">
        <v>2075</v>
      </c>
      <c r="S617" s="160">
        <v>-126247828</v>
      </c>
      <c r="T617" s="160">
        <v>-13883558.109999999</v>
      </c>
      <c r="U617" s="160">
        <v>0</v>
      </c>
      <c r="V617" s="160">
        <v>-13883558.109999999</v>
      </c>
      <c r="W617" s="160">
        <v>-112364269.89</v>
      </c>
      <c r="X617" s="161" t="e">
        <v>#N/A</v>
      </c>
      <c r="Y617" s="160"/>
      <c r="Z617" s="16">
        <v>10.99</v>
      </c>
      <c r="AA617" s="162">
        <v>-13883558.109999999</v>
      </c>
      <c r="AB617" s="162">
        <v>-3470889.5274999999</v>
      </c>
      <c r="AC617" s="162">
        <v>-41650674.329999998</v>
      </c>
      <c r="AD617" s="160"/>
      <c r="AE617" s="145">
        <v>-126247828</v>
      </c>
      <c r="AF617" s="163">
        <v>1.0469999999999999</v>
      </c>
      <c r="AG617" s="164">
        <v>1.046</v>
      </c>
      <c r="AH617" s="164">
        <v>1.046</v>
      </c>
      <c r="AI617" s="164">
        <v>-126247828</v>
      </c>
      <c r="AJ617" s="164">
        <f t="shared" si="74"/>
        <v>0</v>
      </c>
      <c r="AK617" s="165">
        <v>0</v>
      </c>
      <c r="AL617" s="165">
        <f t="shared" si="72"/>
        <v>0</v>
      </c>
      <c r="AM617" s="165">
        <f t="shared" si="76"/>
        <v>0</v>
      </c>
      <c r="AN617" s="165">
        <f t="shared" si="77"/>
        <v>0</v>
      </c>
      <c r="AO617" s="16"/>
      <c r="AP617" s="231">
        <f t="shared" si="75"/>
        <v>0</v>
      </c>
      <c r="AR617" s="231"/>
      <c r="AS617" s="231"/>
      <c r="AU617" s="230">
        <v>-126247828</v>
      </c>
      <c r="AV617" s="233">
        <v>-126247828</v>
      </c>
      <c r="AW617" s="230">
        <f t="shared" si="73"/>
        <v>0</v>
      </c>
    </row>
    <row r="618" spans="1:49" hidden="1" x14ac:dyDescent="0.3">
      <c r="A618" s="84" t="s">
        <v>1349</v>
      </c>
      <c r="B618" s="39" t="s">
        <v>1348</v>
      </c>
      <c r="C618" s="39" t="s">
        <v>1350</v>
      </c>
      <c r="D618" s="340" t="s">
        <v>3472</v>
      </c>
      <c r="E618" s="159" t="s">
        <v>1085</v>
      </c>
      <c r="F618" s="159" t="s">
        <v>589</v>
      </c>
      <c r="G618" s="159" t="s">
        <v>387</v>
      </c>
      <c r="H618" s="159" t="s">
        <v>424</v>
      </c>
      <c r="I618" s="159" t="s">
        <v>1329</v>
      </c>
      <c r="J618" s="159" t="s">
        <v>327</v>
      </c>
      <c r="K618" s="159" t="s">
        <v>1849</v>
      </c>
      <c r="L618" s="39" t="s">
        <v>556</v>
      </c>
      <c r="M618" s="39" t="s">
        <v>305</v>
      </c>
      <c r="N618" s="39">
        <v>11</v>
      </c>
      <c r="O618" s="167" t="s">
        <v>1350</v>
      </c>
      <c r="P618" s="39" t="s">
        <v>1350</v>
      </c>
      <c r="Q618" s="39" t="s">
        <v>1348</v>
      </c>
      <c r="R618" s="16" t="s">
        <v>1349</v>
      </c>
      <c r="S618" s="160">
        <v>-138957</v>
      </c>
      <c r="T618" s="160">
        <v>-8059.52</v>
      </c>
      <c r="U618" s="160">
        <v>0</v>
      </c>
      <c r="V618" s="160">
        <v>-32238.080000000002</v>
      </c>
      <c r="W618" s="160">
        <v>-106718.92</v>
      </c>
      <c r="X618" s="161" t="e">
        <v>#N/A</v>
      </c>
      <c r="Y618" s="160"/>
      <c r="Z618" s="16">
        <v>23.2</v>
      </c>
      <c r="AA618" s="162">
        <v>-32238.080000000002</v>
      </c>
      <c r="AB618" s="162">
        <v>-8059.52</v>
      </c>
      <c r="AC618" s="162">
        <v>-96714.240000000005</v>
      </c>
      <c r="AD618" s="160"/>
      <c r="AE618" s="145">
        <v>-138957</v>
      </c>
      <c r="AF618" s="163">
        <v>1.0469999999999999</v>
      </c>
      <c r="AG618" s="164">
        <v>1.046</v>
      </c>
      <c r="AH618" s="164">
        <v>1.046</v>
      </c>
      <c r="AI618" s="164">
        <v>-138957</v>
      </c>
      <c r="AJ618" s="164">
        <f t="shared" si="74"/>
        <v>0</v>
      </c>
      <c r="AK618" s="165">
        <v>0</v>
      </c>
      <c r="AL618" s="165">
        <f t="shared" si="72"/>
        <v>0</v>
      </c>
      <c r="AM618" s="165">
        <f t="shared" si="76"/>
        <v>0</v>
      </c>
      <c r="AN618" s="165">
        <f t="shared" si="77"/>
        <v>0</v>
      </c>
      <c r="AO618" s="16"/>
      <c r="AP618" s="231">
        <f t="shared" si="75"/>
        <v>0</v>
      </c>
      <c r="AR618" s="231"/>
      <c r="AS618" s="231"/>
      <c r="AU618" s="230">
        <v>-138957</v>
      </c>
      <c r="AV618" s="233">
        <v>-138957</v>
      </c>
      <c r="AW618" s="230">
        <f t="shared" si="73"/>
        <v>0</v>
      </c>
    </row>
    <row r="619" spans="1:49" hidden="1" x14ac:dyDescent="0.3">
      <c r="A619" s="84" t="s">
        <v>1352</v>
      </c>
      <c r="B619" s="39" t="s">
        <v>1351</v>
      </c>
      <c r="C619" s="39" t="s">
        <v>1350</v>
      </c>
      <c r="D619" s="340" t="s">
        <v>3472</v>
      </c>
      <c r="E619" s="159" t="s">
        <v>1085</v>
      </c>
      <c r="F619" s="159" t="s">
        <v>589</v>
      </c>
      <c r="G619" s="159" t="s">
        <v>387</v>
      </c>
      <c r="H619" s="159" t="s">
        <v>424</v>
      </c>
      <c r="I619" s="159" t="s">
        <v>1329</v>
      </c>
      <c r="J619" s="159" t="s">
        <v>1286</v>
      </c>
      <c r="K619" s="159" t="s">
        <v>1849</v>
      </c>
      <c r="L619" s="39" t="s">
        <v>556</v>
      </c>
      <c r="M619" s="39" t="s">
        <v>305</v>
      </c>
      <c r="N619" s="39">
        <v>11</v>
      </c>
      <c r="O619" s="167" t="s">
        <v>1350</v>
      </c>
      <c r="P619" s="39" t="s">
        <v>1350</v>
      </c>
      <c r="Q619" s="39" t="s">
        <v>1351</v>
      </c>
      <c r="R619" s="16" t="s">
        <v>1352</v>
      </c>
      <c r="S619" s="160">
        <v>-5532358</v>
      </c>
      <c r="T619" s="160">
        <v>-351151.86</v>
      </c>
      <c r="U619" s="160">
        <v>0</v>
      </c>
      <c r="V619" s="160">
        <v>-1401824.74</v>
      </c>
      <c r="W619" s="160">
        <v>-4130533.26</v>
      </c>
      <c r="X619" s="161" t="e">
        <v>#N/A</v>
      </c>
      <c r="Y619" s="160"/>
      <c r="Z619" s="16">
        <v>25.33</v>
      </c>
      <c r="AA619" s="162">
        <v>-1401824.74</v>
      </c>
      <c r="AB619" s="162">
        <v>-350456.185</v>
      </c>
      <c r="AC619" s="162">
        <v>-4205474.22</v>
      </c>
      <c r="AD619" s="160"/>
      <c r="AE619" s="145">
        <v>-5532358</v>
      </c>
      <c r="AF619" s="163">
        <v>1.0469999999999999</v>
      </c>
      <c r="AG619" s="164">
        <v>1.046</v>
      </c>
      <c r="AH619" s="164">
        <v>1.046</v>
      </c>
      <c r="AI619" s="164">
        <v>-5532358</v>
      </c>
      <c r="AJ619" s="164">
        <f t="shared" si="74"/>
        <v>0</v>
      </c>
      <c r="AK619" s="165">
        <v>0</v>
      </c>
      <c r="AL619" s="165">
        <f t="shared" si="72"/>
        <v>0</v>
      </c>
      <c r="AM619" s="165">
        <f t="shared" si="76"/>
        <v>0</v>
      </c>
      <c r="AN619" s="165">
        <f t="shared" si="77"/>
        <v>0</v>
      </c>
      <c r="AO619" s="16"/>
      <c r="AP619" s="231">
        <f t="shared" si="75"/>
        <v>0</v>
      </c>
      <c r="AR619" s="231"/>
      <c r="AS619" s="231"/>
      <c r="AU619" s="230">
        <v>-5532358</v>
      </c>
      <c r="AV619" s="233">
        <v>-5532358</v>
      </c>
      <c r="AW619" s="230">
        <f t="shared" si="73"/>
        <v>0</v>
      </c>
    </row>
    <row r="620" spans="1:49" hidden="1" x14ac:dyDescent="0.3">
      <c r="A620" s="84" t="s">
        <v>1354</v>
      </c>
      <c r="B620" s="39" t="s">
        <v>1353</v>
      </c>
      <c r="C620" s="39" t="s">
        <v>1350</v>
      </c>
      <c r="D620" s="340" t="s">
        <v>3472</v>
      </c>
      <c r="E620" s="159" t="s">
        <v>1085</v>
      </c>
      <c r="F620" s="159" t="s">
        <v>589</v>
      </c>
      <c r="G620" s="159" t="s">
        <v>387</v>
      </c>
      <c r="H620" s="159" t="s">
        <v>424</v>
      </c>
      <c r="I620" s="159" t="s">
        <v>1329</v>
      </c>
      <c r="J620" s="159" t="s">
        <v>1290</v>
      </c>
      <c r="K620" s="159" t="s">
        <v>1849</v>
      </c>
      <c r="L620" s="39" t="s">
        <v>556</v>
      </c>
      <c r="M620" s="39" t="s">
        <v>305</v>
      </c>
      <c r="N620" s="39">
        <v>11</v>
      </c>
      <c r="O620" s="167" t="s">
        <v>1350</v>
      </c>
      <c r="P620" s="39" t="s">
        <v>1350</v>
      </c>
      <c r="Q620" s="39" t="s">
        <v>1353</v>
      </c>
      <c r="R620" s="16" t="s">
        <v>1354</v>
      </c>
      <c r="S620" s="160">
        <v>-13087727</v>
      </c>
      <c r="T620" s="160">
        <v>-524420.04</v>
      </c>
      <c r="U620" s="160">
        <v>0</v>
      </c>
      <c r="V620" s="160">
        <v>-2099410.66</v>
      </c>
      <c r="W620" s="160">
        <v>-10988316.34</v>
      </c>
      <c r="X620" s="161" t="e">
        <v>#N/A</v>
      </c>
      <c r="Y620" s="160"/>
      <c r="Z620" s="16">
        <v>16.04</v>
      </c>
      <c r="AA620" s="162">
        <v>-2099410.66</v>
      </c>
      <c r="AB620" s="162">
        <v>-524852.66500000004</v>
      </c>
      <c r="AC620" s="162">
        <v>-6298231.9800000004</v>
      </c>
      <c r="AD620" s="160"/>
      <c r="AE620" s="145">
        <v>-13087727</v>
      </c>
      <c r="AF620" s="163">
        <v>1.0469999999999999</v>
      </c>
      <c r="AG620" s="164">
        <v>1.046</v>
      </c>
      <c r="AH620" s="164">
        <v>1.046</v>
      </c>
      <c r="AI620" s="164">
        <v>-13087727</v>
      </c>
      <c r="AJ620" s="164">
        <f t="shared" si="74"/>
        <v>0</v>
      </c>
      <c r="AK620" s="165">
        <v>0</v>
      </c>
      <c r="AL620" s="165">
        <f t="shared" si="72"/>
        <v>0</v>
      </c>
      <c r="AM620" s="165">
        <f t="shared" si="76"/>
        <v>0</v>
      </c>
      <c r="AN620" s="165">
        <f t="shared" si="77"/>
        <v>0</v>
      </c>
      <c r="AO620" s="16"/>
      <c r="AP620" s="231">
        <f t="shared" si="75"/>
        <v>0</v>
      </c>
      <c r="AR620" s="231"/>
      <c r="AS620" s="231"/>
      <c r="AU620" s="230">
        <v>-13087727</v>
      </c>
      <c r="AV620" s="233">
        <v>-13087727</v>
      </c>
      <c r="AW620" s="230">
        <f t="shared" si="73"/>
        <v>0</v>
      </c>
    </row>
    <row r="621" spans="1:49" hidden="1" x14ac:dyDescent="0.3">
      <c r="A621" s="84" t="s">
        <v>1356</v>
      </c>
      <c r="B621" s="39" t="s">
        <v>1355</v>
      </c>
      <c r="C621" s="39" t="s">
        <v>139</v>
      </c>
      <c r="D621" s="340" t="s">
        <v>3472</v>
      </c>
      <c r="E621" s="159" t="s">
        <v>1085</v>
      </c>
      <c r="F621" s="159" t="s">
        <v>589</v>
      </c>
      <c r="G621" s="159" t="s">
        <v>387</v>
      </c>
      <c r="H621" s="159" t="s">
        <v>424</v>
      </c>
      <c r="I621" s="159" t="s">
        <v>1357</v>
      </c>
      <c r="J621" s="159" t="s">
        <v>387</v>
      </c>
      <c r="K621" s="159" t="s">
        <v>1849</v>
      </c>
      <c r="L621" s="39" t="s">
        <v>556</v>
      </c>
      <c r="M621" s="39" t="s">
        <v>305</v>
      </c>
      <c r="N621" s="39">
        <v>11</v>
      </c>
      <c r="O621" s="167" t="s">
        <v>139</v>
      </c>
      <c r="P621" s="39" t="s">
        <v>139</v>
      </c>
      <c r="Q621" s="39" t="s">
        <v>1355</v>
      </c>
      <c r="R621" s="16" t="s">
        <v>1356</v>
      </c>
      <c r="S621" s="160">
        <v>-152384</v>
      </c>
      <c r="T621" s="160">
        <v>-7652.01</v>
      </c>
      <c r="U621" s="160">
        <v>0</v>
      </c>
      <c r="V621" s="160">
        <v>-313813.43</v>
      </c>
      <c r="W621" s="160">
        <v>161429.43</v>
      </c>
      <c r="X621" s="161" t="e">
        <v>#N/A</v>
      </c>
      <c r="Y621" s="160"/>
      <c r="Z621" s="16">
        <v>205.93</v>
      </c>
      <c r="AA621" s="162">
        <v>-313813.43</v>
      </c>
      <c r="AB621" s="162">
        <v>-78453.357499999998</v>
      </c>
      <c r="AC621" s="162">
        <v>-941440.29</v>
      </c>
      <c r="AD621" s="160"/>
      <c r="AE621" s="145">
        <v>-152384</v>
      </c>
      <c r="AF621" s="163">
        <v>1.0469999999999999</v>
      </c>
      <c r="AG621" s="164">
        <v>1.046</v>
      </c>
      <c r="AH621" s="164">
        <v>1.046</v>
      </c>
      <c r="AI621" s="164">
        <v>-152384</v>
      </c>
      <c r="AJ621" s="164">
        <f t="shared" si="74"/>
        <v>0</v>
      </c>
      <c r="AK621" s="165">
        <v>0</v>
      </c>
      <c r="AL621" s="165">
        <f t="shared" si="72"/>
        <v>0</v>
      </c>
      <c r="AM621" s="165">
        <f t="shared" si="76"/>
        <v>0</v>
      </c>
      <c r="AN621" s="165">
        <f t="shared" si="77"/>
        <v>0</v>
      </c>
      <c r="AO621" s="16"/>
      <c r="AP621" s="231">
        <f t="shared" si="75"/>
        <v>0</v>
      </c>
      <c r="AR621" s="231"/>
      <c r="AS621" s="231"/>
      <c r="AU621" s="230">
        <v>-152384</v>
      </c>
      <c r="AV621" s="233">
        <v>-152384</v>
      </c>
      <c r="AW621" s="230">
        <f t="shared" si="73"/>
        <v>0</v>
      </c>
    </row>
    <row r="622" spans="1:49" hidden="1" x14ac:dyDescent="0.3">
      <c r="A622" s="84" t="s">
        <v>2076</v>
      </c>
      <c r="B622" s="39" t="s">
        <v>1358</v>
      </c>
      <c r="C622" s="39" t="s">
        <v>139</v>
      </c>
      <c r="D622" s="340" t="s">
        <v>3472</v>
      </c>
      <c r="E622" s="159" t="s">
        <v>1085</v>
      </c>
      <c r="F622" s="159" t="s">
        <v>589</v>
      </c>
      <c r="G622" s="159" t="s">
        <v>387</v>
      </c>
      <c r="H622" s="159" t="s">
        <v>424</v>
      </c>
      <c r="I622" s="159" t="s">
        <v>1357</v>
      </c>
      <c r="J622" s="159" t="s">
        <v>309</v>
      </c>
      <c r="K622" s="159" t="s">
        <v>1849</v>
      </c>
      <c r="L622" s="39" t="s">
        <v>556</v>
      </c>
      <c r="M622" s="39" t="s">
        <v>305</v>
      </c>
      <c r="N622" s="39">
        <v>11</v>
      </c>
      <c r="O622" s="167" t="s">
        <v>139</v>
      </c>
      <c r="P622" s="39" t="s">
        <v>139</v>
      </c>
      <c r="Q622" s="39" t="s">
        <v>1358</v>
      </c>
      <c r="R622" s="16" t="s">
        <v>2076</v>
      </c>
      <c r="S622" s="160">
        <v>-197744</v>
      </c>
      <c r="T622" s="160">
        <v>7652.01</v>
      </c>
      <c r="U622" s="160">
        <v>0</v>
      </c>
      <c r="V622" s="160">
        <v>-207323</v>
      </c>
      <c r="W622" s="160">
        <v>9579</v>
      </c>
      <c r="X622" s="161" t="e">
        <v>#N/A</v>
      </c>
      <c r="Y622" s="160"/>
      <c r="Z622" s="16">
        <v>104.84</v>
      </c>
      <c r="AA622" s="162">
        <v>-207323</v>
      </c>
      <c r="AB622" s="162">
        <v>-51830.75</v>
      </c>
      <c r="AC622" s="162">
        <v>-621969</v>
      </c>
      <c r="AD622" s="160"/>
      <c r="AE622" s="145">
        <v>-197744</v>
      </c>
      <c r="AF622" s="163">
        <v>1.0469999999999999</v>
      </c>
      <c r="AG622" s="164">
        <v>1.046</v>
      </c>
      <c r="AH622" s="164">
        <v>1.046</v>
      </c>
      <c r="AI622" s="164">
        <v>-197744</v>
      </c>
      <c r="AJ622" s="164">
        <f t="shared" si="74"/>
        <v>0</v>
      </c>
      <c r="AK622" s="165">
        <v>0</v>
      </c>
      <c r="AL622" s="165">
        <f t="shared" si="72"/>
        <v>0</v>
      </c>
      <c r="AM622" s="165">
        <f t="shared" si="76"/>
        <v>0</v>
      </c>
      <c r="AN622" s="165">
        <f t="shared" si="77"/>
        <v>0</v>
      </c>
      <c r="AO622" s="16"/>
      <c r="AP622" s="231">
        <f t="shared" si="75"/>
        <v>0</v>
      </c>
      <c r="AR622" s="231"/>
      <c r="AS622" s="231"/>
      <c r="AU622" s="230">
        <v>-197744</v>
      </c>
      <c r="AV622" s="233">
        <v>-197744</v>
      </c>
      <c r="AW622" s="230">
        <f t="shared" si="73"/>
        <v>0</v>
      </c>
    </row>
    <row r="623" spans="1:49" hidden="1" x14ac:dyDescent="0.3">
      <c r="A623" s="84" t="s">
        <v>2077</v>
      </c>
      <c r="B623" s="39" t="s">
        <v>1359</v>
      </c>
      <c r="C623" s="39" t="s">
        <v>139</v>
      </c>
      <c r="D623" s="340" t="s">
        <v>3472</v>
      </c>
      <c r="E623" s="159" t="s">
        <v>1085</v>
      </c>
      <c r="F623" s="159" t="s">
        <v>589</v>
      </c>
      <c r="G623" s="159" t="s">
        <v>387</v>
      </c>
      <c r="H623" s="159" t="s">
        <v>424</v>
      </c>
      <c r="I623" s="159" t="s">
        <v>1357</v>
      </c>
      <c r="J623" s="159" t="s">
        <v>582</v>
      </c>
      <c r="K623" s="159" t="s">
        <v>1849</v>
      </c>
      <c r="L623" s="39" t="s">
        <v>556</v>
      </c>
      <c r="M623" s="39" t="s">
        <v>305</v>
      </c>
      <c r="N623" s="39">
        <v>11</v>
      </c>
      <c r="O623" s="167" t="s">
        <v>139</v>
      </c>
      <c r="P623" s="39" t="s">
        <v>139</v>
      </c>
      <c r="Q623" s="39" t="s">
        <v>1359</v>
      </c>
      <c r="R623" s="16" t="s">
        <v>2077</v>
      </c>
      <c r="S623" s="160">
        <v>-181224</v>
      </c>
      <c r="T623" s="160">
        <v>-983.35</v>
      </c>
      <c r="U623" s="160">
        <v>0</v>
      </c>
      <c r="V623" s="160">
        <v>-217543</v>
      </c>
      <c r="W623" s="160">
        <v>36319</v>
      </c>
      <c r="X623" s="161" t="e">
        <v>#N/A</v>
      </c>
      <c r="Y623" s="160"/>
      <c r="Z623" s="16">
        <v>120.04</v>
      </c>
      <c r="AA623" s="162">
        <v>-217543</v>
      </c>
      <c r="AB623" s="162">
        <v>-54385.75</v>
      </c>
      <c r="AC623" s="162">
        <v>-652629</v>
      </c>
      <c r="AD623" s="160"/>
      <c r="AE623" s="145">
        <v>-181224</v>
      </c>
      <c r="AF623" s="163">
        <v>1.0469999999999999</v>
      </c>
      <c r="AG623" s="164">
        <v>1.046</v>
      </c>
      <c r="AH623" s="164">
        <v>1.046</v>
      </c>
      <c r="AI623" s="164">
        <v>-181224</v>
      </c>
      <c r="AJ623" s="164">
        <f t="shared" si="74"/>
        <v>0</v>
      </c>
      <c r="AK623" s="165">
        <v>0</v>
      </c>
      <c r="AL623" s="165">
        <f t="shared" si="72"/>
        <v>0</v>
      </c>
      <c r="AM623" s="165">
        <f t="shared" si="76"/>
        <v>0</v>
      </c>
      <c r="AN623" s="165">
        <f t="shared" si="77"/>
        <v>0</v>
      </c>
      <c r="AO623" s="16"/>
      <c r="AP623" s="231">
        <f t="shared" si="75"/>
        <v>0</v>
      </c>
      <c r="AR623" s="231"/>
      <c r="AS623" s="231"/>
      <c r="AU623" s="230">
        <v>-181224</v>
      </c>
      <c r="AV623" s="233">
        <v>-181224</v>
      </c>
      <c r="AW623" s="230">
        <f t="shared" si="73"/>
        <v>0</v>
      </c>
    </row>
    <row r="624" spans="1:49" hidden="1" x14ac:dyDescent="0.3">
      <c r="A624" s="84" t="s">
        <v>2078</v>
      </c>
      <c r="B624" s="39" t="s">
        <v>1360</v>
      </c>
      <c r="C624" s="39" t="s">
        <v>139</v>
      </c>
      <c r="D624" s="340" t="s">
        <v>3472</v>
      </c>
      <c r="E624" s="159" t="s">
        <v>1085</v>
      </c>
      <c r="F624" s="159" t="s">
        <v>589</v>
      </c>
      <c r="G624" s="159" t="s">
        <v>387</v>
      </c>
      <c r="H624" s="159" t="s">
        <v>424</v>
      </c>
      <c r="I624" s="159" t="s">
        <v>1357</v>
      </c>
      <c r="J624" s="159" t="s">
        <v>711</v>
      </c>
      <c r="K624" s="159" t="s">
        <v>1849</v>
      </c>
      <c r="L624" s="39" t="s">
        <v>556</v>
      </c>
      <c r="M624" s="39" t="s">
        <v>305</v>
      </c>
      <c r="N624" s="39">
        <v>11</v>
      </c>
      <c r="O624" s="167" t="s">
        <v>139</v>
      </c>
      <c r="P624" s="39" t="s">
        <v>139</v>
      </c>
      <c r="Q624" s="39" t="s">
        <v>1360</v>
      </c>
      <c r="R624" s="16" t="s">
        <v>2078</v>
      </c>
      <c r="S624" s="160">
        <v>-222351</v>
      </c>
      <c r="T624" s="160">
        <v>-31955.81</v>
      </c>
      <c r="U624" s="160">
        <v>0</v>
      </c>
      <c r="V624" s="160">
        <v>-31955.81</v>
      </c>
      <c r="W624" s="160">
        <v>-190395.19</v>
      </c>
      <c r="X624" s="161" t="e">
        <v>#N/A</v>
      </c>
      <c r="Y624" s="160"/>
      <c r="Z624" s="16">
        <v>14.37</v>
      </c>
      <c r="AA624" s="162">
        <v>-31955.81</v>
      </c>
      <c r="AB624" s="162">
        <v>-7988.9525000000003</v>
      </c>
      <c r="AC624" s="162">
        <v>-95867.430000000008</v>
      </c>
      <c r="AD624" s="160"/>
      <c r="AE624" s="145">
        <v>-222351</v>
      </c>
      <c r="AF624" s="163">
        <v>1.0469999999999999</v>
      </c>
      <c r="AG624" s="164">
        <v>1.046</v>
      </c>
      <c r="AH624" s="164">
        <v>1.046</v>
      </c>
      <c r="AI624" s="164">
        <v>-222351</v>
      </c>
      <c r="AJ624" s="164">
        <f t="shared" si="74"/>
        <v>0</v>
      </c>
      <c r="AK624" s="165">
        <v>0</v>
      </c>
      <c r="AL624" s="165">
        <f t="shared" si="72"/>
        <v>0</v>
      </c>
      <c r="AM624" s="165">
        <f t="shared" si="76"/>
        <v>0</v>
      </c>
      <c r="AN624" s="165">
        <f t="shared" si="77"/>
        <v>0</v>
      </c>
      <c r="AO624" s="16"/>
      <c r="AP624" s="231">
        <f t="shared" si="75"/>
        <v>0</v>
      </c>
      <c r="AR624" s="231"/>
      <c r="AS624" s="231"/>
      <c r="AU624" s="230">
        <v>-222351</v>
      </c>
      <c r="AV624" s="233">
        <v>-222351</v>
      </c>
      <c r="AW624" s="230">
        <f t="shared" si="73"/>
        <v>0</v>
      </c>
    </row>
    <row r="625" spans="1:49" hidden="1" x14ac:dyDescent="0.3">
      <c r="A625" s="84" t="s">
        <v>1362</v>
      </c>
      <c r="B625" s="39" t="s">
        <v>1361</v>
      </c>
      <c r="C625" s="39" t="s">
        <v>139</v>
      </c>
      <c r="D625" s="340" t="s">
        <v>3472</v>
      </c>
      <c r="E625" s="159" t="s">
        <v>1085</v>
      </c>
      <c r="F625" s="159" t="s">
        <v>589</v>
      </c>
      <c r="G625" s="159" t="s">
        <v>387</v>
      </c>
      <c r="H625" s="159" t="s">
        <v>424</v>
      </c>
      <c r="I625" s="159" t="s">
        <v>1357</v>
      </c>
      <c r="J625" s="159" t="s">
        <v>1211</v>
      </c>
      <c r="K625" s="159" t="s">
        <v>1849</v>
      </c>
      <c r="L625" s="39" t="s">
        <v>556</v>
      </c>
      <c r="M625" s="39" t="s">
        <v>305</v>
      </c>
      <c r="N625" s="39">
        <v>11</v>
      </c>
      <c r="O625" s="167" t="s">
        <v>139</v>
      </c>
      <c r="P625" s="39" t="s">
        <v>139</v>
      </c>
      <c r="Q625" s="39" t="s">
        <v>1361</v>
      </c>
      <c r="R625" s="16" t="s">
        <v>1362</v>
      </c>
      <c r="S625" s="160">
        <v>-343516</v>
      </c>
      <c r="T625" s="160">
        <v>-41474.74</v>
      </c>
      <c r="U625" s="160">
        <v>0</v>
      </c>
      <c r="V625" s="160">
        <v>-41474.74</v>
      </c>
      <c r="W625" s="160">
        <v>-302041.26</v>
      </c>
      <c r="X625" s="161" t="e">
        <v>#N/A</v>
      </c>
      <c r="Y625" s="160"/>
      <c r="Z625" s="16">
        <v>12.07</v>
      </c>
      <c r="AA625" s="162">
        <v>-41474.74</v>
      </c>
      <c r="AB625" s="162">
        <v>-10368.684999999999</v>
      </c>
      <c r="AC625" s="162">
        <v>-124424.22</v>
      </c>
      <c r="AD625" s="160"/>
      <c r="AE625" s="145">
        <v>-343516</v>
      </c>
      <c r="AF625" s="163">
        <v>1.0469999999999999</v>
      </c>
      <c r="AG625" s="164">
        <v>1.046</v>
      </c>
      <c r="AH625" s="164">
        <v>1.046</v>
      </c>
      <c r="AI625" s="164">
        <v>-343516</v>
      </c>
      <c r="AJ625" s="164">
        <f t="shared" si="74"/>
        <v>0</v>
      </c>
      <c r="AK625" s="165">
        <v>0</v>
      </c>
      <c r="AL625" s="165">
        <f t="shared" si="72"/>
        <v>0</v>
      </c>
      <c r="AM625" s="165">
        <f t="shared" si="76"/>
        <v>0</v>
      </c>
      <c r="AN625" s="165">
        <f t="shared" si="77"/>
        <v>0</v>
      </c>
      <c r="AO625" s="16"/>
      <c r="AP625" s="231">
        <f t="shared" si="75"/>
        <v>0</v>
      </c>
      <c r="AR625" s="231"/>
      <c r="AS625" s="231"/>
      <c r="AU625" s="230">
        <v>-343516</v>
      </c>
      <c r="AV625" s="233">
        <v>-343516</v>
      </c>
      <c r="AW625" s="230">
        <f t="shared" si="73"/>
        <v>0</v>
      </c>
    </row>
    <row r="626" spans="1:49" hidden="1" x14ac:dyDescent="0.3">
      <c r="A626" s="84" t="s">
        <v>2079</v>
      </c>
      <c r="B626" s="39" t="s">
        <v>1363</v>
      </c>
      <c r="C626" s="39" t="s">
        <v>139</v>
      </c>
      <c r="D626" s="340" t="s">
        <v>3472</v>
      </c>
      <c r="E626" s="159" t="s">
        <v>1085</v>
      </c>
      <c r="F626" s="159" t="s">
        <v>589</v>
      </c>
      <c r="G626" s="159" t="s">
        <v>387</v>
      </c>
      <c r="H626" s="159" t="s">
        <v>424</v>
      </c>
      <c r="I626" s="159" t="s">
        <v>1357</v>
      </c>
      <c r="J626" s="159" t="s">
        <v>1078</v>
      </c>
      <c r="K626" s="159" t="s">
        <v>1849</v>
      </c>
      <c r="L626" s="39" t="s">
        <v>556</v>
      </c>
      <c r="M626" s="39" t="s">
        <v>305</v>
      </c>
      <c r="N626" s="39">
        <v>11</v>
      </c>
      <c r="O626" s="167" t="s">
        <v>139</v>
      </c>
      <c r="P626" s="39" t="s">
        <v>139</v>
      </c>
      <c r="Q626" s="39" t="s">
        <v>1363</v>
      </c>
      <c r="R626" s="16" t="s">
        <v>2079</v>
      </c>
      <c r="S626" s="160">
        <v>-268956</v>
      </c>
      <c r="T626" s="160">
        <v>-31273.1</v>
      </c>
      <c r="U626" s="160">
        <v>0</v>
      </c>
      <c r="V626" s="160">
        <v>-27152.2</v>
      </c>
      <c r="W626" s="160">
        <v>-241803.8</v>
      </c>
      <c r="X626" s="161" t="e">
        <v>#N/A</v>
      </c>
      <c r="Y626" s="160"/>
      <c r="Z626" s="16">
        <v>10.09</v>
      </c>
      <c r="AA626" s="162">
        <v>-27152.2</v>
      </c>
      <c r="AB626" s="162">
        <v>-6788.05</v>
      </c>
      <c r="AC626" s="162">
        <v>-81456.600000000006</v>
      </c>
      <c r="AD626" s="160"/>
      <c r="AE626" s="145">
        <v>-268956</v>
      </c>
      <c r="AF626" s="163">
        <v>1.0469999999999999</v>
      </c>
      <c r="AG626" s="164">
        <v>1.046</v>
      </c>
      <c r="AH626" s="164">
        <v>1.046</v>
      </c>
      <c r="AI626" s="164">
        <v>-268956</v>
      </c>
      <c r="AJ626" s="164">
        <f t="shared" si="74"/>
        <v>0</v>
      </c>
      <c r="AK626" s="165">
        <v>0</v>
      </c>
      <c r="AL626" s="165">
        <f t="shared" si="72"/>
        <v>0</v>
      </c>
      <c r="AM626" s="165">
        <f t="shared" si="76"/>
        <v>0</v>
      </c>
      <c r="AN626" s="165">
        <f t="shared" si="77"/>
        <v>0</v>
      </c>
      <c r="AO626" s="16"/>
      <c r="AP626" s="231">
        <f t="shared" si="75"/>
        <v>0</v>
      </c>
      <c r="AR626" s="231"/>
      <c r="AS626" s="231"/>
      <c r="AU626" s="230">
        <v>-268956</v>
      </c>
      <c r="AV626" s="233">
        <v>-268956</v>
      </c>
      <c r="AW626" s="230">
        <f t="shared" si="73"/>
        <v>0</v>
      </c>
    </row>
    <row r="627" spans="1:49" hidden="1" x14ac:dyDescent="0.3">
      <c r="A627" s="84" t="s">
        <v>2080</v>
      </c>
      <c r="B627" s="39" t="s">
        <v>1364</v>
      </c>
      <c r="C627" s="39" t="s">
        <v>142</v>
      </c>
      <c r="D627" s="340" t="s">
        <v>3472</v>
      </c>
      <c r="E627" s="159" t="s">
        <v>1085</v>
      </c>
      <c r="F627" s="159" t="s">
        <v>589</v>
      </c>
      <c r="G627" s="159" t="s">
        <v>387</v>
      </c>
      <c r="H627" s="159" t="s">
        <v>424</v>
      </c>
      <c r="I627" s="159" t="s">
        <v>1365</v>
      </c>
      <c r="J627" s="159" t="s">
        <v>387</v>
      </c>
      <c r="K627" s="159" t="s">
        <v>1849</v>
      </c>
      <c r="L627" s="39" t="s">
        <v>556</v>
      </c>
      <c r="M627" s="39" t="s">
        <v>305</v>
      </c>
      <c r="N627" s="39">
        <v>11</v>
      </c>
      <c r="O627" s="167" t="s">
        <v>142</v>
      </c>
      <c r="P627" s="39" t="s">
        <v>142</v>
      </c>
      <c r="Q627" s="39" t="s">
        <v>1364</v>
      </c>
      <c r="R627" s="16" t="s">
        <v>2080</v>
      </c>
      <c r="S627" s="160">
        <v>-556365</v>
      </c>
      <c r="T627" s="160">
        <v>0</v>
      </c>
      <c r="U627" s="160">
        <v>0</v>
      </c>
      <c r="V627" s="160">
        <v>-547764.54</v>
      </c>
      <c r="W627" s="160">
        <v>-8600.4599999999991</v>
      </c>
      <c r="X627" s="161" t="e">
        <v>#N/A</v>
      </c>
      <c r="Y627" s="160"/>
      <c r="Z627" s="16">
        <v>98.45</v>
      </c>
      <c r="AA627" s="162">
        <v>-547764.54</v>
      </c>
      <c r="AB627" s="162">
        <v>-136941.13500000001</v>
      </c>
      <c r="AC627" s="162">
        <v>-1643293.62</v>
      </c>
      <c r="AD627" s="160"/>
      <c r="AE627" s="145">
        <v>-556365</v>
      </c>
      <c r="AF627" s="163">
        <v>1.0469999999999999</v>
      </c>
      <c r="AG627" s="164">
        <v>1.046</v>
      </c>
      <c r="AH627" s="164">
        <v>1.046</v>
      </c>
      <c r="AI627" s="164">
        <v>-556365</v>
      </c>
      <c r="AJ627" s="164">
        <f t="shared" si="74"/>
        <v>0</v>
      </c>
      <c r="AK627" s="165">
        <v>0</v>
      </c>
      <c r="AL627" s="165">
        <f t="shared" si="72"/>
        <v>0</v>
      </c>
      <c r="AM627" s="165">
        <f t="shared" si="76"/>
        <v>0</v>
      </c>
      <c r="AN627" s="165">
        <f t="shared" si="77"/>
        <v>0</v>
      </c>
      <c r="AO627" s="16"/>
      <c r="AP627" s="231">
        <f t="shared" si="75"/>
        <v>0</v>
      </c>
      <c r="AR627" s="231"/>
      <c r="AS627" s="231"/>
      <c r="AU627" s="230">
        <v>-556365</v>
      </c>
      <c r="AV627" s="233">
        <v>-556365</v>
      </c>
      <c r="AW627" s="230">
        <f t="shared" si="73"/>
        <v>0</v>
      </c>
    </row>
    <row r="628" spans="1:49" hidden="1" x14ac:dyDescent="0.3">
      <c r="A628" s="84" t="s">
        <v>2081</v>
      </c>
      <c r="B628" s="39" t="s">
        <v>1366</v>
      </c>
      <c r="C628" s="39" t="s">
        <v>142</v>
      </c>
      <c r="D628" s="340" t="s">
        <v>3472</v>
      </c>
      <c r="E628" s="159" t="s">
        <v>1085</v>
      </c>
      <c r="F628" s="159" t="s">
        <v>589</v>
      </c>
      <c r="G628" s="159" t="s">
        <v>387</v>
      </c>
      <c r="H628" s="159" t="s">
        <v>424</v>
      </c>
      <c r="I628" s="159" t="s">
        <v>1365</v>
      </c>
      <c r="J628" s="159" t="s">
        <v>309</v>
      </c>
      <c r="K628" s="159" t="s">
        <v>1849</v>
      </c>
      <c r="L628" s="39" t="s">
        <v>556</v>
      </c>
      <c r="M628" s="39" t="s">
        <v>305</v>
      </c>
      <c r="N628" s="39">
        <v>11</v>
      </c>
      <c r="O628" s="167" t="s">
        <v>142</v>
      </c>
      <c r="P628" s="39" t="s">
        <v>142</v>
      </c>
      <c r="Q628" s="39" t="s">
        <v>1366</v>
      </c>
      <c r="R628" s="16" t="s">
        <v>2081</v>
      </c>
      <c r="S628" s="160">
        <v>-747010</v>
      </c>
      <c r="T628" s="160">
        <v>0</v>
      </c>
      <c r="U628" s="160">
        <v>0</v>
      </c>
      <c r="V628" s="160">
        <v>-739708.92</v>
      </c>
      <c r="W628" s="160">
        <v>-7301.08</v>
      </c>
      <c r="X628" s="161" t="e">
        <v>#N/A</v>
      </c>
      <c r="Y628" s="160"/>
      <c r="Z628" s="16">
        <v>99.02</v>
      </c>
      <c r="AA628" s="162">
        <v>-739708.92</v>
      </c>
      <c r="AB628" s="162">
        <v>-184927.23</v>
      </c>
      <c r="AC628" s="162">
        <v>-2219126.7600000002</v>
      </c>
      <c r="AD628" s="160"/>
      <c r="AE628" s="145">
        <v>-747010</v>
      </c>
      <c r="AF628" s="163">
        <v>1.0469999999999999</v>
      </c>
      <c r="AG628" s="164">
        <v>1.046</v>
      </c>
      <c r="AH628" s="164">
        <v>1.046</v>
      </c>
      <c r="AI628" s="164">
        <v>-747010</v>
      </c>
      <c r="AJ628" s="164">
        <f t="shared" si="74"/>
        <v>0</v>
      </c>
      <c r="AK628" s="165">
        <v>0</v>
      </c>
      <c r="AL628" s="165">
        <f t="shared" si="72"/>
        <v>0</v>
      </c>
      <c r="AM628" s="165">
        <f t="shared" si="76"/>
        <v>0</v>
      </c>
      <c r="AN628" s="165">
        <f t="shared" si="77"/>
        <v>0</v>
      </c>
      <c r="AO628" s="16"/>
      <c r="AP628" s="231">
        <f t="shared" si="75"/>
        <v>0</v>
      </c>
      <c r="AR628" s="231"/>
      <c r="AS628" s="231"/>
      <c r="AU628" s="230">
        <v>-747010</v>
      </c>
      <c r="AV628" s="233">
        <v>-747010</v>
      </c>
      <c r="AW628" s="230">
        <f t="shared" si="73"/>
        <v>0</v>
      </c>
    </row>
    <row r="629" spans="1:49" hidden="1" x14ac:dyDescent="0.3">
      <c r="A629" s="84" t="s">
        <v>2082</v>
      </c>
      <c r="B629" s="39" t="s">
        <v>1367</v>
      </c>
      <c r="C629" s="39" t="s">
        <v>142</v>
      </c>
      <c r="D629" s="340" t="s">
        <v>3472</v>
      </c>
      <c r="E629" s="159" t="s">
        <v>1085</v>
      </c>
      <c r="F629" s="159" t="s">
        <v>589</v>
      </c>
      <c r="G629" s="159" t="s">
        <v>387</v>
      </c>
      <c r="H629" s="159" t="s">
        <v>424</v>
      </c>
      <c r="I629" s="159" t="s">
        <v>1365</v>
      </c>
      <c r="J629" s="159" t="s">
        <v>582</v>
      </c>
      <c r="K629" s="159" t="s">
        <v>1849</v>
      </c>
      <c r="L629" s="39" t="s">
        <v>556</v>
      </c>
      <c r="M629" s="39" t="s">
        <v>305</v>
      </c>
      <c r="N629" s="39">
        <v>11</v>
      </c>
      <c r="O629" s="167" t="s">
        <v>142</v>
      </c>
      <c r="P629" s="39" t="s">
        <v>142</v>
      </c>
      <c r="Q629" s="39" t="s">
        <v>1367</v>
      </c>
      <c r="R629" s="16" t="s">
        <v>2082</v>
      </c>
      <c r="S629" s="160">
        <v>-880764</v>
      </c>
      <c r="T629" s="160">
        <v>0</v>
      </c>
      <c r="U629" s="160">
        <v>0</v>
      </c>
      <c r="V629" s="160">
        <v>-812377.97</v>
      </c>
      <c r="W629" s="160">
        <v>-68386.03</v>
      </c>
      <c r="X629" s="161" t="e">
        <v>#N/A</v>
      </c>
      <c r="Y629" s="160"/>
      <c r="Z629" s="16">
        <v>92.23</v>
      </c>
      <c r="AA629" s="162">
        <v>-812377.97</v>
      </c>
      <c r="AB629" s="162">
        <v>-203094.49249999999</v>
      </c>
      <c r="AC629" s="162">
        <v>-2437133.91</v>
      </c>
      <c r="AD629" s="160"/>
      <c r="AE629" s="145">
        <v>-880764</v>
      </c>
      <c r="AF629" s="163">
        <v>1.0469999999999999</v>
      </c>
      <c r="AG629" s="164">
        <v>1.046</v>
      </c>
      <c r="AH629" s="164">
        <v>1.046</v>
      </c>
      <c r="AI629" s="164">
        <v>-880764</v>
      </c>
      <c r="AJ629" s="164">
        <f t="shared" si="74"/>
        <v>0</v>
      </c>
      <c r="AK629" s="165">
        <v>0</v>
      </c>
      <c r="AL629" s="165">
        <f t="shared" si="72"/>
        <v>0</v>
      </c>
      <c r="AM629" s="165">
        <f t="shared" si="76"/>
        <v>0</v>
      </c>
      <c r="AN629" s="165">
        <f t="shared" si="77"/>
        <v>0</v>
      </c>
      <c r="AO629" s="16"/>
      <c r="AP629" s="231">
        <f t="shared" si="75"/>
        <v>0</v>
      </c>
      <c r="AR629" s="231"/>
      <c r="AS629" s="231"/>
      <c r="AU629" s="230">
        <v>-880764</v>
      </c>
      <c r="AV629" s="233">
        <v>-880764</v>
      </c>
      <c r="AW629" s="230">
        <f t="shared" si="73"/>
        <v>0</v>
      </c>
    </row>
    <row r="630" spans="1:49" hidden="1" x14ac:dyDescent="0.3">
      <c r="A630" s="84" t="s">
        <v>2083</v>
      </c>
      <c r="B630" s="39" t="s">
        <v>1368</v>
      </c>
      <c r="C630" s="39" t="s">
        <v>142</v>
      </c>
      <c r="D630" s="340" t="s">
        <v>3472</v>
      </c>
      <c r="E630" s="159" t="s">
        <v>1085</v>
      </c>
      <c r="F630" s="159" t="s">
        <v>589</v>
      </c>
      <c r="G630" s="159" t="s">
        <v>387</v>
      </c>
      <c r="H630" s="159" t="s">
        <v>424</v>
      </c>
      <c r="I630" s="159" t="s">
        <v>1365</v>
      </c>
      <c r="J630" s="159" t="s">
        <v>711</v>
      </c>
      <c r="K630" s="159" t="s">
        <v>1849</v>
      </c>
      <c r="L630" s="39" t="s">
        <v>556</v>
      </c>
      <c r="M630" s="39" t="s">
        <v>305</v>
      </c>
      <c r="N630" s="39">
        <v>11</v>
      </c>
      <c r="O630" s="167" t="s">
        <v>142</v>
      </c>
      <c r="P630" s="39" t="s">
        <v>142</v>
      </c>
      <c r="Q630" s="39" t="s">
        <v>1368</v>
      </c>
      <c r="R630" s="16" t="s">
        <v>2083</v>
      </c>
      <c r="S630" s="160">
        <v>-1045017</v>
      </c>
      <c r="T630" s="160">
        <v>-116144.85</v>
      </c>
      <c r="U630" s="160">
        <v>0</v>
      </c>
      <c r="V630" s="160">
        <v>-116144.85</v>
      </c>
      <c r="W630" s="160">
        <v>-928872.15</v>
      </c>
      <c r="X630" s="161" t="e">
        <v>#N/A</v>
      </c>
      <c r="Y630" s="160"/>
      <c r="Z630" s="16">
        <v>11.11</v>
      </c>
      <c r="AA630" s="162">
        <v>-116144.85</v>
      </c>
      <c r="AB630" s="162">
        <v>-29036.212500000001</v>
      </c>
      <c r="AC630" s="162">
        <v>-348434.55000000005</v>
      </c>
      <c r="AD630" s="160"/>
      <c r="AE630" s="145">
        <v>-1045017</v>
      </c>
      <c r="AF630" s="163">
        <v>1.0469999999999999</v>
      </c>
      <c r="AG630" s="164">
        <v>1.046</v>
      </c>
      <c r="AH630" s="164">
        <v>1.046</v>
      </c>
      <c r="AI630" s="164">
        <v>-1045017</v>
      </c>
      <c r="AJ630" s="164">
        <f t="shared" si="74"/>
        <v>0</v>
      </c>
      <c r="AK630" s="165">
        <v>0</v>
      </c>
      <c r="AL630" s="165">
        <f t="shared" si="72"/>
        <v>0</v>
      </c>
      <c r="AM630" s="165">
        <f t="shared" si="76"/>
        <v>0</v>
      </c>
      <c r="AN630" s="165">
        <f t="shared" si="77"/>
        <v>0</v>
      </c>
      <c r="AO630" s="16"/>
      <c r="AP630" s="231">
        <f t="shared" si="75"/>
        <v>0</v>
      </c>
      <c r="AR630" s="231"/>
      <c r="AS630" s="231"/>
      <c r="AU630" s="230">
        <v>-1045017</v>
      </c>
      <c r="AV630" s="233">
        <v>-1045017</v>
      </c>
      <c r="AW630" s="230">
        <f t="shared" si="73"/>
        <v>0</v>
      </c>
    </row>
    <row r="631" spans="1:49" hidden="1" x14ac:dyDescent="0.3">
      <c r="A631" s="84" t="s">
        <v>2084</v>
      </c>
      <c r="B631" s="39" t="s">
        <v>1369</v>
      </c>
      <c r="C631" s="39" t="s">
        <v>142</v>
      </c>
      <c r="D631" s="340" t="s">
        <v>3472</v>
      </c>
      <c r="E631" s="159" t="s">
        <v>1085</v>
      </c>
      <c r="F631" s="159" t="s">
        <v>589</v>
      </c>
      <c r="G631" s="159" t="s">
        <v>387</v>
      </c>
      <c r="H631" s="159" t="s">
        <v>424</v>
      </c>
      <c r="I631" s="159" t="s">
        <v>1365</v>
      </c>
      <c r="J631" s="159" t="s">
        <v>1211</v>
      </c>
      <c r="K631" s="159" t="s">
        <v>1849</v>
      </c>
      <c r="L631" s="39" t="s">
        <v>556</v>
      </c>
      <c r="M631" s="39" t="s">
        <v>305</v>
      </c>
      <c r="N631" s="39">
        <v>11</v>
      </c>
      <c r="O631" s="167" t="s">
        <v>142</v>
      </c>
      <c r="P631" s="39" t="s">
        <v>142</v>
      </c>
      <c r="Q631" s="39" t="s">
        <v>1369</v>
      </c>
      <c r="R631" s="16" t="s">
        <v>2084</v>
      </c>
      <c r="S631" s="160">
        <v>-1684968</v>
      </c>
      <c r="T631" s="160">
        <v>-180363.53</v>
      </c>
      <c r="U631" s="160">
        <v>0</v>
      </c>
      <c r="V631" s="160">
        <v>-180363.53</v>
      </c>
      <c r="W631" s="160">
        <v>-1504604.47</v>
      </c>
      <c r="X631" s="161" t="e">
        <v>#N/A</v>
      </c>
      <c r="Y631" s="160"/>
      <c r="Z631" s="16">
        <v>10.7</v>
      </c>
      <c r="AA631" s="162">
        <v>-180363.53</v>
      </c>
      <c r="AB631" s="162">
        <v>-45090.8825</v>
      </c>
      <c r="AC631" s="162">
        <v>-541090.59</v>
      </c>
      <c r="AD631" s="160"/>
      <c r="AE631" s="145">
        <v>-1684968</v>
      </c>
      <c r="AF631" s="163">
        <v>1.0469999999999999</v>
      </c>
      <c r="AG631" s="164">
        <v>1.046</v>
      </c>
      <c r="AH631" s="164">
        <v>1.046</v>
      </c>
      <c r="AI631" s="164">
        <v>-1684968</v>
      </c>
      <c r="AJ631" s="164">
        <f t="shared" si="74"/>
        <v>0</v>
      </c>
      <c r="AK631" s="165">
        <v>0</v>
      </c>
      <c r="AL631" s="165">
        <f t="shared" si="72"/>
        <v>0</v>
      </c>
      <c r="AM631" s="165">
        <f t="shared" si="76"/>
        <v>0</v>
      </c>
      <c r="AN631" s="165">
        <f t="shared" si="77"/>
        <v>0</v>
      </c>
      <c r="AO631" s="16"/>
      <c r="AP631" s="231">
        <f t="shared" si="75"/>
        <v>0</v>
      </c>
      <c r="AR631" s="231"/>
      <c r="AS631" s="231"/>
      <c r="AU631" s="230">
        <v>-1684968</v>
      </c>
      <c r="AV631" s="233">
        <v>-1684968</v>
      </c>
      <c r="AW631" s="230">
        <f t="shared" si="73"/>
        <v>0</v>
      </c>
    </row>
    <row r="632" spans="1:49" hidden="1" x14ac:dyDescent="0.3">
      <c r="A632" s="84" t="s">
        <v>2085</v>
      </c>
      <c r="B632" s="39" t="s">
        <v>1370</v>
      </c>
      <c r="C632" s="39" t="s">
        <v>142</v>
      </c>
      <c r="D632" s="340" t="s">
        <v>3472</v>
      </c>
      <c r="E632" s="159" t="s">
        <v>1085</v>
      </c>
      <c r="F632" s="159" t="s">
        <v>589</v>
      </c>
      <c r="G632" s="159" t="s">
        <v>387</v>
      </c>
      <c r="H632" s="159" t="s">
        <v>424</v>
      </c>
      <c r="I632" s="159" t="s">
        <v>1365</v>
      </c>
      <c r="J632" s="159" t="s">
        <v>1078</v>
      </c>
      <c r="K632" s="159" t="s">
        <v>1849</v>
      </c>
      <c r="L632" s="39" t="s">
        <v>556</v>
      </c>
      <c r="M632" s="39" t="s">
        <v>305</v>
      </c>
      <c r="N632" s="39">
        <v>11</v>
      </c>
      <c r="O632" s="167" t="s">
        <v>142</v>
      </c>
      <c r="P632" s="39" t="s">
        <v>142</v>
      </c>
      <c r="Q632" s="39" t="s">
        <v>1370</v>
      </c>
      <c r="R632" s="16" t="s">
        <v>2085</v>
      </c>
      <c r="S632" s="160">
        <v>-1773969</v>
      </c>
      <c r="T632" s="160">
        <v>-172365.84</v>
      </c>
      <c r="U632" s="160">
        <v>0</v>
      </c>
      <c r="V632" s="160">
        <v>-172365.84</v>
      </c>
      <c r="W632" s="160">
        <v>-1601603.16</v>
      </c>
      <c r="X632" s="161" t="e">
        <v>#N/A</v>
      </c>
      <c r="Y632" s="160"/>
      <c r="Z632" s="16">
        <v>9.7100000000000009</v>
      </c>
      <c r="AA632" s="162">
        <v>-172365.84</v>
      </c>
      <c r="AB632" s="162">
        <v>-43091.46</v>
      </c>
      <c r="AC632" s="162">
        <v>-517097.52</v>
      </c>
      <c r="AD632" s="160"/>
      <c r="AE632" s="145">
        <v>-1773969</v>
      </c>
      <c r="AF632" s="163">
        <v>1.0469999999999999</v>
      </c>
      <c r="AG632" s="164">
        <v>1.046</v>
      </c>
      <c r="AH632" s="164">
        <v>1.046</v>
      </c>
      <c r="AI632" s="164">
        <v>-1773969</v>
      </c>
      <c r="AJ632" s="164">
        <f t="shared" si="74"/>
        <v>0</v>
      </c>
      <c r="AK632" s="165">
        <v>0</v>
      </c>
      <c r="AL632" s="165">
        <f t="shared" si="72"/>
        <v>0</v>
      </c>
      <c r="AM632" s="165">
        <f t="shared" si="76"/>
        <v>0</v>
      </c>
      <c r="AN632" s="165">
        <f t="shared" si="77"/>
        <v>0</v>
      </c>
      <c r="AO632" s="16"/>
      <c r="AP632" s="231">
        <f t="shared" si="75"/>
        <v>0</v>
      </c>
      <c r="AR632" s="231"/>
      <c r="AS632" s="231"/>
      <c r="AU632" s="230">
        <v>-1773969</v>
      </c>
      <c r="AV632" s="233">
        <v>-1773969</v>
      </c>
      <c r="AW632" s="230">
        <f t="shared" si="73"/>
        <v>0</v>
      </c>
    </row>
    <row r="633" spans="1:49" s="200" customFormat="1" hidden="1" x14ac:dyDescent="0.3">
      <c r="A633" s="191" t="s">
        <v>146</v>
      </c>
      <c r="B633" s="192" t="s">
        <v>1371</v>
      </c>
      <c r="C633" s="192" t="s">
        <v>145</v>
      </c>
      <c r="D633" s="340" t="s">
        <v>3472</v>
      </c>
      <c r="E633" s="193" t="s">
        <v>1085</v>
      </c>
      <c r="F633" s="193" t="s">
        <v>589</v>
      </c>
      <c r="G633" s="193" t="s">
        <v>387</v>
      </c>
      <c r="H633" s="193" t="s">
        <v>424</v>
      </c>
      <c r="I633" s="193" t="s">
        <v>1372</v>
      </c>
      <c r="J633" s="193" t="s">
        <v>312</v>
      </c>
      <c r="K633" s="193" t="s">
        <v>1849</v>
      </c>
      <c r="L633" s="192" t="s">
        <v>556</v>
      </c>
      <c r="M633" s="192" t="s">
        <v>305</v>
      </c>
      <c r="N633" s="192">
        <v>11</v>
      </c>
      <c r="O633" s="167" t="s">
        <v>145</v>
      </c>
      <c r="P633" s="192" t="s">
        <v>145</v>
      </c>
      <c r="Q633" s="192" t="s">
        <v>1371</v>
      </c>
      <c r="R633" s="191" t="s">
        <v>146</v>
      </c>
      <c r="S633" s="160">
        <v>-91830170</v>
      </c>
      <c r="T633" s="194">
        <v>-138576.1</v>
      </c>
      <c r="U633" s="194">
        <v>0</v>
      </c>
      <c r="V633" s="194">
        <v>-641020.94999999995</v>
      </c>
      <c r="W633" s="194">
        <v>-91189149.049999997</v>
      </c>
      <c r="X633" s="195" t="e">
        <v>#N/A</v>
      </c>
      <c r="Y633" s="194"/>
      <c r="Z633" s="191">
        <v>0.69</v>
      </c>
      <c r="AA633" s="196">
        <v>-641020.94999999995</v>
      </c>
      <c r="AB633" s="196">
        <v>-160255.23749999999</v>
      </c>
      <c r="AC633" s="196">
        <v>-1923062.8499999999</v>
      </c>
      <c r="AD633" s="194"/>
      <c r="AE633" s="145">
        <v>-91830170</v>
      </c>
      <c r="AF633" s="197">
        <v>1.0469999999999999</v>
      </c>
      <c r="AG633" s="198">
        <v>1.046</v>
      </c>
      <c r="AH633" s="198">
        <v>1.046</v>
      </c>
      <c r="AI633" s="198">
        <v>-91830170</v>
      </c>
      <c r="AJ633" s="164">
        <f t="shared" si="74"/>
        <v>0</v>
      </c>
      <c r="AK633" s="199">
        <v>-91830170</v>
      </c>
      <c r="AL633" s="165"/>
      <c r="AM633" s="165">
        <f t="shared" si="76"/>
        <v>0</v>
      </c>
      <c r="AN633" s="165">
        <f t="shared" si="77"/>
        <v>0</v>
      </c>
      <c r="AO633" s="191"/>
      <c r="AP633" s="231">
        <f t="shared" si="75"/>
        <v>-91830170</v>
      </c>
      <c r="AQ633"/>
      <c r="AR633" s="231"/>
      <c r="AS633" s="231"/>
      <c r="AT633"/>
      <c r="AU633" s="230">
        <v>-91830170</v>
      </c>
      <c r="AV633" s="233">
        <v>-91830170</v>
      </c>
      <c r="AW633" s="230">
        <f t="shared" si="73"/>
        <v>0</v>
      </c>
    </row>
    <row r="634" spans="1:49" s="172" customFormat="1" x14ac:dyDescent="0.3">
      <c r="A634" s="166" t="s">
        <v>50</v>
      </c>
      <c r="B634" s="167" t="s">
        <v>1373</v>
      </c>
      <c r="C634" s="167" t="s">
        <v>302</v>
      </c>
      <c r="D634" s="412" t="s">
        <v>3472</v>
      </c>
      <c r="E634" s="168" t="s">
        <v>1085</v>
      </c>
      <c r="F634" s="168" t="s">
        <v>589</v>
      </c>
      <c r="G634" s="168" t="s">
        <v>309</v>
      </c>
      <c r="H634" s="168" t="s">
        <v>373</v>
      </c>
      <c r="I634" s="168" t="s">
        <v>374</v>
      </c>
      <c r="J634" s="168" t="s">
        <v>312</v>
      </c>
      <c r="K634" s="168" t="s">
        <v>1849</v>
      </c>
      <c r="L634" s="167" t="s">
        <v>304</v>
      </c>
      <c r="M634" s="167" t="s">
        <v>305</v>
      </c>
      <c r="N634" s="167">
        <v>11</v>
      </c>
      <c r="O634" s="167" t="s">
        <v>302</v>
      </c>
      <c r="P634" s="167" t="s">
        <v>302</v>
      </c>
      <c r="Q634" s="167" t="s">
        <v>1373</v>
      </c>
      <c r="R634" s="166" t="s">
        <v>50</v>
      </c>
      <c r="S634" s="169">
        <v>6792109</v>
      </c>
      <c r="T634" s="160">
        <v>717800.32</v>
      </c>
      <c r="U634" s="160">
        <v>0</v>
      </c>
      <c r="V634" s="160">
        <v>2852581.26</v>
      </c>
      <c r="W634" s="160">
        <v>3939527.74</v>
      </c>
      <c r="X634" s="161">
        <v>0</v>
      </c>
      <c r="Y634" s="160"/>
      <c r="Z634" s="16">
        <v>41.99</v>
      </c>
      <c r="AA634" s="162">
        <v>2852581.26</v>
      </c>
      <c r="AB634" s="162">
        <v>713145.31499999994</v>
      </c>
      <c r="AC634" s="162">
        <v>8557743.7799999993</v>
      </c>
      <c r="AD634" s="160"/>
      <c r="AE634" s="145">
        <v>6792109</v>
      </c>
      <c r="AF634" s="163">
        <v>1.0529999999999999</v>
      </c>
      <c r="AG634" s="163">
        <v>1.0489999999999999</v>
      </c>
      <c r="AH634" s="163">
        <v>1.0469999999999999</v>
      </c>
      <c r="AI634" s="164">
        <v>6792109</v>
      </c>
      <c r="AJ634" s="164">
        <f t="shared" si="74"/>
        <v>0</v>
      </c>
      <c r="AK634" s="229">
        <v>6792109</v>
      </c>
      <c r="AL634" s="229">
        <f ca="1">SUMIF('MS &amp; Vacancies combined'!A:J,D634,'MS &amp; Vacancies combined'!J:J)*105.3/100</f>
        <v>6711052.9212493589</v>
      </c>
      <c r="AM634" s="229">
        <f t="shared" ca="1" si="76"/>
        <v>7039894.5143905766</v>
      </c>
      <c r="AN634" s="229">
        <f t="shared" ca="1" si="77"/>
        <v>7370769.5565669332</v>
      </c>
      <c r="AO634" s="166"/>
      <c r="AP634" s="413">
        <f t="shared" ca="1" si="75"/>
        <v>81056.078750641085</v>
      </c>
      <c r="AR634" s="231"/>
      <c r="AS634" s="231"/>
      <c r="AU634" s="414">
        <v>6792109</v>
      </c>
      <c r="AV634" s="415">
        <v>6792109</v>
      </c>
      <c r="AW634" s="414">
        <f t="shared" si="73"/>
        <v>0</v>
      </c>
    </row>
    <row r="635" spans="1:49" s="172" customFormat="1" x14ac:dyDescent="0.3">
      <c r="A635" s="166" t="s">
        <v>52</v>
      </c>
      <c r="B635" s="167" t="s">
        <v>1374</v>
      </c>
      <c r="C635" s="167" t="s">
        <v>376</v>
      </c>
      <c r="D635" s="412" t="s">
        <v>3472</v>
      </c>
      <c r="E635" s="168" t="s">
        <v>1085</v>
      </c>
      <c r="F635" s="168" t="s">
        <v>589</v>
      </c>
      <c r="G635" s="168" t="s">
        <v>309</v>
      </c>
      <c r="H635" s="168" t="s">
        <v>373</v>
      </c>
      <c r="I635" s="168" t="s">
        <v>377</v>
      </c>
      <c r="J635" s="168" t="s">
        <v>312</v>
      </c>
      <c r="K635" s="168" t="s">
        <v>1849</v>
      </c>
      <c r="L635" s="167" t="s">
        <v>304</v>
      </c>
      <c r="M635" s="167" t="s">
        <v>305</v>
      </c>
      <c r="N635" s="167">
        <v>11</v>
      </c>
      <c r="O635" s="167" t="s">
        <v>376</v>
      </c>
      <c r="P635" s="167" t="s">
        <v>376</v>
      </c>
      <c r="Q635" s="167" t="s">
        <v>1374</v>
      </c>
      <c r="R635" s="166" t="s">
        <v>52</v>
      </c>
      <c r="S635" s="169">
        <v>22008</v>
      </c>
      <c r="T635" s="160">
        <v>1800</v>
      </c>
      <c r="U635" s="160">
        <v>0</v>
      </c>
      <c r="V635" s="160">
        <v>7200</v>
      </c>
      <c r="W635" s="160">
        <v>14808</v>
      </c>
      <c r="X635" s="161">
        <v>0</v>
      </c>
      <c r="Y635" s="160"/>
      <c r="Z635" s="16">
        <v>32.71</v>
      </c>
      <c r="AA635" s="162">
        <v>7200</v>
      </c>
      <c r="AB635" s="162">
        <v>1800</v>
      </c>
      <c r="AC635" s="162">
        <v>21600</v>
      </c>
      <c r="AD635" s="160"/>
      <c r="AE635" s="145">
        <v>22008</v>
      </c>
      <c r="AF635" s="163">
        <v>1.0529999999999999</v>
      </c>
      <c r="AG635" s="163">
        <v>1.0489999999999999</v>
      </c>
      <c r="AH635" s="163">
        <v>1.0469999999999999</v>
      </c>
      <c r="AI635" s="164">
        <v>22008</v>
      </c>
      <c r="AJ635" s="164">
        <f t="shared" si="74"/>
        <v>0</v>
      </c>
      <c r="AK635" s="229">
        <v>22008</v>
      </c>
      <c r="AL635" s="229">
        <f ca="1">SUMIF('MS &amp; Vacancies combined'!A:M,D635,'MS &amp; Vacancies combined'!M:M)*105.3/100</f>
        <v>20971.71269589338</v>
      </c>
      <c r="AM635" s="229">
        <f t="shared" ca="1" si="76"/>
        <v>21999.326617992156</v>
      </c>
      <c r="AN635" s="229">
        <f t="shared" ca="1" si="77"/>
        <v>23033.294969037786</v>
      </c>
      <c r="AO635" s="166"/>
      <c r="AP635" s="413">
        <f t="shared" ca="1" si="75"/>
        <v>1036.2873041066196</v>
      </c>
      <c r="AR635" s="231"/>
      <c r="AS635" s="231"/>
      <c r="AU635" s="414">
        <v>22008</v>
      </c>
      <c r="AV635" s="415">
        <v>22008</v>
      </c>
      <c r="AW635" s="414">
        <f t="shared" si="73"/>
        <v>0</v>
      </c>
    </row>
    <row r="636" spans="1:49" s="172" customFormat="1" x14ac:dyDescent="0.3">
      <c r="A636" s="166" t="s">
        <v>54</v>
      </c>
      <c r="B636" s="167" t="s">
        <v>1375</v>
      </c>
      <c r="C636" s="167" t="s">
        <v>379</v>
      </c>
      <c r="D636" s="412" t="s">
        <v>3472</v>
      </c>
      <c r="E636" s="168" t="s">
        <v>1085</v>
      </c>
      <c r="F636" s="168" t="s">
        <v>589</v>
      </c>
      <c r="G636" s="168" t="s">
        <v>309</v>
      </c>
      <c r="H636" s="168" t="s">
        <v>373</v>
      </c>
      <c r="I636" s="168" t="s">
        <v>380</v>
      </c>
      <c r="J636" s="168" t="s">
        <v>312</v>
      </c>
      <c r="K636" s="168" t="s">
        <v>1849</v>
      </c>
      <c r="L636" s="167" t="s">
        <v>304</v>
      </c>
      <c r="M636" s="167" t="s">
        <v>305</v>
      </c>
      <c r="N636" s="167">
        <v>11</v>
      </c>
      <c r="O636" s="167" t="s">
        <v>379</v>
      </c>
      <c r="P636" s="167" t="s">
        <v>379</v>
      </c>
      <c r="Q636" s="167" t="s">
        <v>1375</v>
      </c>
      <c r="R636" s="166" t="s">
        <v>54</v>
      </c>
      <c r="S636" s="169">
        <v>181945</v>
      </c>
      <c r="T636" s="160">
        <v>8094.16</v>
      </c>
      <c r="U636" s="160">
        <v>0</v>
      </c>
      <c r="V636" s="160">
        <v>32376.639999999999</v>
      </c>
      <c r="W636" s="160">
        <v>149568.35999999999</v>
      </c>
      <c r="X636" s="161">
        <v>0</v>
      </c>
      <c r="Y636" s="160"/>
      <c r="Z636" s="16">
        <v>17.79</v>
      </c>
      <c r="AA636" s="162">
        <v>32376.639999999999</v>
      </c>
      <c r="AB636" s="162">
        <v>8094.16</v>
      </c>
      <c r="AC636" s="162">
        <v>97129.919999999998</v>
      </c>
      <c r="AD636" s="160"/>
      <c r="AE636" s="145">
        <v>181945</v>
      </c>
      <c r="AF636" s="163">
        <v>1.0529999999999999</v>
      </c>
      <c r="AG636" s="163">
        <v>1.0489999999999999</v>
      </c>
      <c r="AH636" s="163">
        <v>1.0469999999999999</v>
      </c>
      <c r="AI636" s="164">
        <v>181945</v>
      </c>
      <c r="AJ636" s="164">
        <f t="shared" si="74"/>
        <v>0</v>
      </c>
      <c r="AK636" s="229">
        <v>181945</v>
      </c>
      <c r="AL636" s="229">
        <f ca="1">SUMIF('MS &amp; Vacancies combined'!A:L,D636,'MS &amp; Vacancies combined'!L:L)*105.3/100</f>
        <v>176821.2479527003</v>
      </c>
      <c r="AM636" s="229">
        <f t="shared" ca="1" si="76"/>
        <v>185485.48910238259</v>
      </c>
      <c r="AN636" s="229">
        <f t="shared" ca="1" si="77"/>
        <v>194203.30709019455</v>
      </c>
      <c r="AO636" s="166"/>
      <c r="AP636" s="413">
        <f t="shared" ca="1" si="75"/>
        <v>5123.7520472996985</v>
      </c>
      <c r="AR636" s="231"/>
      <c r="AS636" s="231"/>
      <c r="AU636" s="414">
        <v>181945</v>
      </c>
      <c r="AV636" s="415">
        <v>181945</v>
      </c>
      <c r="AW636" s="414">
        <f t="shared" si="73"/>
        <v>0</v>
      </c>
    </row>
    <row r="637" spans="1:49" x14ac:dyDescent="0.3">
      <c r="A637" s="16" t="s">
        <v>55</v>
      </c>
      <c r="B637" s="39" t="s">
        <v>1376</v>
      </c>
      <c r="C637" s="39" t="s">
        <v>382</v>
      </c>
      <c r="D637" s="340" t="s">
        <v>3472</v>
      </c>
      <c r="E637" s="159" t="s">
        <v>1085</v>
      </c>
      <c r="F637" s="159" t="s">
        <v>589</v>
      </c>
      <c r="G637" s="159" t="s">
        <v>309</v>
      </c>
      <c r="H637" s="159" t="s">
        <v>373</v>
      </c>
      <c r="I637" s="159" t="s">
        <v>383</v>
      </c>
      <c r="J637" s="159" t="s">
        <v>312</v>
      </c>
      <c r="K637" s="159" t="s">
        <v>1849</v>
      </c>
      <c r="L637" s="39" t="s">
        <v>304</v>
      </c>
      <c r="M637" s="39" t="s">
        <v>305</v>
      </c>
      <c r="N637" s="39">
        <v>11</v>
      </c>
      <c r="O637" s="39" t="s">
        <v>382</v>
      </c>
      <c r="P637" s="39" t="s">
        <v>382</v>
      </c>
      <c r="Q637" s="39" t="s">
        <v>1376</v>
      </c>
      <c r="R637" s="16" t="s">
        <v>55</v>
      </c>
      <c r="S637" s="169">
        <v>0</v>
      </c>
      <c r="T637" s="160">
        <v>0</v>
      </c>
      <c r="U637" s="160">
        <v>0</v>
      </c>
      <c r="V637" s="160">
        <v>0</v>
      </c>
      <c r="W637" s="160">
        <v>0</v>
      </c>
      <c r="X637" s="161">
        <v>0</v>
      </c>
      <c r="Y637" s="160"/>
      <c r="Z637" s="16">
        <v>0</v>
      </c>
      <c r="AA637" s="162">
        <v>0</v>
      </c>
      <c r="AB637" s="162">
        <v>0</v>
      </c>
      <c r="AC637" s="162">
        <v>0</v>
      </c>
      <c r="AD637" s="160"/>
      <c r="AE637" s="145">
        <v>0</v>
      </c>
      <c r="AF637" s="163">
        <v>1.0469999999999999</v>
      </c>
      <c r="AG637" s="164">
        <v>1.046</v>
      </c>
      <c r="AH637" s="164">
        <v>1.046</v>
      </c>
      <c r="AI637" s="164">
        <v>0</v>
      </c>
      <c r="AJ637" s="164">
        <f t="shared" si="74"/>
        <v>0</v>
      </c>
      <c r="AK637" s="165">
        <v>0</v>
      </c>
      <c r="AL637" s="165">
        <v>0</v>
      </c>
      <c r="AM637" s="165">
        <f t="shared" si="76"/>
        <v>0</v>
      </c>
      <c r="AN637" s="165">
        <f t="shared" si="77"/>
        <v>0</v>
      </c>
      <c r="AO637" s="16"/>
      <c r="AP637" s="231">
        <f t="shared" si="75"/>
        <v>0</v>
      </c>
      <c r="AR637" s="231"/>
      <c r="AS637" s="231"/>
      <c r="AU637" s="230">
        <v>0</v>
      </c>
      <c r="AV637" s="233">
        <v>0</v>
      </c>
      <c r="AW637" s="230">
        <f t="shared" si="73"/>
        <v>0</v>
      </c>
    </row>
    <row r="638" spans="1:49" x14ac:dyDescent="0.3">
      <c r="A638" s="16" t="s">
        <v>508</v>
      </c>
      <c r="B638" s="39" t="s">
        <v>1377</v>
      </c>
      <c r="C638" s="39" t="s">
        <v>385</v>
      </c>
      <c r="D638" s="340" t="s">
        <v>3472</v>
      </c>
      <c r="E638" s="159" t="s">
        <v>1085</v>
      </c>
      <c r="F638" s="159" t="s">
        <v>589</v>
      </c>
      <c r="G638" s="159" t="s">
        <v>309</v>
      </c>
      <c r="H638" s="159" t="s">
        <v>373</v>
      </c>
      <c r="I638" s="159" t="s">
        <v>386</v>
      </c>
      <c r="J638" s="159" t="s">
        <v>312</v>
      </c>
      <c r="K638" s="159" t="s">
        <v>1849</v>
      </c>
      <c r="L638" s="39" t="s">
        <v>304</v>
      </c>
      <c r="M638" s="39" t="s">
        <v>305</v>
      </c>
      <c r="N638" s="39">
        <v>11</v>
      </c>
      <c r="O638" s="39" t="s">
        <v>385</v>
      </c>
      <c r="P638" s="39" t="s">
        <v>385</v>
      </c>
      <c r="Q638" s="39" t="s">
        <v>1377</v>
      </c>
      <c r="R638" s="16" t="s">
        <v>508</v>
      </c>
      <c r="S638" s="169">
        <v>0</v>
      </c>
      <c r="T638" s="160">
        <v>0</v>
      </c>
      <c r="U638" s="160">
        <v>0</v>
      </c>
      <c r="V638" s="160">
        <v>0</v>
      </c>
      <c r="W638" s="160">
        <v>0</v>
      </c>
      <c r="X638" s="161">
        <v>0</v>
      </c>
      <c r="Y638" s="160"/>
      <c r="Z638" s="16">
        <v>0</v>
      </c>
      <c r="AA638" s="162">
        <v>0</v>
      </c>
      <c r="AB638" s="162">
        <v>0</v>
      </c>
      <c r="AC638" s="162">
        <v>0</v>
      </c>
      <c r="AD638" s="160"/>
      <c r="AE638" s="145">
        <v>0</v>
      </c>
      <c r="AF638" s="163">
        <v>1.0469999999999999</v>
      </c>
      <c r="AG638" s="164">
        <v>1.046</v>
      </c>
      <c r="AH638" s="164">
        <v>1.046</v>
      </c>
      <c r="AI638" s="164">
        <v>0</v>
      </c>
      <c r="AJ638" s="164">
        <f t="shared" si="74"/>
        <v>0</v>
      </c>
      <c r="AK638" s="165">
        <v>0</v>
      </c>
      <c r="AL638" s="165">
        <v>0</v>
      </c>
      <c r="AM638" s="165">
        <f t="shared" si="76"/>
        <v>0</v>
      </c>
      <c r="AN638" s="165">
        <f t="shared" si="77"/>
        <v>0</v>
      </c>
      <c r="AO638" s="16"/>
      <c r="AP638" s="231">
        <f t="shared" si="75"/>
        <v>0</v>
      </c>
      <c r="AR638" s="231"/>
      <c r="AS638" s="231"/>
      <c r="AU638" s="230">
        <v>0</v>
      </c>
      <c r="AV638" s="233">
        <v>0</v>
      </c>
      <c r="AW638" s="230">
        <f t="shared" si="73"/>
        <v>0</v>
      </c>
    </row>
    <row r="639" spans="1:49" s="172" customFormat="1" x14ac:dyDescent="0.3">
      <c r="A639" s="166" t="s">
        <v>56</v>
      </c>
      <c r="B639" s="167" t="s">
        <v>1378</v>
      </c>
      <c r="C639" s="167" t="s">
        <v>385</v>
      </c>
      <c r="D639" s="412" t="s">
        <v>3472</v>
      </c>
      <c r="E639" s="168" t="s">
        <v>1085</v>
      </c>
      <c r="F639" s="168" t="s">
        <v>589</v>
      </c>
      <c r="G639" s="168" t="s">
        <v>309</v>
      </c>
      <c r="H639" s="168" t="s">
        <v>373</v>
      </c>
      <c r="I639" s="168" t="s">
        <v>386</v>
      </c>
      <c r="J639" s="168" t="s">
        <v>387</v>
      </c>
      <c r="K639" s="168" t="s">
        <v>1849</v>
      </c>
      <c r="L639" s="167" t="s">
        <v>304</v>
      </c>
      <c r="M639" s="167" t="s">
        <v>305</v>
      </c>
      <c r="N639" s="167">
        <v>11</v>
      </c>
      <c r="O639" s="167" t="s">
        <v>385</v>
      </c>
      <c r="P639" s="167" t="s">
        <v>385</v>
      </c>
      <c r="Q639" s="167" t="s">
        <v>1378</v>
      </c>
      <c r="R639" s="166" t="s">
        <v>56</v>
      </c>
      <c r="S639" s="169">
        <v>105545</v>
      </c>
      <c r="T639" s="160">
        <v>179076.73</v>
      </c>
      <c r="U639" s="160">
        <v>0</v>
      </c>
      <c r="V639" s="160">
        <v>730122.99</v>
      </c>
      <c r="W639" s="160">
        <v>-624577.99</v>
      </c>
      <c r="X639" s="161">
        <v>0</v>
      </c>
      <c r="Y639" s="160"/>
      <c r="Z639" s="16">
        <v>691.76</v>
      </c>
      <c r="AA639" s="162">
        <v>730122.99</v>
      </c>
      <c r="AB639" s="162">
        <v>182530.7475</v>
      </c>
      <c r="AC639" s="162">
        <v>2190368.9699999997</v>
      </c>
      <c r="AD639" s="160"/>
      <c r="AE639" s="145">
        <v>105545</v>
      </c>
      <c r="AF639" s="163">
        <v>1.0529999999999999</v>
      </c>
      <c r="AG639" s="163">
        <v>1.0489999999999999</v>
      </c>
      <c r="AH639" s="163">
        <v>1.0469999999999999</v>
      </c>
      <c r="AI639" s="164">
        <v>105545</v>
      </c>
      <c r="AJ639" s="164">
        <f t="shared" si="74"/>
        <v>0</v>
      </c>
      <c r="AK639" s="229">
        <v>105545</v>
      </c>
      <c r="AL639" s="229">
        <f ca="1">SUMIF('MS &amp; Vacancies combined'!A:O,D639,'MS &amp; Vacancies combined'!O:O)*105.3/100</f>
        <v>1176384.9217731436</v>
      </c>
      <c r="AM639" s="229">
        <f ca="1">AL639*AG639</f>
        <v>1234027.7829400275</v>
      </c>
      <c r="AN639" s="229">
        <f ca="1">AM639*AH639</f>
        <v>1292027.0887382086</v>
      </c>
      <c r="AO639" s="166"/>
      <c r="AP639" s="413">
        <f t="shared" ca="1" si="75"/>
        <v>-1070839.9217731436</v>
      </c>
      <c r="AR639" s="231"/>
      <c r="AS639" s="231"/>
      <c r="AU639" s="414">
        <v>105545</v>
      </c>
      <c r="AV639" s="415">
        <v>105545</v>
      </c>
      <c r="AW639" s="414">
        <f t="shared" si="73"/>
        <v>0</v>
      </c>
    </row>
    <row r="640" spans="1:49" x14ac:dyDescent="0.3">
      <c r="A640" s="16" t="s">
        <v>57</v>
      </c>
      <c r="B640" s="39" t="s">
        <v>1379</v>
      </c>
      <c r="C640" s="39" t="s">
        <v>389</v>
      </c>
      <c r="D640" s="340" t="s">
        <v>3472</v>
      </c>
      <c r="E640" s="159" t="s">
        <v>1085</v>
      </c>
      <c r="F640" s="159" t="s">
        <v>589</v>
      </c>
      <c r="G640" s="159" t="s">
        <v>309</v>
      </c>
      <c r="H640" s="159" t="s">
        <v>373</v>
      </c>
      <c r="I640" s="159" t="s">
        <v>390</v>
      </c>
      <c r="J640" s="159" t="s">
        <v>312</v>
      </c>
      <c r="K640" s="159" t="s">
        <v>1849</v>
      </c>
      <c r="L640" s="39" t="s">
        <v>304</v>
      </c>
      <c r="M640" s="39" t="s">
        <v>305</v>
      </c>
      <c r="N640" s="39">
        <v>11</v>
      </c>
      <c r="O640" s="39" t="s">
        <v>389</v>
      </c>
      <c r="P640" s="39" t="s">
        <v>389</v>
      </c>
      <c r="Q640" s="39" t="s">
        <v>1379</v>
      </c>
      <c r="R640" s="16" t="s">
        <v>57</v>
      </c>
      <c r="S640" s="169">
        <v>593276</v>
      </c>
      <c r="T640" s="160">
        <v>30177.09</v>
      </c>
      <c r="U640" s="160">
        <v>0</v>
      </c>
      <c r="V640" s="160">
        <v>161651.92000000001</v>
      </c>
      <c r="W640" s="160">
        <v>431624.08</v>
      </c>
      <c r="X640" s="161">
        <v>0</v>
      </c>
      <c r="Y640" s="160"/>
      <c r="Z640" s="16">
        <v>27.24</v>
      </c>
      <c r="AA640" s="162">
        <v>161651.92000000001</v>
      </c>
      <c r="AB640" s="162">
        <v>40412.980000000003</v>
      </c>
      <c r="AC640" s="162">
        <v>484955.76</v>
      </c>
      <c r="AD640" s="160"/>
      <c r="AE640" s="145">
        <v>593276</v>
      </c>
      <c r="AF640" s="421">
        <v>1.0529999999999999</v>
      </c>
      <c r="AG640" s="421">
        <v>1.0489999999999999</v>
      </c>
      <c r="AH640" s="421">
        <v>1.0469999999999999</v>
      </c>
      <c r="AI640" s="164">
        <v>593276</v>
      </c>
      <c r="AJ640" s="164">
        <f t="shared" si="74"/>
        <v>0</v>
      </c>
      <c r="AK640" s="165">
        <v>593276</v>
      </c>
      <c r="AL640" s="165">
        <f>AK640*80%</f>
        <v>474620.80000000005</v>
      </c>
      <c r="AM640" s="165">
        <f t="shared" si="76"/>
        <v>497877.21919999999</v>
      </c>
      <c r="AN640" s="165">
        <f t="shared" si="77"/>
        <v>521277.44850239996</v>
      </c>
      <c r="AO640" s="16"/>
      <c r="AP640" s="231">
        <f t="shared" si="75"/>
        <v>118655.19999999995</v>
      </c>
      <c r="AR640" s="231"/>
      <c r="AS640" s="231"/>
      <c r="AU640" s="230">
        <v>593276</v>
      </c>
      <c r="AV640" s="233">
        <v>593276</v>
      </c>
      <c r="AW640" s="230">
        <f t="shared" si="73"/>
        <v>0</v>
      </c>
    </row>
    <row r="641" spans="1:49" x14ac:dyDescent="0.3">
      <c r="A641" s="16" t="s">
        <v>59</v>
      </c>
      <c r="B641" s="39" t="s">
        <v>1380</v>
      </c>
      <c r="C641" s="39" t="s">
        <v>855</v>
      </c>
      <c r="D641" s="340" t="s">
        <v>3472</v>
      </c>
      <c r="E641" s="159" t="s">
        <v>1085</v>
      </c>
      <c r="F641" s="159" t="s">
        <v>589</v>
      </c>
      <c r="G641" s="159" t="s">
        <v>309</v>
      </c>
      <c r="H641" s="159" t="s">
        <v>373</v>
      </c>
      <c r="I641" s="159" t="s">
        <v>311</v>
      </c>
      <c r="J641" s="159" t="s">
        <v>312</v>
      </c>
      <c r="K641" s="159" t="s">
        <v>1849</v>
      </c>
      <c r="L641" s="39" t="s">
        <v>304</v>
      </c>
      <c r="M641" s="39" t="s">
        <v>305</v>
      </c>
      <c r="N641" s="39">
        <v>11</v>
      </c>
      <c r="O641" s="39" t="s">
        <v>855</v>
      </c>
      <c r="P641" s="39" t="s">
        <v>855</v>
      </c>
      <c r="Q641" s="39" t="s">
        <v>1380</v>
      </c>
      <c r="R641" s="16" t="s">
        <v>59</v>
      </c>
      <c r="S641" s="169">
        <v>0</v>
      </c>
      <c r="T641" s="160">
        <v>0</v>
      </c>
      <c r="U641" s="160">
        <v>0</v>
      </c>
      <c r="V641" s="160">
        <v>0</v>
      </c>
      <c r="W641" s="160">
        <v>0</v>
      </c>
      <c r="X641" s="161">
        <v>0</v>
      </c>
      <c r="Y641" s="160"/>
      <c r="Z641" s="16">
        <v>0</v>
      </c>
      <c r="AA641" s="162">
        <v>0</v>
      </c>
      <c r="AB641" s="162">
        <v>0</v>
      </c>
      <c r="AC641" s="162">
        <v>0</v>
      </c>
      <c r="AD641" s="160"/>
      <c r="AE641" s="145">
        <v>0</v>
      </c>
      <c r="AF641" s="421">
        <v>1.0529999999999999</v>
      </c>
      <c r="AG641" s="421">
        <v>1.0489999999999999</v>
      </c>
      <c r="AH641" s="421">
        <v>1.0469999999999999</v>
      </c>
      <c r="AI641" s="164">
        <v>0</v>
      </c>
      <c r="AJ641" s="164">
        <f t="shared" si="74"/>
        <v>0</v>
      </c>
      <c r="AK641" s="165">
        <v>0</v>
      </c>
      <c r="AL641" s="165">
        <f>AK641*AF641</f>
        <v>0</v>
      </c>
      <c r="AM641" s="165">
        <f t="shared" si="76"/>
        <v>0</v>
      </c>
      <c r="AN641" s="165">
        <f t="shared" si="77"/>
        <v>0</v>
      </c>
      <c r="AO641" s="16"/>
      <c r="AP641" s="231">
        <f t="shared" si="75"/>
        <v>0</v>
      </c>
      <c r="AR641" s="231"/>
      <c r="AS641" s="231"/>
      <c r="AU641" s="230">
        <v>0</v>
      </c>
      <c r="AV641" s="233">
        <v>0</v>
      </c>
      <c r="AW641" s="230">
        <f t="shared" si="73"/>
        <v>0</v>
      </c>
    </row>
    <row r="642" spans="1:49" x14ac:dyDescent="0.3">
      <c r="A642" s="16" t="s">
        <v>60</v>
      </c>
      <c r="B642" s="39" t="s">
        <v>1381</v>
      </c>
      <c r="C642" s="39" t="s">
        <v>392</v>
      </c>
      <c r="D642" s="340" t="s">
        <v>3472</v>
      </c>
      <c r="E642" s="159" t="s">
        <v>1085</v>
      </c>
      <c r="F642" s="159" t="s">
        <v>589</v>
      </c>
      <c r="G642" s="159" t="s">
        <v>309</v>
      </c>
      <c r="H642" s="159" t="s">
        <v>373</v>
      </c>
      <c r="I642" s="159" t="s">
        <v>393</v>
      </c>
      <c r="J642" s="159" t="s">
        <v>312</v>
      </c>
      <c r="K642" s="159" t="s">
        <v>1849</v>
      </c>
      <c r="L642" s="39" t="s">
        <v>304</v>
      </c>
      <c r="M642" s="39" t="s">
        <v>305</v>
      </c>
      <c r="N642" s="39">
        <v>11</v>
      </c>
      <c r="O642" s="39" t="s">
        <v>392</v>
      </c>
      <c r="P642" s="39" t="s">
        <v>392</v>
      </c>
      <c r="Q642" s="39" t="s">
        <v>1381</v>
      </c>
      <c r="R642" s="16" t="s">
        <v>60</v>
      </c>
      <c r="S642" s="169">
        <v>31284</v>
      </c>
      <c r="T642" s="160">
        <v>1501.29</v>
      </c>
      <c r="U642" s="160">
        <v>0</v>
      </c>
      <c r="V642" s="160">
        <v>6459.01</v>
      </c>
      <c r="W642" s="160">
        <v>24824.99</v>
      </c>
      <c r="X642" s="161">
        <v>0</v>
      </c>
      <c r="Y642" s="160"/>
      <c r="Z642" s="16">
        <v>20.64</v>
      </c>
      <c r="AA642" s="162">
        <v>6459.01</v>
      </c>
      <c r="AB642" s="162">
        <v>1614.7525000000001</v>
      </c>
      <c r="AC642" s="162">
        <v>19377.03</v>
      </c>
      <c r="AD642" s="160"/>
      <c r="AE642" s="145">
        <v>31284</v>
      </c>
      <c r="AF642" s="421">
        <v>1.0529999999999999</v>
      </c>
      <c r="AG642" s="421">
        <v>1.0489999999999999</v>
      </c>
      <c r="AH642" s="421">
        <v>1.0469999999999999</v>
      </c>
      <c r="AI642" s="164">
        <v>31284</v>
      </c>
      <c r="AJ642" s="164">
        <f t="shared" si="74"/>
        <v>0</v>
      </c>
      <c r="AK642" s="165">
        <v>31284</v>
      </c>
      <c r="AL642" s="165">
        <f>AK642*AF642</f>
        <v>32942.051999999996</v>
      </c>
      <c r="AM642" s="165">
        <f t="shared" si="76"/>
        <v>34556.212547999996</v>
      </c>
      <c r="AN642" s="165">
        <f t="shared" si="77"/>
        <v>36180.354537755993</v>
      </c>
      <c r="AO642" s="16"/>
      <c r="AP642" s="231">
        <f t="shared" si="75"/>
        <v>-1658.051999999996</v>
      </c>
      <c r="AR642" s="231"/>
      <c r="AS642" s="231"/>
      <c r="AU642" s="230">
        <v>31284</v>
      </c>
      <c r="AV642" s="233">
        <v>31284</v>
      </c>
      <c r="AW642" s="230">
        <f t="shared" ref="AW642:AW705" si="78">AU642-S642</f>
        <v>0</v>
      </c>
    </row>
    <row r="643" spans="1:49" x14ac:dyDescent="0.3">
      <c r="A643" s="16" t="s">
        <v>61</v>
      </c>
      <c r="B643" s="39" t="s">
        <v>1382</v>
      </c>
      <c r="C643" s="39" t="s">
        <v>460</v>
      </c>
      <c r="D643" s="340" t="s">
        <v>3472</v>
      </c>
      <c r="E643" s="159" t="s">
        <v>1085</v>
      </c>
      <c r="F643" s="159" t="s">
        <v>589</v>
      </c>
      <c r="G643" s="159" t="s">
        <v>309</v>
      </c>
      <c r="H643" s="159" t="s">
        <v>373</v>
      </c>
      <c r="I643" s="159" t="s">
        <v>461</v>
      </c>
      <c r="J643" s="159" t="s">
        <v>312</v>
      </c>
      <c r="K643" s="159" t="s">
        <v>1849</v>
      </c>
      <c r="L643" s="39" t="s">
        <v>304</v>
      </c>
      <c r="M643" s="39" t="s">
        <v>305</v>
      </c>
      <c r="N643" s="39">
        <v>11</v>
      </c>
      <c r="O643" s="39" t="s">
        <v>460</v>
      </c>
      <c r="P643" s="39" t="s">
        <v>460</v>
      </c>
      <c r="Q643" s="39" t="s">
        <v>1382</v>
      </c>
      <c r="R643" s="16" t="s">
        <v>61</v>
      </c>
      <c r="S643" s="169">
        <v>0</v>
      </c>
      <c r="T643" s="160">
        <v>0</v>
      </c>
      <c r="U643" s="160">
        <v>0</v>
      </c>
      <c r="V643" s="160">
        <v>9443.09</v>
      </c>
      <c r="W643" s="160">
        <v>-9443.09</v>
      </c>
      <c r="X643" s="161">
        <v>0</v>
      </c>
      <c r="Y643" s="160"/>
      <c r="Z643" s="16">
        <v>0</v>
      </c>
      <c r="AA643" s="162">
        <v>9443.09</v>
      </c>
      <c r="AB643" s="162">
        <v>2360.7725</v>
      </c>
      <c r="AC643" s="162">
        <v>28329.27</v>
      </c>
      <c r="AD643" s="160"/>
      <c r="AE643" s="145">
        <v>0</v>
      </c>
      <c r="AF643" s="163">
        <v>1.0469999999999999</v>
      </c>
      <c r="AG643" s="164">
        <v>1.046</v>
      </c>
      <c r="AH643" s="164">
        <v>1.046</v>
      </c>
      <c r="AI643" s="164">
        <v>0</v>
      </c>
      <c r="AJ643" s="164">
        <f t="shared" si="74"/>
        <v>0</v>
      </c>
      <c r="AK643" s="165">
        <v>0</v>
      </c>
      <c r="AL643" s="165">
        <v>0</v>
      </c>
      <c r="AM643" s="165">
        <f t="shared" si="76"/>
        <v>0</v>
      </c>
      <c r="AN643" s="165">
        <f t="shared" si="77"/>
        <v>0</v>
      </c>
      <c r="AO643" s="16"/>
      <c r="AP643" s="231">
        <f t="shared" si="75"/>
        <v>0</v>
      </c>
      <c r="AR643" s="231"/>
      <c r="AS643" s="231"/>
      <c r="AU643" s="230">
        <v>0</v>
      </c>
      <c r="AV643" s="233">
        <v>0</v>
      </c>
      <c r="AW643" s="230">
        <f t="shared" si="78"/>
        <v>0</v>
      </c>
    </row>
    <row r="644" spans="1:49" s="172" customFormat="1" x14ac:dyDescent="0.3">
      <c r="A644" s="166" t="s">
        <v>62</v>
      </c>
      <c r="B644" s="167" t="s">
        <v>1383</v>
      </c>
      <c r="C644" s="167" t="s">
        <v>395</v>
      </c>
      <c r="D644" s="412" t="s">
        <v>3472</v>
      </c>
      <c r="E644" s="168" t="s">
        <v>1085</v>
      </c>
      <c r="F644" s="168" t="s">
        <v>589</v>
      </c>
      <c r="G644" s="168" t="s">
        <v>309</v>
      </c>
      <c r="H644" s="168" t="s">
        <v>373</v>
      </c>
      <c r="I644" s="168" t="s">
        <v>396</v>
      </c>
      <c r="J644" s="168" t="s">
        <v>312</v>
      </c>
      <c r="K644" s="168" t="s">
        <v>1849</v>
      </c>
      <c r="L644" s="167" t="s">
        <v>304</v>
      </c>
      <c r="M644" s="167" t="s">
        <v>305</v>
      </c>
      <c r="N644" s="167">
        <v>11</v>
      </c>
      <c r="O644" s="167" t="s">
        <v>395</v>
      </c>
      <c r="P644" s="167" t="s">
        <v>395</v>
      </c>
      <c r="Q644" s="167" t="s">
        <v>1383</v>
      </c>
      <c r="R644" s="166" t="s">
        <v>62</v>
      </c>
      <c r="S644" s="169">
        <v>566009</v>
      </c>
      <c r="T644" s="160">
        <v>0</v>
      </c>
      <c r="U644" s="160">
        <v>0</v>
      </c>
      <c r="V644" s="160">
        <v>15592</v>
      </c>
      <c r="W644" s="160">
        <v>550417</v>
      </c>
      <c r="X644" s="161">
        <v>0</v>
      </c>
      <c r="Y644" s="160"/>
      <c r="Z644" s="16">
        <v>2.75</v>
      </c>
      <c r="AA644" s="162">
        <v>15592</v>
      </c>
      <c r="AB644" s="162">
        <v>3898</v>
      </c>
      <c r="AC644" s="162">
        <v>46776</v>
      </c>
      <c r="AD644" s="160"/>
      <c r="AE644" s="145">
        <v>566009</v>
      </c>
      <c r="AF644" s="163">
        <v>1.0529999999999999</v>
      </c>
      <c r="AG644" s="163">
        <v>1.0489999999999999</v>
      </c>
      <c r="AH644" s="163">
        <v>1.0469999999999999</v>
      </c>
      <c r="AI644" s="164">
        <v>566009</v>
      </c>
      <c r="AJ644" s="164">
        <f t="shared" si="74"/>
        <v>0</v>
      </c>
      <c r="AK644" s="229">
        <v>566009</v>
      </c>
      <c r="AL644" s="229">
        <f ca="1">SUMIF('MS &amp; Vacancies combined'!A:K,D644,'MS &amp; Vacancies combined'!K:K)*105.3/100</f>
        <v>559254.4101041134</v>
      </c>
      <c r="AM644" s="229">
        <f ca="1">AL644*AG644</f>
        <v>586657.87619921495</v>
      </c>
      <c r="AN644" s="229">
        <f ca="1">AM644*AH644</f>
        <v>614230.79638057796</v>
      </c>
      <c r="AO644" s="166"/>
      <c r="AP644" s="413">
        <f t="shared" ca="1" si="75"/>
        <v>6754.5898958866019</v>
      </c>
      <c r="AR644" s="231"/>
      <c r="AS644" s="231"/>
      <c r="AU644" s="414">
        <v>566009</v>
      </c>
      <c r="AV644" s="415">
        <v>566009</v>
      </c>
      <c r="AW644" s="414">
        <f t="shared" si="78"/>
        <v>0</v>
      </c>
    </row>
    <row r="645" spans="1:49" x14ac:dyDescent="0.3">
      <c r="A645" s="16" t="s">
        <v>63</v>
      </c>
      <c r="B645" s="39" t="s">
        <v>1384</v>
      </c>
      <c r="C645" s="39" t="s">
        <v>860</v>
      </c>
      <c r="D645" s="340" t="s">
        <v>3472</v>
      </c>
      <c r="E645" s="159" t="s">
        <v>1085</v>
      </c>
      <c r="F645" s="159" t="s">
        <v>589</v>
      </c>
      <c r="G645" s="159" t="s">
        <v>309</v>
      </c>
      <c r="H645" s="159" t="s">
        <v>373</v>
      </c>
      <c r="I645" s="159" t="s">
        <v>861</v>
      </c>
      <c r="J645" s="159" t="s">
        <v>312</v>
      </c>
      <c r="K645" s="159" t="s">
        <v>1849</v>
      </c>
      <c r="L645" s="39" t="s">
        <v>304</v>
      </c>
      <c r="M645" s="39" t="s">
        <v>305</v>
      </c>
      <c r="N645" s="39">
        <v>11</v>
      </c>
      <c r="O645" s="39" t="s">
        <v>860</v>
      </c>
      <c r="P645" s="39" t="s">
        <v>860</v>
      </c>
      <c r="Q645" s="39" t="s">
        <v>1384</v>
      </c>
      <c r="R645" s="16" t="s">
        <v>63</v>
      </c>
      <c r="S645" s="169">
        <v>0</v>
      </c>
      <c r="T645" s="160">
        <v>0</v>
      </c>
      <c r="U645" s="160">
        <v>0</v>
      </c>
      <c r="V645" s="160">
        <v>0</v>
      </c>
      <c r="W645" s="160">
        <v>0</v>
      </c>
      <c r="X645" s="161">
        <v>0</v>
      </c>
      <c r="Y645" s="160"/>
      <c r="Z645" s="16">
        <v>0</v>
      </c>
      <c r="AA645" s="162">
        <v>0</v>
      </c>
      <c r="AB645" s="162">
        <v>0</v>
      </c>
      <c r="AC645" s="162">
        <v>0</v>
      </c>
      <c r="AD645" s="160"/>
      <c r="AE645" s="145">
        <v>0</v>
      </c>
      <c r="AF645" s="163">
        <v>1.0469999999999999</v>
      </c>
      <c r="AG645" s="164">
        <v>1.046</v>
      </c>
      <c r="AH645" s="164">
        <v>1.046</v>
      </c>
      <c r="AI645" s="164">
        <v>0</v>
      </c>
      <c r="AJ645" s="164">
        <f t="shared" si="74"/>
        <v>0</v>
      </c>
      <c r="AK645" s="165">
        <v>0</v>
      </c>
      <c r="AL645" s="165">
        <v>0</v>
      </c>
      <c r="AM645" s="165">
        <f t="shared" si="76"/>
        <v>0</v>
      </c>
      <c r="AN645" s="165">
        <f t="shared" si="77"/>
        <v>0</v>
      </c>
      <c r="AO645" s="16"/>
      <c r="AP645" s="231">
        <f t="shared" si="75"/>
        <v>0</v>
      </c>
      <c r="AR645" s="231"/>
      <c r="AS645" s="231"/>
      <c r="AU645" s="230">
        <v>0</v>
      </c>
      <c r="AV645" s="233">
        <v>0</v>
      </c>
      <c r="AW645" s="230">
        <f t="shared" si="78"/>
        <v>0</v>
      </c>
    </row>
    <row r="646" spans="1:49" x14ac:dyDescent="0.3">
      <c r="A646" s="16" t="s">
        <v>64</v>
      </c>
      <c r="B646" s="39" t="s">
        <v>1385</v>
      </c>
      <c r="C646" s="39" t="s">
        <v>464</v>
      </c>
      <c r="D646" s="340" t="s">
        <v>3472</v>
      </c>
      <c r="E646" s="159" t="s">
        <v>1085</v>
      </c>
      <c r="F646" s="159" t="s">
        <v>589</v>
      </c>
      <c r="G646" s="159" t="s">
        <v>309</v>
      </c>
      <c r="H646" s="159" t="s">
        <v>373</v>
      </c>
      <c r="I646" s="159" t="s">
        <v>465</v>
      </c>
      <c r="J646" s="159" t="s">
        <v>312</v>
      </c>
      <c r="K646" s="159" t="s">
        <v>1849</v>
      </c>
      <c r="L646" s="39" t="s">
        <v>304</v>
      </c>
      <c r="M646" s="39" t="s">
        <v>305</v>
      </c>
      <c r="N646" s="39">
        <v>11</v>
      </c>
      <c r="O646" s="39" t="s">
        <v>464</v>
      </c>
      <c r="P646" s="39" t="s">
        <v>464</v>
      </c>
      <c r="Q646" s="39" t="s">
        <v>1385</v>
      </c>
      <c r="R646" s="16" t="s">
        <v>64</v>
      </c>
      <c r="S646" s="169">
        <v>295528</v>
      </c>
      <c r="T646" s="160">
        <v>26863.16</v>
      </c>
      <c r="U646" s="160">
        <v>0</v>
      </c>
      <c r="V646" s="160">
        <v>101865.29</v>
      </c>
      <c r="W646" s="160">
        <v>193662.71</v>
      </c>
      <c r="X646" s="161">
        <v>0</v>
      </c>
      <c r="Y646" s="160"/>
      <c r="Z646" s="16">
        <v>34.46</v>
      </c>
      <c r="AA646" s="162">
        <v>101865.29</v>
      </c>
      <c r="AB646" s="162">
        <v>25466.322499999998</v>
      </c>
      <c r="AC646" s="162">
        <v>305595.87</v>
      </c>
      <c r="AD646" s="160"/>
      <c r="AE646" s="145">
        <v>295528</v>
      </c>
      <c r="AF646" s="421">
        <v>1.0529999999999999</v>
      </c>
      <c r="AG646" s="421">
        <v>1.0489999999999999</v>
      </c>
      <c r="AH646" s="421">
        <v>1.0469999999999999</v>
      </c>
      <c r="AI646" s="164">
        <v>295528</v>
      </c>
      <c r="AJ646" s="164">
        <f t="shared" si="74"/>
        <v>0</v>
      </c>
      <c r="AK646" s="165">
        <v>295528</v>
      </c>
      <c r="AL646" s="165">
        <f>AK646*AF646</f>
        <v>311190.984</v>
      </c>
      <c r="AM646" s="165">
        <f t="shared" si="76"/>
        <v>326439.34221599996</v>
      </c>
      <c r="AN646" s="165">
        <f t="shared" si="77"/>
        <v>341781.99130015192</v>
      </c>
      <c r="AO646" s="16"/>
      <c r="AP646" s="231">
        <f t="shared" si="75"/>
        <v>-15662.983999999997</v>
      </c>
      <c r="AR646" s="231"/>
      <c r="AS646" s="231"/>
      <c r="AU646" s="230">
        <v>295528</v>
      </c>
      <c r="AV646" s="233">
        <v>295528</v>
      </c>
      <c r="AW646" s="230">
        <f t="shared" si="78"/>
        <v>0</v>
      </c>
    </row>
    <row r="647" spans="1:49" s="172" customFormat="1" x14ac:dyDescent="0.3">
      <c r="A647" s="166" t="s">
        <v>69</v>
      </c>
      <c r="B647" s="167" t="s">
        <v>1386</v>
      </c>
      <c r="C647" s="167" t="s">
        <v>398</v>
      </c>
      <c r="D647" s="412" t="s">
        <v>3472</v>
      </c>
      <c r="E647" s="168" t="s">
        <v>1085</v>
      </c>
      <c r="F647" s="168" t="s">
        <v>589</v>
      </c>
      <c r="G647" s="168" t="s">
        <v>309</v>
      </c>
      <c r="H647" s="168" t="s">
        <v>310</v>
      </c>
      <c r="I647" s="168" t="s">
        <v>374</v>
      </c>
      <c r="J647" s="168" t="s">
        <v>312</v>
      </c>
      <c r="K647" s="168" t="s">
        <v>1849</v>
      </c>
      <c r="L647" s="167" t="s">
        <v>304</v>
      </c>
      <c r="M647" s="167" t="s">
        <v>305</v>
      </c>
      <c r="N647" s="167">
        <v>11</v>
      </c>
      <c r="O647" s="167" t="s">
        <v>398</v>
      </c>
      <c r="P647" s="167" t="s">
        <v>398</v>
      </c>
      <c r="Q647" s="167" t="s">
        <v>1386</v>
      </c>
      <c r="R647" s="166" t="s">
        <v>69</v>
      </c>
      <c r="S647" s="169">
        <v>1943</v>
      </c>
      <c r="T647" s="160">
        <v>194.4</v>
      </c>
      <c r="U647" s="160">
        <v>0</v>
      </c>
      <c r="V647" s="160">
        <v>788.4</v>
      </c>
      <c r="W647" s="160">
        <v>1154.5999999999999</v>
      </c>
      <c r="X647" s="161">
        <v>0</v>
      </c>
      <c r="Y647" s="160"/>
      <c r="Z647" s="16">
        <v>40.57</v>
      </c>
      <c r="AA647" s="162">
        <v>788.4</v>
      </c>
      <c r="AB647" s="162">
        <v>197.1</v>
      </c>
      <c r="AC647" s="162">
        <v>2365.1999999999998</v>
      </c>
      <c r="AD647" s="160"/>
      <c r="AE647" s="145">
        <v>1943</v>
      </c>
      <c r="AF647" s="163">
        <v>1.0529999999999999</v>
      </c>
      <c r="AG647" s="163">
        <v>1.0489999999999999</v>
      </c>
      <c r="AH647" s="163">
        <v>1.0469999999999999</v>
      </c>
      <c r="AI647" s="164">
        <v>1943</v>
      </c>
      <c r="AJ647" s="164">
        <f t="shared" ref="AJ647:AJ710" si="79">AE647-AI647</f>
        <v>0</v>
      </c>
      <c r="AK647" s="229">
        <v>1943</v>
      </c>
      <c r="AL647" s="229">
        <f ca="1">SUMIF('MS &amp; Vacancies combined'!A:N,D647,'MS &amp; Vacancies combined'!N:N)*105.3/100</f>
        <v>1887.4541426304038</v>
      </c>
      <c r="AM647" s="229">
        <f t="shared" ca="1" si="76"/>
        <v>1979.9393956192935</v>
      </c>
      <c r="AN647" s="229">
        <f t="shared" ca="1" si="77"/>
        <v>2072.9965472133999</v>
      </c>
      <c r="AO647" s="166"/>
      <c r="AP647" s="413">
        <f t="shared" ref="AP647:AP710" ca="1" si="80">AK647-AL647</f>
        <v>55.545857369596206</v>
      </c>
      <c r="AR647" s="231"/>
      <c r="AS647" s="231"/>
      <c r="AU647" s="414">
        <v>1943</v>
      </c>
      <c r="AV647" s="415">
        <v>1943</v>
      </c>
      <c r="AW647" s="414">
        <f t="shared" si="78"/>
        <v>0</v>
      </c>
    </row>
    <row r="648" spans="1:49" s="172" customFormat="1" x14ac:dyDescent="0.3">
      <c r="A648" s="166" t="s">
        <v>70</v>
      </c>
      <c r="B648" s="167" t="s">
        <v>1387</v>
      </c>
      <c r="C648" s="167" t="s">
        <v>400</v>
      </c>
      <c r="D648" s="412" t="s">
        <v>3472</v>
      </c>
      <c r="E648" s="168" t="s">
        <v>1085</v>
      </c>
      <c r="F648" s="168" t="s">
        <v>589</v>
      </c>
      <c r="G648" s="168" t="s">
        <v>309</v>
      </c>
      <c r="H648" s="168" t="s">
        <v>310</v>
      </c>
      <c r="I648" s="168" t="s">
        <v>401</v>
      </c>
      <c r="J648" s="168" t="s">
        <v>312</v>
      </c>
      <c r="K648" s="168" t="s">
        <v>1849</v>
      </c>
      <c r="L648" s="167" t="s">
        <v>304</v>
      </c>
      <c r="M648" s="167" t="s">
        <v>305</v>
      </c>
      <c r="N648" s="167">
        <v>11</v>
      </c>
      <c r="O648" s="167" t="s">
        <v>400</v>
      </c>
      <c r="P648" s="167" t="s">
        <v>400</v>
      </c>
      <c r="Q648" s="167" t="s">
        <v>1387</v>
      </c>
      <c r="R648" s="166" t="s">
        <v>70</v>
      </c>
      <c r="S648" s="169">
        <v>115466</v>
      </c>
      <c r="T648" s="160">
        <v>4184.3599999999997</v>
      </c>
      <c r="U648" s="160">
        <v>0</v>
      </c>
      <c r="V648" s="160">
        <v>17007.580000000002</v>
      </c>
      <c r="W648" s="160">
        <v>98458.42</v>
      </c>
      <c r="X648" s="161">
        <v>0</v>
      </c>
      <c r="Y648" s="160"/>
      <c r="Z648" s="16">
        <v>14.72</v>
      </c>
      <c r="AA648" s="162">
        <v>17007.580000000002</v>
      </c>
      <c r="AB648" s="162">
        <v>4251.8950000000004</v>
      </c>
      <c r="AC648" s="162">
        <v>51022.740000000005</v>
      </c>
      <c r="AD648" s="160"/>
      <c r="AE648" s="145">
        <v>115466</v>
      </c>
      <c r="AF648" s="163">
        <v>1.0529999999999999</v>
      </c>
      <c r="AG648" s="163">
        <v>1.0489999999999999</v>
      </c>
      <c r="AH648" s="163">
        <v>1.0469999999999999</v>
      </c>
      <c r="AI648" s="164">
        <v>115466</v>
      </c>
      <c r="AJ648" s="164">
        <f t="shared" si="79"/>
        <v>0</v>
      </c>
      <c r="AK648" s="229">
        <v>115466</v>
      </c>
      <c r="AL648" s="229">
        <f ca="1">SUMIF('MS &amp; Vacancies combined'!A:P,D648,'MS &amp; Vacancies combined'!P:P)*105.3/100</f>
        <v>117443.42612186383</v>
      </c>
      <c r="AM648" s="229">
        <f t="shared" ca="1" si="76"/>
        <v>123198.15400183515</v>
      </c>
      <c r="AN648" s="229">
        <f t="shared" ca="1" si="77"/>
        <v>128988.46723992139</v>
      </c>
      <c r="AO648" s="166"/>
      <c r="AP648" s="413">
        <f t="shared" ca="1" si="80"/>
        <v>-1977.4261218638276</v>
      </c>
      <c r="AR648" s="231"/>
      <c r="AS648" s="231"/>
      <c r="AU648" s="414">
        <v>115466</v>
      </c>
      <c r="AV648" s="415">
        <v>115466</v>
      </c>
      <c r="AW648" s="414">
        <f t="shared" si="78"/>
        <v>0</v>
      </c>
    </row>
    <row r="649" spans="1:49" s="172" customFormat="1" x14ac:dyDescent="0.3">
      <c r="A649" s="166" t="s">
        <v>71</v>
      </c>
      <c r="B649" s="167" t="s">
        <v>1388</v>
      </c>
      <c r="C649" s="167" t="s">
        <v>403</v>
      </c>
      <c r="D649" s="412" t="s">
        <v>3472</v>
      </c>
      <c r="E649" s="168" t="s">
        <v>1085</v>
      </c>
      <c r="F649" s="168" t="s">
        <v>589</v>
      </c>
      <c r="G649" s="168" t="s">
        <v>309</v>
      </c>
      <c r="H649" s="168" t="s">
        <v>310</v>
      </c>
      <c r="I649" s="168" t="s">
        <v>404</v>
      </c>
      <c r="J649" s="168" t="s">
        <v>312</v>
      </c>
      <c r="K649" s="168" t="s">
        <v>1849</v>
      </c>
      <c r="L649" s="167" t="s">
        <v>304</v>
      </c>
      <c r="M649" s="167" t="s">
        <v>305</v>
      </c>
      <c r="N649" s="167">
        <v>11</v>
      </c>
      <c r="O649" s="167" t="s">
        <v>403</v>
      </c>
      <c r="P649" s="167" t="s">
        <v>403</v>
      </c>
      <c r="Q649" s="167" t="s">
        <v>1388</v>
      </c>
      <c r="R649" s="166" t="s">
        <v>71</v>
      </c>
      <c r="S649" s="169">
        <v>900401</v>
      </c>
      <c r="T649" s="160">
        <v>49956.6</v>
      </c>
      <c r="U649" s="160">
        <v>0</v>
      </c>
      <c r="V649" s="160">
        <v>203651.4</v>
      </c>
      <c r="W649" s="160">
        <v>696749.6</v>
      </c>
      <c r="X649" s="161">
        <v>0</v>
      </c>
      <c r="Y649" s="160"/>
      <c r="Z649" s="16">
        <v>22.61</v>
      </c>
      <c r="AA649" s="162">
        <v>203651.4</v>
      </c>
      <c r="AB649" s="162">
        <v>50912.85</v>
      </c>
      <c r="AC649" s="162">
        <v>610954.19999999995</v>
      </c>
      <c r="AD649" s="160"/>
      <c r="AE649" s="145">
        <v>900401</v>
      </c>
      <c r="AF649" s="163">
        <v>1.0529999999999999</v>
      </c>
      <c r="AG649" s="163">
        <v>1.0489999999999999</v>
      </c>
      <c r="AH649" s="163">
        <v>1.0469999999999999</v>
      </c>
      <c r="AI649" s="164">
        <v>900401</v>
      </c>
      <c r="AJ649" s="164">
        <f t="shared" si="79"/>
        <v>0</v>
      </c>
      <c r="AK649" s="229">
        <v>900401</v>
      </c>
      <c r="AL649" s="229">
        <f ca="1">SUMIF('MS &amp; Vacancies combined'!A:Q,D649,'MS &amp; Vacancies combined'!Q:Q)*105.3/100</f>
        <v>875044.71223615122</v>
      </c>
      <c r="AM649" s="229">
        <f t="shared" ca="1" si="76"/>
        <v>917921.90313572262</v>
      </c>
      <c r="AN649" s="229">
        <f t="shared" ca="1" si="77"/>
        <v>961064.23258310149</v>
      </c>
      <c r="AO649" s="166"/>
      <c r="AP649" s="413">
        <f t="shared" ca="1" si="80"/>
        <v>25356.287763848784</v>
      </c>
      <c r="AR649" s="231"/>
      <c r="AS649" s="231"/>
      <c r="AU649" s="414">
        <v>900401</v>
      </c>
      <c r="AV649" s="415">
        <v>900401</v>
      </c>
      <c r="AW649" s="414">
        <f t="shared" si="78"/>
        <v>0</v>
      </c>
    </row>
    <row r="650" spans="1:49" s="172" customFormat="1" x14ac:dyDescent="0.3">
      <c r="A650" s="166" t="s">
        <v>72</v>
      </c>
      <c r="B650" s="167" t="s">
        <v>1389</v>
      </c>
      <c r="C650" s="167" t="s">
        <v>406</v>
      </c>
      <c r="D650" s="412" t="s">
        <v>3472</v>
      </c>
      <c r="E650" s="168" t="s">
        <v>1085</v>
      </c>
      <c r="F650" s="168" t="s">
        <v>589</v>
      </c>
      <c r="G650" s="168" t="s">
        <v>309</v>
      </c>
      <c r="H650" s="168" t="s">
        <v>310</v>
      </c>
      <c r="I650" s="168" t="s">
        <v>407</v>
      </c>
      <c r="J650" s="168" t="s">
        <v>312</v>
      </c>
      <c r="K650" s="168" t="s">
        <v>1849</v>
      </c>
      <c r="L650" s="167" t="s">
        <v>304</v>
      </c>
      <c r="M650" s="167" t="s">
        <v>305</v>
      </c>
      <c r="N650" s="167">
        <v>11</v>
      </c>
      <c r="O650" s="167" t="s">
        <v>406</v>
      </c>
      <c r="P650" s="167" t="s">
        <v>406</v>
      </c>
      <c r="Q650" s="167" t="s">
        <v>1389</v>
      </c>
      <c r="R650" s="166" t="s">
        <v>72</v>
      </c>
      <c r="S650" s="169">
        <v>1227334</v>
      </c>
      <c r="T650" s="160">
        <v>134604.76999999999</v>
      </c>
      <c r="U650" s="160">
        <v>0</v>
      </c>
      <c r="V650" s="160">
        <v>534551.46</v>
      </c>
      <c r="W650" s="160">
        <v>692782.54</v>
      </c>
      <c r="X650" s="161">
        <v>0</v>
      </c>
      <c r="Y650" s="160"/>
      <c r="Z650" s="16">
        <v>43.55</v>
      </c>
      <c r="AA650" s="162">
        <v>534551.46</v>
      </c>
      <c r="AB650" s="162">
        <v>133637.86499999999</v>
      </c>
      <c r="AC650" s="162">
        <v>1603654.38</v>
      </c>
      <c r="AD650" s="160"/>
      <c r="AE650" s="145">
        <v>1227334</v>
      </c>
      <c r="AF650" s="163">
        <v>1.0529999999999999</v>
      </c>
      <c r="AG650" s="163">
        <v>1.0489999999999999</v>
      </c>
      <c r="AH650" s="163">
        <v>1.0469999999999999</v>
      </c>
      <c r="AI650" s="164">
        <v>1227334</v>
      </c>
      <c r="AJ650" s="164">
        <f t="shared" si="79"/>
        <v>0</v>
      </c>
      <c r="AK650" s="229">
        <v>1227334</v>
      </c>
      <c r="AL650" s="229">
        <f ca="1">SUMIF('MS &amp; Vacancies combined'!A:R,D650,'MS &amp; Vacancies combined'!R:R)*105.3/100</f>
        <v>1212687.2628697595</v>
      </c>
      <c r="AM650" s="229">
        <f t="shared" ca="1" si="76"/>
        <v>1272108.9387503776</v>
      </c>
      <c r="AN650" s="229">
        <f t="shared" ca="1" si="77"/>
        <v>1331898.0588716452</v>
      </c>
      <c r="AO650" s="166"/>
      <c r="AP650" s="413">
        <f t="shared" ca="1" si="80"/>
        <v>14646.737130240537</v>
      </c>
      <c r="AR650" s="231"/>
      <c r="AS650" s="231"/>
      <c r="AU650" s="414">
        <v>1227334</v>
      </c>
      <c r="AV650" s="415">
        <v>1227334</v>
      </c>
      <c r="AW650" s="414">
        <f t="shared" si="78"/>
        <v>0</v>
      </c>
    </row>
    <row r="651" spans="1:49" s="172" customFormat="1" x14ac:dyDescent="0.3">
      <c r="A651" s="166" t="s">
        <v>73</v>
      </c>
      <c r="B651" s="167" t="s">
        <v>1390</v>
      </c>
      <c r="C651" s="167" t="s">
        <v>307</v>
      </c>
      <c r="D651" s="412" t="s">
        <v>3472</v>
      </c>
      <c r="E651" s="168" t="s">
        <v>1085</v>
      </c>
      <c r="F651" s="168" t="s">
        <v>589</v>
      </c>
      <c r="G651" s="168" t="s">
        <v>309</v>
      </c>
      <c r="H651" s="168" t="s">
        <v>310</v>
      </c>
      <c r="I651" s="168" t="s">
        <v>311</v>
      </c>
      <c r="J651" s="168" t="s">
        <v>312</v>
      </c>
      <c r="K651" s="168" t="s">
        <v>1849</v>
      </c>
      <c r="L651" s="167" t="s">
        <v>304</v>
      </c>
      <c r="M651" s="167" t="s">
        <v>305</v>
      </c>
      <c r="N651" s="167">
        <v>11</v>
      </c>
      <c r="O651" s="167" t="s">
        <v>307</v>
      </c>
      <c r="P651" s="167" t="s">
        <v>307</v>
      </c>
      <c r="Q651" s="167" t="s">
        <v>1390</v>
      </c>
      <c r="R651" s="166" t="s">
        <v>73</v>
      </c>
      <c r="S651" s="169">
        <v>33412</v>
      </c>
      <c r="T651" s="160">
        <v>3188.16</v>
      </c>
      <c r="U651" s="160">
        <v>0</v>
      </c>
      <c r="V651" s="160">
        <v>12929.76</v>
      </c>
      <c r="W651" s="160">
        <v>20482.240000000002</v>
      </c>
      <c r="X651" s="161">
        <v>0</v>
      </c>
      <c r="Y651" s="160"/>
      <c r="Z651" s="16">
        <v>38.69</v>
      </c>
      <c r="AA651" s="162">
        <v>12929.76</v>
      </c>
      <c r="AB651" s="162">
        <v>3232.44</v>
      </c>
      <c r="AC651" s="162">
        <v>38789.279999999999</v>
      </c>
      <c r="AD651" s="160"/>
      <c r="AE651" s="145">
        <v>33412</v>
      </c>
      <c r="AF651" s="163">
        <v>1.0529999999999999</v>
      </c>
      <c r="AG651" s="163">
        <v>1.0489999999999999</v>
      </c>
      <c r="AH651" s="163">
        <v>1.0469999999999999</v>
      </c>
      <c r="AI651" s="164">
        <v>33412</v>
      </c>
      <c r="AJ651" s="164">
        <f t="shared" si="79"/>
        <v>0</v>
      </c>
      <c r="AK651" s="229">
        <v>33412</v>
      </c>
      <c r="AL651" s="229">
        <f ca="1">SUMIF('MS &amp; Vacancies combined'!A:S,D651,'MS &amp; Vacancies combined'!S:S)*105.3/100</f>
        <v>30954.247939138626</v>
      </c>
      <c r="AM651" s="229">
        <f t="shared" ca="1" si="76"/>
        <v>32471.006088156417</v>
      </c>
      <c r="AN651" s="229">
        <f t="shared" ca="1" si="77"/>
        <v>33997.143374299769</v>
      </c>
      <c r="AO651" s="166"/>
      <c r="AP651" s="413">
        <f t="shared" ca="1" si="80"/>
        <v>2457.752060861374</v>
      </c>
      <c r="AR651" s="231"/>
      <c r="AS651" s="231"/>
      <c r="AU651" s="414">
        <v>33412</v>
      </c>
      <c r="AV651" s="415">
        <v>33412</v>
      </c>
      <c r="AW651" s="414">
        <f t="shared" si="78"/>
        <v>0</v>
      </c>
    </row>
    <row r="652" spans="1:49" hidden="1" x14ac:dyDescent="0.3">
      <c r="A652" s="16" t="s">
        <v>324</v>
      </c>
      <c r="B652" s="39" t="s">
        <v>1391</v>
      </c>
      <c r="C652" s="39" t="s">
        <v>76</v>
      </c>
      <c r="D652" s="340" t="s">
        <v>3472</v>
      </c>
      <c r="E652" s="159" t="s">
        <v>1085</v>
      </c>
      <c r="F652" s="159" t="s">
        <v>589</v>
      </c>
      <c r="G652" s="159" t="s">
        <v>309</v>
      </c>
      <c r="H652" s="159" t="s">
        <v>325</v>
      </c>
      <c r="I652" s="159" t="s">
        <v>326</v>
      </c>
      <c r="J652" s="159" t="s">
        <v>327</v>
      </c>
      <c r="K652" s="159" t="s">
        <v>1849</v>
      </c>
      <c r="L652" s="39" t="s">
        <v>304</v>
      </c>
      <c r="M652" s="39" t="s">
        <v>305</v>
      </c>
      <c r="N652" s="39">
        <v>11</v>
      </c>
      <c r="O652" s="39" t="s">
        <v>76</v>
      </c>
      <c r="P652" s="39" t="s">
        <v>76</v>
      </c>
      <c r="Q652" s="39" t="s">
        <v>1391</v>
      </c>
      <c r="R652" s="16" t="s">
        <v>324</v>
      </c>
      <c r="S652" s="160">
        <v>0</v>
      </c>
      <c r="T652" s="160">
        <v>0</v>
      </c>
      <c r="U652" s="160">
        <v>0</v>
      </c>
      <c r="V652" s="160">
        <v>0</v>
      </c>
      <c r="W652" s="160">
        <v>0</v>
      </c>
      <c r="X652" s="161">
        <v>0</v>
      </c>
      <c r="Y652" s="160"/>
      <c r="Z652" s="16">
        <v>0</v>
      </c>
      <c r="AA652" s="162">
        <v>0</v>
      </c>
      <c r="AB652" s="162">
        <v>0</v>
      </c>
      <c r="AC652" s="162">
        <v>0</v>
      </c>
      <c r="AD652" s="160"/>
      <c r="AE652" s="145">
        <v>0</v>
      </c>
      <c r="AF652" s="163">
        <v>1.0469999999999999</v>
      </c>
      <c r="AG652" s="164">
        <v>1.046</v>
      </c>
      <c r="AH652" s="164">
        <v>1.046</v>
      </c>
      <c r="AI652" s="164">
        <v>0</v>
      </c>
      <c r="AJ652" s="164">
        <f t="shared" si="79"/>
        <v>0</v>
      </c>
      <c r="AK652" s="165">
        <v>0</v>
      </c>
      <c r="AL652" s="213">
        <f t="shared" ref="AL652" si="81">AK652</f>
        <v>0</v>
      </c>
      <c r="AM652" s="165">
        <f t="shared" si="76"/>
        <v>0</v>
      </c>
      <c r="AN652" s="165">
        <f t="shared" si="77"/>
        <v>0</v>
      </c>
      <c r="AO652" s="16"/>
      <c r="AP652" s="231">
        <f t="shared" si="80"/>
        <v>0</v>
      </c>
      <c r="AR652" s="231"/>
      <c r="AS652" s="231"/>
      <c r="AU652" s="230">
        <v>0</v>
      </c>
      <c r="AV652" s="233">
        <v>0</v>
      </c>
      <c r="AW652" s="230">
        <f t="shared" si="78"/>
        <v>0</v>
      </c>
    </row>
    <row r="653" spans="1:49" hidden="1" x14ac:dyDescent="0.3">
      <c r="A653" s="16" t="s">
        <v>790</v>
      </c>
      <c r="B653" s="39" t="s">
        <v>1392</v>
      </c>
      <c r="C653" s="39" t="s">
        <v>76</v>
      </c>
      <c r="D653" s="340" t="s">
        <v>3472</v>
      </c>
      <c r="E653" s="159" t="s">
        <v>1085</v>
      </c>
      <c r="F653" s="159" t="s">
        <v>589</v>
      </c>
      <c r="G653" s="159" t="s">
        <v>309</v>
      </c>
      <c r="H653" s="159" t="s">
        <v>325</v>
      </c>
      <c r="I653" s="159" t="s">
        <v>414</v>
      </c>
      <c r="J653" s="159" t="s">
        <v>312</v>
      </c>
      <c r="K653" s="159" t="s">
        <v>1849</v>
      </c>
      <c r="L653" s="39" t="s">
        <v>304</v>
      </c>
      <c r="M653" s="39" t="s">
        <v>305</v>
      </c>
      <c r="N653" s="39">
        <v>11</v>
      </c>
      <c r="O653" s="39" t="s">
        <v>76</v>
      </c>
      <c r="P653" s="39" t="s">
        <v>791</v>
      </c>
      <c r="Q653" s="39" t="s">
        <v>1392</v>
      </c>
      <c r="R653" s="16" t="s">
        <v>790</v>
      </c>
      <c r="S653" s="160">
        <v>1526200</v>
      </c>
      <c r="T653" s="160">
        <v>304882.5</v>
      </c>
      <c r="U653" s="160">
        <v>0</v>
      </c>
      <c r="V653" s="160">
        <v>304882.5</v>
      </c>
      <c r="W653" s="160">
        <v>1221317.5</v>
      </c>
      <c r="X653" s="161">
        <v>0</v>
      </c>
      <c r="Y653" s="160"/>
      <c r="Z653" s="16">
        <v>19.97</v>
      </c>
      <c r="AA653" s="162">
        <v>304882.5</v>
      </c>
      <c r="AB653" s="162">
        <v>76220.625</v>
      </c>
      <c r="AC653" s="162">
        <v>914647.5</v>
      </c>
      <c r="AD653" s="160"/>
      <c r="AE653" s="145">
        <v>1526200</v>
      </c>
      <c r="AF653" s="163">
        <v>1.0469999999999999</v>
      </c>
      <c r="AG653" s="164">
        <v>1.046</v>
      </c>
      <c r="AH653" s="164">
        <v>1.046</v>
      </c>
      <c r="AI653" s="164">
        <v>1526200</v>
      </c>
      <c r="AJ653" s="164">
        <f t="shared" si="79"/>
        <v>0</v>
      </c>
      <c r="AK653" s="165">
        <v>3500000</v>
      </c>
      <c r="AL653" s="165">
        <f t="shared" ref="AL653:AL674" si="82">AK653</f>
        <v>3500000</v>
      </c>
      <c r="AM653" s="165">
        <f t="shared" si="76"/>
        <v>3661000</v>
      </c>
      <c r="AN653" s="165">
        <f t="shared" si="77"/>
        <v>3829406</v>
      </c>
      <c r="AO653" s="16"/>
      <c r="AP653" s="231">
        <f t="shared" si="80"/>
        <v>0</v>
      </c>
      <c r="AR653" s="231"/>
      <c r="AS653" s="231"/>
      <c r="AU653" s="230">
        <v>1526200</v>
      </c>
      <c r="AV653" s="233">
        <v>1526200</v>
      </c>
      <c r="AW653" s="230">
        <f t="shared" si="78"/>
        <v>0</v>
      </c>
    </row>
    <row r="654" spans="1:49" hidden="1" x14ac:dyDescent="0.3">
      <c r="A654" s="16" t="s">
        <v>477</v>
      </c>
      <c r="B654" s="39" t="s">
        <v>1393</v>
      </c>
      <c r="C654" s="39" t="s">
        <v>78</v>
      </c>
      <c r="D654" s="340" t="s">
        <v>3472</v>
      </c>
      <c r="E654" s="159" t="s">
        <v>1085</v>
      </c>
      <c r="F654" s="159" t="s">
        <v>589</v>
      </c>
      <c r="G654" s="159" t="s">
        <v>309</v>
      </c>
      <c r="H654" s="159" t="s">
        <v>330</v>
      </c>
      <c r="I654" s="159" t="s">
        <v>479</v>
      </c>
      <c r="J654" s="159" t="s">
        <v>387</v>
      </c>
      <c r="K654" s="159" t="s">
        <v>1849</v>
      </c>
      <c r="L654" s="39" t="s">
        <v>304</v>
      </c>
      <c r="M654" s="39" t="s">
        <v>305</v>
      </c>
      <c r="N654" s="39">
        <v>11</v>
      </c>
      <c r="O654" s="39" t="s">
        <v>78</v>
      </c>
      <c r="P654" s="39" t="s">
        <v>699</v>
      </c>
      <c r="Q654" s="39" t="s">
        <v>1393</v>
      </c>
      <c r="R654" s="16" t="s">
        <v>477</v>
      </c>
      <c r="S654" s="223">
        <v>3900000</v>
      </c>
      <c r="T654" s="160">
        <v>0</v>
      </c>
      <c r="U654" s="160">
        <v>0</v>
      </c>
      <c r="V654" s="160">
        <v>0</v>
      </c>
      <c r="W654" s="160">
        <v>3900000</v>
      </c>
      <c r="X654" s="161">
        <v>0</v>
      </c>
      <c r="Y654" s="160"/>
      <c r="Z654" s="16">
        <v>0</v>
      </c>
      <c r="AA654" s="162">
        <v>0</v>
      </c>
      <c r="AB654" s="224">
        <v>0</v>
      </c>
      <c r="AC654" s="224">
        <v>0</v>
      </c>
      <c r="AD654" s="223"/>
      <c r="AE654" s="145">
        <v>0</v>
      </c>
      <c r="AF654" s="163">
        <v>1.0469999999999999</v>
      </c>
      <c r="AG654" s="164">
        <v>1.046</v>
      </c>
      <c r="AH654" s="164">
        <v>1.046</v>
      </c>
      <c r="AI654" s="164">
        <v>3900000</v>
      </c>
      <c r="AJ654" s="164">
        <f t="shared" si="79"/>
        <v>-3900000</v>
      </c>
      <c r="AK654" s="165">
        <v>0</v>
      </c>
      <c r="AL654" s="165">
        <f t="shared" si="82"/>
        <v>0</v>
      </c>
      <c r="AM654" s="165">
        <f t="shared" si="76"/>
        <v>0</v>
      </c>
      <c r="AN654" s="165">
        <f t="shared" si="77"/>
        <v>0</v>
      </c>
      <c r="AO654" s="16"/>
      <c r="AP654" s="231">
        <f t="shared" si="80"/>
        <v>0</v>
      </c>
      <c r="AR654" s="231"/>
      <c r="AS654" s="231"/>
      <c r="AU654" s="230">
        <v>3900000</v>
      </c>
      <c r="AV654" s="233">
        <v>3900000</v>
      </c>
      <c r="AW654" s="230">
        <f t="shared" si="78"/>
        <v>0</v>
      </c>
    </row>
    <row r="655" spans="1:49" hidden="1" x14ac:dyDescent="0.3">
      <c r="A655" s="16" t="s">
        <v>1395</v>
      </c>
      <c r="B655" s="39" t="s">
        <v>1394</v>
      </c>
      <c r="C655" s="39" t="s">
        <v>80</v>
      </c>
      <c r="D655" s="340" t="s">
        <v>3472</v>
      </c>
      <c r="E655" s="159" t="s">
        <v>1085</v>
      </c>
      <c r="F655" s="159" t="s">
        <v>589</v>
      </c>
      <c r="G655" s="159" t="s">
        <v>309</v>
      </c>
      <c r="H655" s="159" t="s">
        <v>413</v>
      </c>
      <c r="I655" s="159" t="s">
        <v>1397</v>
      </c>
      <c r="J655" s="159" t="s">
        <v>312</v>
      </c>
      <c r="K655" s="159" t="s">
        <v>1849</v>
      </c>
      <c r="L655" s="39" t="s">
        <v>304</v>
      </c>
      <c r="M655" s="39" t="s">
        <v>305</v>
      </c>
      <c r="N655" s="39">
        <v>11</v>
      </c>
      <c r="O655" s="39" t="s">
        <v>80</v>
      </c>
      <c r="P655" s="39" t="s">
        <v>1396</v>
      </c>
      <c r="Q655" s="39" t="s">
        <v>1394</v>
      </c>
      <c r="R655" s="16" t="s">
        <v>1395</v>
      </c>
      <c r="S655" s="160">
        <v>87382688</v>
      </c>
      <c r="T655" s="160">
        <v>2693283.6</v>
      </c>
      <c r="U655" s="160">
        <v>0</v>
      </c>
      <c r="V655" s="160">
        <v>14006268.16</v>
      </c>
      <c r="W655" s="160">
        <v>73376419.840000004</v>
      </c>
      <c r="X655" s="161">
        <v>5035723.4399999995</v>
      </c>
      <c r="Y655" s="160"/>
      <c r="Z655" s="16">
        <v>16.02</v>
      </c>
      <c r="AA655" s="162">
        <v>14006268.16</v>
      </c>
      <c r="AB655" s="162">
        <v>3501567.04</v>
      </c>
      <c r="AC655" s="162">
        <v>42018804.480000004</v>
      </c>
      <c r="AD655" s="160"/>
      <c r="AE655" s="145">
        <v>87382688</v>
      </c>
      <c r="AF655" s="163">
        <v>1.0469999999999999</v>
      </c>
      <c r="AG655" s="164">
        <v>1.046</v>
      </c>
      <c r="AH655" s="164">
        <v>1.046</v>
      </c>
      <c r="AI655" s="164">
        <v>87382688</v>
      </c>
      <c r="AJ655" s="164">
        <f t="shared" si="79"/>
        <v>0</v>
      </c>
      <c r="AK655" s="165">
        <v>60000000</v>
      </c>
      <c r="AL655" s="165">
        <f t="shared" si="82"/>
        <v>60000000</v>
      </c>
      <c r="AM655" s="165">
        <f t="shared" si="76"/>
        <v>62760000</v>
      </c>
      <c r="AN655" s="165">
        <f t="shared" si="77"/>
        <v>65646960</v>
      </c>
      <c r="AO655" s="16"/>
      <c r="AP655" s="231">
        <f t="shared" si="80"/>
        <v>0</v>
      </c>
      <c r="AR655" s="231"/>
      <c r="AS655" s="231"/>
      <c r="AU655" s="230">
        <v>87382688</v>
      </c>
      <c r="AV655" s="233">
        <v>87382688</v>
      </c>
      <c r="AW655" s="230">
        <f t="shared" si="78"/>
        <v>0</v>
      </c>
    </row>
    <row r="656" spans="1:49" hidden="1" x14ac:dyDescent="0.3">
      <c r="A656" s="16" t="s">
        <v>1399</v>
      </c>
      <c r="B656" s="39" t="s">
        <v>1398</v>
      </c>
      <c r="C656" s="39" t="s">
        <v>82</v>
      </c>
      <c r="D656" s="340" t="s">
        <v>3472</v>
      </c>
      <c r="E656" s="159" t="s">
        <v>1085</v>
      </c>
      <c r="F656" s="159" t="s">
        <v>589</v>
      </c>
      <c r="G656" s="159" t="s">
        <v>309</v>
      </c>
      <c r="H656" s="159" t="s">
        <v>334</v>
      </c>
      <c r="I656" s="159" t="s">
        <v>846</v>
      </c>
      <c r="J656" s="159" t="s">
        <v>387</v>
      </c>
      <c r="K656" s="159" t="s">
        <v>1849</v>
      </c>
      <c r="L656" s="39" t="s">
        <v>304</v>
      </c>
      <c r="M656" s="39" t="s">
        <v>305</v>
      </c>
      <c r="N656" s="39">
        <v>11</v>
      </c>
      <c r="O656" s="39" t="s">
        <v>82</v>
      </c>
      <c r="P656" s="39" t="s">
        <v>1400</v>
      </c>
      <c r="Q656" s="39" t="s">
        <v>1398</v>
      </c>
      <c r="R656" s="16" t="s">
        <v>1399</v>
      </c>
      <c r="S656" s="160">
        <v>3391685</v>
      </c>
      <c r="T656" s="160">
        <v>300500.21999999997</v>
      </c>
      <c r="U656" s="160">
        <v>0</v>
      </c>
      <c r="V656" s="160">
        <v>1589317.12</v>
      </c>
      <c r="W656" s="160">
        <v>1802367.88</v>
      </c>
      <c r="X656" s="161">
        <v>0</v>
      </c>
      <c r="Y656" s="160"/>
      <c r="Z656" s="16">
        <v>46.85</v>
      </c>
      <c r="AA656" s="162">
        <v>1589317.12</v>
      </c>
      <c r="AB656" s="162">
        <v>397329.28</v>
      </c>
      <c r="AC656" s="162">
        <v>4767951.3600000003</v>
      </c>
      <c r="AD656" s="160"/>
      <c r="AE656" s="145">
        <v>3391685</v>
      </c>
      <c r="AF656" s="163">
        <v>1.0469999999999999</v>
      </c>
      <c r="AG656" s="164">
        <v>1.046</v>
      </c>
      <c r="AH656" s="164">
        <v>1.046</v>
      </c>
      <c r="AI656" s="164">
        <v>3391685</v>
      </c>
      <c r="AJ656" s="164">
        <f t="shared" si="79"/>
        <v>0</v>
      </c>
      <c r="AK656" s="165">
        <v>5000000</v>
      </c>
      <c r="AL656" s="165">
        <f t="shared" si="82"/>
        <v>5000000</v>
      </c>
      <c r="AM656" s="165">
        <f t="shared" si="76"/>
        <v>5230000</v>
      </c>
      <c r="AN656" s="165">
        <f t="shared" si="77"/>
        <v>5470580</v>
      </c>
      <c r="AO656" s="16"/>
      <c r="AP656" s="231">
        <f t="shared" si="80"/>
        <v>0</v>
      </c>
      <c r="AR656" s="231"/>
      <c r="AS656" s="231"/>
      <c r="AU656" s="230">
        <v>3391685</v>
      </c>
      <c r="AV656" s="233">
        <v>3391685</v>
      </c>
      <c r="AW656" s="230">
        <f t="shared" si="78"/>
        <v>0</v>
      </c>
    </row>
    <row r="657" spans="1:49" hidden="1" x14ac:dyDescent="0.3">
      <c r="A657" s="16" t="s">
        <v>635</v>
      </c>
      <c r="B657" s="39" t="s">
        <v>1401</v>
      </c>
      <c r="C657" s="39" t="s">
        <v>82</v>
      </c>
      <c r="D657" s="340" t="s">
        <v>3472</v>
      </c>
      <c r="E657" s="159" t="s">
        <v>1085</v>
      </c>
      <c r="F657" s="159" t="s">
        <v>589</v>
      </c>
      <c r="G657" s="159" t="s">
        <v>309</v>
      </c>
      <c r="H657" s="159" t="s">
        <v>334</v>
      </c>
      <c r="I657" s="159" t="s">
        <v>637</v>
      </c>
      <c r="J657" s="159" t="s">
        <v>309</v>
      </c>
      <c r="K657" s="159" t="s">
        <v>1849</v>
      </c>
      <c r="L657" s="39" t="s">
        <v>304</v>
      </c>
      <c r="M657" s="39" t="s">
        <v>305</v>
      </c>
      <c r="N657" s="39">
        <v>11</v>
      </c>
      <c r="O657" s="39" t="s">
        <v>82</v>
      </c>
      <c r="P657" s="39" t="s">
        <v>636</v>
      </c>
      <c r="Q657" s="39" t="s">
        <v>1401</v>
      </c>
      <c r="R657" s="16" t="s">
        <v>635</v>
      </c>
      <c r="S657" s="160">
        <v>0</v>
      </c>
      <c r="T657" s="160">
        <v>0</v>
      </c>
      <c r="U657" s="160">
        <v>0</v>
      </c>
      <c r="V657" s="160">
        <v>0</v>
      </c>
      <c r="W657" s="160">
        <v>0</v>
      </c>
      <c r="X657" s="161">
        <v>0</v>
      </c>
      <c r="Y657" s="160"/>
      <c r="Z657" s="16">
        <v>0</v>
      </c>
      <c r="AA657" s="162">
        <v>0</v>
      </c>
      <c r="AB657" s="162">
        <v>0</v>
      </c>
      <c r="AC657" s="162">
        <v>0</v>
      </c>
      <c r="AD657" s="160"/>
      <c r="AE657" s="145">
        <v>0</v>
      </c>
      <c r="AF657" s="163">
        <v>1.0469999999999999</v>
      </c>
      <c r="AG657" s="164">
        <v>1.046</v>
      </c>
      <c r="AH657" s="164">
        <v>1.046</v>
      </c>
      <c r="AI657" s="164">
        <v>0</v>
      </c>
      <c r="AJ657" s="164">
        <f t="shared" si="79"/>
        <v>0</v>
      </c>
      <c r="AK657" s="165">
        <v>0</v>
      </c>
      <c r="AL657" s="165">
        <f t="shared" si="82"/>
        <v>0</v>
      </c>
      <c r="AM657" s="165">
        <f t="shared" si="76"/>
        <v>0</v>
      </c>
      <c r="AN657" s="165">
        <f t="shared" si="77"/>
        <v>0</v>
      </c>
      <c r="AO657" s="16"/>
      <c r="AP657" s="231">
        <f t="shared" si="80"/>
        <v>0</v>
      </c>
      <c r="AR657" s="231"/>
      <c r="AS657" s="231"/>
      <c r="AU657" s="230">
        <v>0</v>
      </c>
      <c r="AV657" s="233">
        <v>0</v>
      </c>
      <c r="AW657" s="230">
        <f t="shared" si="78"/>
        <v>0</v>
      </c>
    </row>
    <row r="658" spans="1:49" hidden="1" x14ac:dyDescent="0.3">
      <c r="A658" s="16" t="s">
        <v>337</v>
      </c>
      <c r="B658" s="39" t="s">
        <v>1402</v>
      </c>
      <c r="C658" s="39" t="s">
        <v>82</v>
      </c>
      <c r="D658" s="340" t="s">
        <v>3472</v>
      </c>
      <c r="E658" s="159" t="s">
        <v>1085</v>
      </c>
      <c r="F658" s="159" t="s">
        <v>589</v>
      </c>
      <c r="G658" s="159" t="s">
        <v>309</v>
      </c>
      <c r="H658" s="159" t="s">
        <v>334</v>
      </c>
      <c r="I658" s="159" t="s">
        <v>339</v>
      </c>
      <c r="J658" s="159" t="s">
        <v>312</v>
      </c>
      <c r="K658" s="159" t="s">
        <v>1849</v>
      </c>
      <c r="L658" s="39" t="s">
        <v>304</v>
      </c>
      <c r="M658" s="39" t="s">
        <v>305</v>
      </c>
      <c r="N658" s="39">
        <v>11</v>
      </c>
      <c r="O658" s="39" t="s">
        <v>82</v>
      </c>
      <c r="P658" s="39" t="s">
        <v>338</v>
      </c>
      <c r="Q658" s="39" t="s">
        <v>1402</v>
      </c>
      <c r="R658" s="16" t="s">
        <v>337</v>
      </c>
      <c r="S658" s="160">
        <v>0</v>
      </c>
      <c r="T658" s="160">
        <v>0</v>
      </c>
      <c r="U658" s="160">
        <v>0</v>
      </c>
      <c r="V658" s="160">
        <v>0</v>
      </c>
      <c r="W658" s="160">
        <v>0</v>
      </c>
      <c r="X658" s="161">
        <v>0</v>
      </c>
      <c r="Y658" s="160"/>
      <c r="Z658" s="16">
        <v>0</v>
      </c>
      <c r="AA658" s="162">
        <v>0</v>
      </c>
      <c r="AB658" s="162">
        <v>0</v>
      </c>
      <c r="AC658" s="162">
        <v>0</v>
      </c>
      <c r="AD658" s="160"/>
      <c r="AE658" s="145">
        <v>0</v>
      </c>
      <c r="AF658" s="163">
        <v>1.0469999999999999</v>
      </c>
      <c r="AG658" s="164">
        <v>1.046</v>
      </c>
      <c r="AH658" s="164">
        <v>1.046</v>
      </c>
      <c r="AI658" s="164">
        <v>0</v>
      </c>
      <c r="AJ658" s="164">
        <f t="shared" si="79"/>
        <v>0</v>
      </c>
      <c r="AK658" s="165">
        <v>0</v>
      </c>
      <c r="AL658" s="165">
        <f t="shared" si="82"/>
        <v>0</v>
      </c>
      <c r="AM658" s="165">
        <f t="shared" si="76"/>
        <v>0</v>
      </c>
      <c r="AN658" s="165">
        <f t="shared" si="77"/>
        <v>0</v>
      </c>
      <c r="AO658" s="16"/>
      <c r="AP658" s="231">
        <f t="shared" si="80"/>
        <v>0</v>
      </c>
      <c r="AR658" s="231"/>
      <c r="AS658" s="231"/>
      <c r="AU658" s="230">
        <v>0</v>
      </c>
      <c r="AV658" s="233">
        <v>0</v>
      </c>
      <c r="AW658" s="230">
        <f t="shared" si="78"/>
        <v>0</v>
      </c>
    </row>
    <row r="659" spans="1:49" hidden="1" x14ac:dyDescent="0.3">
      <c r="A659" s="16" t="s">
        <v>341</v>
      </c>
      <c r="B659" s="39" t="s">
        <v>1403</v>
      </c>
      <c r="C659" s="39" t="s">
        <v>82</v>
      </c>
      <c r="D659" s="340" t="s">
        <v>3472</v>
      </c>
      <c r="E659" s="159" t="s">
        <v>1085</v>
      </c>
      <c r="F659" s="159" t="s">
        <v>589</v>
      </c>
      <c r="G659" s="159" t="s">
        <v>309</v>
      </c>
      <c r="H659" s="159" t="s">
        <v>334</v>
      </c>
      <c r="I659" s="159" t="s">
        <v>343</v>
      </c>
      <c r="J659" s="159" t="s">
        <v>312</v>
      </c>
      <c r="K659" s="159" t="s">
        <v>1849</v>
      </c>
      <c r="L659" s="39" t="s">
        <v>304</v>
      </c>
      <c r="M659" s="39" t="s">
        <v>305</v>
      </c>
      <c r="N659" s="39">
        <v>11</v>
      </c>
      <c r="O659" s="39" t="s">
        <v>82</v>
      </c>
      <c r="P659" s="39" t="s">
        <v>342</v>
      </c>
      <c r="Q659" s="39" t="s">
        <v>1403</v>
      </c>
      <c r="R659" s="16" t="s">
        <v>341</v>
      </c>
      <c r="S659" s="160">
        <v>0</v>
      </c>
      <c r="T659" s="160">
        <v>405.11</v>
      </c>
      <c r="U659" s="160">
        <v>0</v>
      </c>
      <c r="V659" s="160">
        <v>2259.1999999999998</v>
      </c>
      <c r="W659" s="160">
        <v>-2259.1999999999998</v>
      </c>
      <c r="X659" s="161">
        <v>0</v>
      </c>
      <c r="Y659" s="160"/>
      <c r="Z659" s="16">
        <v>0</v>
      </c>
      <c r="AA659" s="162">
        <v>2259.1999999999998</v>
      </c>
      <c r="AB659" s="162">
        <v>564.79999999999995</v>
      </c>
      <c r="AC659" s="162">
        <v>6777.5999999999995</v>
      </c>
      <c r="AD659" s="160"/>
      <c r="AE659" s="145">
        <v>0</v>
      </c>
      <c r="AF659" s="163">
        <v>1.0469999999999999</v>
      </c>
      <c r="AG659" s="164">
        <v>1.046</v>
      </c>
      <c r="AH659" s="164">
        <v>1.046</v>
      </c>
      <c r="AI659" s="164">
        <v>0</v>
      </c>
      <c r="AJ659" s="164">
        <f t="shared" si="79"/>
        <v>0</v>
      </c>
      <c r="AK659" s="165">
        <v>0</v>
      </c>
      <c r="AL659" s="165">
        <f t="shared" si="82"/>
        <v>0</v>
      </c>
      <c r="AM659" s="165">
        <f t="shared" si="76"/>
        <v>0</v>
      </c>
      <c r="AN659" s="165">
        <f t="shared" si="77"/>
        <v>0</v>
      </c>
      <c r="AO659" s="16"/>
      <c r="AP659" s="231">
        <f t="shared" si="80"/>
        <v>0</v>
      </c>
      <c r="AR659" s="231"/>
      <c r="AS659" s="231"/>
      <c r="AU659" s="230">
        <v>0</v>
      </c>
      <c r="AV659" s="233">
        <v>0</v>
      </c>
      <c r="AW659" s="230">
        <f t="shared" si="78"/>
        <v>0</v>
      </c>
    </row>
    <row r="660" spans="1:49" hidden="1" x14ac:dyDescent="0.3">
      <c r="A660" s="16" t="s">
        <v>345</v>
      </c>
      <c r="B660" s="39" t="s">
        <v>1404</v>
      </c>
      <c r="C660" s="39" t="s">
        <v>82</v>
      </c>
      <c r="D660" s="340" t="s">
        <v>3472</v>
      </c>
      <c r="E660" s="159" t="s">
        <v>1085</v>
      </c>
      <c r="F660" s="159" t="s">
        <v>589</v>
      </c>
      <c r="G660" s="159" t="s">
        <v>309</v>
      </c>
      <c r="H660" s="159" t="s">
        <v>334</v>
      </c>
      <c r="I660" s="159" t="s">
        <v>347</v>
      </c>
      <c r="J660" s="159" t="s">
        <v>312</v>
      </c>
      <c r="K660" s="159" t="s">
        <v>1849</v>
      </c>
      <c r="L660" s="39" t="s">
        <v>304</v>
      </c>
      <c r="M660" s="39" t="s">
        <v>305</v>
      </c>
      <c r="N660" s="39">
        <v>11</v>
      </c>
      <c r="O660" s="39" t="s">
        <v>82</v>
      </c>
      <c r="P660" s="39" t="s">
        <v>346</v>
      </c>
      <c r="Q660" s="39" t="s">
        <v>1404</v>
      </c>
      <c r="R660" s="16" t="s">
        <v>345</v>
      </c>
      <c r="S660" s="160">
        <v>0</v>
      </c>
      <c r="T660" s="160">
        <v>0</v>
      </c>
      <c r="U660" s="160">
        <v>0</v>
      </c>
      <c r="V660" s="160">
        <v>0</v>
      </c>
      <c r="W660" s="160">
        <v>0</v>
      </c>
      <c r="X660" s="161">
        <v>0</v>
      </c>
      <c r="Y660" s="160"/>
      <c r="Z660" s="16">
        <v>0</v>
      </c>
      <c r="AA660" s="162">
        <v>0</v>
      </c>
      <c r="AB660" s="162">
        <v>0</v>
      </c>
      <c r="AC660" s="162">
        <v>0</v>
      </c>
      <c r="AD660" s="160"/>
      <c r="AE660" s="145">
        <v>0</v>
      </c>
      <c r="AF660" s="163">
        <v>1.0469999999999999</v>
      </c>
      <c r="AG660" s="164">
        <v>1.046</v>
      </c>
      <c r="AH660" s="164">
        <v>1.046</v>
      </c>
      <c r="AI660" s="164">
        <v>0</v>
      </c>
      <c r="AJ660" s="164">
        <f t="shared" si="79"/>
        <v>0</v>
      </c>
      <c r="AK660" s="165">
        <v>0</v>
      </c>
      <c r="AL660" s="165">
        <f t="shared" si="82"/>
        <v>0</v>
      </c>
      <c r="AM660" s="165">
        <f t="shared" si="76"/>
        <v>0</v>
      </c>
      <c r="AN660" s="165">
        <f t="shared" si="77"/>
        <v>0</v>
      </c>
      <c r="AO660" s="16"/>
      <c r="AP660" s="231">
        <f t="shared" si="80"/>
        <v>0</v>
      </c>
      <c r="AR660" s="231"/>
      <c r="AS660" s="231"/>
      <c r="AU660" s="230">
        <v>0</v>
      </c>
      <c r="AV660" s="233">
        <v>0</v>
      </c>
      <c r="AW660" s="230">
        <f t="shared" si="78"/>
        <v>0</v>
      </c>
    </row>
    <row r="661" spans="1:49" hidden="1" x14ac:dyDescent="0.3">
      <c r="A661" s="16" t="s">
        <v>349</v>
      </c>
      <c r="B661" s="39" t="s">
        <v>1405</v>
      </c>
      <c r="C661" s="39" t="s">
        <v>82</v>
      </c>
      <c r="D661" s="340" t="s">
        <v>3472</v>
      </c>
      <c r="E661" s="159" t="s">
        <v>1085</v>
      </c>
      <c r="F661" s="159" t="s">
        <v>589</v>
      </c>
      <c r="G661" s="159" t="s">
        <v>309</v>
      </c>
      <c r="H661" s="159" t="s">
        <v>334</v>
      </c>
      <c r="I661" s="159" t="s">
        <v>351</v>
      </c>
      <c r="J661" s="159" t="s">
        <v>312</v>
      </c>
      <c r="K661" s="159" t="s">
        <v>1849</v>
      </c>
      <c r="L661" s="39" t="s">
        <v>304</v>
      </c>
      <c r="M661" s="39" t="s">
        <v>305</v>
      </c>
      <c r="N661" s="39">
        <v>11</v>
      </c>
      <c r="O661" s="39" t="s">
        <v>82</v>
      </c>
      <c r="P661" s="39" t="s">
        <v>350</v>
      </c>
      <c r="Q661" s="39" t="s">
        <v>1405</v>
      </c>
      <c r="R661" s="16" t="s">
        <v>349</v>
      </c>
      <c r="S661" s="160">
        <v>0</v>
      </c>
      <c r="T661" s="160">
        <v>0</v>
      </c>
      <c r="U661" s="160">
        <v>0</v>
      </c>
      <c r="V661" s="160">
        <v>0</v>
      </c>
      <c r="W661" s="160">
        <v>0</v>
      </c>
      <c r="X661" s="161">
        <v>0</v>
      </c>
      <c r="Y661" s="160"/>
      <c r="Z661" s="16">
        <v>0</v>
      </c>
      <c r="AA661" s="162">
        <v>0</v>
      </c>
      <c r="AB661" s="162">
        <v>0</v>
      </c>
      <c r="AC661" s="162">
        <v>0</v>
      </c>
      <c r="AD661" s="160"/>
      <c r="AE661" s="145">
        <v>0</v>
      </c>
      <c r="AF661" s="163">
        <v>1.0469999999999999</v>
      </c>
      <c r="AG661" s="164">
        <v>1.046</v>
      </c>
      <c r="AH661" s="164">
        <v>1.046</v>
      </c>
      <c r="AI661" s="164">
        <v>0</v>
      </c>
      <c r="AJ661" s="164">
        <f t="shared" si="79"/>
        <v>0</v>
      </c>
      <c r="AK661" s="165">
        <v>0</v>
      </c>
      <c r="AL661" s="165">
        <f t="shared" si="82"/>
        <v>0</v>
      </c>
      <c r="AM661" s="165">
        <f t="shared" si="76"/>
        <v>0</v>
      </c>
      <c r="AN661" s="165">
        <f t="shared" si="77"/>
        <v>0</v>
      </c>
      <c r="AO661" s="16"/>
      <c r="AP661" s="231">
        <f t="shared" si="80"/>
        <v>0</v>
      </c>
      <c r="AR661" s="231"/>
      <c r="AS661" s="231"/>
      <c r="AU661" s="230">
        <v>0</v>
      </c>
      <c r="AV661" s="233">
        <v>0</v>
      </c>
      <c r="AW661" s="230">
        <f t="shared" si="78"/>
        <v>0</v>
      </c>
    </row>
    <row r="662" spans="1:49" hidden="1" x14ac:dyDescent="0.3">
      <c r="A662" s="16" t="s">
        <v>353</v>
      </c>
      <c r="B662" s="39" t="s">
        <v>1406</v>
      </c>
      <c r="C662" s="39" t="s">
        <v>82</v>
      </c>
      <c r="D662" s="340" t="s">
        <v>3472</v>
      </c>
      <c r="E662" s="159" t="s">
        <v>1085</v>
      </c>
      <c r="F662" s="159" t="s">
        <v>589</v>
      </c>
      <c r="G662" s="159" t="s">
        <v>309</v>
      </c>
      <c r="H662" s="159" t="s">
        <v>334</v>
      </c>
      <c r="I662" s="159" t="s">
        <v>355</v>
      </c>
      <c r="J662" s="159" t="s">
        <v>312</v>
      </c>
      <c r="K662" s="159" t="s">
        <v>1849</v>
      </c>
      <c r="L662" s="39" t="s">
        <v>304</v>
      </c>
      <c r="M662" s="39" t="s">
        <v>305</v>
      </c>
      <c r="N662" s="39">
        <v>11</v>
      </c>
      <c r="O662" s="39" t="s">
        <v>82</v>
      </c>
      <c r="P662" s="39" t="s">
        <v>354</v>
      </c>
      <c r="Q662" s="39" t="s">
        <v>1406</v>
      </c>
      <c r="R662" s="16" t="s">
        <v>353</v>
      </c>
      <c r="S662" s="160">
        <v>0</v>
      </c>
      <c r="T662" s="160">
        <v>0</v>
      </c>
      <c r="U662" s="160">
        <v>0</v>
      </c>
      <c r="V662" s="160">
        <v>0</v>
      </c>
      <c r="W662" s="160">
        <v>0</v>
      </c>
      <c r="X662" s="161">
        <v>0</v>
      </c>
      <c r="Y662" s="160"/>
      <c r="Z662" s="16">
        <v>0</v>
      </c>
      <c r="AA662" s="162">
        <v>0</v>
      </c>
      <c r="AB662" s="162">
        <v>0</v>
      </c>
      <c r="AC662" s="162">
        <v>0</v>
      </c>
      <c r="AD662" s="160"/>
      <c r="AE662" s="145">
        <v>0</v>
      </c>
      <c r="AF662" s="163">
        <v>1.0469999999999999</v>
      </c>
      <c r="AG662" s="164">
        <v>1.046</v>
      </c>
      <c r="AH662" s="164">
        <v>1.046</v>
      </c>
      <c r="AI662" s="164">
        <v>0</v>
      </c>
      <c r="AJ662" s="164">
        <f t="shared" si="79"/>
        <v>0</v>
      </c>
      <c r="AK662" s="165">
        <v>0</v>
      </c>
      <c r="AL662" s="165">
        <f t="shared" si="82"/>
        <v>0</v>
      </c>
      <c r="AM662" s="165">
        <f t="shared" si="76"/>
        <v>0</v>
      </c>
      <c r="AN662" s="165">
        <f t="shared" si="77"/>
        <v>0</v>
      </c>
      <c r="AO662" s="16"/>
      <c r="AP662" s="231">
        <f t="shared" si="80"/>
        <v>0</v>
      </c>
      <c r="AR662" s="231"/>
      <c r="AS662" s="231"/>
      <c r="AU662" s="230">
        <v>0</v>
      </c>
      <c r="AV662" s="233">
        <v>0</v>
      </c>
      <c r="AW662" s="230">
        <f t="shared" si="78"/>
        <v>0</v>
      </c>
    </row>
    <row r="663" spans="1:49" hidden="1" x14ac:dyDescent="0.3">
      <c r="A663" s="16" t="s">
        <v>357</v>
      </c>
      <c r="B663" s="39" t="s">
        <v>1407</v>
      </c>
      <c r="C663" s="39" t="s">
        <v>82</v>
      </c>
      <c r="D663" s="340" t="s">
        <v>3472</v>
      </c>
      <c r="E663" s="159" t="s">
        <v>1085</v>
      </c>
      <c r="F663" s="159" t="s">
        <v>589</v>
      </c>
      <c r="G663" s="159" t="s">
        <v>309</v>
      </c>
      <c r="H663" s="159" t="s">
        <v>334</v>
      </c>
      <c r="I663" s="159" t="s">
        <v>359</v>
      </c>
      <c r="J663" s="159" t="s">
        <v>312</v>
      </c>
      <c r="K663" s="159" t="s">
        <v>1849</v>
      </c>
      <c r="L663" s="39" t="s">
        <v>304</v>
      </c>
      <c r="M663" s="39" t="s">
        <v>305</v>
      </c>
      <c r="N663" s="39">
        <v>11</v>
      </c>
      <c r="O663" s="39" t="s">
        <v>82</v>
      </c>
      <c r="P663" s="39" t="s">
        <v>358</v>
      </c>
      <c r="Q663" s="39" t="s">
        <v>1407</v>
      </c>
      <c r="R663" s="16" t="s">
        <v>357</v>
      </c>
      <c r="S663" s="160">
        <v>0</v>
      </c>
      <c r="T663" s="160">
        <v>0</v>
      </c>
      <c r="U663" s="160">
        <v>0</v>
      </c>
      <c r="V663" s="160">
        <v>0</v>
      </c>
      <c r="W663" s="160">
        <v>0</v>
      </c>
      <c r="X663" s="161">
        <v>0</v>
      </c>
      <c r="Y663" s="160"/>
      <c r="Z663" s="16">
        <v>0</v>
      </c>
      <c r="AA663" s="162">
        <v>0</v>
      </c>
      <c r="AB663" s="162">
        <v>0</v>
      </c>
      <c r="AC663" s="162">
        <v>0</v>
      </c>
      <c r="AD663" s="160"/>
      <c r="AE663" s="145">
        <v>0</v>
      </c>
      <c r="AF663" s="163">
        <v>1.0469999999999999</v>
      </c>
      <c r="AG663" s="164">
        <v>1.046</v>
      </c>
      <c r="AH663" s="164">
        <v>1.046</v>
      </c>
      <c r="AI663" s="164">
        <v>0</v>
      </c>
      <c r="AJ663" s="164">
        <f t="shared" si="79"/>
        <v>0</v>
      </c>
      <c r="AK663" s="165">
        <v>0</v>
      </c>
      <c r="AL663" s="165">
        <f t="shared" si="82"/>
        <v>0</v>
      </c>
      <c r="AM663" s="165">
        <f t="shared" si="76"/>
        <v>0</v>
      </c>
      <c r="AN663" s="165">
        <f t="shared" si="77"/>
        <v>0</v>
      </c>
      <c r="AO663" s="16"/>
      <c r="AP663" s="231">
        <f t="shared" si="80"/>
        <v>0</v>
      </c>
      <c r="AR663" s="231"/>
      <c r="AS663" s="231"/>
      <c r="AU663" s="230">
        <v>0</v>
      </c>
      <c r="AV663" s="233">
        <v>0</v>
      </c>
      <c r="AW663" s="230">
        <f t="shared" si="78"/>
        <v>0</v>
      </c>
    </row>
    <row r="664" spans="1:49" hidden="1" x14ac:dyDescent="0.3">
      <c r="A664" s="16" t="s">
        <v>527</v>
      </c>
      <c r="B664" s="39" t="s">
        <v>1408</v>
      </c>
      <c r="C664" s="39" t="s">
        <v>82</v>
      </c>
      <c r="D664" s="340" t="s">
        <v>3472</v>
      </c>
      <c r="E664" s="159" t="s">
        <v>1085</v>
      </c>
      <c r="F664" s="159" t="s">
        <v>589</v>
      </c>
      <c r="G664" s="159" t="s">
        <v>309</v>
      </c>
      <c r="H664" s="159" t="s">
        <v>334</v>
      </c>
      <c r="I664" s="159" t="s">
        <v>529</v>
      </c>
      <c r="J664" s="159" t="s">
        <v>312</v>
      </c>
      <c r="K664" s="159" t="s">
        <v>1849</v>
      </c>
      <c r="L664" s="39" t="s">
        <v>304</v>
      </c>
      <c r="M664" s="39" t="s">
        <v>305</v>
      </c>
      <c r="N664" s="39">
        <v>11</v>
      </c>
      <c r="O664" s="39" t="s">
        <v>82</v>
      </c>
      <c r="P664" s="39" t="s">
        <v>585</v>
      </c>
      <c r="Q664" s="39" t="s">
        <v>1408</v>
      </c>
      <c r="R664" s="16" t="s">
        <v>527</v>
      </c>
      <c r="S664" s="160">
        <v>175336</v>
      </c>
      <c r="T664" s="160">
        <v>1906.54</v>
      </c>
      <c r="U664" s="160">
        <v>0</v>
      </c>
      <c r="V664" s="160">
        <v>10948.84</v>
      </c>
      <c r="W664" s="160">
        <v>164387.16</v>
      </c>
      <c r="X664" s="161">
        <v>0</v>
      </c>
      <c r="Y664" s="160"/>
      <c r="Z664" s="16">
        <v>6.24</v>
      </c>
      <c r="AA664" s="162">
        <v>10948.84</v>
      </c>
      <c r="AB664" s="162">
        <v>2737.21</v>
      </c>
      <c r="AC664" s="162">
        <v>32846.520000000004</v>
      </c>
      <c r="AD664" s="160"/>
      <c r="AE664" s="145">
        <v>175336</v>
      </c>
      <c r="AF664" s="163">
        <v>1.0469999999999999</v>
      </c>
      <c r="AG664" s="164">
        <v>1.046</v>
      </c>
      <c r="AH664" s="164">
        <v>1.046</v>
      </c>
      <c r="AI664" s="164">
        <v>175336</v>
      </c>
      <c r="AJ664" s="164">
        <f t="shared" si="79"/>
        <v>0</v>
      </c>
      <c r="AK664" s="165">
        <v>250000</v>
      </c>
      <c r="AL664" s="165">
        <f t="shared" si="82"/>
        <v>250000</v>
      </c>
      <c r="AM664" s="165">
        <f t="shared" si="76"/>
        <v>261500</v>
      </c>
      <c r="AN664" s="165">
        <f t="shared" si="77"/>
        <v>273529</v>
      </c>
      <c r="AO664" s="16"/>
      <c r="AP664" s="231">
        <f t="shared" si="80"/>
        <v>0</v>
      </c>
      <c r="AQ664" s="231">
        <f>AP664+AK664</f>
        <v>250000</v>
      </c>
      <c r="AR664" s="231"/>
      <c r="AS664" s="231"/>
      <c r="AU664" s="230">
        <v>175336</v>
      </c>
      <c r="AV664" s="233">
        <v>175336</v>
      </c>
      <c r="AW664" s="230">
        <f t="shared" si="78"/>
        <v>0</v>
      </c>
    </row>
    <row r="665" spans="1:49" hidden="1" x14ac:dyDescent="0.3">
      <c r="A665" s="16" t="s">
        <v>83</v>
      </c>
      <c r="B665" s="39" t="s">
        <v>1409</v>
      </c>
      <c r="C665" s="39" t="s">
        <v>423</v>
      </c>
      <c r="D665" s="340" t="s">
        <v>3472</v>
      </c>
      <c r="E665" s="159" t="s">
        <v>1085</v>
      </c>
      <c r="F665" s="159" t="s">
        <v>589</v>
      </c>
      <c r="G665" s="159" t="s">
        <v>309</v>
      </c>
      <c r="H665" s="159" t="s">
        <v>424</v>
      </c>
      <c r="I665" s="159" t="s">
        <v>425</v>
      </c>
      <c r="J665" s="159" t="s">
        <v>426</v>
      </c>
      <c r="K665" s="159" t="s">
        <v>1849</v>
      </c>
      <c r="L665" s="39" t="s">
        <v>304</v>
      </c>
      <c r="M665" s="39" t="s">
        <v>305</v>
      </c>
      <c r="N665" s="39">
        <v>11</v>
      </c>
      <c r="O665" s="39" t="s">
        <v>423</v>
      </c>
      <c r="P665" s="39" t="s">
        <v>423</v>
      </c>
      <c r="Q665" s="39" t="s">
        <v>1409</v>
      </c>
      <c r="R665" s="16" t="s">
        <v>83</v>
      </c>
      <c r="S665" s="160">
        <v>10000</v>
      </c>
      <c r="T665" s="160">
        <v>0</v>
      </c>
      <c r="U665" s="160">
        <v>0</v>
      </c>
      <c r="V665" s="160">
        <v>0</v>
      </c>
      <c r="W665" s="160">
        <v>10000</v>
      </c>
      <c r="X665" s="161">
        <v>0</v>
      </c>
      <c r="Y665" s="160"/>
      <c r="Z665" s="16">
        <v>0</v>
      </c>
      <c r="AA665" s="162">
        <v>0</v>
      </c>
      <c r="AB665" s="162">
        <v>0</v>
      </c>
      <c r="AC665" s="162">
        <v>0</v>
      </c>
      <c r="AD665" s="160"/>
      <c r="AE665" s="145">
        <v>10000</v>
      </c>
      <c r="AF665" s="163">
        <v>1.0469999999999999</v>
      </c>
      <c r="AG665" s="164">
        <v>1.046</v>
      </c>
      <c r="AH665" s="164">
        <v>1.046</v>
      </c>
      <c r="AI665" s="164">
        <v>10000</v>
      </c>
      <c r="AJ665" s="164">
        <f t="shared" si="79"/>
        <v>0</v>
      </c>
      <c r="AK665" s="165">
        <v>12000</v>
      </c>
      <c r="AL665" s="165">
        <f t="shared" si="82"/>
        <v>12000</v>
      </c>
      <c r="AM665" s="165">
        <f t="shared" si="76"/>
        <v>12552</v>
      </c>
      <c r="AN665" s="165">
        <f t="shared" si="77"/>
        <v>13129.392</v>
      </c>
      <c r="AO665" s="16"/>
      <c r="AP665" s="231">
        <f t="shared" si="80"/>
        <v>0</v>
      </c>
      <c r="AR665" s="231"/>
      <c r="AS665" s="231"/>
      <c r="AU665" s="230">
        <v>10000</v>
      </c>
      <c r="AV665" s="233">
        <v>10000</v>
      </c>
      <c r="AW665" s="230">
        <f t="shared" si="78"/>
        <v>0</v>
      </c>
    </row>
    <row r="666" spans="1:49" s="250" customFormat="1" hidden="1" x14ac:dyDescent="0.3">
      <c r="A666" s="241" t="s">
        <v>1411</v>
      </c>
      <c r="B666" s="242" t="s">
        <v>1410</v>
      </c>
      <c r="C666" s="242" t="s">
        <v>86</v>
      </c>
      <c r="D666" s="340" t="s">
        <v>3472</v>
      </c>
      <c r="E666" s="243" t="s">
        <v>1085</v>
      </c>
      <c r="F666" s="243" t="s">
        <v>589</v>
      </c>
      <c r="G666" s="243" t="s">
        <v>309</v>
      </c>
      <c r="H666" s="243" t="s">
        <v>745</v>
      </c>
      <c r="I666" s="243" t="s">
        <v>374</v>
      </c>
      <c r="J666" s="243" t="s">
        <v>312</v>
      </c>
      <c r="K666" s="243" t="s">
        <v>1849</v>
      </c>
      <c r="L666" s="242" t="s">
        <v>304</v>
      </c>
      <c r="M666" s="242" t="s">
        <v>305</v>
      </c>
      <c r="N666" s="242">
        <v>11</v>
      </c>
      <c r="O666" s="242" t="s">
        <v>86</v>
      </c>
      <c r="P666" s="242" t="s">
        <v>86</v>
      </c>
      <c r="Q666" s="242" t="s">
        <v>1410</v>
      </c>
      <c r="R666" s="241" t="s">
        <v>1411</v>
      </c>
      <c r="S666" s="223">
        <v>2145935055</v>
      </c>
      <c r="T666" s="160">
        <v>178383250.83000001</v>
      </c>
      <c r="U666" s="160">
        <v>0</v>
      </c>
      <c r="V666" s="160">
        <v>889103561.53999996</v>
      </c>
      <c r="W666" s="160">
        <v>1256831493.46</v>
      </c>
      <c r="X666" s="161">
        <v>239529345.44</v>
      </c>
      <c r="Y666" s="160"/>
      <c r="Z666" s="16">
        <v>41.43</v>
      </c>
      <c r="AA666" s="162">
        <v>889103561.53999996</v>
      </c>
      <c r="AB666" s="224">
        <v>222275890.38499999</v>
      </c>
      <c r="AC666" s="224">
        <v>2667310684.6199999</v>
      </c>
      <c r="AD666" s="223"/>
      <c r="AE666" s="244">
        <v>2101176437</v>
      </c>
      <c r="AF666" s="163">
        <v>1.0469999999999999</v>
      </c>
      <c r="AG666" s="164">
        <v>1.046</v>
      </c>
      <c r="AH666" s="164">
        <v>1.046</v>
      </c>
      <c r="AI666" s="245">
        <v>2145935055</v>
      </c>
      <c r="AJ666" s="164">
        <f t="shared" si="79"/>
        <v>-44758618</v>
      </c>
      <c r="AK666" s="246">
        <v>2199931730</v>
      </c>
      <c r="AL666" s="246">
        <f t="shared" si="82"/>
        <v>2199931730</v>
      </c>
      <c r="AM666" s="246">
        <f t="shared" si="76"/>
        <v>2301128589.5799999</v>
      </c>
      <c r="AN666" s="246">
        <f t="shared" si="77"/>
        <v>2406980504.7006798</v>
      </c>
      <c r="AO666" s="241"/>
      <c r="AP666" s="247">
        <f t="shared" si="80"/>
        <v>0</v>
      </c>
      <c r="AR666" s="231"/>
      <c r="AS666" s="231"/>
      <c r="AU666" s="248">
        <v>2145935055</v>
      </c>
      <c r="AV666" s="249">
        <v>2145935055</v>
      </c>
      <c r="AW666" s="248">
        <f t="shared" si="78"/>
        <v>0</v>
      </c>
    </row>
    <row r="667" spans="1:49" hidden="1" x14ac:dyDescent="0.3">
      <c r="A667" s="16" t="s">
        <v>499</v>
      </c>
      <c r="B667" s="39" t="s">
        <v>1412</v>
      </c>
      <c r="C667" s="39" t="s">
        <v>95</v>
      </c>
      <c r="D667" s="340" t="s">
        <v>3472</v>
      </c>
      <c r="E667" s="159" t="s">
        <v>1085</v>
      </c>
      <c r="F667" s="159" t="s">
        <v>589</v>
      </c>
      <c r="G667" s="159" t="s">
        <v>309</v>
      </c>
      <c r="H667" s="159" t="s">
        <v>501</v>
      </c>
      <c r="I667" s="159" t="s">
        <v>502</v>
      </c>
      <c r="J667" s="159" t="s">
        <v>312</v>
      </c>
      <c r="K667" s="159" t="s">
        <v>1849</v>
      </c>
      <c r="L667" s="39" t="s">
        <v>304</v>
      </c>
      <c r="M667" s="39" t="s">
        <v>305</v>
      </c>
      <c r="N667" s="39">
        <v>11</v>
      </c>
      <c r="O667" s="39" t="s">
        <v>95</v>
      </c>
      <c r="P667" s="39" t="s">
        <v>95</v>
      </c>
      <c r="Q667" s="39" t="s">
        <v>1412</v>
      </c>
      <c r="R667" s="16" t="s">
        <v>499</v>
      </c>
      <c r="S667" s="160">
        <v>2560399</v>
      </c>
      <c r="T667" s="160">
        <v>0</v>
      </c>
      <c r="U667" s="160">
        <v>0</v>
      </c>
      <c r="V667" s="160">
        <v>0</v>
      </c>
      <c r="W667" s="160">
        <v>2560399</v>
      </c>
      <c r="X667" s="161">
        <v>0</v>
      </c>
      <c r="Y667" s="160"/>
      <c r="Z667" s="16">
        <v>0</v>
      </c>
      <c r="AA667" s="162">
        <v>0</v>
      </c>
      <c r="AB667" s="162">
        <v>0</v>
      </c>
      <c r="AC667" s="162">
        <v>0</v>
      </c>
      <c r="AD667" s="160"/>
      <c r="AE667" s="145">
        <v>2560399</v>
      </c>
      <c r="AF667" s="163">
        <v>1.0469999999999999</v>
      </c>
      <c r="AG667" s="164">
        <v>1.046</v>
      </c>
      <c r="AH667" s="164">
        <v>1.046</v>
      </c>
      <c r="AI667" s="164">
        <v>2560399</v>
      </c>
      <c r="AJ667" s="164">
        <f t="shared" si="79"/>
        <v>0</v>
      </c>
      <c r="AK667" s="165">
        <v>2600000</v>
      </c>
      <c r="AL667" s="165">
        <f t="shared" si="82"/>
        <v>2600000</v>
      </c>
      <c r="AM667" s="165">
        <f t="shared" si="76"/>
        <v>2719600</v>
      </c>
      <c r="AN667" s="165">
        <f t="shared" si="77"/>
        <v>2844701.6</v>
      </c>
      <c r="AO667" s="16"/>
      <c r="AP667" s="231">
        <f t="shared" si="80"/>
        <v>0</v>
      </c>
      <c r="AR667" s="231"/>
      <c r="AS667" s="231"/>
      <c r="AU667" s="230">
        <v>2560399</v>
      </c>
      <c r="AV667" s="233">
        <v>2560399</v>
      </c>
      <c r="AW667" s="230">
        <f t="shared" si="78"/>
        <v>0</v>
      </c>
    </row>
    <row r="668" spans="1:49" hidden="1" x14ac:dyDescent="0.3">
      <c r="A668" s="16" t="s">
        <v>1414</v>
      </c>
      <c r="B668" s="39" t="s">
        <v>1413</v>
      </c>
      <c r="C668" s="39" t="s">
        <v>95</v>
      </c>
      <c r="D668" s="340" t="s">
        <v>3472</v>
      </c>
      <c r="E668" s="159" t="s">
        <v>1085</v>
      </c>
      <c r="F668" s="159" t="s">
        <v>589</v>
      </c>
      <c r="G668" s="159" t="s">
        <v>309</v>
      </c>
      <c r="H668" s="159" t="s">
        <v>501</v>
      </c>
      <c r="I668" s="159" t="s">
        <v>425</v>
      </c>
      <c r="J668" s="159" t="s">
        <v>312</v>
      </c>
      <c r="K668" s="159" t="s">
        <v>1849</v>
      </c>
      <c r="L668" s="39" t="s">
        <v>304</v>
      </c>
      <c r="M668" s="39" t="s">
        <v>305</v>
      </c>
      <c r="N668" s="39">
        <v>11</v>
      </c>
      <c r="O668" s="39" t="s">
        <v>95</v>
      </c>
      <c r="P668" s="39" t="s">
        <v>1415</v>
      </c>
      <c r="Q668" s="39" t="s">
        <v>1413</v>
      </c>
      <c r="R668" s="16" t="s">
        <v>1414</v>
      </c>
      <c r="S668" s="160">
        <v>55975</v>
      </c>
      <c r="T668" s="160">
        <v>0</v>
      </c>
      <c r="U668" s="160">
        <v>0</v>
      </c>
      <c r="V668" s="160">
        <v>0</v>
      </c>
      <c r="W668" s="160">
        <v>55975</v>
      </c>
      <c r="X668" s="161">
        <v>0</v>
      </c>
      <c r="Y668" s="160"/>
      <c r="Z668" s="16">
        <v>0</v>
      </c>
      <c r="AA668" s="162">
        <v>0</v>
      </c>
      <c r="AB668" s="162">
        <v>0</v>
      </c>
      <c r="AC668" s="162">
        <v>0</v>
      </c>
      <c r="AD668" s="160"/>
      <c r="AE668" s="145">
        <v>55975</v>
      </c>
      <c r="AF668" s="163">
        <v>1.0469999999999999</v>
      </c>
      <c r="AG668" s="164">
        <v>1.046</v>
      </c>
      <c r="AH668" s="164">
        <v>1.046</v>
      </c>
      <c r="AI668" s="164">
        <v>55975</v>
      </c>
      <c r="AJ668" s="164">
        <f t="shared" si="79"/>
        <v>0</v>
      </c>
      <c r="AK668" s="165">
        <v>56000</v>
      </c>
      <c r="AL668" s="165">
        <f t="shared" si="82"/>
        <v>56000</v>
      </c>
      <c r="AM668" s="165">
        <f t="shared" si="76"/>
        <v>58576</v>
      </c>
      <c r="AN668" s="165">
        <f t="shared" si="77"/>
        <v>61270.495999999999</v>
      </c>
      <c r="AO668" s="16"/>
      <c r="AP668" s="231">
        <f t="shared" si="80"/>
        <v>0</v>
      </c>
      <c r="AR668" s="231"/>
      <c r="AS668" s="231"/>
      <c r="AU668" s="230">
        <v>55975</v>
      </c>
      <c r="AV668" s="233">
        <v>55975</v>
      </c>
      <c r="AW668" s="230">
        <f t="shared" si="78"/>
        <v>0</v>
      </c>
    </row>
    <row r="669" spans="1:49" hidden="1" x14ac:dyDescent="0.3">
      <c r="A669" s="16" t="s">
        <v>931</v>
      </c>
      <c r="B669" s="39" t="s">
        <v>1416</v>
      </c>
      <c r="C669" s="39" t="s">
        <v>95</v>
      </c>
      <c r="D669" s="340" t="s">
        <v>3472</v>
      </c>
      <c r="E669" s="159" t="s">
        <v>1085</v>
      </c>
      <c r="F669" s="159" t="s">
        <v>589</v>
      </c>
      <c r="G669" s="159" t="s">
        <v>309</v>
      </c>
      <c r="H669" s="159" t="s">
        <v>501</v>
      </c>
      <c r="I669" s="159" t="s">
        <v>573</v>
      </c>
      <c r="J669" s="159" t="s">
        <v>312</v>
      </c>
      <c r="K669" s="159" t="s">
        <v>1849</v>
      </c>
      <c r="L669" s="39" t="s">
        <v>304</v>
      </c>
      <c r="M669" s="39" t="s">
        <v>305</v>
      </c>
      <c r="N669" s="39">
        <v>11</v>
      </c>
      <c r="O669" s="39" t="s">
        <v>95</v>
      </c>
      <c r="P669" s="39" t="s">
        <v>932</v>
      </c>
      <c r="Q669" s="39" t="s">
        <v>1416</v>
      </c>
      <c r="R669" s="16" t="s">
        <v>931</v>
      </c>
      <c r="S669" s="160">
        <v>0</v>
      </c>
      <c r="T669" s="160">
        <v>0</v>
      </c>
      <c r="U669" s="160">
        <v>0</v>
      </c>
      <c r="V669" s="160">
        <v>0</v>
      </c>
      <c r="W669" s="160">
        <v>0</v>
      </c>
      <c r="X669" s="161">
        <v>0</v>
      </c>
      <c r="Y669" s="160"/>
      <c r="Z669" s="16">
        <v>0</v>
      </c>
      <c r="AA669" s="162">
        <v>0</v>
      </c>
      <c r="AB669" s="162">
        <v>0</v>
      </c>
      <c r="AC669" s="162">
        <v>0</v>
      </c>
      <c r="AD669" s="160"/>
      <c r="AE669" s="145">
        <v>0</v>
      </c>
      <c r="AF669" s="163">
        <v>1.0469999999999999</v>
      </c>
      <c r="AG669" s="164">
        <v>1.046</v>
      </c>
      <c r="AH669" s="164">
        <v>1.046</v>
      </c>
      <c r="AI669" s="164">
        <v>0</v>
      </c>
      <c r="AJ669" s="164">
        <f t="shared" si="79"/>
        <v>0</v>
      </c>
      <c r="AK669" s="165">
        <v>0</v>
      </c>
      <c r="AL669" s="165">
        <f t="shared" si="82"/>
        <v>0</v>
      </c>
      <c r="AM669" s="165">
        <f t="shared" si="76"/>
        <v>0</v>
      </c>
      <c r="AN669" s="165">
        <f t="shared" si="77"/>
        <v>0</v>
      </c>
      <c r="AO669" s="16"/>
      <c r="AP669" s="231">
        <f t="shared" si="80"/>
        <v>0</v>
      </c>
      <c r="AR669" s="231"/>
      <c r="AS669" s="231"/>
      <c r="AU669" s="230">
        <v>0</v>
      </c>
      <c r="AV669" s="233">
        <v>0</v>
      </c>
      <c r="AW669" s="230">
        <f t="shared" si="78"/>
        <v>0</v>
      </c>
    </row>
    <row r="670" spans="1:49" hidden="1" x14ac:dyDescent="0.3">
      <c r="A670" s="16" t="s">
        <v>2086</v>
      </c>
      <c r="B670" s="39" t="s">
        <v>2087</v>
      </c>
      <c r="C670" s="39" t="s">
        <v>184</v>
      </c>
      <c r="D670" s="340" t="s">
        <v>3472</v>
      </c>
      <c r="E670" s="159" t="s">
        <v>1085</v>
      </c>
      <c r="F670" s="159" t="s">
        <v>589</v>
      </c>
      <c r="G670" s="159" t="s">
        <v>582</v>
      </c>
      <c r="H670" s="159" t="s">
        <v>805</v>
      </c>
      <c r="I670" s="159" t="s">
        <v>2088</v>
      </c>
      <c r="J670" s="159" t="s">
        <v>312</v>
      </c>
      <c r="K670" s="159" t="s">
        <v>1849</v>
      </c>
      <c r="L670" s="39" t="s">
        <v>304</v>
      </c>
      <c r="M670" s="39" t="s">
        <v>305</v>
      </c>
      <c r="N670" s="39">
        <v>11</v>
      </c>
      <c r="O670" s="39" t="s">
        <v>184</v>
      </c>
      <c r="P670" s="39" t="s">
        <v>2089</v>
      </c>
      <c r="Q670" s="39" t="s">
        <v>2087</v>
      </c>
      <c r="R670" s="16" t="s">
        <v>2086</v>
      </c>
      <c r="S670" s="160">
        <v>0</v>
      </c>
      <c r="T670" s="160">
        <v>0</v>
      </c>
      <c r="U670" s="160">
        <v>0</v>
      </c>
      <c r="V670" s="160">
        <v>0</v>
      </c>
      <c r="W670" s="160">
        <v>0</v>
      </c>
      <c r="X670" s="161">
        <v>0</v>
      </c>
      <c r="Y670" s="160"/>
      <c r="Z670" s="16">
        <v>0</v>
      </c>
      <c r="AA670" s="162">
        <v>0</v>
      </c>
      <c r="AB670" s="162">
        <v>0</v>
      </c>
      <c r="AC670" s="162">
        <v>0</v>
      </c>
      <c r="AD670" s="160"/>
      <c r="AE670" s="145">
        <v>0</v>
      </c>
      <c r="AF670" s="163">
        <v>1.0469999999999999</v>
      </c>
      <c r="AG670" s="164">
        <v>1.046</v>
      </c>
      <c r="AH670" s="164">
        <v>1.046</v>
      </c>
      <c r="AI670" s="164">
        <v>0</v>
      </c>
      <c r="AJ670" s="164">
        <f t="shared" si="79"/>
        <v>0</v>
      </c>
      <c r="AK670" s="165">
        <v>0</v>
      </c>
      <c r="AL670" s="165">
        <f t="shared" si="82"/>
        <v>0</v>
      </c>
      <c r="AM670" s="165">
        <f t="shared" ref="AM670:AM733" si="83">AL670*AG670</f>
        <v>0</v>
      </c>
      <c r="AN670" s="165">
        <f t="shared" ref="AN670:AN733" si="84">AM670*AH670</f>
        <v>0</v>
      </c>
      <c r="AO670" s="16"/>
      <c r="AP670" s="231">
        <f t="shared" si="80"/>
        <v>0</v>
      </c>
      <c r="AR670" s="231"/>
      <c r="AS670" s="231"/>
      <c r="AU670" s="230">
        <v>0</v>
      </c>
      <c r="AV670" s="233">
        <v>0</v>
      </c>
      <c r="AW670" s="230">
        <f t="shared" si="78"/>
        <v>0</v>
      </c>
    </row>
    <row r="671" spans="1:49" hidden="1" x14ac:dyDescent="0.3">
      <c r="A671" s="16" t="s">
        <v>1892</v>
      </c>
      <c r="B671" s="39" t="s">
        <v>2090</v>
      </c>
      <c r="C671" s="39" t="s">
        <v>184</v>
      </c>
      <c r="D671" s="340" t="s">
        <v>3472</v>
      </c>
      <c r="E671" s="159" t="s">
        <v>1085</v>
      </c>
      <c r="F671" s="159" t="s">
        <v>589</v>
      </c>
      <c r="G671" s="159" t="s">
        <v>582</v>
      </c>
      <c r="H671" s="159" t="s">
        <v>805</v>
      </c>
      <c r="I671" s="159" t="s">
        <v>1893</v>
      </c>
      <c r="J671" s="159" t="s">
        <v>312</v>
      </c>
      <c r="K671" s="159" t="s">
        <v>1849</v>
      </c>
      <c r="L671" s="39" t="s">
        <v>304</v>
      </c>
      <c r="M671" s="39" t="s">
        <v>305</v>
      </c>
      <c r="N671" s="39">
        <v>11</v>
      </c>
      <c r="O671" s="39" t="s">
        <v>184</v>
      </c>
      <c r="P671" s="39" t="s">
        <v>2091</v>
      </c>
      <c r="Q671" s="39" t="s">
        <v>2090</v>
      </c>
      <c r="R671" s="16" t="s">
        <v>1892</v>
      </c>
      <c r="S671" s="160">
        <v>0</v>
      </c>
      <c r="T671" s="160">
        <v>0</v>
      </c>
      <c r="U671" s="160">
        <v>0</v>
      </c>
      <c r="V671" s="160">
        <v>0</v>
      </c>
      <c r="W671" s="160">
        <v>0</v>
      </c>
      <c r="X671" s="161">
        <v>0</v>
      </c>
      <c r="Y671" s="160"/>
      <c r="Z671" s="16">
        <v>0</v>
      </c>
      <c r="AA671" s="162">
        <v>0</v>
      </c>
      <c r="AB671" s="162">
        <v>0</v>
      </c>
      <c r="AC671" s="162">
        <v>0</v>
      </c>
      <c r="AD671" s="160"/>
      <c r="AE671" s="145">
        <v>0</v>
      </c>
      <c r="AF671" s="163">
        <v>1.0469999999999999</v>
      </c>
      <c r="AG671" s="164">
        <v>1.046</v>
      </c>
      <c r="AH671" s="164">
        <v>1.046</v>
      </c>
      <c r="AI671" s="164">
        <v>0</v>
      </c>
      <c r="AJ671" s="164">
        <f t="shared" si="79"/>
        <v>0</v>
      </c>
      <c r="AK671" s="165">
        <v>0</v>
      </c>
      <c r="AL671" s="165">
        <f t="shared" si="82"/>
        <v>0</v>
      </c>
      <c r="AM671" s="165">
        <f t="shared" si="83"/>
        <v>0</v>
      </c>
      <c r="AN671" s="165">
        <f t="shared" si="84"/>
        <v>0</v>
      </c>
      <c r="AO671" s="16"/>
      <c r="AP671" s="231">
        <f t="shared" si="80"/>
        <v>0</v>
      </c>
      <c r="AR671" s="231"/>
      <c r="AS671" s="231"/>
      <c r="AU671" s="230">
        <v>0</v>
      </c>
      <c r="AV671" s="233">
        <v>0</v>
      </c>
      <c r="AW671" s="230">
        <f t="shared" si="78"/>
        <v>0</v>
      </c>
    </row>
    <row r="672" spans="1:49" hidden="1" x14ac:dyDescent="0.3">
      <c r="A672" s="16" t="s">
        <v>1896</v>
      </c>
      <c r="B672" s="39" t="s">
        <v>2092</v>
      </c>
      <c r="C672" s="39" t="s">
        <v>184</v>
      </c>
      <c r="D672" s="340" t="s">
        <v>3472</v>
      </c>
      <c r="E672" s="159" t="s">
        <v>1085</v>
      </c>
      <c r="F672" s="159" t="s">
        <v>589</v>
      </c>
      <c r="G672" s="159" t="s">
        <v>582</v>
      </c>
      <c r="H672" s="159" t="s">
        <v>1074</v>
      </c>
      <c r="I672" s="159" t="s">
        <v>1897</v>
      </c>
      <c r="J672" s="159" t="s">
        <v>312</v>
      </c>
      <c r="K672" s="159" t="s">
        <v>1849</v>
      </c>
      <c r="L672" s="39" t="s">
        <v>304</v>
      </c>
      <c r="M672" s="39" t="s">
        <v>305</v>
      </c>
      <c r="N672" s="39">
        <v>11</v>
      </c>
      <c r="O672" s="39" t="s">
        <v>184</v>
      </c>
      <c r="P672" s="39" t="s">
        <v>2093</v>
      </c>
      <c r="Q672" s="39" t="s">
        <v>2092</v>
      </c>
      <c r="R672" s="16" t="s">
        <v>1896</v>
      </c>
      <c r="S672" s="160">
        <v>0</v>
      </c>
      <c r="T672" s="160">
        <v>0</v>
      </c>
      <c r="U672" s="160">
        <v>0</v>
      </c>
      <c r="V672" s="160">
        <v>0</v>
      </c>
      <c r="W672" s="160">
        <v>0</v>
      </c>
      <c r="X672" s="161">
        <v>0</v>
      </c>
      <c r="Y672" s="160"/>
      <c r="Z672" s="16">
        <v>0</v>
      </c>
      <c r="AA672" s="162">
        <v>0</v>
      </c>
      <c r="AB672" s="162">
        <v>0</v>
      </c>
      <c r="AC672" s="162">
        <v>0</v>
      </c>
      <c r="AD672" s="160"/>
      <c r="AE672" s="145">
        <v>0</v>
      </c>
      <c r="AF672" s="163">
        <v>1.0469999999999999</v>
      </c>
      <c r="AG672" s="164">
        <v>1.046</v>
      </c>
      <c r="AH672" s="164">
        <v>1.046</v>
      </c>
      <c r="AI672" s="164">
        <v>0</v>
      </c>
      <c r="AJ672" s="164">
        <f t="shared" si="79"/>
        <v>0</v>
      </c>
      <c r="AK672" s="165">
        <v>0</v>
      </c>
      <c r="AL672" s="165">
        <f t="shared" si="82"/>
        <v>0</v>
      </c>
      <c r="AM672" s="165">
        <f t="shared" si="83"/>
        <v>0</v>
      </c>
      <c r="AN672" s="165">
        <f t="shared" si="84"/>
        <v>0</v>
      </c>
      <c r="AO672" s="16"/>
      <c r="AP672" s="231">
        <f t="shared" si="80"/>
        <v>0</v>
      </c>
      <c r="AR672" s="231"/>
      <c r="AS672" s="231"/>
      <c r="AU672" s="230">
        <v>0</v>
      </c>
      <c r="AV672" s="233">
        <v>0</v>
      </c>
      <c r="AW672" s="230">
        <f t="shared" si="78"/>
        <v>0</v>
      </c>
    </row>
    <row r="673" spans="1:49" hidden="1" x14ac:dyDescent="0.3">
      <c r="A673" s="16" t="s">
        <v>2094</v>
      </c>
      <c r="B673" s="39" t="s">
        <v>2095</v>
      </c>
      <c r="C673" s="39" t="s">
        <v>184</v>
      </c>
      <c r="D673" s="340" t="s">
        <v>3472</v>
      </c>
      <c r="E673" s="159" t="s">
        <v>1085</v>
      </c>
      <c r="F673" s="159" t="s">
        <v>589</v>
      </c>
      <c r="G673" s="159" t="s">
        <v>582</v>
      </c>
      <c r="H673" s="159" t="s">
        <v>1176</v>
      </c>
      <c r="I673" s="159" t="s">
        <v>1897</v>
      </c>
      <c r="J673" s="159" t="s">
        <v>312</v>
      </c>
      <c r="K673" s="159" t="s">
        <v>1849</v>
      </c>
      <c r="L673" s="39" t="s">
        <v>304</v>
      </c>
      <c r="M673" s="39" t="s">
        <v>305</v>
      </c>
      <c r="N673" s="39">
        <v>11</v>
      </c>
      <c r="O673" s="39" t="s">
        <v>184</v>
      </c>
      <c r="P673" s="39" t="s">
        <v>2096</v>
      </c>
      <c r="Q673" s="39" t="s">
        <v>2095</v>
      </c>
      <c r="R673" s="16" t="s">
        <v>2094</v>
      </c>
      <c r="S673" s="160">
        <v>0</v>
      </c>
      <c r="T673" s="160">
        <v>0</v>
      </c>
      <c r="U673" s="160">
        <v>0</v>
      </c>
      <c r="V673" s="160">
        <v>0</v>
      </c>
      <c r="W673" s="160">
        <v>0</v>
      </c>
      <c r="X673" s="161">
        <v>0</v>
      </c>
      <c r="Y673" s="160"/>
      <c r="Z673" s="16">
        <v>0</v>
      </c>
      <c r="AA673" s="162">
        <v>0</v>
      </c>
      <c r="AB673" s="162">
        <v>0</v>
      </c>
      <c r="AC673" s="162">
        <v>0</v>
      </c>
      <c r="AD673" s="160"/>
      <c r="AE673" s="145">
        <v>0</v>
      </c>
      <c r="AF673" s="163">
        <v>1.0469999999999999</v>
      </c>
      <c r="AG673" s="164">
        <v>1.046</v>
      </c>
      <c r="AH673" s="164">
        <v>1.046</v>
      </c>
      <c r="AI673" s="164">
        <v>0</v>
      </c>
      <c r="AJ673" s="164">
        <f t="shared" si="79"/>
        <v>0</v>
      </c>
      <c r="AK673" s="165">
        <v>0</v>
      </c>
      <c r="AL673" s="165">
        <f t="shared" si="82"/>
        <v>0</v>
      </c>
      <c r="AM673" s="165">
        <f t="shared" si="83"/>
        <v>0</v>
      </c>
      <c r="AN673" s="165">
        <f t="shared" si="84"/>
        <v>0</v>
      </c>
      <c r="AO673" s="16"/>
      <c r="AP673" s="231">
        <f t="shared" si="80"/>
        <v>0</v>
      </c>
      <c r="AR673" s="231"/>
      <c r="AS673" s="231"/>
      <c r="AU673" s="230">
        <v>0</v>
      </c>
      <c r="AV673" s="233">
        <v>0</v>
      </c>
      <c r="AW673" s="230">
        <f t="shared" si="78"/>
        <v>0</v>
      </c>
    </row>
    <row r="674" spans="1:49" hidden="1" x14ac:dyDescent="0.3">
      <c r="A674" s="16" t="s">
        <v>201</v>
      </c>
      <c r="B674" s="39" t="s">
        <v>1417</v>
      </c>
      <c r="C674" s="39" t="s">
        <v>932</v>
      </c>
      <c r="D674" s="340" t="s">
        <v>3472</v>
      </c>
      <c r="E674" s="159" t="s">
        <v>1085</v>
      </c>
      <c r="F674" s="159" t="s">
        <v>589</v>
      </c>
      <c r="G674" s="159" t="s">
        <v>1078</v>
      </c>
      <c r="H674" s="159" t="s">
        <v>1418</v>
      </c>
      <c r="I674" s="159" t="s">
        <v>1022</v>
      </c>
      <c r="J674" s="159" t="s">
        <v>312</v>
      </c>
      <c r="K674" s="159" t="s">
        <v>1081</v>
      </c>
      <c r="L674" s="39" t="s">
        <v>1419</v>
      </c>
      <c r="M674" s="39" t="s">
        <v>305</v>
      </c>
      <c r="N674" s="39">
        <v>11</v>
      </c>
      <c r="O674" s="39" t="s">
        <v>932</v>
      </c>
      <c r="P674" s="39" t="s">
        <v>932</v>
      </c>
      <c r="Q674" s="39" t="s">
        <v>1417</v>
      </c>
      <c r="R674" s="16" t="s">
        <v>201</v>
      </c>
      <c r="S674" s="160">
        <v>5000000</v>
      </c>
      <c r="T674" s="160">
        <v>0</v>
      </c>
      <c r="U674" s="160">
        <v>0</v>
      </c>
      <c r="V674" s="160">
        <v>0</v>
      </c>
      <c r="W674" s="160">
        <v>5000000</v>
      </c>
      <c r="X674" s="161">
        <v>0</v>
      </c>
      <c r="Y674" s="160"/>
      <c r="Z674" s="16">
        <v>0</v>
      </c>
      <c r="AA674" s="162">
        <v>0</v>
      </c>
      <c r="AB674" s="162">
        <v>0</v>
      </c>
      <c r="AC674" s="162">
        <v>0</v>
      </c>
      <c r="AD674" s="160"/>
      <c r="AE674" s="145">
        <v>5000000</v>
      </c>
      <c r="AF674" s="163">
        <v>1.0469999999999999</v>
      </c>
      <c r="AG674" s="164">
        <v>1.046</v>
      </c>
      <c r="AH674" s="164">
        <v>1.046</v>
      </c>
      <c r="AI674" s="164">
        <v>5000000</v>
      </c>
      <c r="AJ674" s="164">
        <f t="shared" si="79"/>
        <v>0</v>
      </c>
      <c r="AK674" s="165">
        <v>0</v>
      </c>
      <c r="AL674" s="165">
        <f t="shared" si="82"/>
        <v>0</v>
      </c>
      <c r="AM674" s="165">
        <f t="shared" si="83"/>
        <v>0</v>
      </c>
      <c r="AN674" s="165">
        <f t="shared" si="84"/>
        <v>0</v>
      </c>
      <c r="AO674" s="16"/>
      <c r="AP674" s="231">
        <f t="shared" si="80"/>
        <v>0</v>
      </c>
      <c r="AR674" s="231"/>
      <c r="AS674" s="231"/>
      <c r="AU674" s="230">
        <v>5000000</v>
      </c>
      <c r="AV674" s="233">
        <v>5000000</v>
      </c>
      <c r="AW674" s="230">
        <f t="shared" si="78"/>
        <v>0</v>
      </c>
    </row>
    <row r="675" spans="1:49" s="172" customFormat="1" x14ac:dyDescent="0.3">
      <c r="A675" s="166" t="s">
        <v>50</v>
      </c>
      <c r="B675" s="167" t="s">
        <v>1420</v>
      </c>
      <c r="C675" s="167" t="s">
        <v>302</v>
      </c>
      <c r="D675" s="412" t="s">
        <v>3473</v>
      </c>
      <c r="E675" s="168" t="s">
        <v>1085</v>
      </c>
      <c r="F675" s="168" t="s">
        <v>611</v>
      </c>
      <c r="G675" s="168" t="s">
        <v>309</v>
      </c>
      <c r="H675" s="168" t="s">
        <v>373</v>
      </c>
      <c r="I675" s="168" t="s">
        <v>374</v>
      </c>
      <c r="J675" s="168" t="s">
        <v>312</v>
      </c>
      <c r="K675" s="168" t="s">
        <v>1849</v>
      </c>
      <c r="L675" s="167" t="s">
        <v>304</v>
      </c>
      <c r="M675" s="167" t="s">
        <v>305</v>
      </c>
      <c r="N675" s="167">
        <v>11</v>
      </c>
      <c r="O675" s="167" t="s">
        <v>302</v>
      </c>
      <c r="P675" s="167" t="s">
        <v>302</v>
      </c>
      <c r="Q675" s="167" t="s">
        <v>1420</v>
      </c>
      <c r="R675" s="166" t="s">
        <v>50</v>
      </c>
      <c r="S675" s="169">
        <v>879276</v>
      </c>
      <c r="T675" s="160">
        <v>39771</v>
      </c>
      <c r="U675" s="160">
        <v>0</v>
      </c>
      <c r="V675" s="160">
        <v>209348</v>
      </c>
      <c r="W675" s="160">
        <v>669928</v>
      </c>
      <c r="X675" s="161">
        <v>0</v>
      </c>
      <c r="Y675" s="160"/>
      <c r="Z675" s="16">
        <v>23.8</v>
      </c>
      <c r="AA675" s="162">
        <v>209348</v>
      </c>
      <c r="AB675" s="162">
        <v>52337</v>
      </c>
      <c r="AC675" s="162">
        <v>628044</v>
      </c>
      <c r="AD675" s="160"/>
      <c r="AE675" s="145">
        <v>879276</v>
      </c>
      <c r="AF675" s="163">
        <v>1.0529999999999999</v>
      </c>
      <c r="AG675" s="163">
        <v>1.0489999999999999</v>
      </c>
      <c r="AH675" s="163">
        <v>1.0469999999999999</v>
      </c>
      <c r="AI675" s="164">
        <v>879276</v>
      </c>
      <c r="AJ675" s="164">
        <f t="shared" si="79"/>
        <v>0</v>
      </c>
      <c r="AK675" s="229">
        <v>879276</v>
      </c>
      <c r="AL675" s="229">
        <f ca="1">SUMIF('MS &amp; Vacancies combined'!A:J,D675,'MS &amp; Vacancies combined'!J:J)*105.3/100</f>
        <v>854527.38664866891</v>
      </c>
      <c r="AM675" s="229">
        <f t="shared" ca="1" si="83"/>
        <v>896399.22859445366</v>
      </c>
      <c r="AN675" s="229">
        <f t="shared" ca="1" si="84"/>
        <v>938529.99233839288</v>
      </c>
      <c r="AO675" s="166"/>
      <c r="AP675" s="413">
        <f t="shared" ca="1" si="80"/>
        <v>24748.613351331092</v>
      </c>
      <c r="AR675" s="231"/>
      <c r="AS675" s="231"/>
      <c r="AU675" s="414">
        <v>879276</v>
      </c>
      <c r="AV675" s="415">
        <v>879276</v>
      </c>
      <c r="AW675" s="414">
        <f t="shared" si="78"/>
        <v>0</v>
      </c>
    </row>
    <row r="676" spans="1:49" s="172" customFormat="1" x14ac:dyDescent="0.3">
      <c r="A676" s="166" t="s">
        <v>52</v>
      </c>
      <c r="B676" s="167" t="s">
        <v>1421</v>
      </c>
      <c r="C676" s="167" t="s">
        <v>376</v>
      </c>
      <c r="D676" s="412" t="s">
        <v>3473</v>
      </c>
      <c r="E676" s="168" t="s">
        <v>1085</v>
      </c>
      <c r="F676" s="168" t="s">
        <v>611</v>
      </c>
      <c r="G676" s="168" t="s">
        <v>309</v>
      </c>
      <c r="H676" s="168" t="s">
        <v>373</v>
      </c>
      <c r="I676" s="168" t="s">
        <v>377</v>
      </c>
      <c r="J676" s="168" t="s">
        <v>312</v>
      </c>
      <c r="K676" s="168" t="s">
        <v>1849</v>
      </c>
      <c r="L676" s="167" t="s">
        <v>304</v>
      </c>
      <c r="M676" s="167" t="s">
        <v>305</v>
      </c>
      <c r="N676" s="167">
        <v>11</v>
      </c>
      <c r="O676" s="167" t="s">
        <v>376</v>
      </c>
      <c r="P676" s="167" t="s">
        <v>376</v>
      </c>
      <c r="Q676" s="167" t="s">
        <v>1421</v>
      </c>
      <c r="R676" s="166" t="s">
        <v>52</v>
      </c>
      <c r="S676" s="169">
        <v>0</v>
      </c>
      <c r="T676" s="160">
        <v>0</v>
      </c>
      <c r="U676" s="160">
        <v>0</v>
      </c>
      <c r="V676" s="160">
        <v>0</v>
      </c>
      <c r="W676" s="160">
        <v>0</v>
      </c>
      <c r="X676" s="161">
        <v>0</v>
      </c>
      <c r="Y676" s="160"/>
      <c r="Z676" s="16">
        <v>0</v>
      </c>
      <c r="AA676" s="162">
        <v>0</v>
      </c>
      <c r="AB676" s="162">
        <v>0</v>
      </c>
      <c r="AC676" s="162">
        <v>0</v>
      </c>
      <c r="AD676" s="160"/>
      <c r="AE676" s="145">
        <v>0</v>
      </c>
      <c r="AF676" s="163">
        <v>1.0529999999999999</v>
      </c>
      <c r="AG676" s="163">
        <v>1.0489999999999999</v>
      </c>
      <c r="AH676" s="163">
        <v>1.0469999999999999</v>
      </c>
      <c r="AI676" s="164">
        <v>0</v>
      </c>
      <c r="AJ676" s="164">
        <f t="shared" si="79"/>
        <v>0</v>
      </c>
      <c r="AK676" s="229">
        <v>0</v>
      </c>
      <c r="AL676" s="229">
        <f ca="1">SUMIF('MS &amp; Vacancies combined'!A:M,D676,'MS &amp; Vacancies combined'!M:M)*105.3/100</f>
        <v>0</v>
      </c>
      <c r="AM676" s="229">
        <f t="shared" ca="1" si="83"/>
        <v>0</v>
      </c>
      <c r="AN676" s="229">
        <f t="shared" ca="1" si="84"/>
        <v>0</v>
      </c>
      <c r="AO676" s="166"/>
      <c r="AP676" s="413">
        <f t="shared" ca="1" si="80"/>
        <v>0</v>
      </c>
      <c r="AR676" s="231"/>
      <c r="AS676" s="231"/>
      <c r="AU676" s="414">
        <v>0</v>
      </c>
      <c r="AV676" s="415">
        <v>0</v>
      </c>
      <c r="AW676" s="414">
        <f t="shared" si="78"/>
        <v>0</v>
      </c>
    </row>
    <row r="677" spans="1:49" s="172" customFormat="1" x14ac:dyDescent="0.3">
      <c r="A677" s="166" t="s">
        <v>54</v>
      </c>
      <c r="B677" s="167" t="s">
        <v>1422</v>
      </c>
      <c r="C677" s="167" t="s">
        <v>379</v>
      </c>
      <c r="D677" s="412" t="s">
        <v>3473</v>
      </c>
      <c r="E677" s="168" t="s">
        <v>1085</v>
      </c>
      <c r="F677" s="168" t="s">
        <v>611</v>
      </c>
      <c r="G677" s="168" t="s">
        <v>309</v>
      </c>
      <c r="H677" s="168" t="s">
        <v>373</v>
      </c>
      <c r="I677" s="168" t="s">
        <v>380</v>
      </c>
      <c r="J677" s="168" t="s">
        <v>312</v>
      </c>
      <c r="K677" s="168" t="s">
        <v>1849</v>
      </c>
      <c r="L677" s="167" t="s">
        <v>304</v>
      </c>
      <c r="M677" s="167" t="s">
        <v>305</v>
      </c>
      <c r="N677" s="167">
        <v>11</v>
      </c>
      <c r="O677" s="167" t="s">
        <v>379</v>
      </c>
      <c r="P677" s="167" t="s">
        <v>379</v>
      </c>
      <c r="Q677" s="167" t="s">
        <v>1422</v>
      </c>
      <c r="R677" s="166" t="s">
        <v>54</v>
      </c>
      <c r="S677" s="169">
        <v>24259</v>
      </c>
      <c r="T677" s="160">
        <v>0</v>
      </c>
      <c r="U677" s="160">
        <v>0</v>
      </c>
      <c r="V677" s="160">
        <v>0</v>
      </c>
      <c r="W677" s="160">
        <v>24259</v>
      </c>
      <c r="X677" s="161">
        <v>0</v>
      </c>
      <c r="Y677" s="160"/>
      <c r="Z677" s="16">
        <v>0</v>
      </c>
      <c r="AA677" s="162">
        <v>0</v>
      </c>
      <c r="AB677" s="162">
        <v>0</v>
      </c>
      <c r="AC677" s="162">
        <v>0</v>
      </c>
      <c r="AD677" s="160"/>
      <c r="AE677" s="145">
        <v>24259</v>
      </c>
      <c r="AF677" s="163">
        <v>1.0529999999999999</v>
      </c>
      <c r="AG677" s="163">
        <v>1.0489999999999999</v>
      </c>
      <c r="AH677" s="163">
        <v>1.0469999999999999</v>
      </c>
      <c r="AI677" s="164">
        <v>24259</v>
      </c>
      <c r="AJ677" s="164">
        <f t="shared" si="79"/>
        <v>0</v>
      </c>
      <c r="AK677" s="229">
        <v>24259</v>
      </c>
      <c r="AL677" s="229">
        <f ca="1">SUMIF('MS &amp; Vacancies combined'!A:L,D677,'MS &amp; Vacancies combined'!L:L)*105.3/100</f>
        <v>23576.166393693376</v>
      </c>
      <c r="AM677" s="229">
        <f t="shared" ca="1" si="83"/>
        <v>24731.39854698435</v>
      </c>
      <c r="AN677" s="229">
        <f t="shared" ca="1" si="84"/>
        <v>25893.774278692614</v>
      </c>
      <c r="AO677" s="166"/>
      <c r="AP677" s="413">
        <f t="shared" ca="1" si="80"/>
        <v>682.83360630662355</v>
      </c>
      <c r="AR677" s="231"/>
      <c r="AS677" s="231"/>
      <c r="AU677" s="414">
        <v>24259</v>
      </c>
      <c r="AV677" s="415">
        <v>24259</v>
      </c>
      <c r="AW677" s="414">
        <f t="shared" si="78"/>
        <v>0</v>
      </c>
    </row>
    <row r="678" spans="1:49" s="172" customFormat="1" x14ac:dyDescent="0.3">
      <c r="A678" s="166" t="s">
        <v>56</v>
      </c>
      <c r="B678" s="167" t="s">
        <v>1423</v>
      </c>
      <c r="C678" s="167" t="s">
        <v>385</v>
      </c>
      <c r="D678" s="412" t="s">
        <v>3473</v>
      </c>
      <c r="E678" s="168" t="s">
        <v>1085</v>
      </c>
      <c r="F678" s="168" t="s">
        <v>611</v>
      </c>
      <c r="G678" s="168" t="s">
        <v>309</v>
      </c>
      <c r="H678" s="168" t="s">
        <v>373</v>
      </c>
      <c r="I678" s="168" t="s">
        <v>386</v>
      </c>
      <c r="J678" s="168" t="s">
        <v>387</v>
      </c>
      <c r="K678" s="168" t="s">
        <v>1849</v>
      </c>
      <c r="L678" s="167" t="s">
        <v>304</v>
      </c>
      <c r="M678" s="167" t="s">
        <v>305</v>
      </c>
      <c r="N678" s="167">
        <v>11</v>
      </c>
      <c r="O678" s="167" t="s">
        <v>385</v>
      </c>
      <c r="P678" s="167" t="s">
        <v>385</v>
      </c>
      <c r="Q678" s="167" t="s">
        <v>1423</v>
      </c>
      <c r="R678" s="166" t="s">
        <v>56</v>
      </c>
      <c r="S678" s="169">
        <v>14995</v>
      </c>
      <c r="T678" s="160">
        <v>0</v>
      </c>
      <c r="U678" s="160">
        <v>0</v>
      </c>
      <c r="V678" s="160">
        <v>17567.5</v>
      </c>
      <c r="W678" s="160">
        <v>-2572.5</v>
      </c>
      <c r="X678" s="161" t="e">
        <v>#N/A</v>
      </c>
      <c r="Y678" s="160"/>
      <c r="Z678" s="16">
        <v>117.15</v>
      </c>
      <c r="AA678" s="162">
        <v>17567.5</v>
      </c>
      <c r="AB678" s="162">
        <v>4391.875</v>
      </c>
      <c r="AC678" s="162">
        <v>52702.5</v>
      </c>
      <c r="AD678" s="160"/>
      <c r="AE678" s="145">
        <v>14995</v>
      </c>
      <c r="AF678" s="163">
        <v>1.0529999999999999</v>
      </c>
      <c r="AG678" s="163">
        <v>1.0489999999999999</v>
      </c>
      <c r="AH678" s="163">
        <v>1.0469999999999999</v>
      </c>
      <c r="AI678" s="164">
        <v>14995</v>
      </c>
      <c r="AJ678" s="164">
        <f t="shared" si="79"/>
        <v>0</v>
      </c>
      <c r="AK678" s="229">
        <v>14995</v>
      </c>
      <c r="AL678" s="229">
        <f ca="1">SUMIF('MS &amp; Vacancies combined'!A:O,D678,'MS &amp; Vacancies combined'!O:O)*105.3/100</f>
        <v>176849.79278386978</v>
      </c>
      <c r="AM678" s="229">
        <f t="shared" ca="1" si="83"/>
        <v>185515.43263027939</v>
      </c>
      <c r="AN678" s="229">
        <f t="shared" ca="1" si="84"/>
        <v>194234.65796390251</v>
      </c>
      <c r="AO678" s="166"/>
      <c r="AP678" s="413">
        <f t="shared" ca="1" si="80"/>
        <v>-161854.79278386978</v>
      </c>
      <c r="AR678" s="231"/>
      <c r="AS678" s="231"/>
      <c r="AU678" s="414">
        <v>14995</v>
      </c>
      <c r="AV678" s="415">
        <v>14995</v>
      </c>
      <c r="AW678" s="414">
        <f t="shared" si="78"/>
        <v>0</v>
      </c>
    </row>
    <row r="679" spans="1:49" x14ac:dyDescent="0.3">
      <c r="A679" s="16" t="s">
        <v>60</v>
      </c>
      <c r="B679" s="39" t="s">
        <v>1424</v>
      </c>
      <c r="C679" s="39" t="s">
        <v>392</v>
      </c>
      <c r="D679" s="340" t="s">
        <v>3473</v>
      </c>
      <c r="E679" s="159" t="s">
        <v>1085</v>
      </c>
      <c r="F679" s="159" t="s">
        <v>611</v>
      </c>
      <c r="G679" s="159" t="s">
        <v>309</v>
      </c>
      <c r="H679" s="159" t="s">
        <v>373</v>
      </c>
      <c r="I679" s="159" t="s">
        <v>393</v>
      </c>
      <c r="J679" s="159" t="s">
        <v>312</v>
      </c>
      <c r="K679" s="159" t="s">
        <v>1849</v>
      </c>
      <c r="L679" s="39" t="s">
        <v>304</v>
      </c>
      <c r="M679" s="39" t="s">
        <v>305</v>
      </c>
      <c r="N679" s="39">
        <v>11</v>
      </c>
      <c r="O679" s="39" t="s">
        <v>392</v>
      </c>
      <c r="P679" s="39" t="s">
        <v>392</v>
      </c>
      <c r="Q679" s="39" t="s">
        <v>1424</v>
      </c>
      <c r="R679" s="16" t="s">
        <v>60</v>
      </c>
      <c r="S679" s="169">
        <v>49</v>
      </c>
      <c r="T679" s="160">
        <v>0</v>
      </c>
      <c r="U679" s="160">
        <v>0</v>
      </c>
      <c r="V679" s="160">
        <v>0</v>
      </c>
      <c r="W679" s="160">
        <v>49</v>
      </c>
      <c r="X679" s="161">
        <v>0</v>
      </c>
      <c r="Y679" s="160"/>
      <c r="Z679" s="16">
        <v>0</v>
      </c>
      <c r="AA679" s="162">
        <v>0</v>
      </c>
      <c r="AB679" s="162">
        <v>0</v>
      </c>
      <c r="AC679" s="162">
        <v>0</v>
      </c>
      <c r="AD679" s="160"/>
      <c r="AE679" s="145">
        <v>49</v>
      </c>
      <c r="AF679" s="421">
        <v>1.0529999999999999</v>
      </c>
      <c r="AG679" s="421">
        <v>1.0489999999999999</v>
      </c>
      <c r="AH679" s="421">
        <v>1.0469999999999999</v>
      </c>
      <c r="AI679" s="164">
        <v>49</v>
      </c>
      <c r="AJ679" s="164">
        <f t="shared" si="79"/>
        <v>0</v>
      </c>
      <c r="AK679" s="165">
        <v>49</v>
      </c>
      <c r="AL679" s="165">
        <f>AK679*AF679</f>
        <v>51.596999999999994</v>
      </c>
      <c r="AM679" s="165">
        <f t="shared" si="83"/>
        <v>54.125252999999994</v>
      </c>
      <c r="AN679" s="165">
        <f t="shared" si="84"/>
        <v>56.669139890999986</v>
      </c>
      <c r="AO679" s="16"/>
      <c r="AP679" s="231">
        <f t="shared" si="80"/>
        <v>-2.5969999999999942</v>
      </c>
      <c r="AR679" s="231"/>
      <c r="AS679" s="231"/>
      <c r="AU679" s="230">
        <v>49</v>
      </c>
      <c r="AV679" s="233">
        <v>49</v>
      </c>
      <c r="AW679" s="230">
        <f t="shared" si="78"/>
        <v>0</v>
      </c>
    </row>
    <row r="680" spans="1:49" s="172" customFormat="1" x14ac:dyDescent="0.3">
      <c r="A680" s="166" t="s">
        <v>62</v>
      </c>
      <c r="B680" s="167" t="s">
        <v>1425</v>
      </c>
      <c r="C680" s="167" t="s">
        <v>395</v>
      </c>
      <c r="D680" s="412" t="s">
        <v>3473</v>
      </c>
      <c r="E680" s="168" t="s">
        <v>1085</v>
      </c>
      <c r="F680" s="168" t="s">
        <v>611</v>
      </c>
      <c r="G680" s="168" t="s">
        <v>309</v>
      </c>
      <c r="H680" s="168" t="s">
        <v>373</v>
      </c>
      <c r="I680" s="168" t="s">
        <v>396</v>
      </c>
      <c r="J680" s="168" t="s">
        <v>312</v>
      </c>
      <c r="K680" s="168" t="s">
        <v>1849</v>
      </c>
      <c r="L680" s="167" t="s">
        <v>304</v>
      </c>
      <c r="M680" s="167" t="s">
        <v>305</v>
      </c>
      <c r="N680" s="167">
        <v>11</v>
      </c>
      <c r="O680" s="167" t="s">
        <v>395</v>
      </c>
      <c r="P680" s="167" t="s">
        <v>395</v>
      </c>
      <c r="Q680" s="167" t="s">
        <v>1425</v>
      </c>
      <c r="R680" s="166" t="s">
        <v>62</v>
      </c>
      <c r="S680" s="169">
        <v>73273</v>
      </c>
      <c r="T680" s="160">
        <v>0</v>
      </c>
      <c r="U680" s="160">
        <v>0</v>
      </c>
      <c r="V680" s="160">
        <v>0</v>
      </c>
      <c r="W680" s="160">
        <v>73273</v>
      </c>
      <c r="X680" s="161">
        <v>0</v>
      </c>
      <c r="Y680" s="160"/>
      <c r="Z680" s="16">
        <v>0</v>
      </c>
      <c r="AA680" s="162">
        <v>0</v>
      </c>
      <c r="AB680" s="162">
        <v>0</v>
      </c>
      <c r="AC680" s="162">
        <v>0</v>
      </c>
      <c r="AD680" s="160"/>
      <c r="AE680" s="145">
        <v>73273</v>
      </c>
      <c r="AF680" s="163">
        <v>1.0529999999999999</v>
      </c>
      <c r="AG680" s="163">
        <v>1.0489999999999999</v>
      </c>
      <c r="AH680" s="163">
        <v>1.0469999999999999</v>
      </c>
      <c r="AI680" s="164">
        <v>73273</v>
      </c>
      <c r="AJ680" s="164">
        <f t="shared" si="79"/>
        <v>0</v>
      </c>
      <c r="AK680" s="229">
        <v>73273</v>
      </c>
      <c r="AL680" s="229">
        <f ca="1">SUMIF('MS &amp; Vacancies combined'!A:K,D680,'MS &amp; Vacancies combined'!K:K)*105.3/100</f>
        <v>71210.615554055737</v>
      </c>
      <c r="AM680" s="229">
        <f t="shared" ca="1" si="83"/>
        <v>74699.935716204462</v>
      </c>
      <c r="AN680" s="229">
        <f t="shared" ca="1" si="84"/>
        <v>78210.832694866069</v>
      </c>
      <c r="AO680" s="166"/>
      <c r="AP680" s="413">
        <f t="shared" ca="1" si="80"/>
        <v>2062.3844459442626</v>
      </c>
      <c r="AR680" s="231"/>
      <c r="AS680" s="231"/>
      <c r="AU680" s="414">
        <v>73273</v>
      </c>
      <c r="AV680" s="415">
        <v>73273</v>
      </c>
      <c r="AW680" s="414">
        <f t="shared" si="78"/>
        <v>0</v>
      </c>
    </row>
    <row r="681" spans="1:49" s="172" customFormat="1" x14ac:dyDescent="0.3">
      <c r="A681" s="166" t="s">
        <v>69</v>
      </c>
      <c r="B681" s="167" t="s">
        <v>1426</v>
      </c>
      <c r="C681" s="167" t="s">
        <v>398</v>
      </c>
      <c r="D681" s="412" t="s">
        <v>3473</v>
      </c>
      <c r="E681" s="168" t="s">
        <v>1085</v>
      </c>
      <c r="F681" s="168" t="s">
        <v>611</v>
      </c>
      <c r="G681" s="168" t="s">
        <v>309</v>
      </c>
      <c r="H681" s="168" t="s">
        <v>310</v>
      </c>
      <c r="I681" s="168" t="s">
        <v>374</v>
      </c>
      <c r="J681" s="168" t="s">
        <v>312</v>
      </c>
      <c r="K681" s="168" t="s">
        <v>1849</v>
      </c>
      <c r="L681" s="167" t="s">
        <v>304</v>
      </c>
      <c r="M681" s="167" t="s">
        <v>305</v>
      </c>
      <c r="N681" s="167">
        <v>11</v>
      </c>
      <c r="O681" s="167" t="s">
        <v>398</v>
      </c>
      <c r="P681" s="167" t="s">
        <v>398</v>
      </c>
      <c r="Q681" s="167" t="s">
        <v>1426</v>
      </c>
      <c r="R681" s="166" t="s">
        <v>69</v>
      </c>
      <c r="S681" s="169">
        <v>259</v>
      </c>
      <c r="T681" s="160">
        <v>10.8</v>
      </c>
      <c r="U681" s="160">
        <v>0</v>
      </c>
      <c r="V681" s="160">
        <v>54</v>
      </c>
      <c r="W681" s="160">
        <v>205</v>
      </c>
      <c r="X681" s="161">
        <v>0</v>
      </c>
      <c r="Y681" s="160"/>
      <c r="Z681" s="16">
        <v>20.84</v>
      </c>
      <c r="AA681" s="162">
        <v>54</v>
      </c>
      <c r="AB681" s="162">
        <v>13.5</v>
      </c>
      <c r="AC681" s="162">
        <v>162</v>
      </c>
      <c r="AD681" s="160"/>
      <c r="AE681" s="145">
        <v>259</v>
      </c>
      <c r="AF681" s="163">
        <v>1.0529999999999999</v>
      </c>
      <c r="AG681" s="163">
        <v>1.0489999999999999</v>
      </c>
      <c r="AH681" s="163">
        <v>1.0469999999999999</v>
      </c>
      <c r="AI681" s="164">
        <v>259</v>
      </c>
      <c r="AJ681" s="164">
        <f t="shared" si="79"/>
        <v>0</v>
      </c>
      <c r="AK681" s="229">
        <v>259</v>
      </c>
      <c r="AL681" s="229">
        <f ca="1">SUMIF('MS &amp; Vacancies combined'!A:N,D681,'MS &amp; Vacancies combined'!N:N)*105.3/100</f>
        <v>251.66055235072056</v>
      </c>
      <c r="AM681" s="229">
        <f t="shared" ca="1" si="83"/>
        <v>263.99191941590584</v>
      </c>
      <c r="AN681" s="229">
        <f t="shared" ca="1" si="84"/>
        <v>276.3995396284534</v>
      </c>
      <c r="AO681" s="166"/>
      <c r="AP681" s="413">
        <f t="shared" ca="1" si="80"/>
        <v>7.3394476492794354</v>
      </c>
      <c r="AR681" s="231"/>
      <c r="AS681" s="231"/>
      <c r="AU681" s="414">
        <v>259</v>
      </c>
      <c r="AV681" s="415">
        <v>259</v>
      </c>
      <c r="AW681" s="414">
        <f t="shared" si="78"/>
        <v>0</v>
      </c>
    </row>
    <row r="682" spans="1:49" s="172" customFormat="1" x14ac:dyDescent="0.3">
      <c r="A682" s="166" t="s">
        <v>70</v>
      </c>
      <c r="B682" s="167" t="s">
        <v>1427</v>
      </c>
      <c r="C682" s="167" t="s">
        <v>400</v>
      </c>
      <c r="D682" s="412" t="s">
        <v>3473</v>
      </c>
      <c r="E682" s="168" t="s">
        <v>1085</v>
      </c>
      <c r="F682" s="168" t="s">
        <v>611</v>
      </c>
      <c r="G682" s="168" t="s">
        <v>309</v>
      </c>
      <c r="H682" s="168" t="s">
        <v>310</v>
      </c>
      <c r="I682" s="168" t="s">
        <v>401</v>
      </c>
      <c r="J682" s="168" t="s">
        <v>312</v>
      </c>
      <c r="K682" s="168" t="s">
        <v>1849</v>
      </c>
      <c r="L682" s="167" t="s">
        <v>304</v>
      </c>
      <c r="M682" s="167" t="s">
        <v>305</v>
      </c>
      <c r="N682" s="167">
        <v>11</v>
      </c>
      <c r="O682" s="167" t="s">
        <v>400</v>
      </c>
      <c r="P682" s="167" t="s">
        <v>400</v>
      </c>
      <c r="Q682" s="167" t="s">
        <v>1427</v>
      </c>
      <c r="R682" s="166" t="s">
        <v>70</v>
      </c>
      <c r="S682" s="169">
        <v>14948</v>
      </c>
      <c r="T682" s="160">
        <v>0</v>
      </c>
      <c r="U682" s="160">
        <v>0</v>
      </c>
      <c r="V682" s="160">
        <v>180.56</v>
      </c>
      <c r="W682" s="160">
        <v>14767.44</v>
      </c>
      <c r="X682" s="161">
        <v>0</v>
      </c>
      <c r="Y682" s="160"/>
      <c r="Z682" s="16">
        <v>1.2</v>
      </c>
      <c r="AA682" s="162">
        <v>180.56</v>
      </c>
      <c r="AB682" s="162">
        <v>45.14</v>
      </c>
      <c r="AC682" s="162">
        <v>541.68000000000006</v>
      </c>
      <c r="AD682" s="160"/>
      <c r="AE682" s="145">
        <v>14948</v>
      </c>
      <c r="AF682" s="163">
        <v>1.0529999999999999</v>
      </c>
      <c r="AG682" s="163">
        <v>1.0489999999999999</v>
      </c>
      <c r="AH682" s="163">
        <v>1.0469999999999999</v>
      </c>
      <c r="AI682" s="164">
        <v>14948</v>
      </c>
      <c r="AJ682" s="164">
        <f t="shared" si="79"/>
        <v>0</v>
      </c>
      <c r="AK682" s="229">
        <v>14948</v>
      </c>
      <c r="AL682" s="229">
        <f ca="1">SUMIF('MS &amp; Vacancies combined'!A:P,D682,'MS &amp; Vacancies combined'!P:P)*105.3/100</f>
        <v>14954.229266351706</v>
      </c>
      <c r="AM682" s="229">
        <f t="shared" ca="1" si="83"/>
        <v>15686.986500402938</v>
      </c>
      <c r="AN682" s="229">
        <f t="shared" ca="1" si="84"/>
        <v>16424.274865921874</v>
      </c>
      <c r="AO682" s="166"/>
      <c r="AP682" s="413">
        <f t="shared" ca="1" si="80"/>
        <v>-6.2292663517055189</v>
      </c>
      <c r="AR682" s="231"/>
      <c r="AS682" s="231"/>
      <c r="AU682" s="414">
        <v>14948</v>
      </c>
      <c r="AV682" s="415">
        <v>14948</v>
      </c>
      <c r="AW682" s="414">
        <f t="shared" si="78"/>
        <v>0</v>
      </c>
    </row>
    <row r="683" spans="1:49" s="172" customFormat="1" x14ac:dyDescent="0.3">
      <c r="A683" s="166" t="s">
        <v>71</v>
      </c>
      <c r="B683" s="167" t="s">
        <v>1428</v>
      </c>
      <c r="C683" s="167" t="s">
        <v>403</v>
      </c>
      <c r="D683" s="412" t="s">
        <v>3473</v>
      </c>
      <c r="E683" s="168" t="s">
        <v>1085</v>
      </c>
      <c r="F683" s="168" t="s">
        <v>611</v>
      </c>
      <c r="G683" s="168" t="s">
        <v>309</v>
      </c>
      <c r="H683" s="168" t="s">
        <v>310</v>
      </c>
      <c r="I683" s="168" t="s">
        <v>404</v>
      </c>
      <c r="J683" s="168" t="s">
        <v>312</v>
      </c>
      <c r="K683" s="168" t="s">
        <v>1849</v>
      </c>
      <c r="L683" s="167" t="s">
        <v>304</v>
      </c>
      <c r="M683" s="167" t="s">
        <v>305</v>
      </c>
      <c r="N683" s="167">
        <v>11</v>
      </c>
      <c r="O683" s="167" t="s">
        <v>403</v>
      </c>
      <c r="P683" s="167" t="s">
        <v>403</v>
      </c>
      <c r="Q683" s="167" t="s">
        <v>1428</v>
      </c>
      <c r="R683" s="166" t="s">
        <v>71</v>
      </c>
      <c r="S683" s="169">
        <v>120054</v>
      </c>
      <c r="T683" s="160">
        <v>2498.4</v>
      </c>
      <c r="U683" s="160">
        <v>0</v>
      </c>
      <c r="V683" s="160">
        <v>13338</v>
      </c>
      <c r="W683" s="160">
        <v>106716</v>
      </c>
      <c r="X683" s="161">
        <v>0</v>
      </c>
      <c r="Y683" s="160"/>
      <c r="Z683" s="16">
        <v>11.11</v>
      </c>
      <c r="AA683" s="162">
        <v>13338</v>
      </c>
      <c r="AB683" s="162">
        <v>3334.5</v>
      </c>
      <c r="AC683" s="162">
        <v>40014</v>
      </c>
      <c r="AD683" s="160"/>
      <c r="AE683" s="145">
        <v>120054</v>
      </c>
      <c r="AF683" s="163">
        <v>1.0529999999999999</v>
      </c>
      <c r="AG683" s="163">
        <v>1.0489999999999999</v>
      </c>
      <c r="AH683" s="163">
        <v>1.0469999999999999</v>
      </c>
      <c r="AI683" s="164">
        <v>120054</v>
      </c>
      <c r="AJ683" s="164">
        <f t="shared" si="79"/>
        <v>0</v>
      </c>
      <c r="AK683" s="229">
        <v>120054</v>
      </c>
      <c r="AL683" s="229">
        <f ca="1">SUMIF('MS &amp; Vacancies combined'!A:Q,D683,'MS &amp; Vacancies combined'!Q:Q)*105.3/100</f>
        <v>116672.6282981535</v>
      </c>
      <c r="AM683" s="229">
        <f t="shared" ca="1" si="83"/>
        <v>122389.58708476301</v>
      </c>
      <c r="AN683" s="229">
        <f t="shared" ca="1" si="84"/>
        <v>128141.89767774686</v>
      </c>
      <c r="AO683" s="166"/>
      <c r="AP683" s="413">
        <f t="shared" ca="1" si="80"/>
        <v>3381.3717018464959</v>
      </c>
      <c r="AR683" s="231"/>
      <c r="AS683" s="231"/>
      <c r="AU683" s="414">
        <v>120054</v>
      </c>
      <c r="AV683" s="415">
        <v>120054</v>
      </c>
      <c r="AW683" s="414">
        <f t="shared" si="78"/>
        <v>0</v>
      </c>
    </row>
    <row r="684" spans="1:49" s="172" customFormat="1" x14ac:dyDescent="0.3">
      <c r="A684" s="166" t="s">
        <v>72</v>
      </c>
      <c r="B684" s="167" t="s">
        <v>1429</v>
      </c>
      <c r="C684" s="167" t="s">
        <v>406</v>
      </c>
      <c r="D684" s="412" t="s">
        <v>3473</v>
      </c>
      <c r="E684" s="168" t="s">
        <v>1085</v>
      </c>
      <c r="F684" s="168" t="s">
        <v>611</v>
      </c>
      <c r="G684" s="168" t="s">
        <v>309</v>
      </c>
      <c r="H684" s="168" t="s">
        <v>310</v>
      </c>
      <c r="I684" s="168" t="s">
        <v>407</v>
      </c>
      <c r="J684" s="168" t="s">
        <v>312</v>
      </c>
      <c r="K684" s="168" t="s">
        <v>1849</v>
      </c>
      <c r="L684" s="167" t="s">
        <v>304</v>
      </c>
      <c r="M684" s="167" t="s">
        <v>305</v>
      </c>
      <c r="N684" s="167">
        <v>11</v>
      </c>
      <c r="O684" s="167" t="s">
        <v>406</v>
      </c>
      <c r="P684" s="167" t="s">
        <v>406</v>
      </c>
      <c r="Q684" s="167" t="s">
        <v>1429</v>
      </c>
      <c r="R684" s="166" t="s">
        <v>72</v>
      </c>
      <c r="S684" s="169">
        <v>158885</v>
      </c>
      <c r="T684" s="160">
        <v>3695.13</v>
      </c>
      <c r="U684" s="160">
        <v>0</v>
      </c>
      <c r="V684" s="160">
        <v>24301.62</v>
      </c>
      <c r="W684" s="160">
        <v>134583.38</v>
      </c>
      <c r="X684" s="161">
        <v>0</v>
      </c>
      <c r="Y684" s="160"/>
      <c r="Z684" s="16">
        <v>15.29</v>
      </c>
      <c r="AA684" s="162">
        <v>24301.62</v>
      </c>
      <c r="AB684" s="162">
        <v>6075.4049999999997</v>
      </c>
      <c r="AC684" s="162">
        <v>72904.86</v>
      </c>
      <c r="AD684" s="160"/>
      <c r="AE684" s="145">
        <v>158885</v>
      </c>
      <c r="AF684" s="163">
        <v>1.0529999999999999</v>
      </c>
      <c r="AG684" s="163">
        <v>1.0489999999999999</v>
      </c>
      <c r="AH684" s="163">
        <v>1.0469999999999999</v>
      </c>
      <c r="AI684" s="164">
        <v>158885</v>
      </c>
      <c r="AJ684" s="164">
        <f t="shared" si="79"/>
        <v>0</v>
      </c>
      <c r="AK684" s="229">
        <v>158885</v>
      </c>
      <c r="AL684" s="229">
        <f ca="1">SUMIF('MS &amp; Vacancies combined'!A:R,D684,'MS &amp; Vacancies combined'!R:R)*105.3/100</f>
        <v>154413.09876741446</v>
      </c>
      <c r="AM684" s="229">
        <f t="shared" ca="1" si="83"/>
        <v>161979.34060701774</v>
      </c>
      <c r="AN684" s="229">
        <f t="shared" ca="1" si="84"/>
        <v>169592.36961554756</v>
      </c>
      <c r="AO684" s="166"/>
      <c r="AP684" s="413">
        <f t="shared" ca="1" si="80"/>
        <v>4471.9012325855438</v>
      </c>
      <c r="AR684" s="231"/>
      <c r="AS684" s="231"/>
      <c r="AU684" s="414">
        <v>158885</v>
      </c>
      <c r="AV684" s="415">
        <v>158885</v>
      </c>
      <c r="AW684" s="414">
        <f t="shared" si="78"/>
        <v>0</v>
      </c>
    </row>
    <row r="685" spans="1:49" s="172" customFormat="1" x14ac:dyDescent="0.3">
      <c r="A685" s="166" t="s">
        <v>73</v>
      </c>
      <c r="B685" s="167" t="s">
        <v>1430</v>
      </c>
      <c r="C685" s="167" t="s">
        <v>307</v>
      </c>
      <c r="D685" s="412" t="s">
        <v>3473</v>
      </c>
      <c r="E685" s="168" t="s">
        <v>1085</v>
      </c>
      <c r="F685" s="168" t="s">
        <v>611</v>
      </c>
      <c r="G685" s="168" t="s">
        <v>309</v>
      </c>
      <c r="H685" s="168" t="s">
        <v>310</v>
      </c>
      <c r="I685" s="168" t="s">
        <v>311</v>
      </c>
      <c r="J685" s="168" t="s">
        <v>312</v>
      </c>
      <c r="K685" s="168" t="s">
        <v>1849</v>
      </c>
      <c r="L685" s="167" t="s">
        <v>304</v>
      </c>
      <c r="M685" s="167" t="s">
        <v>305</v>
      </c>
      <c r="N685" s="167">
        <v>11</v>
      </c>
      <c r="O685" s="167" t="s">
        <v>307</v>
      </c>
      <c r="P685" s="167" t="s">
        <v>307</v>
      </c>
      <c r="Q685" s="167" t="s">
        <v>1430</v>
      </c>
      <c r="R685" s="166" t="s">
        <v>73</v>
      </c>
      <c r="S685" s="169">
        <v>4455</v>
      </c>
      <c r="T685" s="160">
        <v>177.12</v>
      </c>
      <c r="U685" s="160">
        <v>0</v>
      </c>
      <c r="V685" s="160">
        <v>885.6</v>
      </c>
      <c r="W685" s="160">
        <v>3569.4</v>
      </c>
      <c r="X685" s="161">
        <v>0</v>
      </c>
      <c r="Y685" s="160"/>
      <c r="Z685" s="16">
        <v>19.87</v>
      </c>
      <c r="AA685" s="162">
        <v>885.6</v>
      </c>
      <c r="AB685" s="162">
        <v>221.4</v>
      </c>
      <c r="AC685" s="162">
        <v>2656.8</v>
      </c>
      <c r="AD685" s="160"/>
      <c r="AE685" s="145">
        <v>4455</v>
      </c>
      <c r="AF685" s="163">
        <v>1.0529999999999999</v>
      </c>
      <c r="AG685" s="163">
        <v>1.0489999999999999</v>
      </c>
      <c r="AH685" s="163">
        <v>1.0469999999999999</v>
      </c>
      <c r="AI685" s="164">
        <v>4455</v>
      </c>
      <c r="AJ685" s="164">
        <f t="shared" si="79"/>
        <v>0</v>
      </c>
      <c r="AK685" s="229">
        <v>4455</v>
      </c>
      <c r="AL685" s="229">
        <f ca="1">SUMIF('MS &amp; Vacancies combined'!A:S,D685,'MS &amp; Vacancies combined'!S:S)*105.3/100</f>
        <v>4127.2330585518175</v>
      </c>
      <c r="AM685" s="229">
        <f t="shared" ca="1" si="83"/>
        <v>4329.4674784208564</v>
      </c>
      <c r="AN685" s="229">
        <f t="shared" ca="1" si="84"/>
        <v>4532.9524499066365</v>
      </c>
      <c r="AO685" s="166"/>
      <c r="AP685" s="413">
        <f t="shared" ca="1" si="80"/>
        <v>327.76694144818248</v>
      </c>
      <c r="AR685" s="231"/>
      <c r="AS685" s="231"/>
      <c r="AU685" s="414">
        <v>4455</v>
      </c>
      <c r="AV685" s="415">
        <v>4455</v>
      </c>
      <c r="AW685" s="414">
        <f t="shared" si="78"/>
        <v>0</v>
      </c>
    </row>
    <row r="686" spans="1:49" hidden="1" x14ac:dyDescent="0.3">
      <c r="A686" s="16" t="s">
        <v>477</v>
      </c>
      <c r="B686" s="39" t="s">
        <v>1431</v>
      </c>
      <c r="C686" s="39" t="s">
        <v>78</v>
      </c>
      <c r="D686" s="340" t="s">
        <v>3473</v>
      </c>
      <c r="E686" s="159" t="s">
        <v>1085</v>
      </c>
      <c r="F686" s="159" t="s">
        <v>611</v>
      </c>
      <c r="G686" s="159" t="s">
        <v>309</v>
      </c>
      <c r="H686" s="159" t="s">
        <v>330</v>
      </c>
      <c r="I686" s="159" t="s">
        <v>479</v>
      </c>
      <c r="J686" s="159" t="s">
        <v>312</v>
      </c>
      <c r="K686" s="159" t="s">
        <v>1849</v>
      </c>
      <c r="L686" s="39" t="s">
        <v>304</v>
      </c>
      <c r="M686" s="39" t="s">
        <v>305</v>
      </c>
      <c r="N686" s="39">
        <v>11</v>
      </c>
      <c r="O686" s="39" t="s">
        <v>78</v>
      </c>
      <c r="P686" s="39" t="s">
        <v>699</v>
      </c>
      <c r="Q686" s="39" t="s">
        <v>1431</v>
      </c>
      <c r="R686" s="16" t="s">
        <v>477</v>
      </c>
      <c r="S686" s="160">
        <v>13240000</v>
      </c>
      <c r="T686" s="160">
        <v>934995.6</v>
      </c>
      <c r="U686" s="160">
        <v>934995.6</v>
      </c>
      <c r="V686" s="160">
        <v>2660836.6</v>
      </c>
      <c r="W686" s="160">
        <v>10579163.4</v>
      </c>
      <c r="X686" s="161">
        <v>1888325.82</v>
      </c>
      <c r="Y686" s="160"/>
      <c r="Z686" s="16">
        <v>20.09</v>
      </c>
      <c r="AA686" s="162">
        <v>3595832.2</v>
      </c>
      <c r="AB686" s="162">
        <v>898958.05</v>
      </c>
      <c r="AC686" s="162">
        <v>10787496.600000001</v>
      </c>
      <c r="AD686" s="160"/>
      <c r="AE686" s="145">
        <v>13240000</v>
      </c>
      <c r="AF686" s="163">
        <v>1.0469999999999999</v>
      </c>
      <c r="AG686" s="164">
        <v>1.046</v>
      </c>
      <c r="AH686" s="164">
        <v>1.046</v>
      </c>
      <c r="AI686" s="164">
        <v>13240000</v>
      </c>
      <c r="AJ686" s="164">
        <f t="shared" si="79"/>
        <v>0</v>
      </c>
      <c r="AK686" s="165">
        <f>AE686</f>
        <v>13240000</v>
      </c>
      <c r="AL686" s="165">
        <f t="shared" ref="AL686" si="85">AK686</f>
        <v>13240000</v>
      </c>
      <c r="AM686" s="165">
        <f t="shared" si="83"/>
        <v>13849040</v>
      </c>
      <c r="AN686" s="165">
        <f t="shared" si="84"/>
        <v>14486095.84</v>
      </c>
      <c r="AO686" s="16"/>
      <c r="AP686" s="231">
        <f t="shared" si="80"/>
        <v>0</v>
      </c>
      <c r="AR686" s="231"/>
      <c r="AS686" s="231"/>
      <c r="AU686" s="230">
        <v>13240000</v>
      </c>
      <c r="AV686" s="233">
        <v>13240000</v>
      </c>
      <c r="AW686" s="230">
        <f t="shared" si="78"/>
        <v>0</v>
      </c>
    </row>
    <row r="687" spans="1:49" hidden="1" x14ac:dyDescent="0.3">
      <c r="A687" s="16" t="s">
        <v>635</v>
      </c>
      <c r="B687" s="39" t="s">
        <v>1432</v>
      </c>
      <c r="C687" s="39" t="s">
        <v>82</v>
      </c>
      <c r="D687" s="340" t="s">
        <v>3473</v>
      </c>
      <c r="E687" s="159" t="s">
        <v>1085</v>
      </c>
      <c r="F687" s="159" t="s">
        <v>611</v>
      </c>
      <c r="G687" s="159" t="s">
        <v>309</v>
      </c>
      <c r="H687" s="159" t="s">
        <v>334</v>
      </c>
      <c r="I687" s="159" t="s">
        <v>637</v>
      </c>
      <c r="J687" s="159" t="s">
        <v>387</v>
      </c>
      <c r="K687" s="159" t="s">
        <v>1849</v>
      </c>
      <c r="L687" s="39" t="s">
        <v>304</v>
      </c>
      <c r="M687" s="39" t="s">
        <v>305</v>
      </c>
      <c r="N687" s="39">
        <v>11</v>
      </c>
      <c r="O687" s="39" t="s">
        <v>82</v>
      </c>
      <c r="P687" s="39" t="s">
        <v>636</v>
      </c>
      <c r="Q687" s="39" t="s">
        <v>1432</v>
      </c>
      <c r="R687" s="16" t="s">
        <v>635</v>
      </c>
      <c r="S687" s="160">
        <v>0</v>
      </c>
      <c r="T687" s="160">
        <v>0</v>
      </c>
      <c r="U687" s="160">
        <v>0</v>
      </c>
      <c r="V687" s="160">
        <v>0</v>
      </c>
      <c r="W687" s="160">
        <v>0</v>
      </c>
      <c r="X687" s="161">
        <v>0</v>
      </c>
      <c r="Y687" s="160"/>
      <c r="Z687" s="16">
        <v>0</v>
      </c>
      <c r="AA687" s="162">
        <v>0</v>
      </c>
      <c r="AB687" s="162">
        <v>0</v>
      </c>
      <c r="AC687" s="162">
        <v>0</v>
      </c>
      <c r="AD687" s="160"/>
      <c r="AE687" s="145">
        <v>0</v>
      </c>
      <c r="AF687" s="163">
        <v>1.0469999999999999</v>
      </c>
      <c r="AG687" s="164">
        <v>1.046</v>
      </c>
      <c r="AH687" s="164">
        <v>1.046</v>
      </c>
      <c r="AI687" s="164">
        <v>0</v>
      </c>
      <c r="AJ687" s="164">
        <f t="shared" si="79"/>
        <v>0</v>
      </c>
      <c r="AK687" s="165">
        <v>0</v>
      </c>
      <c r="AL687" s="165">
        <v>0</v>
      </c>
      <c r="AM687" s="165">
        <f t="shared" si="83"/>
        <v>0</v>
      </c>
      <c r="AN687" s="165">
        <f t="shared" si="84"/>
        <v>0</v>
      </c>
      <c r="AO687" s="16"/>
      <c r="AP687" s="231">
        <f t="shared" si="80"/>
        <v>0</v>
      </c>
      <c r="AR687" s="231"/>
      <c r="AS687" s="231"/>
      <c r="AU687" s="230">
        <v>0</v>
      </c>
      <c r="AV687" s="233">
        <v>0</v>
      </c>
      <c r="AW687" s="230">
        <f t="shared" si="78"/>
        <v>0</v>
      </c>
    </row>
    <row r="688" spans="1:49" hidden="1" x14ac:dyDescent="0.3">
      <c r="A688" s="16" t="s">
        <v>337</v>
      </c>
      <c r="B688" s="39" t="s">
        <v>1433</v>
      </c>
      <c r="C688" s="39" t="s">
        <v>82</v>
      </c>
      <c r="D688" s="340" t="s">
        <v>3473</v>
      </c>
      <c r="E688" s="159" t="s">
        <v>1085</v>
      </c>
      <c r="F688" s="159" t="s">
        <v>611</v>
      </c>
      <c r="G688" s="159" t="s">
        <v>309</v>
      </c>
      <c r="H688" s="159" t="s">
        <v>334</v>
      </c>
      <c r="I688" s="159" t="s">
        <v>339</v>
      </c>
      <c r="J688" s="159" t="s">
        <v>312</v>
      </c>
      <c r="K688" s="159" t="s">
        <v>1849</v>
      </c>
      <c r="L688" s="39" t="s">
        <v>304</v>
      </c>
      <c r="M688" s="39" t="s">
        <v>305</v>
      </c>
      <c r="N688" s="39">
        <v>11</v>
      </c>
      <c r="O688" s="39" t="s">
        <v>82</v>
      </c>
      <c r="P688" s="39" t="s">
        <v>338</v>
      </c>
      <c r="Q688" s="39" t="s">
        <v>1433</v>
      </c>
      <c r="R688" s="16" t="s">
        <v>337</v>
      </c>
      <c r="S688" s="160">
        <v>0</v>
      </c>
      <c r="T688" s="160">
        <v>0</v>
      </c>
      <c r="U688" s="160">
        <v>0</v>
      </c>
      <c r="V688" s="160">
        <v>0</v>
      </c>
      <c r="W688" s="160">
        <v>0</v>
      </c>
      <c r="X688" s="161">
        <v>0</v>
      </c>
      <c r="Y688" s="160"/>
      <c r="Z688" s="16">
        <v>0</v>
      </c>
      <c r="AA688" s="162">
        <v>0</v>
      </c>
      <c r="AB688" s="162">
        <v>0</v>
      </c>
      <c r="AC688" s="162">
        <v>0</v>
      </c>
      <c r="AD688" s="160"/>
      <c r="AE688" s="145">
        <v>0</v>
      </c>
      <c r="AF688" s="163">
        <v>1.0469999999999999</v>
      </c>
      <c r="AG688" s="164">
        <v>1.046</v>
      </c>
      <c r="AH688" s="164">
        <v>1.046</v>
      </c>
      <c r="AI688" s="164">
        <v>0</v>
      </c>
      <c r="AJ688" s="164">
        <f t="shared" si="79"/>
        <v>0</v>
      </c>
      <c r="AK688" s="165">
        <v>0</v>
      </c>
      <c r="AL688" s="165">
        <v>0</v>
      </c>
      <c r="AM688" s="165">
        <f t="shared" si="83"/>
        <v>0</v>
      </c>
      <c r="AN688" s="165">
        <f t="shared" si="84"/>
        <v>0</v>
      </c>
      <c r="AO688" s="16"/>
      <c r="AP688" s="231">
        <f t="shared" si="80"/>
        <v>0</v>
      </c>
      <c r="AR688" s="231"/>
      <c r="AS688" s="231"/>
      <c r="AU688" s="230">
        <v>0</v>
      </c>
      <c r="AV688" s="233">
        <v>0</v>
      </c>
      <c r="AW688" s="230">
        <f t="shared" si="78"/>
        <v>0</v>
      </c>
    </row>
    <row r="689" spans="1:49" hidden="1" x14ac:dyDescent="0.3">
      <c r="A689" s="16" t="s">
        <v>345</v>
      </c>
      <c r="B689" s="39" t="s">
        <v>1434</v>
      </c>
      <c r="C689" s="39" t="s">
        <v>82</v>
      </c>
      <c r="D689" s="340" t="s">
        <v>3473</v>
      </c>
      <c r="E689" s="159" t="s">
        <v>1085</v>
      </c>
      <c r="F689" s="159" t="s">
        <v>611</v>
      </c>
      <c r="G689" s="159" t="s">
        <v>309</v>
      </c>
      <c r="H689" s="159" t="s">
        <v>334</v>
      </c>
      <c r="I689" s="159" t="s">
        <v>347</v>
      </c>
      <c r="J689" s="159" t="s">
        <v>312</v>
      </c>
      <c r="K689" s="159" t="s">
        <v>1849</v>
      </c>
      <c r="L689" s="39" t="s">
        <v>304</v>
      </c>
      <c r="M689" s="39" t="s">
        <v>305</v>
      </c>
      <c r="N689" s="39">
        <v>11</v>
      </c>
      <c r="O689" s="39" t="s">
        <v>82</v>
      </c>
      <c r="P689" s="39" t="s">
        <v>346</v>
      </c>
      <c r="Q689" s="39" t="s">
        <v>1434</v>
      </c>
      <c r="R689" s="16" t="s">
        <v>345</v>
      </c>
      <c r="S689" s="160">
        <v>0</v>
      </c>
      <c r="T689" s="160">
        <v>0</v>
      </c>
      <c r="U689" s="160">
        <v>0</v>
      </c>
      <c r="V689" s="160">
        <v>0</v>
      </c>
      <c r="W689" s="160">
        <v>0</v>
      </c>
      <c r="X689" s="161">
        <v>0</v>
      </c>
      <c r="Y689" s="160"/>
      <c r="Z689" s="16">
        <v>0</v>
      </c>
      <c r="AA689" s="162">
        <v>0</v>
      </c>
      <c r="AB689" s="162">
        <v>0</v>
      </c>
      <c r="AC689" s="162">
        <v>0</v>
      </c>
      <c r="AD689" s="160"/>
      <c r="AE689" s="145">
        <v>0</v>
      </c>
      <c r="AF689" s="163">
        <v>1.0469999999999999</v>
      </c>
      <c r="AG689" s="164">
        <v>1.046</v>
      </c>
      <c r="AH689" s="164">
        <v>1.046</v>
      </c>
      <c r="AI689" s="164">
        <v>0</v>
      </c>
      <c r="AJ689" s="164">
        <f t="shared" si="79"/>
        <v>0</v>
      </c>
      <c r="AK689" s="165">
        <v>0</v>
      </c>
      <c r="AL689" s="165">
        <v>0</v>
      </c>
      <c r="AM689" s="165">
        <f t="shared" si="83"/>
        <v>0</v>
      </c>
      <c r="AN689" s="165">
        <f t="shared" si="84"/>
        <v>0</v>
      </c>
      <c r="AO689" s="16"/>
      <c r="AP689" s="231">
        <f t="shared" si="80"/>
        <v>0</v>
      </c>
      <c r="AR689" s="231"/>
      <c r="AS689" s="231"/>
      <c r="AU689" s="230">
        <v>0</v>
      </c>
      <c r="AV689" s="233">
        <v>0</v>
      </c>
      <c r="AW689" s="230">
        <f t="shared" si="78"/>
        <v>0</v>
      </c>
    </row>
    <row r="690" spans="1:49" hidden="1" x14ac:dyDescent="0.3">
      <c r="A690" s="16" t="s">
        <v>349</v>
      </c>
      <c r="B690" s="39" t="s">
        <v>1435</v>
      </c>
      <c r="C690" s="39" t="s">
        <v>82</v>
      </c>
      <c r="D690" s="340" t="s">
        <v>3473</v>
      </c>
      <c r="E690" s="159" t="s">
        <v>1085</v>
      </c>
      <c r="F690" s="159" t="s">
        <v>611</v>
      </c>
      <c r="G690" s="159" t="s">
        <v>309</v>
      </c>
      <c r="H690" s="159" t="s">
        <v>334</v>
      </c>
      <c r="I690" s="159" t="s">
        <v>351</v>
      </c>
      <c r="J690" s="159" t="s">
        <v>312</v>
      </c>
      <c r="K690" s="159" t="s">
        <v>1849</v>
      </c>
      <c r="L690" s="39" t="s">
        <v>304</v>
      </c>
      <c r="M690" s="39" t="s">
        <v>305</v>
      </c>
      <c r="N690" s="39">
        <v>11</v>
      </c>
      <c r="O690" s="39" t="s">
        <v>82</v>
      </c>
      <c r="P690" s="39" t="s">
        <v>350</v>
      </c>
      <c r="Q690" s="39" t="s">
        <v>1435</v>
      </c>
      <c r="R690" s="16" t="s">
        <v>349</v>
      </c>
      <c r="S690" s="160">
        <v>0</v>
      </c>
      <c r="T690" s="160">
        <v>0</v>
      </c>
      <c r="U690" s="160">
        <v>0</v>
      </c>
      <c r="V690" s="160">
        <v>0</v>
      </c>
      <c r="W690" s="160">
        <v>0</v>
      </c>
      <c r="X690" s="161">
        <v>0</v>
      </c>
      <c r="Y690" s="160"/>
      <c r="Z690" s="16">
        <v>0</v>
      </c>
      <c r="AA690" s="162">
        <v>0</v>
      </c>
      <c r="AB690" s="162">
        <v>0</v>
      </c>
      <c r="AC690" s="162">
        <v>0</v>
      </c>
      <c r="AD690" s="160"/>
      <c r="AE690" s="145">
        <v>0</v>
      </c>
      <c r="AF690" s="163">
        <v>1.0469999999999999</v>
      </c>
      <c r="AG690" s="164">
        <v>1.046</v>
      </c>
      <c r="AH690" s="164">
        <v>1.046</v>
      </c>
      <c r="AI690" s="164">
        <v>0</v>
      </c>
      <c r="AJ690" s="164">
        <f t="shared" si="79"/>
        <v>0</v>
      </c>
      <c r="AK690" s="165">
        <v>0</v>
      </c>
      <c r="AL690" s="165">
        <v>0</v>
      </c>
      <c r="AM690" s="165">
        <f t="shared" si="83"/>
        <v>0</v>
      </c>
      <c r="AN690" s="165">
        <f t="shared" si="84"/>
        <v>0</v>
      </c>
      <c r="AO690" s="16"/>
      <c r="AP690" s="231">
        <f t="shared" si="80"/>
        <v>0</v>
      </c>
      <c r="AR690" s="231"/>
      <c r="AS690" s="231"/>
      <c r="AU690" s="230">
        <v>0</v>
      </c>
      <c r="AV690" s="233">
        <v>0</v>
      </c>
      <c r="AW690" s="230">
        <f t="shared" si="78"/>
        <v>0</v>
      </c>
    </row>
    <row r="691" spans="1:49" hidden="1" x14ac:dyDescent="0.3">
      <c r="A691" s="16" t="s">
        <v>353</v>
      </c>
      <c r="B691" s="39" t="s">
        <v>1436</v>
      </c>
      <c r="C691" s="39" t="s">
        <v>82</v>
      </c>
      <c r="D691" s="340" t="s">
        <v>3473</v>
      </c>
      <c r="E691" s="159" t="s">
        <v>1085</v>
      </c>
      <c r="F691" s="159" t="s">
        <v>611</v>
      </c>
      <c r="G691" s="159" t="s">
        <v>309</v>
      </c>
      <c r="H691" s="159" t="s">
        <v>334</v>
      </c>
      <c r="I691" s="159" t="s">
        <v>355</v>
      </c>
      <c r="J691" s="159" t="s">
        <v>312</v>
      </c>
      <c r="K691" s="159" t="s">
        <v>1849</v>
      </c>
      <c r="L691" s="39" t="s">
        <v>304</v>
      </c>
      <c r="M691" s="39" t="s">
        <v>305</v>
      </c>
      <c r="N691" s="39">
        <v>11</v>
      </c>
      <c r="O691" s="39" t="s">
        <v>82</v>
      </c>
      <c r="P691" s="39" t="s">
        <v>354</v>
      </c>
      <c r="Q691" s="39" t="s">
        <v>1436</v>
      </c>
      <c r="R691" s="16" t="s">
        <v>353</v>
      </c>
      <c r="S691" s="160">
        <v>0</v>
      </c>
      <c r="T691" s="160">
        <v>0</v>
      </c>
      <c r="U691" s="160">
        <v>0</v>
      </c>
      <c r="V691" s="160">
        <v>0</v>
      </c>
      <c r="W691" s="160">
        <v>0</v>
      </c>
      <c r="X691" s="161">
        <v>0</v>
      </c>
      <c r="Y691" s="160"/>
      <c r="Z691" s="16">
        <v>0</v>
      </c>
      <c r="AA691" s="162">
        <v>0</v>
      </c>
      <c r="AB691" s="162">
        <v>0</v>
      </c>
      <c r="AC691" s="162">
        <v>0</v>
      </c>
      <c r="AD691" s="160"/>
      <c r="AE691" s="145">
        <v>0</v>
      </c>
      <c r="AF691" s="163">
        <v>1.0469999999999999</v>
      </c>
      <c r="AG691" s="164">
        <v>1.046</v>
      </c>
      <c r="AH691" s="164">
        <v>1.046</v>
      </c>
      <c r="AI691" s="164">
        <v>0</v>
      </c>
      <c r="AJ691" s="164">
        <f t="shared" si="79"/>
        <v>0</v>
      </c>
      <c r="AK691" s="165">
        <v>0</v>
      </c>
      <c r="AL691" s="165">
        <v>0</v>
      </c>
      <c r="AM691" s="165">
        <f t="shared" si="83"/>
        <v>0</v>
      </c>
      <c r="AN691" s="165">
        <f t="shared" si="84"/>
        <v>0</v>
      </c>
      <c r="AO691" s="16"/>
      <c r="AP691" s="231">
        <f t="shared" si="80"/>
        <v>0</v>
      </c>
      <c r="AR691" s="231"/>
      <c r="AS691" s="231"/>
      <c r="AU691" s="230">
        <v>0</v>
      </c>
      <c r="AV691" s="233">
        <v>0</v>
      </c>
      <c r="AW691" s="230">
        <f t="shared" si="78"/>
        <v>0</v>
      </c>
    </row>
    <row r="692" spans="1:49" hidden="1" x14ac:dyDescent="0.3">
      <c r="A692" s="16" t="s">
        <v>357</v>
      </c>
      <c r="B692" s="39" t="s">
        <v>1437</v>
      </c>
      <c r="C692" s="39" t="s">
        <v>82</v>
      </c>
      <c r="D692" s="340" t="s">
        <v>3473</v>
      </c>
      <c r="E692" s="159" t="s">
        <v>1085</v>
      </c>
      <c r="F692" s="159" t="s">
        <v>611</v>
      </c>
      <c r="G692" s="159" t="s">
        <v>309</v>
      </c>
      <c r="H692" s="159" t="s">
        <v>334</v>
      </c>
      <c r="I692" s="159" t="s">
        <v>359</v>
      </c>
      <c r="J692" s="159" t="s">
        <v>312</v>
      </c>
      <c r="K692" s="159" t="s">
        <v>1849</v>
      </c>
      <c r="L692" s="39" t="s">
        <v>304</v>
      </c>
      <c r="M692" s="39" t="s">
        <v>305</v>
      </c>
      <c r="N692" s="39">
        <v>11</v>
      </c>
      <c r="O692" s="39" t="s">
        <v>82</v>
      </c>
      <c r="P692" s="39" t="s">
        <v>358</v>
      </c>
      <c r="Q692" s="39" t="s">
        <v>1437</v>
      </c>
      <c r="R692" s="16" t="s">
        <v>357</v>
      </c>
      <c r="S692" s="160">
        <v>0</v>
      </c>
      <c r="T692" s="160">
        <v>0</v>
      </c>
      <c r="U692" s="160">
        <v>0</v>
      </c>
      <c r="V692" s="160">
        <v>0</v>
      </c>
      <c r="W692" s="160">
        <v>0</v>
      </c>
      <c r="X692" s="161">
        <v>0</v>
      </c>
      <c r="Y692" s="160"/>
      <c r="Z692" s="16">
        <v>0</v>
      </c>
      <c r="AA692" s="162">
        <v>0</v>
      </c>
      <c r="AB692" s="162">
        <v>0</v>
      </c>
      <c r="AC692" s="162">
        <v>0</v>
      </c>
      <c r="AD692" s="160"/>
      <c r="AE692" s="145">
        <v>0</v>
      </c>
      <c r="AF692" s="163">
        <v>1.0469999999999999</v>
      </c>
      <c r="AG692" s="164">
        <v>1.046</v>
      </c>
      <c r="AH692" s="164">
        <v>1.046</v>
      </c>
      <c r="AI692" s="164">
        <v>0</v>
      </c>
      <c r="AJ692" s="164">
        <f t="shared" si="79"/>
        <v>0</v>
      </c>
      <c r="AK692" s="165">
        <v>0</v>
      </c>
      <c r="AL692" s="165">
        <v>0</v>
      </c>
      <c r="AM692" s="165">
        <f t="shared" si="83"/>
        <v>0</v>
      </c>
      <c r="AN692" s="165">
        <f t="shared" si="84"/>
        <v>0</v>
      </c>
      <c r="AO692" s="16"/>
      <c r="AP692" s="231">
        <f t="shared" si="80"/>
        <v>0</v>
      </c>
      <c r="AR692" s="231"/>
      <c r="AS692" s="231"/>
      <c r="AU692" s="230">
        <v>0</v>
      </c>
      <c r="AV692" s="233">
        <v>0</v>
      </c>
      <c r="AW692" s="230">
        <f t="shared" si="78"/>
        <v>0</v>
      </c>
    </row>
    <row r="693" spans="1:49" hidden="1" x14ac:dyDescent="0.3">
      <c r="A693" s="16" t="s">
        <v>83</v>
      </c>
      <c r="B693" s="39" t="s">
        <v>1438</v>
      </c>
      <c r="C693" s="39" t="s">
        <v>423</v>
      </c>
      <c r="D693" s="340" t="s">
        <v>3473</v>
      </c>
      <c r="E693" s="159" t="s">
        <v>1085</v>
      </c>
      <c r="F693" s="159" t="s">
        <v>611</v>
      </c>
      <c r="G693" s="159" t="s">
        <v>309</v>
      </c>
      <c r="H693" s="159" t="s">
        <v>424</v>
      </c>
      <c r="I693" s="159" t="s">
        <v>425</v>
      </c>
      <c r="J693" s="159" t="s">
        <v>426</v>
      </c>
      <c r="K693" s="159" t="s">
        <v>1849</v>
      </c>
      <c r="L693" s="39" t="s">
        <v>304</v>
      </c>
      <c r="M693" s="39" t="s">
        <v>305</v>
      </c>
      <c r="N693" s="39">
        <v>11</v>
      </c>
      <c r="O693" s="39" t="s">
        <v>423</v>
      </c>
      <c r="P693" s="39" t="s">
        <v>423</v>
      </c>
      <c r="Q693" s="39" t="s">
        <v>1438</v>
      </c>
      <c r="R693" s="16" t="s">
        <v>83</v>
      </c>
      <c r="S693" s="160">
        <v>0</v>
      </c>
      <c r="T693" s="160">
        <v>0</v>
      </c>
      <c r="U693" s="160">
        <v>0</v>
      </c>
      <c r="V693" s="160">
        <v>0</v>
      </c>
      <c r="W693" s="160">
        <v>0</v>
      </c>
      <c r="X693" s="161">
        <v>0</v>
      </c>
      <c r="Y693" s="160"/>
      <c r="Z693" s="16">
        <v>0</v>
      </c>
      <c r="AA693" s="162">
        <v>0</v>
      </c>
      <c r="AB693" s="162">
        <v>0</v>
      </c>
      <c r="AC693" s="162">
        <v>0</v>
      </c>
      <c r="AD693" s="160"/>
      <c r="AE693" s="145">
        <v>0</v>
      </c>
      <c r="AF693" s="163">
        <v>1.0469999999999999</v>
      </c>
      <c r="AG693" s="164">
        <v>1.046</v>
      </c>
      <c r="AH693" s="164">
        <v>1.046</v>
      </c>
      <c r="AI693" s="164">
        <v>0</v>
      </c>
      <c r="AJ693" s="164">
        <f t="shared" si="79"/>
        <v>0</v>
      </c>
      <c r="AK693" s="165">
        <v>0</v>
      </c>
      <c r="AL693" s="165">
        <v>0</v>
      </c>
      <c r="AM693" s="165">
        <f t="shared" si="83"/>
        <v>0</v>
      </c>
      <c r="AN693" s="165">
        <f t="shared" si="84"/>
        <v>0</v>
      </c>
      <c r="AO693" s="16"/>
      <c r="AP693" s="231">
        <f t="shared" si="80"/>
        <v>0</v>
      </c>
      <c r="AR693" s="231"/>
      <c r="AS693" s="231"/>
      <c r="AU693" s="230">
        <v>0</v>
      </c>
      <c r="AV693" s="233">
        <v>0</v>
      </c>
      <c r="AW693" s="230">
        <f t="shared" si="78"/>
        <v>0</v>
      </c>
    </row>
    <row r="694" spans="1:49" hidden="1" x14ac:dyDescent="0.3">
      <c r="A694" s="16" t="s">
        <v>1440</v>
      </c>
      <c r="B694" s="39" t="s">
        <v>1439</v>
      </c>
      <c r="C694" s="39" t="s">
        <v>95</v>
      </c>
      <c r="D694" s="340" t="s">
        <v>3473</v>
      </c>
      <c r="E694" s="159" t="s">
        <v>1085</v>
      </c>
      <c r="F694" s="159" t="s">
        <v>611</v>
      </c>
      <c r="G694" s="159" t="s">
        <v>309</v>
      </c>
      <c r="H694" s="159" t="s">
        <v>501</v>
      </c>
      <c r="I694" s="159" t="s">
        <v>872</v>
      </c>
      <c r="J694" s="159" t="s">
        <v>312</v>
      </c>
      <c r="K694" s="159" t="s">
        <v>1849</v>
      </c>
      <c r="L694" s="39" t="s">
        <v>304</v>
      </c>
      <c r="M694" s="39" t="s">
        <v>305</v>
      </c>
      <c r="N694" s="39">
        <v>11</v>
      </c>
      <c r="O694" s="39" t="s">
        <v>95</v>
      </c>
      <c r="P694" s="39" t="s">
        <v>1441</v>
      </c>
      <c r="Q694" s="39" t="s">
        <v>1439</v>
      </c>
      <c r="R694" s="16" t="s">
        <v>1440</v>
      </c>
      <c r="S694" s="160">
        <v>7795202</v>
      </c>
      <c r="T694" s="160">
        <v>989689.63</v>
      </c>
      <c r="U694" s="160">
        <v>0</v>
      </c>
      <c r="V694" s="160">
        <v>3774436.19</v>
      </c>
      <c r="W694" s="160">
        <v>4020765.81</v>
      </c>
      <c r="X694" s="161">
        <v>0</v>
      </c>
      <c r="Y694" s="160"/>
      <c r="Z694" s="16">
        <v>48.41</v>
      </c>
      <c r="AA694" s="162">
        <v>3774436.19</v>
      </c>
      <c r="AB694" s="162">
        <v>943609.04749999999</v>
      </c>
      <c r="AC694" s="162">
        <v>11323308.57</v>
      </c>
      <c r="AD694" s="160"/>
      <c r="AE694" s="145">
        <v>7795202</v>
      </c>
      <c r="AF694" s="163">
        <v>1.0469999999999999</v>
      </c>
      <c r="AG694" s="164">
        <v>1.046</v>
      </c>
      <c r="AH694" s="164">
        <v>1.046</v>
      </c>
      <c r="AI694" s="164">
        <v>7795202</v>
      </c>
      <c r="AJ694" s="164">
        <f t="shared" si="79"/>
        <v>0</v>
      </c>
      <c r="AK694" s="165">
        <v>7795202</v>
      </c>
      <c r="AL694" s="165">
        <f t="shared" ref="AL694" si="86">AK694</f>
        <v>7795202</v>
      </c>
      <c r="AM694" s="165">
        <f t="shared" si="83"/>
        <v>8153781.2920000004</v>
      </c>
      <c r="AN694" s="165">
        <f t="shared" si="84"/>
        <v>8528855.2314320002</v>
      </c>
      <c r="AO694" s="16"/>
      <c r="AP694" s="231">
        <f t="shared" si="80"/>
        <v>0</v>
      </c>
      <c r="AR694" s="231"/>
      <c r="AS694" s="231"/>
      <c r="AU694" s="230">
        <v>7795202</v>
      </c>
      <c r="AV694" s="233">
        <v>7795202</v>
      </c>
      <c r="AW694" s="230">
        <f t="shared" si="78"/>
        <v>0</v>
      </c>
    </row>
    <row r="695" spans="1:49" s="172" customFormat="1" x14ac:dyDescent="0.3">
      <c r="A695" s="166" t="s">
        <v>29</v>
      </c>
      <c r="B695" s="167" t="s">
        <v>1442</v>
      </c>
      <c r="C695" s="167" t="s">
        <v>37</v>
      </c>
      <c r="D695" s="412" t="s">
        <v>3474</v>
      </c>
      <c r="E695" s="168" t="s">
        <v>1085</v>
      </c>
      <c r="F695" s="168" t="s">
        <v>1443</v>
      </c>
      <c r="G695" s="168" t="s">
        <v>309</v>
      </c>
      <c r="H695" s="168" t="s">
        <v>363</v>
      </c>
      <c r="I695" s="168" t="s">
        <v>935</v>
      </c>
      <c r="J695" s="168" t="s">
        <v>312</v>
      </c>
      <c r="K695" s="168" t="s">
        <v>1849</v>
      </c>
      <c r="L695" s="167" t="s">
        <v>304</v>
      </c>
      <c r="M695" s="167" t="s">
        <v>305</v>
      </c>
      <c r="N695" s="167">
        <v>11</v>
      </c>
      <c r="O695" s="167" t="s">
        <v>37</v>
      </c>
      <c r="P695" s="167" t="s">
        <v>37</v>
      </c>
      <c r="Q695" s="167" t="s">
        <v>1442</v>
      </c>
      <c r="R695" s="166" t="s">
        <v>29</v>
      </c>
      <c r="S695" s="169">
        <v>1751036</v>
      </c>
      <c r="T695" s="160">
        <v>125642.33</v>
      </c>
      <c r="U695" s="160">
        <v>0</v>
      </c>
      <c r="V695" s="160">
        <v>502569.32</v>
      </c>
      <c r="W695" s="160">
        <v>1248466.68</v>
      </c>
      <c r="X695" s="161">
        <v>0</v>
      </c>
      <c r="Y695" s="160"/>
      <c r="Z695" s="16">
        <v>28.7</v>
      </c>
      <c r="AA695" s="162">
        <v>502569.32</v>
      </c>
      <c r="AB695" s="162">
        <v>125642.33</v>
      </c>
      <c r="AC695" s="162">
        <v>1507707.96</v>
      </c>
      <c r="AD695" s="160"/>
      <c r="AE695" s="228">
        <v>1751036</v>
      </c>
      <c r="AF695" s="163">
        <v>1.0529999999999999</v>
      </c>
      <c r="AG695" s="163">
        <v>1.0489999999999999</v>
      </c>
      <c r="AH695" s="163">
        <v>1.0469999999999999</v>
      </c>
      <c r="AI695" s="164">
        <v>1751036</v>
      </c>
      <c r="AJ695" s="164">
        <f t="shared" si="79"/>
        <v>0</v>
      </c>
      <c r="AK695" s="229">
        <v>1751036</v>
      </c>
      <c r="AL695" s="229">
        <f ca="1">SUMIF('SM &amp; Vacancies'!A:K,D695,'SM &amp; Vacancies'!J:J)*105.3/100</f>
        <v>1681374.591</v>
      </c>
      <c r="AM695" s="229">
        <f t="shared" ca="1" si="83"/>
        <v>1763761.9459589999</v>
      </c>
      <c r="AN695" s="229">
        <f t="shared" ca="1" si="84"/>
        <v>1846658.7574190728</v>
      </c>
      <c r="AO695" s="166"/>
      <c r="AP695" s="413">
        <f t="shared" ca="1" si="80"/>
        <v>69661.408999999985</v>
      </c>
      <c r="AR695" s="231"/>
      <c r="AS695" s="231"/>
      <c r="AU695" s="414">
        <v>1751036</v>
      </c>
      <c r="AV695" s="415">
        <v>1751036</v>
      </c>
      <c r="AW695" s="414">
        <f t="shared" si="78"/>
        <v>0</v>
      </c>
    </row>
    <row r="696" spans="1:49" s="172" customFormat="1" x14ac:dyDescent="0.3">
      <c r="A696" s="166" t="s">
        <v>38</v>
      </c>
      <c r="B696" s="167" t="s">
        <v>1444</v>
      </c>
      <c r="C696" s="167" t="s">
        <v>1445</v>
      </c>
      <c r="D696" s="412" t="s">
        <v>3474</v>
      </c>
      <c r="E696" s="168" t="s">
        <v>1085</v>
      </c>
      <c r="F696" s="168" t="s">
        <v>1443</v>
      </c>
      <c r="G696" s="168" t="s">
        <v>309</v>
      </c>
      <c r="H696" s="168" t="s">
        <v>363</v>
      </c>
      <c r="I696" s="168" t="s">
        <v>1446</v>
      </c>
      <c r="J696" s="168" t="s">
        <v>312</v>
      </c>
      <c r="K696" s="168" t="s">
        <v>1849</v>
      </c>
      <c r="L696" s="167" t="s">
        <v>304</v>
      </c>
      <c r="M696" s="167" t="s">
        <v>305</v>
      </c>
      <c r="N696" s="167">
        <v>11</v>
      </c>
      <c r="O696" s="167" t="s">
        <v>1445</v>
      </c>
      <c r="P696" s="167" t="s">
        <v>1445</v>
      </c>
      <c r="Q696" s="167" t="s">
        <v>1444</v>
      </c>
      <c r="R696" s="166" t="s">
        <v>38</v>
      </c>
      <c r="S696" s="169">
        <v>15091</v>
      </c>
      <c r="T696" s="160">
        <v>1200</v>
      </c>
      <c r="U696" s="160">
        <v>0</v>
      </c>
      <c r="V696" s="160">
        <v>4800</v>
      </c>
      <c r="W696" s="160">
        <v>10291</v>
      </c>
      <c r="X696" s="161">
        <v>0</v>
      </c>
      <c r="Y696" s="160"/>
      <c r="Z696" s="16">
        <v>31.8</v>
      </c>
      <c r="AA696" s="162">
        <v>4800</v>
      </c>
      <c r="AB696" s="162">
        <v>1200</v>
      </c>
      <c r="AC696" s="162">
        <v>14400</v>
      </c>
      <c r="AD696" s="160"/>
      <c r="AE696" s="228">
        <v>15091</v>
      </c>
      <c r="AF696" s="163">
        <v>1.0529999999999999</v>
      </c>
      <c r="AG696" s="163">
        <v>1.0489999999999999</v>
      </c>
      <c r="AH696" s="163">
        <v>1.0469999999999999</v>
      </c>
      <c r="AI696" s="164">
        <v>15091</v>
      </c>
      <c r="AJ696" s="164">
        <f t="shared" si="79"/>
        <v>0</v>
      </c>
      <c r="AK696" s="229">
        <v>15091</v>
      </c>
      <c r="AL696" s="229">
        <f ca="1">SUMIF('SM &amp; Vacancies'!A:N,D696,'SM &amp; Vacancies'!N:N)*105.3/100</f>
        <v>15163.2</v>
      </c>
      <c r="AM696" s="229">
        <f t="shared" ca="1" si="83"/>
        <v>15906.1968</v>
      </c>
      <c r="AN696" s="229">
        <f t="shared" ca="1" si="84"/>
        <v>16653.7880496</v>
      </c>
      <c r="AO696" s="166"/>
      <c r="AP696" s="413">
        <f t="shared" ca="1" si="80"/>
        <v>-72.200000000000728</v>
      </c>
      <c r="AR696" s="231"/>
      <c r="AS696" s="231"/>
      <c r="AU696" s="414">
        <v>15091</v>
      </c>
      <c r="AV696" s="415">
        <v>15091</v>
      </c>
      <c r="AW696" s="414">
        <f t="shared" si="78"/>
        <v>0</v>
      </c>
    </row>
    <row r="697" spans="1:49" s="172" customFormat="1" x14ac:dyDescent="0.3">
      <c r="A697" s="166" t="s">
        <v>39</v>
      </c>
      <c r="B697" s="167" t="s">
        <v>1447</v>
      </c>
      <c r="C697" s="167" t="s">
        <v>1448</v>
      </c>
      <c r="D697" s="412" t="s">
        <v>3474</v>
      </c>
      <c r="E697" s="168" t="s">
        <v>1085</v>
      </c>
      <c r="F697" s="168" t="s">
        <v>1443</v>
      </c>
      <c r="G697" s="168" t="s">
        <v>309</v>
      </c>
      <c r="H697" s="168" t="s">
        <v>370</v>
      </c>
      <c r="I697" s="168" t="s">
        <v>359</v>
      </c>
      <c r="J697" s="168" t="s">
        <v>312</v>
      </c>
      <c r="K697" s="168" t="s">
        <v>1849</v>
      </c>
      <c r="L697" s="167" t="s">
        <v>304</v>
      </c>
      <c r="M697" s="167" t="s">
        <v>305</v>
      </c>
      <c r="N697" s="167">
        <v>11</v>
      </c>
      <c r="O697" s="167" t="s">
        <v>1448</v>
      </c>
      <c r="P697" s="167" t="s">
        <v>1448</v>
      </c>
      <c r="Q697" s="167" t="s">
        <v>1447</v>
      </c>
      <c r="R697" s="166" t="s">
        <v>39</v>
      </c>
      <c r="S697" s="169">
        <v>0</v>
      </c>
      <c r="T697" s="160">
        <v>177.12</v>
      </c>
      <c r="U697" s="160">
        <v>0</v>
      </c>
      <c r="V697" s="160">
        <v>708.48</v>
      </c>
      <c r="W697" s="160">
        <v>-708.48</v>
      </c>
      <c r="X697" s="161">
        <v>0</v>
      </c>
      <c r="Y697" s="160"/>
      <c r="Z697" s="16">
        <v>0</v>
      </c>
      <c r="AA697" s="162">
        <v>708.48</v>
      </c>
      <c r="AB697" s="162">
        <v>177.12</v>
      </c>
      <c r="AC697" s="162">
        <v>2125.44</v>
      </c>
      <c r="AD697" s="160"/>
      <c r="AE697" s="228">
        <v>0</v>
      </c>
      <c r="AF697" s="163">
        <v>1.0529999999999999</v>
      </c>
      <c r="AG697" s="163">
        <v>1.0489999999999999</v>
      </c>
      <c r="AH697" s="163">
        <v>1.0469999999999999</v>
      </c>
      <c r="AI697" s="164">
        <v>0</v>
      </c>
      <c r="AJ697" s="164">
        <f t="shared" si="79"/>
        <v>0</v>
      </c>
      <c r="AK697" s="229">
        <v>0</v>
      </c>
      <c r="AL697" s="229">
        <f ca="1">SUMIF('SM &amp; Vacancies'!A:T,D697,'SM &amp; Vacancies'!T:T)*105.3/100</f>
        <v>2238.0883199999998</v>
      </c>
      <c r="AM697" s="229">
        <f t="shared" ca="1" si="83"/>
        <v>2347.7546476799998</v>
      </c>
      <c r="AN697" s="229">
        <f t="shared" ca="1" si="84"/>
        <v>2458.0991161209595</v>
      </c>
      <c r="AO697" s="166"/>
      <c r="AP697" s="413">
        <f t="shared" ca="1" si="80"/>
        <v>-2238.0883199999998</v>
      </c>
      <c r="AR697" s="231"/>
      <c r="AS697" s="231"/>
      <c r="AU697" s="414">
        <v>0</v>
      </c>
      <c r="AV697" s="415">
        <v>0</v>
      </c>
      <c r="AW697" s="414">
        <f t="shared" si="78"/>
        <v>0</v>
      </c>
    </row>
    <row r="698" spans="1:49" s="172" customFormat="1" x14ac:dyDescent="0.3">
      <c r="A698" s="166" t="s">
        <v>50</v>
      </c>
      <c r="B698" s="167" t="s">
        <v>1449</v>
      </c>
      <c r="C698" s="167" t="s">
        <v>302</v>
      </c>
      <c r="D698" s="412" t="s">
        <v>3474</v>
      </c>
      <c r="E698" s="168" t="s">
        <v>1085</v>
      </c>
      <c r="F698" s="168" t="s">
        <v>1443</v>
      </c>
      <c r="G698" s="168" t="s">
        <v>309</v>
      </c>
      <c r="H698" s="168" t="s">
        <v>373</v>
      </c>
      <c r="I698" s="168" t="s">
        <v>374</v>
      </c>
      <c r="J698" s="168" t="s">
        <v>312</v>
      </c>
      <c r="K698" s="168" t="s">
        <v>1849</v>
      </c>
      <c r="L698" s="167" t="s">
        <v>304</v>
      </c>
      <c r="M698" s="167" t="s">
        <v>305</v>
      </c>
      <c r="N698" s="167">
        <v>11</v>
      </c>
      <c r="O698" s="167" t="s">
        <v>302</v>
      </c>
      <c r="P698" s="167" t="s">
        <v>302</v>
      </c>
      <c r="Q698" s="167" t="s">
        <v>1449</v>
      </c>
      <c r="R698" s="166" t="s">
        <v>50</v>
      </c>
      <c r="S698" s="169">
        <v>581841</v>
      </c>
      <c r="T698" s="160">
        <v>17065.52</v>
      </c>
      <c r="U698" s="160">
        <v>0</v>
      </c>
      <c r="V698" s="160">
        <v>90826.21</v>
      </c>
      <c r="W698" s="160">
        <v>491014.79</v>
      </c>
      <c r="X698" s="161">
        <v>0</v>
      </c>
      <c r="Y698" s="160"/>
      <c r="Z698" s="16">
        <v>15.61</v>
      </c>
      <c r="AA698" s="162">
        <v>90826.21</v>
      </c>
      <c r="AB698" s="162">
        <v>22706.552500000002</v>
      </c>
      <c r="AC698" s="162">
        <v>272478.63</v>
      </c>
      <c r="AD698" s="160"/>
      <c r="AE698" s="145">
        <v>581841</v>
      </c>
      <c r="AF698" s="163">
        <v>1.0529999999999999</v>
      </c>
      <c r="AG698" s="163">
        <v>1.0489999999999999</v>
      </c>
      <c r="AH698" s="163">
        <v>1.0469999999999999</v>
      </c>
      <c r="AI698" s="164">
        <v>581841</v>
      </c>
      <c r="AJ698" s="164">
        <f t="shared" si="79"/>
        <v>0</v>
      </c>
      <c r="AK698" s="229">
        <v>581841</v>
      </c>
      <c r="AL698" s="229">
        <f ca="1">SUMIF('MS &amp; Vacancies combined'!A:J,D698,'MS &amp; Vacancies combined'!J:J)*105.3/100</f>
        <v>0</v>
      </c>
      <c r="AM698" s="229">
        <f t="shared" ca="1" si="83"/>
        <v>0</v>
      </c>
      <c r="AN698" s="229">
        <f t="shared" ca="1" si="84"/>
        <v>0</v>
      </c>
      <c r="AO698" s="166"/>
      <c r="AP698" s="413">
        <f t="shared" ca="1" si="80"/>
        <v>581841</v>
      </c>
      <c r="AR698" s="231"/>
      <c r="AS698" s="231"/>
      <c r="AU698" s="414">
        <v>581841</v>
      </c>
      <c r="AV698" s="415">
        <v>581841</v>
      </c>
      <c r="AW698" s="414">
        <f t="shared" si="78"/>
        <v>0</v>
      </c>
    </row>
    <row r="699" spans="1:49" s="172" customFormat="1" x14ac:dyDescent="0.3">
      <c r="A699" s="166" t="s">
        <v>52</v>
      </c>
      <c r="B699" s="167" t="s">
        <v>1450</v>
      </c>
      <c r="C699" s="167" t="s">
        <v>376</v>
      </c>
      <c r="D699" s="412" t="s">
        <v>3474</v>
      </c>
      <c r="E699" s="168" t="s">
        <v>1085</v>
      </c>
      <c r="F699" s="168" t="s">
        <v>1443</v>
      </c>
      <c r="G699" s="168" t="s">
        <v>309</v>
      </c>
      <c r="H699" s="168" t="s">
        <v>373</v>
      </c>
      <c r="I699" s="168" t="s">
        <v>377</v>
      </c>
      <c r="J699" s="168" t="s">
        <v>312</v>
      </c>
      <c r="K699" s="168" t="s">
        <v>1849</v>
      </c>
      <c r="L699" s="167" t="s">
        <v>304</v>
      </c>
      <c r="M699" s="167" t="s">
        <v>305</v>
      </c>
      <c r="N699" s="167">
        <v>11</v>
      </c>
      <c r="O699" s="167" t="s">
        <v>376</v>
      </c>
      <c r="P699" s="167" t="s">
        <v>376</v>
      </c>
      <c r="Q699" s="167" t="s">
        <v>1450</v>
      </c>
      <c r="R699" s="166" t="s">
        <v>52</v>
      </c>
      <c r="S699" s="169">
        <v>0</v>
      </c>
      <c r="T699" s="160">
        <v>0</v>
      </c>
      <c r="U699" s="160">
        <v>0</v>
      </c>
      <c r="V699" s="160">
        <v>0</v>
      </c>
      <c r="W699" s="160">
        <v>0</v>
      </c>
      <c r="X699" s="161">
        <v>0</v>
      </c>
      <c r="Y699" s="160"/>
      <c r="Z699" s="16">
        <v>0</v>
      </c>
      <c r="AA699" s="162">
        <v>0</v>
      </c>
      <c r="AB699" s="162">
        <v>0</v>
      </c>
      <c r="AC699" s="162">
        <v>0</v>
      </c>
      <c r="AD699" s="160"/>
      <c r="AE699" s="145">
        <v>0</v>
      </c>
      <c r="AF699" s="163">
        <v>1.0529999999999999</v>
      </c>
      <c r="AG699" s="163">
        <v>1.0489999999999999</v>
      </c>
      <c r="AH699" s="163">
        <v>1.0469999999999999</v>
      </c>
      <c r="AI699" s="164">
        <v>0</v>
      </c>
      <c r="AJ699" s="164">
        <f t="shared" si="79"/>
        <v>0</v>
      </c>
      <c r="AK699" s="229">
        <v>0</v>
      </c>
      <c r="AL699" s="229">
        <f ca="1">SUMIF('MS &amp; Vacancies combined'!A:M,D699,'MS &amp; Vacancies combined'!M:M)*105.3/100</f>
        <v>0</v>
      </c>
      <c r="AM699" s="229">
        <f t="shared" ca="1" si="83"/>
        <v>0</v>
      </c>
      <c r="AN699" s="229">
        <f t="shared" ca="1" si="84"/>
        <v>0</v>
      </c>
      <c r="AO699" s="166"/>
      <c r="AP699" s="413">
        <f t="shared" ca="1" si="80"/>
        <v>0</v>
      </c>
      <c r="AR699" s="231"/>
      <c r="AS699" s="231"/>
      <c r="AU699" s="414">
        <v>0</v>
      </c>
      <c r="AV699" s="415">
        <v>0</v>
      </c>
      <c r="AW699" s="414">
        <f t="shared" si="78"/>
        <v>0</v>
      </c>
    </row>
    <row r="700" spans="1:49" s="172" customFormat="1" x14ac:dyDescent="0.3">
      <c r="A700" s="166" t="s">
        <v>54</v>
      </c>
      <c r="B700" s="167" t="s">
        <v>1451</v>
      </c>
      <c r="C700" s="167" t="s">
        <v>379</v>
      </c>
      <c r="D700" s="412" t="s">
        <v>3474</v>
      </c>
      <c r="E700" s="168" t="s">
        <v>1085</v>
      </c>
      <c r="F700" s="168" t="s">
        <v>1443</v>
      </c>
      <c r="G700" s="168" t="s">
        <v>309</v>
      </c>
      <c r="H700" s="168" t="s">
        <v>373</v>
      </c>
      <c r="I700" s="168" t="s">
        <v>380</v>
      </c>
      <c r="J700" s="168" t="s">
        <v>312</v>
      </c>
      <c r="K700" s="168" t="s">
        <v>1849</v>
      </c>
      <c r="L700" s="167" t="s">
        <v>304</v>
      </c>
      <c r="M700" s="167" t="s">
        <v>305</v>
      </c>
      <c r="N700" s="167">
        <v>11</v>
      </c>
      <c r="O700" s="167" t="s">
        <v>379</v>
      </c>
      <c r="P700" s="167" t="s">
        <v>379</v>
      </c>
      <c r="Q700" s="167" t="s">
        <v>1451</v>
      </c>
      <c r="R700" s="166" t="s">
        <v>54</v>
      </c>
      <c r="S700" s="169">
        <v>24259</v>
      </c>
      <c r="T700" s="160">
        <v>0</v>
      </c>
      <c r="U700" s="160">
        <v>0</v>
      </c>
      <c r="V700" s="160">
        <v>0</v>
      </c>
      <c r="W700" s="160">
        <v>24259</v>
      </c>
      <c r="X700" s="161">
        <v>0</v>
      </c>
      <c r="Y700" s="160"/>
      <c r="Z700" s="16">
        <v>0</v>
      </c>
      <c r="AA700" s="162">
        <v>0</v>
      </c>
      <c r="AB700" s="162">
        <v>0</v>
      </c>
      <c r="AC700" s="162">
        <v>0</v>
      </c>
      <c r="AD700" s="160"/>
      <c r="AE700" s="145">
        <v>24259</v>
      </c>
      <c r="AF700" s="163">
        <v>1.0529999999999999</v>
      </c>
      <c r="AG700" s="163">
        <v>1.0489999999999999</v>
      </c>
      <c r="AH700" s="163">
        <v>1.0469999999999999</v>
      </c>
      <c r="AI700" s="164">
        <v>24259</v>
      </c>
      <c r="AJ700" s="164">
        <f t="shared" si="79"/>
        <v>0</v>
      </c>
      <c r="AK700" s="229">
        <v>24259</v>
      </c>
      <c r="AL700" s="229">
        <f ca="1">SUMIF('MS &amp; Vacancies combined'!A:L,D700,'MS &amp; Vacancies combined'!L:L)*105.3/100</f>
        <v>0</v>
      </c>
      <c r="AM700" s="229">
        <f t="shared" ca="1" si="83"/>
        <v>0</v>
      </c>
      <c r="AN700" s="229">
        <f t="shared" ca="1" si="84"/>
        <v>0</v>
      </c>
      <c r="AO700" s="166"/>
      <c r="AP700" s="413">
        <f t="shared" ca="1" si="80"/>
        <v>24259</v>
      </c>
      <c r="AR700" s="231"/>
      <c r="AS700" s="231"/>
      <c r="AU700" s="414">
        <v>24259</v>
      </c>
      <c r="AV700" s="415">
        <v>24259</v>
      </c>
      <c r="AW700" s="414">
        <f t="shared" si="78"/>
        <v>0</v>
      </c>
    </row>
    <row r="701" spans="1:49" x14ac:dyDescent="0.3">
      <c r="A701" s="16" t="s">
        <v>508</v>
      </c>
      <c r="B701" s="39" t="s">
        <v>1452</v>
      </c>
      <c r="C701" s="39" t="s">
        <v>385</v>
      </c>
      <c r="D701" s="340" t="s">
        <v>3474</v>
      </c>
      <c r="E701" s="159" t="s">
        <v>1085</v>
      </c>
      <c r="F701" s="159" t="s">
        <v>1443</v>
      </c>
      <c r="G701" s="159" t="s">
        <v>309</v>
      </c>
      <c r="H701" s="159" t="s">
        <v>373</v>
      </c>
      <c r="I701" s="159" t="s">
        <v>386</v>
      </c>
      <c r="J701" s="159" t="s">
        <v>312</v>
      </c>
      <c r="K701" s="159" t="s">
        <v>1849</v>
      </c>
      <c r="L701" s="39" t="s">
        <v>304</v>
      </c>
      <c r="M701" s="39" t="s">
        <v>305</v>
      </c>
      <c r="N701" s="39">
        <v>11</v>
      </c>
      <c r="O701" s="39" t="s">
        <v>385</v>
      </c>
      <c r="P701" s="39" t="s">
        <v>385</v>
      </c>
      <c r="Q701" s="39" t="s">
        <v>1452</v>
      </c>
      <c r="R701" s="16" t="s">
        <v>508</v>
      </c>
      <c r="S701" s="169">
        <v>0</v>
      </c>
      <c r="T701" s="160">
        <v>0</v>
      </c>
      <c r="U701" s="160">
        <v>0</v>
      </c>
      <c r="V701" s="160">
        <v>0</v>
      </c>
      <c r="W701" s="160">
        <v>0</v>
      </c>
      <c r="X701" s="161">
        <v>0</v>
      </c>
      <c r="Y701" s="160"/>
      <c r="Z701" s="16">
        <v>0</v>
      </c>
      <c r="AA701" s="162">
        <v>0</v>
      </c>
      <c r="AB701" s="162">
        <v>0</v>
      </c>
      <c r="AC701" s="162">
        <v>0</v>
      </c>
      <c r="AD701" s="160"/>
      <c r="AE701" s="145">
        <v>0</v>
      </c>
      <c r="AF701" s="163">
        <v>1.0469999999999999</v>
      </c>
      <c r="AG701" s="164">
        <v>1.046</v>
      </c>
      <c r="AH701" s="164">
        <v>1.046</v>
      </c>
      <c r="AI701" s="164">
        <v>0</v>
      </c>
      <c r="AJ701" s="164">
        <f t="shared" si="79"/>
        <v>0</v>
      </c>
      <c r="AK701" s="165">
        <v>0</v>
      </c>
      <c r="AL701" s="165">
        <v>0</v>
      </c>
      <c r="AM701" s="165">
        <f t="shared" si="83"/>
        <v>0</v>
      </c>
      <c r="AN701" s="165">
        <f t="shared" si="84"/>
        <v>0</v>
      </c>
      <c r="AO701" s="16"/>
      <c r="AP701" s="231">
        <f t="shared" si="80"/>
        <v>0</v>
      </c>
      <c r="AR701" s="231"/>
      <c r="AS701" s="231"/>
      <c r="AU701" s="230">
        <v>0</v>
      </c>
      <c r="AV701" s="233">
        <v>0</v>
      </c>
      <c r="AW701" s="230">
        <f t="shared" si="78"/>
        <v>0</v>
      </c>
    </row>
    <row r="702" spans="1:49" x14ac:dyDescent="0.3">
      <c r="A702" s="16" t="s">
        <v>57</v>
      </c>
      <c r="B702" s="39" t="s">
        <v>1453</v>
      </c>
      <c r="C702" s="39" t="s">
        <v>389</v>
      </c>
      <c r="D702" s="340" t="s">
        <v>3474</v>
      </c>
      <c r="E702" s="159" t="s">
        <v>1085</v>
      </c>
      <c r="F702" s="159" t="s">
        <v>1443</v>
      </c>
      <c r="G702" s="159" t="s">
        <v>309</v>
      </c>
      <c r="H702" s="159" t="s">
        <v>373</v>
      </c>
      <c r="I702" s="159" t="s">
        <v>390</v>
      </c>
      <c r="J702" s="159" t="s">
        <v>312</v>
      </c>
      <c r="K702" s="159" t="s">
        <v>1849</v>
      </c>
      <c r="L702" s="39" t="s">
        <v>304</v>
      </c>
      <c r="M702" s="39" t="s">
        <v>305</v>
      </c>
      <c r="N702" s="39">
        <v>11</v>
      </c>
      <c r="O702" s="39" t="s">
        <v>389</v>
      </c>
      <c r="P702" s="39" t="s">
        <v>389</v>
      </c>
      <c r="Q702" s="39" t="s">
        <v>1453</v>
      </c>
      <c r="R702" s="16" t="s">
        <v>57</v>
      </c>
      <c r="S702" s="169">
        <v>61490</v>
      </c>
      <c r="T702" s="160">
        <v>7466.42</v>
      </c>
      <c r="U702" s="160">
        <v>0</v>
      </c>
      <c r="V702" s="160">
        <v>32429.34</v>
      </c>
      <c r="W702" s="160">
        <v>29060.66</v>
      </c>
      <c r="X702" s="161">
        <v>0</v>
      </c>
      <c r="Y702" s="160"/>
      <c r="Z702" s="16">
        <v>52.73</v>
      </c>
      <c r="AA702" s="162">
        <v>32429.34</v>
      </c>
      <c r="AB702" s="162">
        <v>8107.335</v>
      </c>
      <c r="AC702" s="162">
        <v>97288.02</v>
      </c>
      <c r="AD702" s="160"/>
      <c r="AE702" s="145">
        <v>61490</v>
      </c>
      <c r="AF702" s="421">
        <v>1.0529999999999999</v>
      </c>
      <c r="AG702" s="421">
        <v>1.0489999999999999</v>
      </c>
      <c r="AH702" s="421">
        <v>1.0469999999999999</v>
      </c>
      <c r="AI702" s="164">
        <v>61490</v>
      </c>
      <c r="AJ702" s="164">
        <f t="shared" si="79"/>
        <v>0</v>
      </c>
      <c r="AK702" s="165">
        <v>61490</v>
      </c>
      <c r="AL702" s="165">
        <f>AK702*80%</f>
        <v>49192</v>
      </c>
      <c r="AM702" s="165">
        <f t="shared" si="83"/>
        <v>51602.407999999996</v>
      </c>
      <c r="AN702" s="165">
        <f t="shared" si="84"/>
        <v>54027.721175999992</v>
      </c>
      <c r="AO702" s="16"/>
      <c r="AP702" s="231">
        <f t="shared" si="80"/>
        <v>12298</v>
      </c>
      <c r="AR702" s="231"/>
      <c r="AS702" s="231"/>
      <c r="AU702" s="230">
        <v>61490</v>
      </c>
      <c r="AV702" s="233">
        <v>61490</v>
      </c>
      <c r="AW702" s="230">
        <f t="shared" si="78"/>
        <v>0</v>
      </c>
    </row>
    <row r="703" spans="1:49" x14ac:dyDescent="0.3">
      <c r="A703" s="16" t="s">
        <v>60</v>
      </c>
      <c r="B703" s="39" t="s">
        <v>1454</v>
      </c>
      <c r="C703" s="39" t="s">
        <v>392</v>
      </c>
      <c r="D703" s="340" t="s">
        <v>3474</v>
      </c>
      <c r="E703" s="159" t="s">
        <v>1085</v>
      </c>
      <c r="F703" s="159" t="s">
        <v>1443</v>
      </c>
      <c r="G703" s="159" t="s">
        <v>309</v>
      </c>
      <c r="H703" s="159" t="s">
        <v>373</v>
      </c>
      <c r="I703" s="159" t="s">
        <v>393</v>
      </c>
      <c r="J703" s="159" t="s">
        <v>312</v>
      </c>
      <c r="K703" s="159" t="s">
        <v>1849</v>
      </c>
      <c r="L703" s="39" t="s">
        <v>304</v>
      </c>
      <c r="M703" s="39" t="s">
        <v>305</v>
      </c>
      <c r="N703" s="39">
        <v>11</v>
      </c>
      <c r="O703" s="39" t="s">
        <v>392</v>
      </c>
      <c r="P703" s="39" t="s">
        <v>392</v>
      </c>
      <c r="Q703" s="39" t="s">
        <v>1454</v>
      </c>
      <c r="R703" s="16" t="s">
        <v>60</v>
      </c>
      <c r="S703" s="169">
        <v>3072</v>
      </c>
      <c r="T703" s="160">
        <v>339.99</v>
      </c>
      <c r="U703" s="160">
        <v>0</v>
      </c>
      <c r="V703" s="160">
        <v>1408.53</v>
      </c>
      <c r="W703" s="160">
        <v>1663.47</v>
      </c>
      <c r="X703" s="161">
        <v>0</v>
      </c>
      <c r="Y703" s="160"/>
      <c r="Z703" s="16">
        <v>45.85</v>
      </c>
      <c r="AA703" s="162">
        <v>1408.53</v>
      </c>
      <c r="AB703" s="162">
        <v>352.13249999999999</v>
      </c>
      <c r="AC703" s="162">
        <v>4225.59</v>
      </c>
      <c r="AD703" s="160"/>
      <c r="AE703" s="145">
        <v>3072</v>
      </c>
      <c r="AF703" s="421">
        <v>1.0529999999999999</v>
      </c>
      <c r="AG703" s="421">
        <v>1.0489999999999999</v>
      </c>
      <c r="AH703" s="421">
        <v>1.0469999999999999</v>
      </c>
      <c r="AI703" s="164">
        <v>3072</v>
      </c>
      <c r="AJ703" s="164">
        <f t="shared" si="79"/>
        <v>0</v>
      </c>
      <c r="AK703" s="165">
        <v>3072</v>
      </c>
      <c r="AL703" s="165">
        <f>AK703*AF703</f>
        <v>3234.8159999999998</v>
      </c>
      <c r="AM703" s="165">
        <f t="shared" si="83"/>
        <v>3393.3219839999997</v>
      </c>
      <c r="AN703" s="165">
        <f t="shared" si="84"/>
        <v>3552.8081172479992</v>
      </c>
      <c r="AO703" s="16"/>
      <c r="AP703" s="231">
        <f t="shared" si="80"/>
        <v>-162.8159999999998</v>
      </c>
      <c r="AR703" s="231"/>
      <c r="AS703" s="231"/>
      <c r="AU703" s="230">
        <v>3072</v>
      </c>
      <c r="AV703" s="233">
        <v>3072</v>
      </c>
      <c r="AW703" s="230">
        <f t="shared" si="78"/>
        <v>0</v>
      </c>
    </row>
    <row r="704" spans="1:49" x14ac:dyDescent="0.3">
      <c r="A704" s="16" t="s">
        <v>61</v>
      </c>
      <c r="B704" s="39" t="s">
        <v>1455</v>
      </c>
      <c r="C704" s="39" t="s">
        <v>460</v>
      </c>
      <c r="D704" s="340" t="s">
        <v>3474</v>
      </c>
      <c r="E704" s="159" t="s">
        <v>1085</v>
      </c>
      <c r="F704" s="159" t="s">
        <v>1443</v>
      </c>
      <c r="G704" s="159" t="s">
        <v>309</v>
      </c>
      <c r="H704" s="159" t="s">
        <v>373</v>
      </c>
      <c r="I704" s="159" t="s">
        <v>461</v>
      </c>
      <c r="J704" s="159" t="s">
        <v>312</v>
      </c>
      <c r="K704" s="159" t="s">
        <v>1849</v>
      </c>
      <c r="L704" s="39" t="s">
        <v>304</v>
      </c>
      <c r="M704" s="39" t="s">
        <v>305</v>
      </c>
      <c r="N704" s="39">
        <v>11</v>
      </c>
      <c r="O704" s="39" t="s">
        <v>460</v>
      </c>
      <c r="P704" s="39" t="s">
        <v>460</v>
      </c>
      <c r="Q704" s="39" t="s">
        <v>1455</v>
      </c>
      <c r="R704" s="16" t="s">
        <v>61</v>
      </c>
      <c r="S704" s="169">
        <v>0</v>
      </c>
      <c r="T704" s="160">
        <v>0</v>
      </c>
      <c r="U704" s="160">
        <v>0</v>
      </c>
      <c r="V704" s="160">
        <v>0</v>
      </c>
      <c r="W704" s="160">
        <v>0</v>
      </c>
      <c r="X704" s="161">
        <v>0</v>
      </c>
      <c r="Y704" s="160"/>
      <c r="Z704" s="16">
        <v>0</v>
      </c>
      <c r="AA704" s="162">
        <v>0</v>
      </c>
      <c r="AB704" s="162">
        <v>0</v>
      </c>
      <c r="AC704" s="162">
        <v>0</v>
      </c>
      <c r="AD704" s="160"/>
      <c r="AE704" s="145">
        <v>0</v>
      </c>
      <c r="AF704" s="163">
        <v>1.0469999999999999</v>
      </c>
      <c r="AG704" s="164">
        <v>1.046</v>
      </c>
      <c r="AH704" s="164">
        <v>1.046</v>
      </c>
      <c r="AI704" s="164">
        <v>0</v>
      </c>
      <c r="AJ704" s="164">
        <f t="shared" si="79"/>
        <v>0</v>
      </c>
      <c r="AK704" s="165">
        <v>0</v>
      </c>
      <c r="AL704" s="165">
        <v>0</v>
      </c>
      <c r="AM704" s="165">
        <f t="shared" si="83"/>
        <v>0</v>
      </c>
      <c r="AN704" s="165">
        <f t="shared" si="84"/>
        <v>0</v>
      </c>
      <c r="AO704" s="16"/>
      <c r="AP704" s="231">
        <f t="shared" si="80"/>
        <v>0</v>
      </c>
      <c r="AR704" s="231"/>
      <c r="AS704" s="231"/>
      <c r="AU704" s="230">
        <v>0</v>
      </c>
      <c r="AV704" s="233">
        <v>0</v>
      </c>
      <c r="AW704" s="230">
        <f t="shared" si="78"/>
        <v>0</v>
      </c>
    </row>
    <row r="705" spans="1:49" s="172" customFormat="1" x14ac:dyDescent="0.3">
      <c r="A705" s="166" t="s">
        <v>62</v>
      </c>
      <c r="B705" s="167" t="s">
        <v>1456</v>
      </c>
      <c r="C705" s="167" t="s">
        <v>395</v>
      </c>
      <c r="D705" s="412" t="s">
        <v>3474</v>
      </c>
      <c r="E705" s="168" t="s">
        <v>1085</v>
      </c>
      <c r="F705" s="168" t="s">
        <v>1443</v>
      </c>
      <c r="G705" s="168" t="s">
        <v>309</v>
      </c>
      <c r="H705" s="168" t="s">
        <v>373</v>
      </c>
      <c r="I705" s="168" t="s">
        <v>396</v>
      </c>
      <c r="J705" s="168" t="s">
        <v>312</v>
      </c>
      <c r="K705" s="168" t="s">
        <v>1849</v>
      </c>
      <c r="L705" s="167" t="s">
        <v>304</v>
      </c>
      <c r="M705" s="167" t="s">
        <v>305</v>
      </c>
      <c r="N705" s="167">
        <v>11</v>
      </c>
      <c r="O705" s="167" t="s">
        <v>395</v>
      </c>
      <c r="P705" s="167" t="s">
        <v>395</v>
      </c>
      <c r="Q705" s="167" t="s">
        <v>1456</v>
      </c>
      <c r="R705" s="166" t="s">
        <v>62</v>
      </c>
      <c r="S705" s="169">
        <v>48487</v>
      </c>
      <c r="T705" s="160">
        <v>0</v>
      </c>
      <c r="U705" s="160">
        <v>0</v>
      </c>
      <c r="V705" s="160">
        <v>0</v>
      </c>
      <c r="W705" s="160">
        <v>48487</v>
      </c>
      <c r="X705" s="161">
        <v>0</v>
      </c>
      <c r="Y705" s="160"/>
      <c r="Z705" s="16">
        <v>0</v>
      </c>
      <c r="AA705" s="162">
        <v>0</v>
      </c>
      <c r="AB705" s="162">
        <v>0</v>
      </c>
      <c r="AC705" s="162">
        <v>0</v>
      </c>
      <c r="AD705" s="160"/>
      <c r="AE705" s="145">
        <v>48487</v>
      </c>
      <c r="AF705" s="163">
        <v>1.0529999999999999</v>
      </c>
      <c r="AG705" s="163">
        <v>1.0489999999999999</v>
      </c>
      <c r="AH705" s="163">
        <v>1.0469999999999999</v>
      </c>
      <c r="AI705" s="164">
        <v>48487</v>
      </c>
      <c r="AJ705" s="164">
        <f t="shared" si="79"/>
        <v>0</v>
      </c>
      <c r="AK705" s="229">
        <v>48487</v>
      </c>
      <c r="AL705" s="229">
        <f ca="1">SUMIF('MS &amp; Vacancies combined'!A:K,D705,'MS &amp; Vacancies combined'!K:K)*105.3/100</f>
        <v>0</v>
      </c>
      <c r="AM705" s="229">
        <f ca="1">AL705*AG705</f>
        <v>0</v>
      </c>
      <c r="AN705" s="229">
        <f ca="1">AM705*AH705</f>
        <v>0</v>
      </c>
      <c r="AO705" s="166"/>
      <c r="AP705" s="413">
        <f t="shared" ca="1" si="80"/>
        <v>48487</v>
      </c>
      <c r="AR705" s="231"/>
      <c r="AS705" s="231"/>
      <c r="AU705" s="414">
        <v>48487</v>
      </c>
      <c r="AV705" s="415">
        <v>48487</v>
      </c>
      <c r="AW705" s="414">
        <f t="shared" si="78"/>
        <v>0</v>
      </c>
    </row>
    <row r="706" spans="1:49" x14ac:dyDescent="0.3">
      <c r="A706" s="16" t="s">
        <v>64</v>
      </c>
      <c r="B706" s="39" t="s">
        <v>1457</v>
      </c>
      <c r="C706" s="39" t="s">
        <v>464</v>
      </c>
      <c r="D706" s="340" t="s">
        <v>3474</v>
      </c>
      <c r="E706" s="159" t="s">
        <v>1085</v>
      </c>
      <c r="F706" s="159" t="s">
        <v>1443</v>
      </c>
      <c r="G706" s="159" t="s">
        <v>309</v>
      </c>
      <c r="H706" s="159" t="s">
        <v>373</v>
      </c>
      <c r="I706" s="159" t="s">
        <v>465</v>
      </c>
      <c r="J706" s="159" t="s">
        <v>312</v>
      </c>
      <c r="K706" s="159" t="s">
        <v>1849</v>
      </c>
      <c r="L706" s="39" t="s">
        <v>304</v>
      </c>
      <c r="M706" s="39" t="s">
        <v>305</v>
      </c>
      <c r="N706" s="39">
        <v>11</v>
      </c>
      <c r="O706" s="39" t="s">
        <v>464</v>
      </c>
      <c r="P706" s="39" t="s">
        <v>464</v>
      </c>
      <c r="Q706" s="39" t="s">
        <v>1457</v>
      </c>
      <c r="R706" s="16" t="s">
        <v>64</v>
      </c>
      <c r="S706" s="169">
        <v>12010</v>
      </c>
      <c r="T706" s="160">
        <v>1496.83</v>
      </c>
      <c r="U706" s="160">
        <v>0</v>
      </c>
      <c r="V706" s="160">
        <v>6267.97</v>
      </c>
      <c r="W706" s="160">
        <v>5742.03</v>
      </c>
      <c r="X706" s="161">
        <v>0</v>
      </c>
      <c r="Y706" s="160"/>
      <c r="Z706" s="16">
        <v>52.18</v>
      </c>
      <c r="AA706" s="162">
        <v>6267.97</v>
      </c>
      <c r="AB706" s="162">
        <v>1566.9925000000001</v>
      </c>
      <c r="AC706" s="162">
        <v>18803.91</v>
      </c>
      <c r="AD706" s="160"/>
      <c r="AE706" s="145">
        <v>12010</v>
      </c>
      <c r="AF706" s="421">
        <v>1.0529999999999999</v>
      </c>
      <c r="AG706" s="421">
        <v>1.0489999999999999</v>
      </c>
      <c r="AH706" s="421">
        <v>1.0469999999999999</v>
      </c>
      <c r="AI706" s="164">
        <v>12010</v>
      </c>
      <c r="AJ706" s="164">
        <f t="shared" si="79"/>
        <v>0</v>
      </c>
      <c r="AK706" s="165">
        <v>12010</v>
      </c>
      <c r="AL706" s="165">
        <f>AK706*AF706</f>
        <v>12646.529999999999</v>
      </c>
      <c r="AM706" s="165">
        <f t="shared" si="83"/>
        <v>13266.209969999998</v>
      </c>
      <c r="AN706" s="165">
        <f t="shared" si="84"/>
        <v>13889.721838589998</v>
      </c>
      <c r="AO706" s="16"/>
      <c r="AP706" s="231">
        <f t="shared" si="80"/>
        <v>-636.52999999999884</v>
      </c>
      <c r="AR706" s="231"/>
      <c r="AS706" s="231"/>
      <c r="AU706" s="230">
        <v>12010</v>
      </c>
      <c r="AV706" s="233">
        <v>12010</v>
      </c>
      <c r="AW706" s="230">
        <f t="shared" ref="AW706:AW769" si="87">AU706-S706</f>
        <v>0</v>
      </c>
    </row>
    <row r="707" spans="1:49" x14ac:dyDescent="0.3">
      <c r="A707" s="16" t="s">
        <v>65</v>
      </c>
      <c r="B707" s="39" t="s">
        <v>1458</v>
      </c>
      <c r="C707" s="39" t="s">
        <v>467</v>
      </c>
      <c r="D707" s="340" t="s">
        <v>3474</v>
      </c>
      <c r="E707" s="159" t="s">
        <v>1085</v>
      </c>
      <c r="F707" s="159" t="s">
        <v>1443</v>
      </c>
      <c r="G707" s="159" t="s">
        <v>309</v>
      </c>
      <c r="H707" s="159" t="s">
        <v>373</v>
      </c>
      <c r="I707" s="159" t="s">
        <v>468</v>
      </c>
      <c r="J707" s="159" t="s">
        <v>312</v>
      </c>
      <c r="K707" s="159" t="s">
        <v>1849</v>
      </c>
      <c r="L707" s="39" t="s">
        <v>304</v>
      </c>
      <c r="M707" s="39" t="s">
        <v>305</v>
      </c>
      <c r="N707" s="39">
        <v>11</v>
      </c>
      <c r="O707" s="39" t="s">
        <v>467</v>
      </c>
      <c r="P707" s="39" t="s">
        <v>467</v>
      </c>
      <c r="Q707" s="39" t="s">
        <v>1458</v>
      </c>
      <c r="R707" s="16" t="s">
        <v>65</v>
      </c>
      <c r="S707" s="169">
        <v>0</v>
      </c>
      <c r="T707" s="160">
        <v>0</v>
      </c>
      <c r="U707" s="160">
        <v>0</v>
      </c>
      <c r="V707" s="160">
        <v>0</v>
      </c>
      <c r="W707" s="160">
        <v>0</v>
      </c>
      <c r="X707" s="161">
        <v>0</v>
      </c>
      <c r="Y707" s="160"/>
      <c r="Z707" s="16">
        <v>0</v>
      </c>
      <c r="AA707" s="162">
        <v>0</v>
      </c>
      <c r="AB707" s="162">
        <v>0</v>
      </c>
      <c r="AC707" s="162">
        <v>0</v>
      </c>
      <c r="AD707" s="160"/>
      <c r="AE707" s="145">
        <v>0</v>
      </c>
      <c r="AF707" s="163">
        <v>1.0469999999999999</v>
      </c>
      <c r="AG707" s="164">
        <v>1.046</v>
      </c>
      <c r="AH707" s="164">
        <v>1.046</v>
      </c>
      <c r="AI707" s="164">
        <v>0</v>
      </c>
      <c r="AJ707" s="164">
        <f t="shared" si="79"/>
        <v>0</v>
      </c>
      <c r="AK707" s="165">
        <v>0</v>
      </c>
      <c r="AL707" s="165">
        <v>0</v>
      </c>
      <c r="AM707" s="165">
        <f t="shared" si="83"/>
        <v>0</v>
      </c>
      <c r="AN707" s="165">
        <f t="shared" si="84"/>
        <v>0</v>
      </c>
      <c r="AO707" s="16"/>
      <c r="AP707" s="231">
        <f t="shared" si="80"/>
        <v>0</v>
      </c>
      <c r="AR707" s="231"/>
      <c r="AS707" s="231"/>
      <c r="AU707" s="230">
        <v>0</v>
      </c>
      <c r="AV707" s="233">
        <v>0</v>
      </c>
      <c r="AW707" s="230">
        <f t="shared" si="87"/>
        <v>0</v>
      </c>
    </row>
    <row r="708" spans="1:49" s="172" customFormat="1" x14ac:dyDescent="0.3">
      <c r="A708" s="166" t="s">
        <v>69</v>
      </c>
      <c r="B708" s="167" t="s">
        <v>1459</v>
      </c>
      <c r="C708" s="167" t="s">
        <v>398</v>
      </c>
      <c r="D708" s="412" t="s">
        <v>3474</v>
      </c>
      <c r="E708" s="168" t="s">
        <v>1085</v>
      </c>
      <c r="F708" s="168" t="s">
        <v>1443</v>
      </c>
      <c r="G708" s="168" t="s">
        <v>309</v>
      </c>
      <c r="H708" s="168" t="s">
        <v>310</v>
      </c>
      <c r="I708" s="168" t="s">
        <v>374</v>
      </c>
      <c r="J708" s="168" t="s">
        <v>312</v>
      </c>
      <c r="K708" s="168" t="s">
        <v>1849</v>
      </c>
      <c r="L708" s="167" t="s">
        <v>304</v>
      </c>
      <c r="M708" s="167" t="s">
        <v>305</v>
      </c>
      <c r="N708" s="167">
        <v>11</v>
      </c>
      <c r="O708" s="167" t="s">
        <v>398</v>
      </c>
      <c r="P708" s="167" t="s">
        <v>398</v>
      </c>
      <c r="Q708" s="167" t="s">
        <v>1459</v>
      </c>
      <c r="R708" s="166" t="s">
        <v>69</v>
      </c>
      <c r="S708" s="169">
        <v>259</v>
      </c>
      <c r="T708" s="160">
        <v>21.6</v>
      </c>
      <c r="U708" s="160">
        <v>0</v>
      </c>
      <c r="V708" s="160">
        <v>97.2</v>
      </c>
      <c r="W708" s="160">
        <v>161.80000000000001</v>
      </c>
      <c r="X708" s="161">
        <v>0</v>
      </c>
      <c r="Y708" s="160"/>
      <c r="Z708" s="16">
        <v>37.520000000000003</v>
      </c>
      <c r="AA708" s="162">
        <v>97.2</v>
      </c>
      <c r="AB708" s="162">
        <v>24.3</v>
      </c>
      <c r="AC708" s="162">
        <v>291.60000000000002</v>
      </c>
      <c r="AD708" s="160"/>
      <c r="AE708" s="145">
        <v>259</v>
      </c>
      <c r="AF708" s="163">
        <v>1.0529999999999999</v>
      </c>
      <c r="AG708" s="163">
        <v>1.0489999999999999</v>
      </c>
      <c r="AH708" s="163">
        <v>1.0469999999999999</v>
      </c>
      <c r="AI708" s="164">
        <v>259</v>
      </c>
      <c r="AJ708" s="164">
        <f t="shared" si="79"/>
        <v>0</v>
      </c>
      <c r="AK708" s="229">
        <v>259</v>
      </c>
      <c r="AL708" s="229">
        <f ca="1">SUMIF('MS &amp; Vacancies combined'!A:N,D708,'MS &amp; Vacancies combined'!N:N)*105.3/100</f>
        <v>0</v>
      </c>
      <c r="AM708" s="229">
        <f t="shared" ca="1" si="83"/>
        <v>0</v>
      </c>
      <c r="AN708" s="229">
        <f t="shared" ca="1" si="84"/>
        <v>0</v>
      </c>
      <c r="AO708" s="166"/>
      <c r="AP708" s="413">
        <f t="shared" ca="1" si="80"/>
        <v>259</v>
      </c>
      <c r="AR708" s="231"/>
      <c r="AS708" s="231"/>
      <c r="AU708" s="414">
        <v>259</v>
      </c>
      <c r="AV708" s="415">
        <v>259</v>
      </c>
      <c r="AW708" s="414">
        <f t="shared" si="87"/>
        <v>0</v>
      </c>
    </row>
    <row r="709" spans="1:49" s="172" customFormat="1" x14ac:dyDescent="0.3">
      <c r="A709" s="166" t="s">
        <v>70</v>
      </c>
      <c r="B709" s="167" t="s">
        <v>1460</v>
      </c>
      <c r="C709" s="167" t="s">
        <v>400</v>
      </c>
      <c r="D709" s="412" t="s">
        <v>3474</v>
      </c>
      <c r="E709" s="168" t="s">
        <v>1085</v>
      </c>
      <c r="F709" s="168" t="s">
        <v>1443</v>
      </c>
      <c r="G709" s="168" t="s">
        <v>309</v>
      </c>
      <c r="H709" s="168" t="s">
        <v>310</v>
      </c>
      <c r="I709" s="168" t="s">
        <v>401</v>
      </c>
      <c r="J709" s="168" t="s">
        <v>312</v>
      </c>
      <c r="K709" s="168" t="s">
        <v>1849</v>
      </c>
      <c r="L709" s="167" t="s">
        <v>304</v>
      </c>
      <c r="M709" s="167" t="s">
        <v>305</v>
      </c>
      <c r="N709" s="167">
        <v>11</v>
      </c>
      <c r="O709" s="167" t="s">
        <v>400</v>
      </c>
      <c r="P709" s="167" t="s">
        <v>400</v>
      </c>
      <c r="Q709" s="167" t="s">
        <v>1460</v>
      </c>
      <c r="R709" s="166" t="s">
        <v>70</v>
      </c>
      <c r="S709" s="169">
        <v>9891</v>
      </c>
      <c r="T709" s="160">
        <v>0</v>
      </c>
      <c r="U709" s="160">
        <v>0</v>
      </c>
      <c r="V709" s="160">
        <v>0</v>
      </c>
      <c r="W709" s="160">
        <v>9891</v>
      </c>
      <c r="X709" s="161">
        <v>0</v>
      </c>
      <c r="Y709" s="160"/>
      <c r="Z709" s="16">
        <v>0</v>
      </c>
      <c r="AA709" s="162">
        <v>0</v>
      </c>
      <c r="AB709" s="162">
        <v>0</v>
      </c>
      <c r="AC709" s="162">
        <v>0</v>
      </c>
      <c r="AD709" s="160"/>
      <c r="AE709" s="145">
        <v>9891</v>
      </c>
      <c r="AF709" s="163">
        <v>1.0529999999999999</v>
      </c>
      <c r="AG709" s="163">
        <v>1.0489999999999999</v>
      </c>
      <c r="AH709" s="163">
        <v>1.0469999999999999</v>
      </c>
      <c r="AI709" s="164">
        <v>9891</v>
      </c>
      <c r="AJ709" s="164">
        <f t="shared" si="79"/>
        <v>0</v>
      </c>
      <c r="AK709" s="229">
        <v>9891</v>
      </c>
      <c r="AL709" s="229">
        <f ca="1">SUMIF('MS &amp; Vacancies combined'!A:P,D709,'MS &amp; Vacancies combined'!P:P)*105.3/100</f>
        <v>0</v>
      </c>
      <c r="AM709" s="229">
        <f t="shared" ca="1" si="83"/>
        <v>0</v>
      </c>
      <c r="AN709" s="229">
        <f t="shared" ca="1" si="84"/>
        <v>0</v>
      </c>
      <c r="AO709" s="166"/>
      <c r="AP709" s="413">
        <f t="shared" ca="1" si="80"/>
        <v>9891</v>
      </c>
      <c r="AR709" s="231"/>
      <c r="AS709" s="231"/>
      <c r="AU709" s="414">
        <v>9891</v>
      </c>
      <c r="AV709" s="415">
        <v>9891</v>
      </c>
      <c r="AW709" s="414">
        <f t="shared" si="87"/>
        <v>0</v>
      </c>
    </row>
    <row r="710" spans="1:49" s="172" customFormat="1" x14ac:dyDescent="0.3">
      <c r="A710" s="166" t="s">
        <v>71</v>
      </c>
      <c r="B710" s="167" t="s">
        <v>1461</v>
      </c>
      <c r="C710" s="167" t="s">
        <v>403</v>
      </c>
      <c r="D710" s="412" t="s">
        <v>3474</v>
      </c>
      <c r="E710" s="168" t="s">
        <v>1085</v>
      </c>
      <c r="F710" s="168" t="s">
        <v>1443</v>
      </c>
      <c r="G710" s="168" t="s">
        <v>309</v>
      </c>
      <c r="H710" s="168" t="s">
        <v>310</v>
      </c>
      <c r="I710" s="168" t="s">
        <v>404</v>
      </c>
      <c r="J710" s="168" t="s">
        <v>312</v>
      </c>
      <c r="K710" s="168" t="s">
        <v>1849</v>
      </c>
      <c r="L710" s="167" t="s">
        <v>304</v>
      </c>
      <c r="M710" s="167" t="s">
        <v>305</v>
      </c>
      <c r="N710" s="167">
        <v>11</v>
      </c>
      <c r="O710" s="167" t="s">
        <v>403</v>
      </c>
      <c r="P710" s="167" t="s">
        <v>403</v>
      </c>
      <c r="Q710" s="167" t="s">
        <v>1461</v>
      </c>
      <c r="R710" s="166" t="s">
        <v>71</v>
      </c>
      <c r="S710" s="169">
        <v>120054</v>
      </c>
      <c r="T710" s="160">
        <v>0</v>
      </c>
      <c r="U710" s="160">
        <v>0</v>
      </c>
      <c r="V710" s="160">
        <v>3120.6</v>
      </c>
      <c r="W710" s="160">
        <v>116933.4</v>
      </c>
      <c r="X710" s="161">
        <v>0</v>
      </c>
      <c r="Y710" s="160"/>
      <c r="Z710" s="16">
        <v>2.59</v>
      </c>
      <c r="AA710" s="162">
        <v>3120.6</v>
      </c>
      <c r="AB710" s="162">
        <v>780.15</v>
      </c>
      <c r="AC710" s="162">
        <v>9361.7999999999993</v>
      </c>
      <c r="AD710" s="160"/>
      <c r="AE710" s="145">
        <v>120054</v>
      </c>
      <c r="AF710" s="163">
        <v>1.0529999999999999</v>
      </c>
      <c r="AG710" s="163">
        <v>1.0489999999999999</v>
      </c>
      <c r="AH710" s="163">
        <v>1.0469999999999999</v>
      </c>
      <c r="AI710" s="164">
        <v>120054</v>
      </c>
      <c r="AJ710" s="164">
        <f t="shared" si="79"/>
        <v>0</v>
      </c>
      <c r="AK710" s="229">
        <v>120054</v>
      </c>
      <c r="AL710" s="229">
        <f ca="1">SUMIF('MS &amp; Vacancies combined'!A:Q,D710,'MS &amp; Vacancies combined'!Q:Q)*105.3/100</f>
        <v>0</v>
      </c>
      <c r="AM710" s="229">
        <f t="shared" ca="1" si="83"/>
        <v>0</v>
      </c>
      <c r="AN710" s="229">
        <f t="shared" ca="1" si="84"/>
        <v>0</v>
      </c>
      <c r="AO710" s="166"/>
      <c r="AP710" s="413">
        <f t="shared" ca="1" si="80"/>
        <v>120054</v>
      </c>
      <c r="AR710" s="231"/>
      <c r="AS710" s="231"/>
      <c r="AU710" s="414">
        <v>120054</v>
      </c>
      <c r="AV710" s="415">
        <v>120054</v>
      </c>
      <c r="AW710" s="414">
        <f t="shared" si="87"/>
        <v>0</v>
      </c>
    </row>
    <row r="711" spans="1:49" s="172" customFormat="1" x14ac:dyDescent="0.3">
      <c r="A711" s="166" t="s">
        <v>72</v>
      </c>
      <c r="B711" s="167" t="s">
        <v>1462</v>
      </c>
      <c r="C711" s="167" t="s">
        <v>406</v>
      </c>
      <c r="D711" s="412" t="s">
        <v>3474</v>
      </c>
      <c r="E711" s="168" t="s">
        <v>1085</v>
      </c>
      <c r="F711" s="168" t="s">
        <v>1443</v>
      </c>
      <c r="G711" s="168" t="s">
        <v>309</v>
      </c>
      <c r="H711" s="168" t="s">
        <v>310</v>
      </c>
      <c r="I711" s="168" t="s">
        <v>407</v>
      </c>
      <c r="J711" s="168" t="s">
        <v>312</v>
      </c>
      <c r="K711" s="168" t="s">
        <v>1849</v>
      </c>
      <c r="L711" s="167" t="s">
        <v>304</v>
      </c>
      <c r="M711" s="167" t="s">
        <v>305</v>
      </c>
      <c r="N711" s="167">
        <v>11</v>
      </c>
      <c r="O711" s="167" t="s">
        <v>406</v>
      </c>
      <c r="P711" s="167" t="s">
        <v>406</v>
      </c>
      <c r="Q711" s="167" t="s">
        <v>1462</v>
      </c>
      <c r="R711" s="166" t="s">
        <v>72</v>
      </c>
      <c r="S711" s="169">
        <v>105139</v>
      </c>
      <c r="T711" s="160">
        <v>2817.47</v>
      </c>
      <c r="U711" s="160">
        <v>0</v>
      </c>
      <c r="V711" s="160">
        <v>15299.31</v>
      </c>
      <c r="W711" s="160">
        <v>89839.69</v>
      </c>
      <c r="X711" s="161">
        <v>0</v>
      </c>
      <c r="Y711" s="160"/>
      <c r="Z711" s="16">
        <v>14.55</v>
      </c>
      <c r="AA711" s="162">
        <v>15299.31</v>
      </c>
      <c r="AB711" s="162">
        <v>3824.8274999999999</v>
      </c>
      <c r="AC711" s="162">
        <v>45897.93</v>
      </c>
      <c r="AD711" s="160"/>
      <c r="AE711" s="145">
        <v>105139</v>
      </c>
      <c r="AF711" s="163">
        <v>1.0529999999999999</v>
      </c>
      <c r="AG711" s="163">
        <v>1.0489999999999999</v>
      </c>
      <c r="AH711" s="163">
        <v>1.0469999999999999</v>
      </c>
      <c r="AI711" s="164">
        <v>105139</v>
      </c>
      <c r="AJ711" s="164">
        <f t="shared" ref="AJ711:AJ774" si="88">AE711-AI711</f>
        <v>0</v>
      </c>
      <c r="AK711" s="229">
        <v>105139</v>
      </c>
      <c r="AL711" s="229">
        <f ca="1">SUMIF('MS &amp; Vacancies combined'!A:R,D711,'MS &amp; Vacancies combined'!R:R)*105.3/100</f>
        <v>0</v>
      </c>
      <c r="AM711" s="229">
        <f t="shared" ca="1" si="83"/>
        <v>0</v>
      </c>
      <c r="AN711" s="229">
        <f t="shared" ca="1" si="84"/>
        <v>0</v>
      </c>
      <c r="AO711" s="166"/>
      <c r="AP711" s="413">
        <f t="shared" ref="AP711:AP774" ca="1" si="89">AK711-AL711</f>
        <v>105139</v>
      </c>
      <c r="AR711" s="231"/>
      <c r="AS711" s="231"/>
      <c r="AU711" s="414">
        <v>105139</v>
      </c>
      <c r="AV711" s="415">
        <v>105139</v>
      </c>
      <c r="AW711" s="414">
        <f t="shared" si="87"/>
        <v>0</v>
      </c>
    </row>
    <row r="712" spans="1:49" s="172" customFormat="1" x14ac:dyDescent="0.3">
      <c r="A712" s="166" t="s">
        <v>73</v>
      </c>
      <c r="B712" s="167" t="s">
        <v>1463</v>
      </c>
      <c r="C712" s="167" t="s">
        <v>307</v>
      </c>
      <c r="D712" s="412" t="s">
        <v>3474</v>
      </c>
      <c r="E712" s="168" t="s">
        <v>1085</v>
      </c>
      <c r="F712" s="168" t="s">
        <v>1443</v>
      </c>
      <c r="G712" s="168" t="s">
        <v>309</v>
      </c>
      <c r="H712" s="168" t="s">
        <v>310</v>
      </c>
      <c r="I712" s="168" t="s">
        <v>311</v>
      </c>
      <c r="J712" s="168" t="s">
        <v>312</v>
      </c>
      <c r="K712" s="168" t="s">
        <v>1849</v>
      </c>
      <c r="L712" s="167" t="s">
        <v>304</v>
      </c>
      <c r="M712" s="167" t="s">
        <v>305</v>
      </c>
      <c r="N712" s="167">
        <v>11</v>
      </c>
      <c r="O712" s="167" t="s">
        <v>307</v>
      </c>
      <c r="P712" s="167" t="s">
        <v>307</v>
      </c>
      <c r="Q712" s="167" t="s">
        <v>1463</v>
      </c>
      <c r="R712" s="166" t="s">
        <v>73</v>
      </c>
      <c r="S712" s="169">
        <v>4455</v>
      </c>
      <c r="T712" s="160">
        <v>177.12</v>
      </c>
      <c r="U712" s="160">
        <v>0</v>
      </c>
      <c r="V712" s="160">
        <v>885.6</v>
      </c>
      <c r="W712" s="160">
        <v>3569.4</v>
      </c>
      <c r="X712" s="161">
        <v>0</v>
      </c>
      <c r="Y712" s="160"/>
      <c r="Z712" s="16">
        <v>19.87</v>
      </c>
      <c r="AA712" s="162">
        <v>885.6</v>
      </c>
      <c r="AB712" s="162">
        <v>221.4</v>
      </c>
      <c r="AC712" s="162">
        <v>2656.8</v>
      </c>
      <c r="AD712" s="160"/>
      <c r="AE712" s="145">
        <v>4455</v>
      </c>
      <c r="AF712" s="163">
        <v>1.0529999999999999</v>
      </c>
      <c r="AG712" s="163">
        <v>1.0489999999999999</v>
      </c>
      <c r="AH712" s="163">
        <v>1.0469999999999999</v>
      </c>
      <c r="AI712" s="164">
        <v>4455</v>
      </c>
      <c r="AJ712" s="164">
        <f t="shared" si="88"/>
        <v>0</v>
      </c>
      <c r="AK712" s="229">
        <v>4455</v>
      </c>
      <c r="AL712" s="229">
        <f ca="1">SUMIF('MS &amp; Vacancies combined'!A:S,D712,'MS &amp; Vacancies combined'!S:S)*105.3/100</f>
        <v>0</v>
      </c>
      <c r="AM712" s="229">
        <f t="shared" ca="1" si="83"/>
        <v>0</v>
      </c>
      <c r="AN712" s="229">
        <f t="shared" ca="1" si="84"/>
        <v>0</v>
      </c>
      <c r="AO712" s="166"/>
      <c r="AP712" s="413">
        <f t="shared" ca="1" si="89"/>
        <v>4455</v>
      </c>
      <c r="AR712" s="231"/>
      <c r="AS712" s="231"/>
      <c r="AU712" s="414">
        <v>4455</v>
      </c>
      <c r="AV712" s="415">
        <v>4455</v>
      </c>
      <c r="AW712" s="414">
        <f t="shared" si="87"/>
        <v>0</v>
      </c>
    </row>
    <row r="713" spans="1:49" hidden="1" x14ac:dyDescent="0.3">
      <c r="A713" s="16" t="s">
        <v>324</v>
      </c>
      <c r="B713" s="39" t="s">
        <v>1464</v>
      </c>
      <c r="C713" s="39" t="s">
        <v>76</v>
      </c>
      <c r="D713" s="340" t="s">
        <v>3474</v>
      </c>
      <c r="E713" s="159" t="s">
        <v>1085</v>
      </c>
      <c r="F713" s="159" t="s">
        <v>1443</v>
      </c>
      <c r="G713" s="159" t="s">
        <v>309</v>
      </c>
      <c r="H713" s="159" t="s">
        <v>325</v>
      </c>
      <c r="I713" s="159" t="s">
        <v>326</v>
      </c>
      <c r="J713" s="159" t="s">
        <v>327</v>
      </c>
      <c r="K713" s="159" t="s">
        <v>1849</v>
      </c>
      <c r="L713" s="39" t="s">
        <v>304</v>
      </c>
      <c r="M713" s="39" t="s">
        <v>305</v>
      </c>
      <c r="N713" s="39">
        <v>11</v>
      </c>
      <c r="O713" s="39" t="s">
        <v>76</v>
      </c>
      <c r="P713" s="39" t="s">
        <v>76</v>
      </c>
      <c r="Q713" s="39" t="s">
        <v>1464</v>
      </c>
      <c r="R713" s="16" t="s">
        <v>324</v>
      </c>
      <c r="S713" s="160">
        <v>8000</v>
      </c>
      <c r="T713" s="160">
        <v>0</v>
      </c>
      <c r="U713" s="160">
        <v>0</v>
      </c>
      <c r="V713" s="160">
        <v>0</v>
      </c>
      <c r="W713" s="160">
        <v>8000</v>
      </c>
      <c r="X713" s="161">
        <v>0</v>
      </c>
      <c r="Y713" s="160"/>
      <c r="Z713" s="16">
        <v>0</v>
      </c>
      <c r="AA713" s="162">
        <v>0</v>
      </c>
      <c r="AB713" s="162">
        <v>0</v>
      </c>
      <c r="AC713" s="162">
        <v>0</v>
      </c>
      <c r="AD713" s="160">
        <v>0</v>
      </c>
      <c r="AE713" s="145">
        <v>8000</v>
      </c>
      <c r="AF713" s="163">
        <v>1.0469999999999999</v>
      </c>
      <c r="AG713" s="164">
        <v>1.046</v>
      </c>
      <c r="AH713" s="164">
        <v>1.046</v>
      </c>
      <c r="AI713" s="164">
        <v>8000</v>
      </c>
      <c r="AJ713" s="164">
        <f t="shared" si="88"/>
        <v>0</v>
      </c>
      <c r="AK713" s="165">
        <v>8000</v>
      </c>
      <c r="AL713" s="165">
        <f t="shared" ref="AL713" si="90">AK713</f>
        <v>8000</v>
      </c>
      <c r="AM713" s="165">
        <f t="shared" si="83"/>
        <v>8368</v>
      </c>
      <c r="AN713" s="165">
        <f t="shared" si="84"/>
        <v>8752.9279999999999</v>
      </c>
      <c r="AO713" s="16"/>
      <c r="AP713" s="231">
        <f t="shared" si="89"/>
        <v>0</v>
      </c>
      <c r="AR713" s="231"/>
      <c r="AS713" s="231"/>
      <c r="AU713" s="230">
        <v>8000</v>
      </c>
      <c r="AV713" s="233">
        <v>8000</v>
      </c>
      <c r="AW713" s="230">
        <f t="shared" si="87"/>
        <v>0</v>
      </c>
    </row>
    <row r="714" spans="1:49" hidden="1" x14ac:dyDescent="0.3">
      <c r="A714" s="16" t="s">
        <v>337</v>
      </c>
      <c r="B714" s="39" t="s">
        <v>1465</v>
      </c>
      <c r="C714" s="39" t="s">
        <v>82</v>
      </c>
      <c r="D714" s="340" t="s">
        <v>3474</v>
      </c>
      <c r="E714" s="159" t="s">
        <v>1085</v>
      </c>
      <c r="F714" s="159" t="s">
        <v>1443</v>
      </c>
      <c r="G714" s="159" t="s">
        <v>309</v>
      </c>
      <c r="H714" s="159" t="s">
        <v>334</v>
      </c>
      <c r="I714" s="159" t="s">
        <v>339</v>
      </c>
      <c r="J714" s="159" t="s">
        <v>312</v>
      </c>
      <c r="K714" s="159" t="s">
        <v>1849</v>
      </c>
      <c r="L714" s="39" t="s">
        <v>304</v>
      </c>
      <c r="M714" s="39" t="s">
        <v>305</v>
      </c>
      <c r="N714" s="39">
        <v>11</v>
      </c>
      <c r="O714" s="39" t="s">
        <v>82</v>
      </c>
      <c r="P714" s="39" t="s">
        <v>338</v>
      </c>
      <c r="Q714" s="39" t="s">
        <v>1465</v>
      </c>
      <c r="R714" s="16" t="s">
        <v>337</v>
      </c>
      <c r="S714" s="160">
        <v>0</v>
      </c>
      <c r="T714" s="160">
        <v>0</v>
      </c>
      <c r="U714" s="160">
        <v>0</v>
      </c>
      <c r="V714" s="160">
        <v>0</v>
      </c>
      <c r="W714" s="160">
        <v>0</v>
      </c>
      <c r="X714" s="161">
        <v>0</v>
      </c>
      <c r="Y714" s="160"/>
      <c r="Z714" s="16">
        <v>0</v>
      </c>
      <c r="AA714" s="162">
        <v>0</v>
      </c>
      <c r="AB714" s="162">
        <v>0</v>
      </c>
      <c r="AC714" s="162">
        <v>0</v>
      </c>
      <c r="AD714" s="160"/>
      <c r="AE714" s="145">
        <v>0</v>
      </c>
      <c r="AF714" s="163">
        <v>1.0469999999999999</v>
      </c>
      <c r="AG714" s="164">
        <v>1.046</v>
      </c>
      <c r="AH714" s="164">
        <v>1.046</v>
      </c>
      <c r="AI714" s="164">
        <v>0</v>
      </c>
      <c r="AJ714" s="164">
        <f t="shared" si="88"/>
        <v>0</v>
      </c>
      <c r="AK714" s="165">
        <v>0</v>
      </c>
      <c r="AL714" s="165">
        <v>0</v>
      </c>
      <c r="AM714" s="165">
        <f t="shared" si="83"/>
        <v>0</v>
      </c>
      <c r="AN714" s="165">
        <f t="shared" si="84"/>
        <v>0</v>
      </c>
      <c r="AO714" s="16"/>
      <c r="AP714" s="231">
        <f t="shared" si="89"/>
        <v>0</v>
      </c>
      <c r="AR714" s="231"/>
      <c r="AS714" s="231"/>
      <c r="AU714" s="230">
        <v>0</v>
      </c>
      <c r="AV714" s="233">
        <v>0</v>
      </c>
      <c r="AW714" s="230">
        <f t="shared" si="87"/>
        <v>0</v>
      </c>
    </row>
    <row r="715" spans="1:49" hidden="1" x14ac:dyDescent="0.3">
      <c r="A715" s="16" t="s">
        <v>341</v>
      </c>
      <c r="B715" s="39" t="s">
        <v>1466</v>
      </c>
      <c r="C715" s="39" t="s">
        <v>82</v>
      </c>
      <c r="D715" s="340" t="s">
        <v>3474</v>
      </c>
      <c r="E715" s="159" t="s">
        <v>1085</v>
      </c>
      <c r="F715" s="159" t="s">
        <v>1443</v>
      </c>
      <c r="G715" s="159" t="s">
        <v>309</v>
      </c>
      <c r="H715" s="159" t="s">
        <v>334</v>
      </c>
      <c r="I715" s="159" t="s">
        <v>343</v>
      </c>
      <c r="J715" s="159" t="s">
        <v>312</v>
      </c>
      <c r="K715" s="159" t="s">
        <v>1849</v>
      </c>
      <c r="L715" s="39" t="s">
        <v>304</v>
      </c>
      <c r="M715" s="39" t="s">
        <v>305</v>
      </c>
      <c r="N715" s="39">
        <v>11</v>
      </c>
      <c r="O715" s="39" t="s">
        <v>82</v>
      </c>
      <c r="P715" s="39" t="s">
        <v>342</v>
      </c>
      <c r="Q715" s="39" t="s">
        <v>1466</v>
      </c>
      <c r="R715" s="16" t="s">
        <v>341</v>
      </c>
      <c r="S715" s="160">
        <v>0</v>
      </c>
      <c r="T715" s="160">
        <v>0</v>
      </c>
      <c r="U715" s="160">
        <v>0</v>
      </c>
      <c r="V715" s="160">
        <v>0</v>
      </c>
      <c r="W715" s="160">
        <v>0</v>
      </c>
      <c r="X715" s="161">
        <v>0</v>
      </c>
      <c r="Y715" s="160"/>
      <c r="Z715" s="16">
        <v>0</v>
      </c>
      <c r="AA715" s="162">
        <v>0</v>
      </c>
      <c r="AB715" s="162">
        <v>0</v>
      </c>
      <c r="AC715" s="162">
        <v>0</v>
      </c>
      <c r="AD715" s="160"/>
      <c r="AE715" s="145">
        <v>0</v>
      </c>
      <c r="AF715" s="163">
        <v>1.0469999999999999</v>
      </c>
      <c r="AG715" s="164">
        <v>1.046</v>
      </c>
      <c r="AH715" s="164">
        <v>1.046</v>
      </c>
      <c r="AI715" s="164">
        <v>0</v>
      </c>
      <c r="AJ715" s="164">
        <f t="shared" si="88"/>
        <v>0</v>
      </c>
      <c r="AK715" s="165">
        <v>0</v>
      </c>
      <c r="AL715" s="165">
        <v>0</v>
      </c>
      <c r="AM715" s="165">
        <f t="shared" si="83"/>
        <v>0</v>
      </c>
      <c r="AN715" s="165">
        <f t="shared" si="84"/>
        <v>0</v>
      </c>
      <c r="AO715" s="16"/>
      <c r="AP715" s="231">
        <f t="shared" si="89"/>
        <v>0</v>
      </c>
      <c r="AR715" s="231"/>
      <c r="AS715" s="231"/>
      <c r="AU715" s="230">
        <v>0</v>
      </c>
      <c r="AV715" s="233">
        <v>0</v>
      </c>
      <c r="AW715" s="230">
        <f t="shared" si="87"/>
        <v>0</v>
      </c>
    </row>
    <row r="716" spans="1:49" hidden="1" x14ac:dyDescent="0.3">
      <c r="A716" s="16" t="s">
        <v>345</v>
      </c>
      <c r="B716" s="39" t="s">
        <v>1467</v>
      </c>
      <c r="C716" s="39" t="s">
        <v>82</v>
      </c>
      <c r="D716" s="340" t="s">
        <v>3474</v>
      </c>
      <c r="E716" s="159" t="s">
        <v>1085</v>
      </c>
      <c r="F716" s="159" t="s">
        <v>1443</v>
      </c>
      <c r="G716" s="159" t="s">
        <v>309</v>
      </c>
      <c r="H716" s="159" t="s">
        <v>334</v>
      </c>
      <c r="I716" s="159" t="s">
        <v>347</v>
      </c>
      <c r="J716" s="159" t="s">
        <v>312</v>
      </c>
      <c r="K716" s="159" t="s">
        <v>1849</v>
      </c>
      <c r="L716" s="39" t="s">
        <v>304</v>
      </c>
      <c r="M716" s="39" t="s">
        <v>305</v>
      </c>
      <c r="N716" s="39">
        <v>11</v>
      </c>
      <c r="O716" s="39" t="s">
        <v>82</v>
      </c>
      <c r="P716" s="39" t="s">
        <v>346</v>
      </c>
      <c r="Q716" s="39" t="s">
        <v>1467</v>
      </c>
      <c r="R716" s="16" t="s">
        <v>345</v>
      </c>
      <c r="S716" s="160">
        <v>0</v>
      </c>
      <c r="T716" s="160">
        <v>0</v>
      </c>
      <c r="U716" s="160">
        <v>0</v>
      </c>
      <c r="V716" s="160">
        <v>0</v>
      </c>
      <c r="W716" s="160">
        <v>0</v>
      </c>
      <c r="X716" s="161">
        <v>0</v>
      </c>
      <c r="Y716" s="160"/>
      <c r="Z716" s="16">
        <v>0</v>
      </c>
      <c r="AA716" s="162">
        <v>0</v>
      </c>
      <c r="AB716" s="162">
        <v>0</v>
      </c>
      <c r="AC716" s="162">
        <v>0</v>
      </c>
      <c r="AD716" s="160"/>
      <c r="AE716" s="145">
        <v>0</v>
      </c>
      <c r="AF716" s="163">
        <v>1.0469999999999999</v>
      </c>
      <c r="AG716" s="164">
        <v>1.046</v>
      </c>
      <c r="AH716" s="164">
        <v>1.046</v>
      </c>
      <c r="AI716" s="164">
        <v>0</v>
      </c>
      <c r="AJ716" s="164">
        <f t="shared" si="88"/>
        <v>0</v>
      </c>
      <c r="AK716" s="165">
        <v>0</v>
      </c>
      <c r="AL716" s="165">
        <v>0</v>
      </c>
      <c r="AM716" s="165">
        <f t="shared" si="83"/>
        <v>0</v>
      </c>
      <c r="AN716" s="165">
        <f t="shared" si="84"/>
        <v>0</v>
      </c>
      <c r="AO716" s="16"/>
      <c r="AP716" s="231">
        <f t="shared" si="89"/>
        <v>0</v>
      </c>
      <c r="AR716" s="231"/>
      <c r="AS716" s="231"/>
      <c r="AU716" s="230">
        <v>0</v>
      </c>
      <c r="AV716" s="233">
        <v>0</v>
      </c>
      <c r="AW716" s="230">
        <f t="shared" si="87"/>
        <v>0</v>
      </c>
    </row>
    <row r="717" spans="1:49" hidden="1" x14ac:dyDescent="0.3">
      <c r="A717" s="16" t="s">
        <v>349</v>
      </c>
      <c r="B717" s="39" t="s">
        <v>1468</v>
      </c>
      <c r="C717" s="39" t="s">
        <v>82</v>
      </c>
      <c r="D717" s="340" t="s">
        <v>3474</v>
      </c>
      <c r="E717" s="159" t="s">
        <v>1085</v>
      </c>
      <c r="F717" s="159" t="s">
        <v>1443</v>
      </c>
      <c r="G717" s="159" t="s">
        <v>309</v>
      </c>
      <c r="H717" s="159" t="s">
        <v>334</v>
      </c>
      <c r="I717" s="159" t="s">
        <v>351</v>
      </c>
      <c r="J717" s="159" t="s">
        <v>312</v>
      </c>
      <c r="K717" s="159" t="s">
        <v>1849</v>
      </c>
      <c r="L717" s="39" t="s">
        <v>304</v>
      </c>
      <c r="M717" s="39" t="s">
        <v>305</v>
      </c>
      <c r="N717" s="39">
        <v>11</v>
      </c>
      <c r="O717" s="39" t="s">
        <v>82</v>
      </c>
      <c r="P717" s="39" t="s">
        <v>350</v>
      </c>
      <c r="Q717" s="39" t="s">
        <v>1468</v>
      </c>
      <c r="R717" s="16" t="s">
        <v>349</v>
      </c>
      <c r="S717" s="160">
        <v>0</v>
      </c>
      <c r="T717" s="160">
        <v>0</v>
      </c>
      <c r="U717" s="160">
        <v>0</v>
      </c>
      <c r="V717" s="160">
        <v>0</v>
      </c>
      <c r="W717" s="160">
        <v>0</v>
      </c>
      <c r="X717" s="161">
        <v>0</v>
      </c>
      <c r="Y717" s="160"/>
      <c r="Z717" s="16">
        <v>0</v>
      </c>
      <c r="AA717" s="162">
        <v>0</v>
      </c>
      <c r="AB717" s="162">
        <v>0</v>
      </c>
      <c r="AC717" s="162">
        <v>0</v>
      </c>
      <c r="AD717" s="160"/>
      <c r="AE717" s="145">
        <v>0</v>
      </c>
      <c r="AF717" s="163">
        <v>1.0469999999999999</v>
      </c>
      <c r="AG717" s="164">
        <v>1.046</v>
      </c>
      <c r="AH717" s="164">
        <v>1.046</v>
      </c>
      <c r="AI717" s="164">
        <v>0</v>
      </c>
      <c r="AJ717" s="164">
        <f t="shared" si="88"/>
        <v>0</v>
      </c>
      <c r="AK717" s="165">
        <v>0</v>
      </c>
      <c r="AL717" s="165">
        <v>0</v>
      </c>
      <c r="AM717" s="165">
        <f t="shared" si="83"/>
        <v>0</v>
      </c>
      <c r="AN717" s="165">
        <f t="shared" si="84"/>
        <v>0</v>
      </c>
      <c r="AO717" s="16"/>
      <c r="AP717" s="231">
        <f t="shared" si="89"/>
        <v>0</v>
      </c>
      <c r="AR717" s="231"/>
      <c r="AS717" s="231"/>
      <c r="AU717" s="230">
        <v>0</v>
      </c>
      <c r="AV717" s="233">
        <v>0</v>
      </c>
      <c r="AW717" s="230">
        <f t="shared" si="87"/>
        <v>0</v>
      </c>
    </row>
    <row r="718" spans="1:49" hidden="1" x14ac:dyDescent="0.3">
      <c r="A718" s="16" t="s">
        <v>353</v>
      </c>
      <c r="B718" s="39" t="s">
        <v>1469</v>
      </c>
      <c r="C718" s="39" t="s">
        <v>82</v>
      </c>
      <c r="D718" s="340" t="s">
        <v>3474</v>
      </c>
      <c r="E718" s="159" t="s">
        <v>1085</v>
      </c>
      <c r="F718" s="159" t="s">
        <v>1443</v>
      </c>
      <c r="G718" s="159" t="s">
        <v>309</v>
      </c>
      <c r="H718" s="159" t="s">
        <v>334</v>
      </c>
      <c r="I718" s="159" t="s">
        <v>355</v>
      </c>
      <c r="J718" s="159" t="s">
        <v>312</v>
      </c>
      <c r="K718" s="159" t="s">
        <v>1849</v>
      </c>
      <c r="L718" s="39" t="s">
        <v>304</v>
      </c>
      <c r="M718" s="39" t="s">
        <v>305</v>
      </c>
      <c r="N718" s="39">
        <v>11</v>
      </c>
      <c r="O718" s="39" t="s">
        <v>82</v>
      </c>
      <c r="P718" s="39" t="s">
        <v>354</v>
      </c>
      <c r="Q718" s="39" t="s">
        <v>1469</v>
      </c>
      <c r="R718" s="16" t="s">
        <v>353</v>
      </c>
      <c r="S718" s="160">
        <v>0</v>
      </c>
      <c r="T718" s="160">
        <v>0</v>
      </c>
      <c r="U718" s="160">
        <v>0</v>
      </c>
      <c r="V718" s="160">
        <v>0</v>
      </c>
      <c r="W718" s="160">
        <v>0</v>
      </c>
      <c r="X718" s="161">
        <v>0</v>
      </c>
      <c r="Y718" s="160"/>
      <c r="Z718" s="16">
        <v>0</v>
      </c>
      <c r="AA718" s="162">
        <v>0</v>
      </c>
      <c r="AB718" s="162">
        <v>0</v>
      </c>
      <c r="AC718" s="162">
        <v>0</v>
      </c>
      <c r="AD718" s="160"/>
      <c r="AE718" s="145">
        <v>0</v>
      </c>
      <c r="AF718" s="163">
        <v>1.0469999999999999</v>
      </c>
      <c r="AG718" s="164">
        <v>1.046</v>
      </c>
      <c r="AH718" s="164">
        <v>1.046</v>
      </c>
      <c r="AI718" s="164">
        <v>0</v>
      </c>
      <c r="AJ718" s="164">
        <f t="shared" si="88"/>
        <v>0</v>
      </c>
      <c r="AK718" s="165">
        <v>0</v>
      </c>
      <c r="AL718" s="165">
        <v>0</v>
      </c>
      <c r="AM718" s="165">
        <f t="shared" si="83"/>
        <v>0</v>
      </c>
      <c r="AN718" s="165">
        <f t="shared" si="84"/>
        <v>0</v>
      </c>
      <c r="AO718" s="16"/>
      <c r="AP718" s="231">
        <f t="shared" si="89"/>
        <v>0</v>
      </c>
      <c r="AR718" s="231"/>
      <c r="AS718" s="231"/>
      <c r="AU718" s="230">
        <v>0</v>
      </c>
      <c r="AV718" s="233">
        <v>0</v>
      </c>
      <c r="AW718" s="230">
        <f t="shared" si="87"/>
        <v>0</v>
      </c>
    </row>
    <row r="719" spans="1:49" hidden="1" x14ac:dyDescent="0.3">
      <c r="A719" s="16" t="s">
        <v>357</v>
      </c>
      <c r="B719" s="39" t="s">
        <v>1470</v>
      </c>
      <c r="C719" s="39" t="s">
        <v>82</v>
      </c>
      <c r="D719" s="340" t="s">
        <v>3474</v>
      </c>
      <c r="E719" s="159" t="s">
        <v>1085</v>
      </c>
      <c r="F719" s="159" t="s">
        <v>1443</v>
      </c>
      <c r="G719" s="159" t="s">
        <v>309</v>
      </c>
      <c r="H719" s="159" t="s">
        <v>334</v>
      </c>
      <c r="I719" s="159" t="s">
        <v>359</v>
      </c>
      <c r="J719" s="159" t="s">
        <v>312</v>
      </c>
      <c r="K719" s="159" t="s">
        <v>1849</v>
      </c>
      <c r="L719" s="39" t="s">
        <v>304</v>
      </c>
      <c r="M719" s="39" t="s">
        <v>305</v>
      </c>
      <c r="N719" s="39">
        <v>11</v>
      </c>
      <c r="O719" s="39" t="s">
        <v>82</v>
      </c>
      <c r="P719" s="39" t="s">
        <v>358</v>
      </c>
      <c r="Q719" s="39" t="s">
        <v>1470</v>
      </c>
      <c r="R719" s="16" t="s">
        <v>357</v>
      </c>
      <c r="S719" s="160">
        <v>0</v>
      </c>
      <c r="T719" s="160">
        <v>0</v>
      </c>
      <c r="U719" s="160">
        <v>0</v>
      </c>
      <c r="V719" s="160">
        <v>0</v>
      </c>
      <c r="W719" s="160">
        <v>0</v>
      </c>
      <c r="X719" s="161">
        <v>0</v>
      </c>
      <c r="Y719" s="160"/>
      <c r="Z719" s="16">
        <v>0</v>
      </c>
      <c r="AA719" s="162">
        <v>0</v>
      </c>
      <c r="AB719" s="162">
        <v>0</v>
      </c>
      <c r="AC719" s="162">
        <v>0</v>
      </c>
      <c r="AD719" s="160"/>
      <c r="AE719" s="145">
        <v>0</v>
      </c>
      <c r="AF719" s="163">
        <v>1.0469999999999999</v>
      </c>
      <c r="AG719" s="164">
        <v>1.046</v>
      </c>
      <c r="AH719" s="164">
        <v>1.046</v>
      </c>
      <c r="AI719" s="164">
        <v>0</v>
      </c>
      <c r="AJ719" s="164">
        <f t="shared" si="88"/>
        <v>0</v>
      </c>
      <c r="AK719" s="165">
        <v>0</v>
      </c>
      <c r="AL719" s="165">
        <v>0</v>
      </c>
      <c r="AM719" s="165">
        <f t="shared" si="83"/>
        <v>0</v>
      </c>
      <c r="AN719" s="165">
        <f t="shared" si="84"/>
        <v>0</v>
      </c>
      <c r="AO719" s="16"/>
      <c r="AP719" s="231">
        <f t="shared" si="89"/>
        <v>0</v>
      </c>
      <c r="AR719" s="231"/>
      <c r="AS719" s="231"/>
      <c r="AU719" s="230">
        <v>0</v>
      </c>
      <c r="AV719" s="233">
        <v>0</v>
      </c>
      <c r="AW719" s="230">
        <f t="shared" si="87"/>
        <v>0</v>
      </c>
    </row>
    <row r="720" spans="1:49" hidden="1" x14ac:dyDescent="0.3">
      <c r="A720" s="16" t="s">
        <v>83</v>
      </c>
      <c r="B720" s="39" t="s">
        <v>1471</v>
      </c>
      <c r="C720" s="39" t="s">
        <v>423</v>
      </c>
      <c r="D720" s="340" t="s">
        <v>3474</v>
      </c>
      <c r="E720" s="159" t="s">
        <v>1085</v>
      </c>
      <c r="F720" s="159" t="s">
        <v>1443</v>
      </c>
      <c r="G720" s="159" t="s">
        <v>309</v>
      </c>
      <c r="H720" s="159" t="s">
        <v>424</v>
      </c>
      <c r="I720" s="159" t="s">
        <v>425</v>
      </c>
      <c r="J720" s="159" t="s">
        <v>426</v>
      </c>
      <c r="K720" s="159" t="s">
        <v>1849</v>
      </c>
      <c r="L720" s="39" t="s">
        <v>304</v>
      </c>
      <c r="M720" s="39" t="s">
        <v>305</v>
      </c>
      <c r="N720" s="39">
        <v>11</v>
      </c>
      <c r="O720" s="39" t="s">
        <v>423</v>
      </c>
      <c r="P720" s="39" t="s">
        <v>423</v>
      </c>
      <c r="Q720" s="39" t="s">
        <v>1471</v>
      </c>
      <c r="R720" s="16" t="s">
        <v>83</v>
      </c>
      <c r="S720" s="160">
        <v>0</v>
      </c>
      <c r="T720" s="160">
        <v>0</v>
      </c>
      <c r="U720" s="160">
        <v>0</v>
      </c>
      <c r="V720" s="160">
        <v>0</v>
      </c>
      <c r="W720" s="160">
        <v>0</v>
      </c>
      <c r="X720" s="161">
        <v>0</v>
      </c>
      <c r="Y720" s="160"/>
      <c r="Z720" s="16">
        <v>0</v>
      </c>
      <c r="AA720" s="162">
        <v>0</v>
      </c>
      <c r="AB720" s="162">
        <v>0</v>
      </c>
      <c r="AC720" s="162">
        <v>0</v>
      </c>
      <c r="AD720" s="160">
        <v>10000</v>
      </c>
      <c r="AE720" s="145">
        <v>10000</v>
      </c>
      <c r="AF720" s="163">
        <v>1.0469999999999999</v>
      </c>
      <c r="AG720" s="164">
        <v>1.046</v>
      </c>
      <c r="AH720" s="164">
        <v>1.046</v>
      </c>
      <c r="AI720" s="164">
        <v>10000</v>
      </c>
      <c r="AJ720" s="164">
        <f t="shared" si="88"/>
        <v>0</v>
      </c>
      <c r="AK720" s="165">
        <v>10000</v>
      </c>
      <c r="AL720" s="165">
        <f t="shared" ref="AL720" si="91">AK720</f>
        <v>10000</v>
      </c>
      <c r="AM720" s="165">
        <f t="shared" si="83"/>
        <v>10460</v>
      </c>
      <c r="AN720" s="165">
        <f t="shared" si="84"/>
        <v>10941.16</v>
      </c>
      <c r="AO720" s="16"/>
      <c r="AP720" s="231">
        <f t="shared" si="89"/>
        <v>0</v>
      </c>
      <c r="AR720" s="231"/>
      <c r="AS720" s="231"/>
      <c r="AU720" s="230">
        <v>0</v>
      </c>
      <c r="AV720" s="233">
        <v>10000</v>
      </c>
      <c r="AW720" s="230">
        <f t="shared" si="87"/>
        <v>0</v>
      </c>
    </row>
    <row r="721" spans="1:49" hidden="1" x14ac:dyDescent="0.3">
      <c r="A721" s="16" t="s">
        <v>1473</v>
      </c>
      <c r="B721" s="39" t="s">
        <v>1472</v>
      </c>
      <c r="C721" s="39" t="s">
        <v>95</v>
      </c>
      <c r="D721" s="340" t="s">
        <v>3474</v>
      </c>
      <c r="E721" s="159" t="s">
        <v>1085</v>
      </c>
      <c r="F721" s="159" t="s">
        <v>1443</v>
      </c>
      <c r="G721" s="159" t="s">
        <v>309</v>
      </c>
      <c r="H721" s="159" t="s">
        <v>501</v>
      </c>
      <c r="I721" s="159" t="s">
        <v>1475</v>
      </c>
      <c r="J721" s="159" t="s">
        <v>312</v>
      </c>
      <c r="K721" s="159" t="s">
        <v>1849</v>
      </c>
      <c r="L721" s="39" t="s">
        <v>304</v>
      </c>
      <c r="M721" s="39" t="s">
        <v>305</v>
      </c>
      <c r="N721" s="39">
        <v>11</v>
      </c>
      <c r="O721" s="39" t="s">
        <v>95</v>
      </c>
      <c r="P721" s="39" t="s">
        <v>1474</v>
      </c>
      <c r="Q721" s="39" t="s">
        <v>1472</v>
      </c>
      <c r="R721" s="16" t="s">
        <v>1473</v>
      </c>
      <c r="S721" s="160">
        <v>0</v>
      </c>
      <c r="T721" s="160">
        <v>0</v>
      </c>
      <c r="U721" s="160">
        <v>0</v>
      </c>
      <c r="V721" s="160">
        <v>0</v>
      </c>
      <c r="W721" s="160">
        <v>0</v>
      </c>
      <c r="X721" s="161">
        <v>0</v>
      </c>
      <c r="Y721" s="160"/>
      <c r="Z721" s="16">
        <v>0</v>
      </c>
      <c r="AA721" s="162">
        <v>0</v>
      </c>
      <c r="AB721" s="162">
        <v>0</v>
      </c>
      <c r="AC721" s="162">
        <v>0</v>
      </c>
      <c r="AD721" s="160"/>
      <c r="AE721" s="145">
        <v>0</v>
      </c>
      <c r="AF721" s="163">
        <v>1.0469999999999999</v>
      </c>
      <c r="AG721" s="164">
        <v>1.046</v>
      </c>
      <c r="AH721" s="164">
        <v>1.046</v>
      </c>
      <c r="AI721" s="164">
        <v>0</v>
      </c>
      <c r="AJ721" s="164">
        <f t="shared" si="88"/>
        <v>0</v>
      </c>
      <c r="AK721" s="165">
        <v>0</v>
      </c>
      <c r="AL721" s="165">
        <v>0</v>
      </c>
      <c r="AM721" s="165">
        <f t="shared" si="83"/>
        <v>0</v>
      </c>
      <c r="AN721" s="165">
        <f t="shared" si="84"/>
        <v>0</v>
      </c>
      <c r="AO721" s="16"/>
      <c r="AP721" s="231">
        <f t="shared" si="89"/>
        <v>0</v>
      </c>
      <c r="AR721" s="231"/>
      <c r="AS721" s="231"/>
      <c r="AU721" s="230">
        <v>0</v>
      </c>
      <c r="AV721" s="233">
        <v>0</v>
      </c>
      <c r="AW721" s="230">
        <f t="shared" si="87"/>
        <v>0</v>
      </c>
    </row>
    <row r="722" spans="1:49" s="172" customFormat="1" x14ac:dyDescent="0.3">
      <c r="A722" s="166" t="s">
        <v>50</v>
      </c>
      <c r="B722" s="167" t="s">
        <v>1476</v>
      </c>
      <c r="C722" s="167" t="s">
        <v>302</v>
      </c>
      <c r="D722" s="412" t="s">
        <v>3475</v>
      </c>
      <c r="E722" s="168" t="s">
        <v>1085</v>
      </c>
      <c r="F722" s="168" t="s">
        <v>554</v>
      </c>
      <c r="G722" s="168" t="s">
        <v>309</v>
      </c>
      <c r="H722" s="168" t="s">
        <v>373</v>
      </c>
      <c r="I722" s="168" t="s">
        <v>374</v>
      </c>
      <c r="J722" s="168" t="s">
        <v>312</v>
      </c>
      <c r="K722" s="168" t="s">
        <v>1849</v>
      </c>
      <c r="L722" s="167" t="s">
        <v>304</v>
      </c>
      <c r="M722" s="167" t="s">
        <v>305</v>
      </c>
      <c r="N722" s="167">
        <v>11</v>
      </c>
      <c r="O722" s="167" t="s">
        <v>302</v>
      </c>
      <c r="P722" s="167" t="s">
        <v>302</v>
      </c>
      <c r="Q722" s="167" t="s">
        <v>1476</v>
      </c>
      <c r="R722" s="166" t="s">
        <v>50</v>
      </c>
      <c r="S722" s="169">
        <v>13199347</v>
      </c>
      <c r="T722" s="160">
        <v>914215.95</v>
      </c>
      <c r="U722" s="160">
        <v>0</v>
      </c>
      <c r="V722" s="160">
        <v>3734215.75</v>
      </c>
      <c r="W722" s="160">
        <v>9465131.25</v>
      </c>
      <c r="X722" s="161">
        <v>0</v>
      </c>
      <c r="Y722" s="160"/>
      <c r="Z722" s="16">
        <v>28.29</v>
      </c>
      <c r="AA722" s="162">
        <v>3734215.75</v>
      </c>
      <c r="AB722" s="162">
        <v>933553.9375</v>
      </c>
      <c r="AC722" s="162">
        <v>11202647.25</v>
      </c>
      <c r="AD722" s="160">
        <v>0</v>
      </c>
      <c r="AE722" s="145">
        <v>13199347</v>
      </c>
      <c r="AF722" s="163">
        <v>1.0529999999999999</v>
      </c>
      <c r="AG722" s="163">
        <v>1.0489999999999999</v>
      </c>
      <c r="AH722" s="163">
        <v>1.0469999999999999</v>
      </c>
      <c r="AI722" s="164">
        <v>13199347</v>
      </c>
      <c r="AJ722" s="164">
        <f t="shared" si="88"/>
        <v>0</v>
      </c>
      <c r="AK722" s="229">
        <v>13199347</v>
      </c>
      <c r="AL722" s="229">
        <f ca="1">SUMIF('MS &amp; Vacancies combined'!A:J,D722,'MS &amp; Vacancies combined'!J:J)*105.3/100</f>
        <v>13190643.185481921</v>
      </c>
      <c r="AM722" s="229">
        <f t="shared" ca="1" si="83"/>
        <v>13836984.701570533</v>
      </c>
      <c r="AN722" s="229">
        <f t="shared" ca="1" si="84"/>
        <v>14487322.982544348</v>
      </c>
      <c r="AO722" s="166"/>
      <c r="AP722" s="413">
        <f t="shared" ca="1" si="89"/>
        <v>8703.8145180791616</v>
      </c>
      <c r="AR722" s="231"/>
      <c r="AS722" s="231"/>
      <c r="AU722" s="414">
        <v>13199347</v>
      </c>
      <c r="AV722" s="415">
        <v>13199347</v>
      </c>
      <c r="AW722" s="414">
        <f t="shared" si="87"/>
        <v>0</v>
      </c>
    </row>
    <row r="723" spans="1:49" s="172" customFormat="1" x14ac:dyDescent="0.3">
      <c r="A723" s="166" t="s">
        <v>52</v>
      </c>
      <c r="B723" s="167" t="s">
        <v>1477</v>
      </c>
      <c r="C723" s="167" t="s">
        <v>376</v>
      </c>
      <c r="D723" s="412" t="s">
        <v>3475</v>
      </c>
      <c r="E723" s="168" t="s">
        <v>1085</v>
      </c>
      <c r="F723" s="168" t="s">
        <v>554</v>
      </c>
      <c r="G723" s="168" t="s">
        <v>309</v>
      </c>
      <c r="H723" s="168" t="s">
        <v>373</v>
      </c>
      <c r="I723" s="168" t="s">
        <v>377</v>
      </c>
      <c r="J723" s="168" t="s">
        <v>312</v>
      </c>
      <c r="K723" s="168" t="s">
        <v>1849</v>
      </c>
      <c r="L723" s="167" t="s">
        <v>304</v>
      </c>
      <c r="M723" s="167" t="s">
        <v>305</v>
      </c>
      <c r="N723" s="167">
        <v>11</v>
      </c>
      <c r="O723" s="167" t="s">
        <v>376</v>
      </c>
      <c r="P723" s="167" t="s">
        <v>376</v>
      </c>
      <c r="Q723" s="167" t="s">
        <v>1477</v>
      </c>
      <c r="R723" s="166" t="s">
        <v>52</v>
      </c>
      <c r="S723" s="169">
        <v>28296</v>
      </c>
      <c r="T723" s="160">
        <v>1000</v>
      </c>
      <c r="U723" s="160">
        <v>0</v>
      </c>
      <c r="V723" s="160">
        <v>5000</v>
      </c>
      <c r="W723" s="160">
        <v>23296</v>
      </c>
      <c r="X723" s="161">
        <v>0</v>
      </c>
      <c r="Y723" s="160"/>
      <c r="Z723" s="16">
        <v>17.670000000000002</v>
      </c>
      <c r="AA723" s="162">
        <v>5000</v>
      </c>
      <c r="AB723" s="162">
        <v>1250</v>
      </c>
      <c r="AC723" s="162">
        <v>15000</v>
      </c>
      <c r="AD723" s="160">
        <v>0</v>
      </c>
      <c r="AE723" s="145">
        <v>28296</v>
      </c>
      <c r="AF723" s="163">
        <v>1.0529999999999999</v>
      </c>
      <c r="AG723" s="163">
        <v>1.0489999999999999</v>
      </c>
      <c r="AH723" s="163">
        <v>1.0469999999999999</v>
      </c>
      <c r="AI723" s="164">
        <v>28296</v>
      </c>
      <c r="AJ723" s="164">
        <f t="shared" si="88"/>
        <v>0</v>
      </c>
      <c r="AK723" s="229">
        <v>28296</v>
      </c>
      <c r="AL723" s="229">
        <f ca="1">SUMIF('MS &amp; Vacancies combined'!A:M,D723,'MS &amp; Vacancies combined'!M:M)*105.3/100</f>
        <v>23301.902995437085</v>
      </c>
      <c r="AM723" s="229">
        <f t="shared" ca="1" si="83"/>
        <v>24443.6962422135</v>
      </c>
      <c r="AN723" s="229">
        <f t="shared" ca="1" si="84"/>
        <v>25592.549965597533</v>
      </c>
      <c r="AO723" s="166"/>
      <c r="AP723" s="413">
        <f t="shared" ca="1" si="89"/>
        <v>4994.0970045629147</v>
      </c>
      <c r="AR723" s="231"/>
      <c r="AS723" s="231"/>
      <c r="AU723" s="414">
        <v>28296</v>
      </c>
      <c r="AV723" s="415">
        <v>28296</v>
      </c>
      <c r="AW723" s="414">
        <f t="shared" si="87"/>
        <v>0</v>
      </c>
    </row>
    <row r="724" spans="1:49" s="172" customFormat="1" x14ac:dyDescent="0.3">
      <c r="A724" s="166" t="s">
        <v>54</v>
      </c>
      <c r="B724" s="167" t="s">
        <v>1478</v>
      </c>
      <c r="C724" s="167" t="s">
        <v>379</v>
      </c>
      <c r="D724" s="412" t="s">
        <v>3475</v>
      </c>
      <c r="E724" s="168" t="s">
        <v>1085</v>
      </c>
      <c r="F724" s="168" t="s">
        <v>554</v>
      </c>
      <c r="G724" s="168" t="s">
        <v>309</v>
      </c>
      <c r="H724" s="168" t="s">
        <v>373</v>
      </c>
      <c r="I724" s="168" t="s">
        <v>380</v>
      </c>
      <c r="J724" s="168" t="s">
        <v>312</v>
      </c>
      <c r="K724" s="168" t="s">
        <v>1849</v>
      </c>
      <c r="L724" s="167" t="s">
        <v>304</v>
      </c>
      <c r="M724" s="167" t="s">
        <v>305</v>
      </c>
      <c r="N724" s="167">
        <v>11</v>
      </c>
      <c r="O724" s="167" t="s">
        <v>379</v>
      </c>
      <c r="P724" s="167" t="s">
        <v>379</v>
      </c>
      <c r="Q724" s="167" t="s">
        <v>1478</v>
      </c>
      <c r="R724" s="166" t="s">
        <v>54</v>
      </c>
      <c r="S724" s="169">
        <v>278983</v>
      </c>
      <c r="T724" s="160">
        <v>11129.47</v>
      </c>
      <c r="U724" s="160">
        <v>0</v>
      </c>
      <c r="V724" s="160">
        <v>45529.65</v>
      </c>
      <c r="W724" s="160">
        <v>233453.35</v>
      </c>
      <c r="X724" s="161">
        <v>0</v>
      </c>
      <c r="Y724" s="160"/>
      <c r="Z724" s="16">
        <v>16.309999999999999</v>
      </c>
      <c r="AA724" s="162">
        <v>45529.65</v>
      </c>
      <c r="AB724" s="162">
        <v>11382.4125</v>
      </c>
      <c r="AC724" s="162">
        <v>136588.95000000001</v>
      </c>
      <c r="AD724" s="160">
        <v>0</v>
      </c>
      <c r="AE724" s="145">
        <v>278983</v>
      </c>
      <c r="AF724" s="163">
        <v>1.0529999999999999</v>
      </c>
      <c r="AG724" s="163">
        <v>1.0489999999999999</v>
      </c>
      <c r="AH724" s="163">
        <v>1.0469999999999999</v>
      </c>
      <c r="AI724" s="164">
        <v>278983</v>
      </c>
      <c r="AJ724" s="164">
        <f t="shared" si="88"/>
        <v>0</v>
      </c>
      <c r="AK724" s="229">
        <v>278983</v>
      </c>
      <c r="AL724" s="229">
        <f ca="1">SUMIF('MS &amp; Vacancies combined'!A:L,D724,'MS &amp; Vacancies combined'!L:L)*105.3/100</f>
        <v>282913.76370529039</v>
      </c>
      <c r="AM724" s="229">
        <f t="shared" ca="1" si="83"/>
        <v>296776.53812684957</v>
      </c>
      <c r="AN724" s="229">
        <f t="shared" ca="1" si="84"/>
        <v>310725.03541881149</v>
      </c>
      <c r="AO724" s="166"/>
      <c r="AP724" s="413">
        <f t="shared" ca="1" si="89"/>
        <v>-3930.7637052903883</v>
      </c>
      <c r="AR724" s="231"/>
      <c r="AS724" s="231"/>
      <c r="AU724" s="414">
        <v>278983</v>
      </c>
      <c r="AV724" s="415">
        <v>278983</v>
      </c>
      <c r="AW724" s="414">
        <f t="shared" si="87"/>
        <v>0</v>
      </c>
    </row>
    <row r="725" spans="1:49" x14ac:dyDescent="0.3">
      <c r="A725" s="16" t="s">
        <v>55</v>
      </c>
      <c r="B725" s="39" t="s">
        <v>1479</v>
      </c>
      <c r="C725" s="39" t="s">
        <v>382</v>
      </c>
      <c r="D725" s="340" t="s">
        <v>3475</v>
      </c>
      <c r="E725" s="159" t="s">
        <v>1085</v>
      </c>
      <c r="F725" s="159" t="s">
        <v>554</v>
      </c>
      <c r="G725" s="159" t="s">
        <v>309</v>
      </c>
      <c r="H725" s="159" t="s">
        <v>373</v>
      </c>
      <c r="I725" s="159" t="s">
        <v>383</v>
      </c>
      <c r="J725" s="159" t="s">
        <v>312</v>
      </c>
      <c r="K725" s="159" t="s">
        <v>1849</v>
      </c>
      <c r="L725" s="39" t="s">
        <v>304</v>
      </c>
      <c r="M725" s="39" t="s">
        <v>305</v>
      </c>
      <c r="N725" s="39">
        <v>11</v>
      </c>
      <c r="O725" s="39" t="s">
        <v>382</v>
      </c>
      <c r="P725" s="39" t="s">
        <v>382</v>
      </c>
      <c r="Q725" s="39" t="s">
        <v>1479</v>
      </c>
      <c r="R725" s="16" t="s">
        <v>55</v>
      </c>
      <c r="S725" s="169">
        <v>0</v>
      </c>
      <c r="T725" s="160">
        <v>0</v>
      </c>
      <c r="U725" s="160">
        <v>0</v>
      </c>
      <c r="V725" s="160">
        <v>0</v>
      </c>
      <c r="W725" s="160">
        <v>0</v>
      </c>
      <c r="X725" s="161">
        <v>0</v>
      </c>
      <c r="Y725" s="160"/>
      <c r="Z725" s="16">
        <v>0</v>
      </c>
      <c r="AA725" s="162">
        <v>0</v>
      </c>
      <c r="AB725" s="162">
        <v>0</v>
      </c>
      <c r="AC725" s="162">
        <v>0</v>
      </c>
      <c r="AD725" s="160">
        <v>0</v>
      </c>
      <c r="AE725" s="145">
        <v>0</v>
      </c>
      <c r="AF725" s="163">
        <v>1.0469999999999999</v>
      </c>
      <c r="AG725" s="164">
        <v>1.046</v>
      </c>
      <c r="AH725" s="164">
        <v>1.046</v>
      </c>
      <c r="AI725" s="164">
        <v>0</v>
      </c>
      <c r="AJ725" s="164">
        <f t="shared" si="88"/>
        <v>0</v>
      </c>
      <c r="AK725" s="165">
        <v>0</v>
      </c>
      <c r="AL725" s="165">
        <v>0</v>
      </c>
      <c r="AM725" s="165">
        <f t="shared" si="83"/>
        <v>0</v>
      </c>
      <c r="AN725" s="165">
        <f t="shared" si="84"/>
        <v>0</v>
      </c>
      <c r="AO725" s="16"/>
      <c r="AP725" s="231">
        <f t="shared" si="89"/>
        <v>0</v>
      </c>
      <c r="AR725" s="231"/>
      <c r="AS725" s="231"/>
      <c r="AU725" s="230">
        <v>0</v>
      </c>
      <c r="AV725" s="233">
        <v>0</v>
      </c>
      <c r="AW725" s="230">
        <f t="shared" si="87"/>
        <v>0</v>
      </c>
    </row>
    <row r="726" spans="1:49" x14ac:dyDescent="0.3">
      <c r="A726" s="16" t="s">
        <v>508</v>
      </c>
      <c r="B726" s="39" t="s">
        <v>1480</v>
      </c>
      <c r="C726" s="39" t="s">
        <v>385</v>
      </c>
      <c r="D726" s="340" t="s">
        <v>3475</v>
      </c>
      <c r="E726" s="159" t="s">
        <v>1085</v>
      </c>
      <c r="F726" s="159" t="s">
        <v>554</v>
      </c>
      <c r="G726" s="159" t="s">
        <v>309</v>
      </c>
      <c r="H726" s="159" t="s">
        <v>373</v>
      </c>
      <c r="I726" s="159" t="s">
        <v>386</v>
      </c>
      <c r="J726" s="159" t="s">
        <v>312</v>
      </c>
      <c r="K726" s="159" t="s">
        <v>1849</v>
      </c>
      <c r="L726" s="39" t="s">
        <v>304</v>
      </c>
      <c r="M726" s="39" t="s">
        <v>305</v>
      </c>
      <c r="N726" s="39">
        <v>11</v>
      </c>
      <c r="O726" s="39" t="s">
        <v>385</v>
      </c>
      <c r="P726" s="39" t="s">
        <v>385</v>
      </c>
      <c r="Q726" s="39" t="s">
        <v>1480</v>
      </c>
      <c r="R726" s="16" t="s">
        <v>508</v>
      </c>
      <c r="S726" s="169">
        <v>0</v>
      </c>
      <c r="T726" s="160">
        <v>0</v>
      </c>
      <c r="U726" s="160">
        <v>0</v>
      </c>
      <c r="V726" s="160">
        <v>0</v>
      </c>
      <c r="W726" s="160">
        <v>0</v>
      </c>
      <c r="X726" s="161">
        <v>0</v>
      </c>
      <c r="Y726" s="160"/>
      <c r="Z726" s="16">
        <v>0</v>
      </c>
      <c r="AA726" s="162">
        <v>0</v>
      </c>
      <c r="AB726" s="162">
        <v>0</v>
      </c>
      <c r="AC726" s="162">
        <v>0</v>
      </c>
      <c r="AD726" s="160">
        <v>0</v>
      </c>
      <c r="AE726" s="145">
        <v>0</v>
      </c>
      <c r="AF726" s="163">
        <v>1.0469999999999999</v>
      </c>
      <c r="AG726" s="164">
        <v>1.046</v>
      </c>
      <c r="AH726" s="164">
        <v>1.046</v>
      </c>
      <c r="AI726" s="164">
        <v>0</v>
      </c>
      <c r="AJ726" s="164">
        <f t="shared" si="88"/>
        <v>0</v>
      </c>
      <c r="AK726" s="165">
        <v>0</v>
      </c>
      <c r="AL726" s="165">
        <v>0</v>
      </c>
      <c r="AM726" s="165">
        <f t="shared" si="83"/>
        <v>0</v>
      </c>
      <c r="AN726" s="165">
        <f t="shared" si="84"/>
        <v>0</v>
      </c>
      <c r="AO726" s="16"/>
      <c r="AP726" s="231">
        <f t="shared" si="89"/>
        <v>0</v>
      </c>
      <c r="AR726" s="231"/>
      <c r="AS726" s="231"/>
      <c r="AU726" s="230">
        <v>0</v>
      </c>
      <c r="AV726" s="233">
        <v>0</v>
      </c>
      <c r="AW726" s="230">
        <f t="shared" si="87"/>
        <v>0</v>
      </c>
    </row>
    <row r="727" spans="1:49" s="172" customFormat="1" x14ac:dyDescent="0.3">
      <c r="A727" s="166" t="s">
        <v>56</v>
      </c>
      <c r="B727" s="167" t="s">
        <v>1481</v>
      </c>
      <c r="C727" s="167" t="s">
        <v>385</v>
      </c>
      <c r="D727" s="412" t="s">
        <v>3475</v>
      </c>
      <c r="E727" s="168" t="s">
        <v>1085</v>
      </c>
      <c r="F727" s="168" t="s">
        <v>554</v>
      </c>
      <c r="G727" s="168" t="s">
        <v>309</v>
      </c>
      <c r="H727" s="168" t="s">
        <v>373</v>
      </c>
      <c r="I727" s="168" t="s">
        <v>386</v>
      </c>
      <c r="J727" s="168" t="s">
        <v>387</v>
      </c>
      <c r="K727" s="168" t="s">
        <v>1849</v>
      </c>
      <c r="L727" s="167" t="s">
        <v>304</v>
      </c>
      <c r="M727" s="167" t="s">
        <v>305</v>
      </c>
      <c r="N727" s="167">
        <v>11</v>
      </c>
      <c r="O727" s="167" t="s">
        <v>385</v>
      </c>
      <c r="P727" s="167" t="s">
        <v>385</v>
      </c>
      <c r="Q727" s="167" t="s">
        <v>1481</v>
      </c>
      <c r="R727" s="166" t="s">
        <v>56</v>
      </c>
      <c r="S727" s="169">
        <v>220422</v>
      </c>
      <c r="T727" s="160">
        <v>245154.49</v>
      </c>
      <c r="U727" s="160">
        <v>0</v>
      </c>
      <c r="V727" s="160">
        <v>1076718.93</v>
      </c>
      <c r="W727" s="160">
        <v>-856296.93</v>
      </c>
      <c r="X727" s="161">
        <v>0</v>
      </c>
      <c r="Y727" s="160"/>
      <c r="Z727" s="16">
        <v>488.48</v>
      </c>
      <c r="AA727" s="162">
        <v>1076718.93</v>
      </c>
      <c r="AB727" s="162">
        <v>269179.73249999998</v>
      </c>
      <c r="AC727" s="162">
        <v>3230156.79</v>
      </c>
      <c r="AD727" s="160">
        <v>0</v>
      </c>
      <c r="AE727" s="145">
        <v>220422</v>
      </c>
      <c r="AF727" s="163">
        <v>1.0529999999999999</v>
      </c>
      <c r="AG727" s="163">
        <v>1.0489999999999999</v>
      </c>
      <c r="AH727" s="163">
        <v>1.0469999999999999</v>
      </c>
      <c r="AI727" s="164">
        <v>220422</v>
      </c>
      <c r="AJ727" s="164">
        <f t="shared" si="88"/>
        <v>0</v>
      </c>
      <c r="AK727" s="229">
        <v>220422</v>
      </c>
      <c r="AL727" s="229">
        <f ca="1">SUMIF('MS &amp; Vacancies combined'!A:O,D727,'MS &amp; Vacancies combined'!O:O)*105.3/100</f>
        <v>2431448.719010381</v>
      </c>
      <c r="AM727" s="229">
        <f ca="1">AL727*AG727</f>
        <v>2550589.7062418894</v>
      </c>
      <c r="AN727" s="229">
        <f ca="1">AM727*AH727</f>
        <v>2670467.422435258</v>
      </c>
      <c r="AO727" s="166"/>
      <c r="AP727" s="413">
        <f t="shared" ca="1" si="89"/>
        <v>-2211026.719010381</v>
      </c>
      <c r="AR727" s="231"/>
      <c r="AS727" s="231"/>
      <c r="AU727" s="414">
        <v>220422</v>
      </c>
      <c r="AV727" s="415">
        <v>220422</v>
      </c>
      <c r="AW727" s="414">
        <f t="shared" si="87"/>
        <v>0</v>
      </c>
    </row>
    <row r="728" spans="1:49" x14ac:dyDescent="0.3">
      <c r="A728" s="16" t="s">
        <v>57</v>
      </c>
      <c r="B728" s="39" t="s">
        <v>1482</v>
      </c>
      <c r="C728" s="39" t="s">
        <v>389</v>
      </c>
      <c r="D728" s="340" t="s">
        <v>3475</v>
      </c>
      <c r="E728" s="159" t="s">
        <v>1085</v>
      </c>
      <c r="F728" s="159" t="s">
        <v>554</v>
      </c>
      <c r="G728" s="159" t="s">
        <v>309</v>
      </c>
      <c r="H728" s="159" t="s">
        <v>373</v>
      </c>
      <c r="I728" s="159" t="s">
        <v>390</v>
      </c>
      <c r="J728" s="159" t="s">
        <v>312</v>
      </c>
      <c r="K728" s="159" t="s">
        <v>1849</v>
      </c>
      <c r="L728" s="39" t="s">
        <v>304</v>
      </c>
      <c r="M728" s="39" t="s">
        <v>305</v>
      </c>
      <c r="N728" s="39">
        <v>11</v>
      </c>
      <c r="O728" s="39" t="s">
        <v>389</v>
      </c>
      <c r="P728" s="39" t="s">
        <v>389</v>
      </c>
      <c r="Q728" s="39" t="s">
        <v>1482</v>
      </c>
      <c r="R728" s="16" t="s">
        <v>57</v>
      </c>
      <c r="S728" s="169">
        <v>290226</v>
      </c>
      <c r="T728" s="160">
        <v>42235.21</v>
      </c>
      <c r="U728" s="160">
        <v>0</v>
      </c>
      <c r="V728" s="160">
        <v>181263.4</v>
      </c>
      <c r="W728" s="160">
        <v>108962.6</v>
      </c>
      <c r="X728" s="161">
        <v>0</v>
      </c>
      <c r="Y728" s="160"/>
      <c r="Z728" s="16">
        <v>62.45</v>
      </c>
      <c r="AA728" s="162">
        <v>181263.4</v>
      </c>
      <c r="AB728" s="162">
        <v>45315.85</v>
      </c>
      <c r="AC728" s="162">
        <v>543790.19999999995</v>
      </c>
      <c r="AD728" s="160">
        <v>0</v>
      </c>
      <c r="AE728" s="145">
        <v>290226</v>
      </c>
      <c r="AF728" s="421">
        <v>1.0529999999999999</v>
      </c>
      <c r="AG728" s="421">
        <v>1.0489999999999999</v>
      </c>
      <c r="AH728" s="421">
        <v>1.0469999999999999</v>
      </c>
      <c r="AI728" s="164">
        <v>290226</v>
      </c>
      <c r="AJ728" s="164">
        <f t="shared" si="88"/>
        <v>0</v>
      </c>
      <c r="AK728" s="165">
        <v>290226</v>
      </c>
      <c r="AL728" s="165">
        <f>AK728*80%</f>
        <v>232180.80000000002</v>
      </c>
      <c r="AM728" s="165">
        <f t="shared" si="83"/>
        <v>243557.65919999999</v>
      </c>
      <c r="AN728" s="165">
        <f t="shared" si="84"/>
        <v>255004.86918239997</v>
      </c>
      <c r="AO728" s="16"/>
      <c r="AP728" s="231">
        <f t="shared" si="89"/>
        <v>58045.199999999983</v>
      </c>
      <c r="AR728" s="231"/>
      <c r="AS728" s="231"/>
      <c r="AU728" s="230">
        <v>290226</v>
      </c>
      <c r="AV728" s="233">
        <v>290226</v>
      </c>
      <c r="AW728" s="230">
        <f t="shared" si="87"/>
        <v>0</v>
      </c>
    </row>
    <row r="729" spans="1:49" x14ac:dyDescent="0.3">
      <c r="A729" s="16" t="s">
        <v>60</v>
      </c>
      <c r="B729" s="39" t="s">
        <v>1483</v>
      </c>
      <c r="C729" s="39" t="s">
        <v>392</v>
      </c>
      <c r="D729" s="340" t="s">
        <v>3475</v>
      </c>
      <c r="E729" s="159" t="s">
        <v>1085</v>
      </c>
      <c r="F729" s="159" t="s">
        <v>554</v>
      </c>
      <c r="G729" s="159" t="s">
        <v>309</v>
      </c>
      <c r="H729" s="159" t="s">
        <v>373</v>
      </c>
      <c r="I729" s="159" t="s">
        <v>393</v>
      </c>
      <c r="J729" s="159" t="s">
        <v>312</v>
      </c>
      <c r="K729" s="159" t="s">
        <v>1849</v>
      </c>
      <c r="L729" s="39" t="s">
        <v>304</v>
      </c>
      <c r="M729" s="39" t="s">
        <v>305</v>
      </c>
      <c r="N729" s="39">
        <v>11</v>
      </c>
      <c r="O729" s="39" t="s">
        <v>392</v>
      </c>
      <c r="P729" s="39" t="s">
        <v>392</v>
      </c>
      <c r="Q729" s="39" t="s">
        <v>1483</v>
      </c>
      <c r="R729" s="16" t="s">
        <v>60</v>
      </c>
      <c r="S729" s="169">
        <v>24286</v>
      </c>
      <c r="T729" s="160">
        <v>3597.06</v>
      </c>
      <c r="U729" s="160">
        <v>0</v>
      </c>
      <c r="V729" s="160">
        <v>14694.31</v>
      </c>
      <c r="W729" s="160">
        <v>9591.69</v>
      </c>
      <c r="X729" s="161">
        <v>0</v>
      </c>
      <c r="Y729" s="160"/>
      <c r="Z729" s="16">
        <v>60.5</v>
      </c>
      <c r="AA729" s="162">
        <v>14694.31</v>
      </c>
      <c r="AB729" s="162">
        <v>3673.5774999999999</v>
      </c>
      <c r="AC729" s="162">
        <v>44082.93</v>
      </c>
      <c r="AD729" s="160">
        <v>0</v>
      </c>
      <c r="AE729" s="145">
        <v>24286</v>
      </c>
      <c r="AF729" s="421">
        <v>1.0529999999999999</v>
      </c>
      <c r="AG729" s="421">
        <v>1.0489999999999999</v>
      </c>
      <c r="AH729" s="421">
        <v>1.0469999999999999</v>
      </c>
      <c r="AI729" s="164">
        <v>24286</v>
      </c>
      <c r="AJ729" s="164">
        <f t="shared" si="88"/>
        <v>0</v>
      </c>
      <c r="AK729" s="165">
        <v>24286</v>
      </c>
      <c r="AL729" s="165">
        <f>AK729*AF729</f>
        <v>25573.157999999999</v>
      </c>
      <c r="AM729" s="165">
        <f t="shared" si="83"/>
        <v>26826.242741999999</v>
      </c>
      <c r="AN729" s="165">
        <f t="shared" si="84"/>
        <v>28087.076150873996</v>
      </c>
      <c r="AO729" s="16"/>
      <c r="AP729" s="231">
        <f t="shared" si="89"/>
        <v>-1287.1579999999994</v>
      </c>
      <c r="AR729" s="231"/>
      <c r="AS729" s="231"/>
      <c r="AU729" s="230">
        <v>24286</v>
      </c>
      <c r="AV729" s="233">
        <v>24286</v>
      </c>
      <c r="AW729" s="230">
        <f t="shared" si="87"/>
        <v>0</v>
      </c>
    </row>
    <row r="730" spans="1:49" x14ac:dyDescent="0.3">
      <c r="A730" s="16" t="s">
        <v>61</v>
      </c>
      <c r="B730" s="39" t="s">
        <v>1484</v>
      </c>
      <c r="C730" s="39" t="s">
        <v>460</v>
      </c>
      <c r="D730" s="340" t="s">
        <v>3475</v>
      </c>
      <c r="E730" s="159" t="s">
        <v>1085</v>
      </c>
      <c r="F730" s="159" t="s">
        <v>554</v>
      </c>
      <c r="G730" s="159" t="s">
        <v>309</v>
      </c>
      <c r="H730" s="159" t="s">
        <v>373</v>
      </c>
      <c r="I730" s="159" t="s">
        <v>461</v>
      </c>
      <c r="J730" s="159" t="s">
        <v>312</v>
      </c>
      <c r="K730" s="159" t="s">
        <v>1849</v>
      </c>
      <c r="L730" s="39" t="s">
        <v>304</v>
      </c>
      <c r="M730" s="39" t="s">
        <v>305</v>
      </c>
      <c r="N730" s="39">
        <v>11</v>
      </c>
      <c r="O730" s="39" t="s">
        <v>460</v>
      </c>
      <c r="P730" s="39" t="s">
        <v>460</v>
      </c>
      <c r="Q730" s="39" t="s">
        <v>1484</v>
      </c>
      <c r="R730" s="16" t="s">
        <v>61</v>
      </c>
      <c r="S730" s="169">
        <v>0</v>
      </c>
      <c r="T730" s="160">
        <v>0</v>
      </c>
      <c r="U730" s="160">
        <v>0</v>
      </c>
      <c r="V730" s="160">
        <v>103536.98</v>
      </c>
      <c r="W730" s="160">
        <v>-103536.98</v>
      </c>
      <c r="X730" s="161">
        <v>0</v>
      </c>
      <c r="Y730" s="160"/>
      <c r="Z730" s="16">
        <v>0</v>
      </c>
      <c r="AA730" s="162">
        <v>103536.98</v>
      </c>
      <c r="AB730" s="162">
        <v>25884.244999999999</v>
      </c>
      <c r="AC730" s="162">
        <v>310610.94</v>
      </c>
      <c r="AD730" s="160">
        <v>0</v>
      </c>
      <c r="AE730" s="145">
        <v>0</v>
      </c>
      <c r="AF730" s="163">
        <v>1.0469999999999999</v>
      </c>
      <c r="AG730" s="164">
        <v>1.046</v>
      </c>
      <c r="AH730" s="164">
        <v>1.046</v>
      </c>
      <c r="AI730" s="164">
        <v>0</v>
      </c>
      <c r="AJ730" s="164">
        <f t="shared" si="88"/>
        <v>0</v>
      </c>
      <c r="AK730" s="165">
        <v>0</v>
      </c>
      <c r="AL730" s="165">
        <v>0</v>
      </c>
      <c r="AM730" s="165">
        <f t="shared" si="83"/>
        <v>0</v>
      </c>
      <c r="AN730" s="165">
        <f t="shared" si="84"/>
        <v>0</v>
      </c>
      <c r="AO730" s="16"/>
      <c r="AP730" s="231">
        <f t="shared" si="89"/>
        <v>0</v>
      </c>
      <c r="AR730" s="231"/>
      <c r="AS730" s="231"/>
      <c r="AU730" s="230">
        <v>0</v>
      </c>
      <c r="AV730" s="233">
        <v>0</v>
      </c>
      <c r="AW730" s="230">
        <f t="shared" si="87"/>
        <v>0</v>
      </c>
    </row>
    <row r="731" spans="1:49" s="172" customFormat="1" x14ac:dyDescent="0.3">
      <c r="A731" s="166" t="s">
        <v>62</v>
      </c>
      <c r="B731" s="167" t="s">
        <v>1485</v>
      </c>
      <c r="C731" s="167" t="s">
        <v>395</v>
      </c>
      <c r="D731" s="412" t="s">
        <v>3475</v>
      </c>
      <c r="E731" s="168" t="s">
        <v>1085</v>
      </c>
      <c r="F731" s="168" t="s">
        <v>554</v>
      </c>
      <c r="G731" s="168" t="s">
        <v>309</v>
      </c>
      <c r="H731" s="168" t="s">
        <v>373</v>
      </c>
      <c r="I731" s="168" t="s">
        <v>396</v>
      </c>
      <c r="J731" s="168" t="s">
        <v>312</v>
      </c>
      <c r="K731" s="168" t="s">
        <v>1849</v>
      </c>
      <c r="L731" s="167" t="s">
        <v>304</v>
      </c>
      <c r="M731" s="167" t="s">
        <v>305</v>
      </c>
      <c r="N731" s="167">
        <v>11</v>
      </c>
      <c r="O731" s="167" t="s">
        <v>395</v>
      </c>
      <c r="P731" s="167" t="s">
        <v>395</v>
      </c>
      <c r="Q731" s="167" t="s">
        <v>1485</v>
      </c>
      <c r="R731" s="166" t="s">
        <v>62</v>
      </c>
      <c r="S731" s="169">
        <v>968760</v>
      </c>
      <c r="T731" s="160">
        <v>74377</v>
      </c>
      <c r="U731" s="160">
        <v>0</v>
      </c>
      <c r="V731" s="160">
        <v>472794</v>
      </c>
      <c r="W731" s="160">
        <v>495966</v>
      </c>
      <c r="X731" s="161">
        <v>0</v>
      </c>
      <c r="Y731" s="160"/>
      <c r="Z731" s="16">
        <v>48.8</v>
      </c>
      <c r="AA731" s="162">
        <v>472794</v>
      </c>
      <c r="AB731" s="162">
        <v>118198.5</v>
      </c>
      <c r="AC731" s="162">
        <v>1418382</v>
      </c>
      <c r="AD731" s="160">
        <v>0</v>
      </c>
      <c r="AE731" s="145">
        <v>968760</v>
      </c>
      <c r="AF731" s="163">
        <v>1.0529999999999999</v>
      </c>
      <c r="AG731" s="163">
        <v>1.0489999999999999</v>
      </c>
      <c r="AH731" s="163">
        <v>1.0469999999999999</v>
      </c>
      <c r="AI731" s="164">
        <v>968760</v>
      </c>
      <c r="AJ731" s="164">
        <f t="shared" si="88"/>
        <v>0</v>
      </c>
      <c r="AK731" s="229">
        <v>968760</v>
      </c>
      <c r="AL731" s="229">
        <f ca="1">SUMIF('MS &amp; Vacancies combined'!A:K,D731,'MS &amp; Vacancies combined'!K:K)*105.3/100</f>
        <v>957239.26231468108</v>
      </c>
      <c r="AM731" s="229">
        <f ca="1">AL731*AG731</f>
        <v>1004143.9861681004</v>
      </c>
      <c r="AN731" s="229">
        <f ca="1">AM731*AH731</f>
        <v>1051338.7535180009</v>
      </c>
      <c r="AO731" s="166"/>
      <c r="AP731" s="413">
        <f t="shared" ca="1" si="89"/>
        <v>11520.73768531892</v>
      </c>
      <c r="AR731" s="231"/>
      <c r="AS731" s="231"/>
      <c r="AU731" s="414">
        <v>968760</v>
      </c>
      <c r="AV731" s="415">
        <v>968760</v>
      </c>
      <c r="AW731" s="414">
        <f t="shared" si="87"/>
        <v>0</v>
      </c>
    </row>
    <row r="732" spans="1:49" x14ac:dyDescent="0.3">
      <c r="A732" s="16" t="s">
        <v>63</v>
      </c>
      <c r="B732" s="39" t="s">
        <v>1486</v>
      </c>
      <c r="C732" s="39" t="s">
        <v>860</v>
      </c>
      <c r="D732" s="340" t="s">
        <v>3475</v>
      </c>
      <c r="E732" s="159" t="s">
        <v>1085</v>
      </c>
      <c r="F732" s="159" t="s">
        <v>554</v>
      </c>
      <c r="G732" s="159" t="s">
        <v>309</v>
      </c>
      <c r="H732" s="159" t="s">
        <v>373</v>
      </c>
      <c r="I732" s="159" t="s">
        <v>861</v>
      </c>
      <c r="J732" s="159" t="s">
        <v>312</v>
      </c>
      <c r="K732" s="159" t="s">
        <v>1849</v>
      </c>
      <c r="L732" s="39" t="s">
        <v>304</v>
      </c>
      <c r="M732" s="39" t="s">
        <v>305</v>
      </c>
      <c r="N732" s="39">
        <v>11</v>
      </c>
      <c r="O732" s="39" t="s">
        <v>860</v>
      </c>
      <c r="P732" s="39" t="s">
        <v>860</v>
      </c>
      <c r="Q732" s="39" t="s">
        <v>1486</v>
      </c>
      <c r="R732" s="16" t="s">
        <v>63</v>
      </c>
      <c r="S732" s="169">
        <v>0</v>
      </c>
      <c r="T732" s="160">
        <v>0</v>
      </c>
      <c r="U732" s="160">
        <v>0</v>
      </c>
      <c r="V732" s="160">
        <v>0</v>
      </c>
      <c r="W732" s="160">
        <v>0</v>
      </c>
      <c r="X732" s="161">
        <v>0</v>
      </c>
      <c r="Y732" s="160"/>
      <c r="Z732" s="16">
        <v>0</v>
      </c>
      <c r="AA732" s="162">
        <v>0</v>
      </c>
      <c r="AB732" s="162">
        <v>0</v>
      </c>
      <c r="AC732" s="162">
        <v>0</v>
      </c>
      <c r="AD732" s="160">
        <v>0</v>
      </c>
      <c r="AE732" s="145">
        <v>0</v>
      </c>
      <c r="AF732" s="163">
        <v>1.0469999999999999</v>
      </c>
      <c r="AG732" s="164">
        <v>1.046</v>
      </c>
      <c r="AH732" s="164">
        <v>1.046</v>
      </c>
      <c r="AI732" s="164">
        <v>0</v>
      </c>
      <c r="AJ732" s="164">
        <f t="shared" si="88"/>
        <v>0</v>
      </c>
      <c r="AK732" s="165">
        <v>0</v>
      </c>
      <c r="AL732" s="165">
        <v>0</v>
      </c>
      <c r="AM732" s="165">
        <f t="shared" si="83"/>
        <v>0</v>
      </c>
      <c r="AN732" s="165">
        <f t="shared" si="84"/>
        <v>0</v>
      </c>
      <c r="AO732" s="16"/>
      <c r="AP732" s="231">
        <f t="shared" si="89"/>
        <v>0</v>
      </c>
      <c r="AR732" s="231"/>
      <c r="AS732" s="231"/>
      <c r="AU732" s="230">
        <v>0</v>
      </c>
      <c r="AV732" s="233">
        <v>0</v>
      </c>
      <c r="AW732" s="230">
        <f t="shared" si="87"/>
        <v>0</v>
      </c>
    </row>
    <row r="733" spans="1:49" x14ac:dyDescent="0.3">
      <c r="A733" s="16" t="s">
        <v>64</v>
      </c>
      <c r="B733" s="39" t="s">
        <v>1487</v>
      </c>
      <c r="C733" s="39" t="s">
        <v>464</v>
      </c>
      <c r="D733" s="340" t="s">
        <v>3475</v>
      </c>
      <c r="E733" s="159" t="s">
        <v>1085</v>
      </c>
      <c r="F733" s="159" t="s">
        <v>554</v>
      </c>
      <c r="G733" s="159" t="s">
        <v>309</v>
      </c>
      <c r="H733" s="159" t="s">
        <v>373</v>
      </c>
      <c r="I733" s="159" t="s">
        <v>465</v>
      </c>
      <c r="J733" s="159" t="s">
        <v>312</v>
      </c>
      <c r="K733" s="159" t="s">
        <v>1849</v>
      </c>
      <c r="L733" s="39" t="s">
        <v>304</v>
      </c>
      <c r="M733" s="39" t="s">
        <v>305</v>
      </c>
      <c r="N733" s="39">
        <v>11</v>
      </c>
      <c r="O733" s="39" t="s">
        <v>464</v>
      </c>
      <c r="P733" s="39" t="s">
        <v>464</v>
      </c>
      <c r="Q733" s="39" t="s">
        <v>1487</v>
      </c>
      <c r="R733" s="16" t="s">
        <v>64</v>
      </c>
      <c r="S733" s="169">
        <v>118760</v>
      </c>
      <c r="T733" s="160">
        <v>12861.29</v>
      </c>
      <c r="U733" s="160">
        <v>0</v>
      </c>
      <c r="V733" s="160">
        <v>54293.88</v>
      </c>
      <c r="W733" s="160">
        <v>64466.12</v>
      </c>
      <c r="X733" s="161">
        <v>0</v>
      </c>
      <c r="Y733" s="160"/>
      <c r="Z733" s="16">
        <v>45.71</v>
      </c>
      <c r="AA733" s="162">
        <v>54293.88</v>
      </c>
      <c r="AB733" s="162">
        <v>13573.47</v>
      </c>
      <c r="AC733" s="162">
        <v>162881.63999999998</v>
      </c>
      <c r="AD733" s="160">
        <v>0</v>
      </c>
      <c r="AE733" s="145">
        <v>118760</v>
      </c>
      <c r="AF733" s="421">
        <v>1.0529999999999999</v>
      </c>
      <c r="AG733" s="421">
        <v>1.0489999999999999</v>
      </c>
      <c r="AH733" s="421">
        <v>1.0469999999999999</v>
      </c>
      <c r="AI733" s="164">
        <v>118760</v>
      </c>
      <c r="AJ733" s="164">
        <f t="shared" si="88"/>
        <v>0</v>
      </c>
      <c r="AK733" s="165">
        <v>118760</v>
      </c>
      <c r="AL733" s="165">
        <f>AK733*AF733</f>
        <v>125054.28</v>
      </c>
      <c r="AM733" s="165">
        <f t="shared" si="83"/>
        <v>131181.93971999999</v>
      </c>
      <c r="AN733" s="165">
        <f t="shared" si="84"/>
        <v>137347.49088683998</v>
      </c>
      <c r="AO733" s="16"/>
      <c r="AP733" s="231">
        <f t="shared" si="89"/>
        <v>-6294.2799999999988</v>
      </c>
      <c r="AR733" s="231"/>
      <c r="AS733" s="231"/>
      <c r="AU733" s="230">
        <v>118760</v>
      </c>
      <c r="AV733" s="233">
        <v>118760</v>
      </c>
      <c r="AW733" s="230">
        <f t="shared" si="87"/>
        <v>0</v>
      </c>
    </row>
    <row r="734" spans="1:49" x14ac:dyDescent="0.3">
      <c r="A734" s="16" t="s">
        <v>65</v>
      </c>
      <c r="B734" s="39" t="s">
        <v>1488</v>
      </c>
      <c r="C734" s="39" t="s">
        <v>467</v>
      </c>
      <c r="D734" s="340" t="s">
        <v>3475</v>
      </c>
      <c r="E734" s="159" t="s">
        <v>1085</v>
      </c>
      <c r="F734" s="159" t="s">
        <v>554</v>
      </c>
      <c r="G734" s="159" t="s">
        <v>309</v>
      </c>
      <c r="H734" s="159" t="s">
        <v>373</v>
      </c>
      <c r="I734" s="159" t="s">
        <v>468</v>
      </c>
      <c r="J734" s="159" t="s">
        <v>312</v>
      </c>
      <c r="K734" s="159" t="s">
        <v>1849</v>
      </c>
      <c r="L734" s="39" t="s">
        <v>304</v>
      </c>
      <c r="M734" s="39" t="s">
        <v>305</v>
      </c>
      <c r="N734" s="39">
        <v>11</v>
      </c>
      <c r="O734" s="39" t="s">
        <v>467</v>
      </c>
      <c r="P734" s="39" t="s">
        <v>467</v>
      </c>
      <c r="Q734" s="39" t="s">
        <v>1488</v>
      </c>
      <c r="R734" s="16" t="s">
        <v>65</v>
      </c>
      <c r="S734" s="169">
        <v>0</v>
      </c>
      <c r="T734" s="160">
        <v>0</v>
      </c>
      <c r="U734" s="160">
        <v>0</v>
      </c>
      <c r="V734" s="160">
        <v>0</v>
      </c>
      <c r="W734" s="160">
        <v>0</v>
      </c>
      <c r="X734" s="161">
        <v>0</v>
      </c>
      <c r="Y734" s="160"/>
      <c r="Z734" s="16">
        <v>0</v>
      </c>
      <c r="AA734" s="162">
        <v>0</v>
      </c>
      <c r="AB734" s="162">
        <v>0</v>
      </c>
      <c r="AC734" s="162">
        <v>0</v>
      </c>
      <c r="AD734" s="160">
        <v>0</v>
      </c>
      <c r="AE734" s="145">
        <v>0</v>
      </c>
      <c r="AF734" s="163">
        <v>1.0469999999999999</v>
      </c>
      <c r="AG734" s="164">
        <v>1.046</v>
      </c>
      <c r="AH734" s="164">
        <v>1.046</v>
      </c>
      <c r="AI734" s="164">
        <v>0</v>
      </c>
      <c r="AJ734" s="164">
        <f t="shared" si="88"/>
        <v>0</v>
      </c>
      <c r="AK734" s="165">
        <v>0</v>
      </c>
      <c r="AL734" s="165">
        <v>0</v>
      </c>
      <c r="AM734" s="165">
        <f t="shared" ref="AM734:AM797" si="92">AL734*AG734</f>
        <v>0</v>
      </c>
      <c r="AN734" s="165">
        <f t="shared" ref="AN734:AN797" si="93">AM734*AH734</f>
        <v>0</v>
      </c>
      <c r="AO734" s="16"/>
      <c r="AP734" s="231">
        <f t="shared" si="89"/>
        <v>0</v>
      </c>
      <c r="AR734" s="231"/>
      <c r="AS734" s="231"/>
      <c r="AU734" s="230">
        <v>0</v>
      </c>
      <c r="AV734" s="233">
        <v>0</v>
      </c>
      <c r="AW734" s="230">
        <f t="shared" si="87"/>
        <v>0</v>
      </c>
    </row>
    <row r="735" spans="1:49" s="172" customFormat="1" x14ac:dyDescent="0.3">
      <c r="A735" s="166" t="s">
        <v>69</v>
      </c>
      <c r="B735" s="167" t="s">
        <v>1489</v>
      </c>
      <c r="C735" s="167" t="s">
        <v>398</v>
      </c>
      <c r="D735" s="412" t="s">
        <v>3475</v>
      </c>
      <c r="E735" s="168" t="s">
        <v>1085</v>
      </c>
      <c r="F735" s="168" t="s">
        <v>554</v>
      </c>
      <c r="G735" s="168" t="s">
        <v>309</v>
      </c>
      <c r="H735" s="168" t="s">
        <v>310</v>
      </c>
      <c r="I735" s="168" t="s">
        <v>374</v>
      </c>
      <c r="J735" s="168" t="s">
        <v>312</v>
      </c>
      <c r="K735" s="168" t="s">
        <v>1849</v>
      </c>
      <c r="L735" s="167" t="s">
        <v>304</v>
      </c>
      <c r="M735" s="167" t="s">
        <v>305</v>
      </c>
      <c r="N735" s="167">
        <v>11</v>
      </c>
      <c r="O735" s="167" t="s">
        <v>398</v>
      </c>
      <c r="P735" s="167" t="s">
        <v>398</v>
      </c>
      <c r="Q735" s="167" t="s">
        <v>1489</v>
      </c>
      <c r="R735" s="166" t="s">
        <v>69</v>
      </c>
      <c r="S735" s="169">
        <v>2979</v>
      </c>
      <c r="T735" s="160">
        <v>237.6</v>
      </c>
      <c r="U735" s="160">
        <v>0</v>
      </c>
      <c r="V735" s="160">
        <v>950.4</v>
      </c>
      <c r="W735" s="160">
        <v>2028.6</v>
      </c>
      <c r="X735" s="161">
        <v>0</v>
      </c>
      <c r="Y735" s="160"/>
      <c r="Z735" s="16">
        <v>31.9</v>
      </c>
      <c r="AA735" s="162">
        <v>950.4</v>
      </c>
      <c r="AB735" s="162">
        <v>237.6</v>
      </c>
      <c r="AC735" s="162">
        <v>2851.2</v>
      </c>
      <c r="AD735" s="160">
        <v>0</v>
      </c>
      <c r="AE735" s="145">
        <v>2979</v>
      </c>
      <c r="AF735" s="163">
        <v>1.0529999999999999</v>
      </c>
      <c r="AG735" s="163">
        <v>1.0489999999999999</v>
      </c>
      <c r="AH735" s="163">
        <v>1.0469999999999999</v>
      </c>
      <c r="AI735" s="164">
        <v>2979</v>
      </c>
      <c r="AJ735" s="164">
        <f t="shared" si="88"/>
        <v>0</v>
      </c>
      <c r="AK735" s="229">
        <v>2979</v>
      </c>
      <c r="AL735" s="229">
        <f ca="1">SUMIF('MS &amp; Vacancies combined'!A:N,D735,'MS &amp; Vacancies combined'!N:N)*105.3/100</f>
        <v>3020.3149932585698</v>
      </c>
      <c r="AM735" s="229">
        <f t="shared" ca="1" si="92"/>
        <v>3168.3104279282393</v>
      </c>
      <c r="AN735" s="229">
        <f t="shared" ca="1" si="93"/>
        <v>3317.2210180408665</v>
      </c>
      <c r="AO735" s="166"/>
      <c r="AP735" s="413">
        <f t="shared" ca="1" si="89"/>
        <v>-41.314993258569757</v>
      </c>
      <c r="AR735" s="231"/>
      <c r="AS735" s="231"/>
      <c r="AU735" s="414">
        <v>2979</v>
      </c>
      <c r="AV735" s="415">
        <v>2979</v>
      </c>
      <c r="AW735" s="414">
        <f t="shared" si="87"/>
        <v>0</v>
      </c>
    </row>
    <row r="736" spans="1:49" s="172" customFormat="1" x14ac:dyDescent="0.3">
      <c r="A736" s="166" t="s">
        <v>70</v>
      </c>
      <c r="B736" s="167" t="s">
        <v>1490</v>
      </c>
      <c r="C736" s="167" t="s">
        <v>400</v>
      </c>
      <c r="D736" s="412" t="s">
        <v>3475</v>
      </c>
      <c r="E736" s="168" t="s">
        <v>1085</v>
      </c>
      <c r="F736" s="168" t="s">
        <v>554</v>
      </c>
      <c r="G736" s="168" t="s">
        <v>309</v>
      </c>
      <c r="H736" s="168" t="s">
        <v>310</v>
      </c>
      <c r="I736" s="168" t="s">
        <v>401</v>
      </c>
      <c r="J736" s="168" t="s">
        <v>312</v>
      </c>
      <c r="K736" s="168" t="s">
        <v>1849</v>
      </c>
      <c r="L736" s="167" t="s">
        <v>304</v>
      </c>
      <c r="M736" s="167" t="s">
        <v>305</v>
      </c>
      <c r="N736" s="167">
        <v>11</v>
      </c>
      <c r="O736" s="167" t="s">
        <v>400</v>
      </c>
      <c r="P736" s="167" t="s">
        <v>400</v>
      </c>
      <c r="Q736" s="167" t="s">
        <v>1490</v>
      </c>
      <c r="R736" s="166" t="s">
        <v>70</v>
      </c>
      <c r="S736" s="169">
        <v>224389</v>
      </c>
      <c r="T736" s="160">
        <v>5161.25</v>
      </c>
      <c r="U736" s="160">
        <v>0</v>
      </c>
      <c r="V736" s="160">
        <v>20629.16</v>
      </c>
      <c r="W736" s="160">
        <v>203759.84</v>
      </c>
      <c r="X736" s="161">
        <v>0</v>
      </c>
      <c r="Y736" s="160"/>
      <c r="Z736" s="16">
        <v>9.19</v>
      </c>
      <c r="AA736" s="162">
        <v>20629.16</v>
      </c>
      <c r="AB736" s="162">
        <v>5157.29</v>
      </c>
      <c r="AC736" s="162">
        <v>61887.479999999996</v>
      </c>
      <c r="AD736" s="160">
        <v>0</v>
      </c>
      <c r="AE736" s="145">
        <v>224389</v>
      </c>
      <c r="AF736" s="163">
        <v>1.0529999999999999</v>
      </c>
      <c r="AG736" s="163">
        <v>1.0489999999999999</v>
      </c>
      <c r="AH736" s="163">
        <v>1.0469999999999999</v>
      </c>
      <c r="AI736" s="164">
        <v>224389</v>
      </c>
      <c r="AJ736" s="164">
        <f t="shared" si="88"/>
        <v>0</v>
      </c>
      <c r="AK736" s="229">
        <v>224389</v>
      </c>
      <c r="AL736" s="229">
        <f ca="1">SUMIF('MS &amp; Vacancies combined'!A:P,D736,'MS &amp; Vacancies combined'!P:P)*105.3/100</f>
        <v>204063.53187204461</v>
      </c>
      <c r="AM736" s="229">
        <f t="shared" ca="1" si="92"/>
        <v>214062.64493377478</v>
      </c>
      <c r="AN736" s="229">
        <f t="shared" ca="1" si="93"/>
        <v>224123.58924566218</v>
      </c>
      <c r="AO736" s="166"/>
      <c r="AP736" s="413">
        <f t="shared" ca="1" si="89"/>
        <v>20325.468127955392</v>
      </c>
      <c r="AR736" s="231"/>
      <c r="AS736" s="231"/>
      <c r="AU736" s="414">
        <v>224389</v>
      </c>
      <c r="AV736" s="415">
        <v>224389</v>
      </c>
      <c r="AW736" s="414">
        <f t="shared" si="87"/>
        <v>0</v>
      </c>
    </row>
    <row r="737" spans="1:49" s="172" customFormat="1" x14ac:dyDescent="0.3">
      <c r="A737" s="166" t="s">
        <v>71</v>
      </c>
      <c r="B737" s="167" t="s">
        <v>1491</v>
      </c>
      <c r="C737" s="167" t="s">
        <v>403</v>
      </c>
      <c r="D737" s="412" t="s">
        <v>3475</v>
      </c>
      <c r="E737" s="168" t="s">
        <v>1085</v>
      </c>
      <c r="F737" s="168" t="s">
        <v>554</v>
      </c>
      <c r="G737" s="168" t="s">
        <v>309</v>
      </c>
      <c r="H737" s="168" t="s">
        <v>310</v>
      </c>
      <c r="I737" s="168" t="s">
        <v>404</v>
      </c>
      <c r="J737" s="168" t="s">
        <v>312</v>
      </c>
      <c r="K737" s="168" t="s">
        <v>1849</v>
      </c>
      <c r="L737" s="167" t="s">
        <v>304</v>
      </c>
      <c r="M737" s="167" t="s">
        <v>305</v>
      </c>
      <c r="N737" s="167">
        <v>11</v>
      </c>
      <c r="O737" s="167" t="s">
        <v>403</v>
      </c>
      <c r="P737" s="167" t="s">
        <v>403</v>
      </c>
      <c r="Q737" s="167" t="s">
        <v>1491</v>
      </c>
      <c r="R737" s="166" t="s">
        <v>71</v>
      </c>
      <c r="S737" s="169">
        <v>1440642</v>
      </c>
      <c r="T737" s="160">
        <v>69559.199999999997</v>
      </c>
      <c r="U737" s="160">
        <v>0</v>
      </c>
      <c r="V737" s="160">
        <v>278236.79999999999</v>
      </c>
      <c r="W737" s="160">
        <v>1162405.2</v>
      </c>
      <c r="X737" s="161">
        <v>0</v>
      </c>
      <c r="Y737" s="160"/>
      <c r="Z737" s="16">
        <v>19.309999999999999</v>
      </c>
      <c r="AA737" s="162">
        <v>278236.79999999999</v>
      </c>
      <c r="AB737" s="162">
        <v>69559.199999999997</v>
      </c>
      <c r="AC737" s="162">
        <v>834710.39999999991</v>
      </c>
      <c r="AD737" s="160">
        <v>0</v>
      </c>
      <c r="AE737" s="145">
        <v>1440642</v>
      </c>
      <c r="AF737" s="163">
        <v>1.0529999999999999</v>
      </c>
      <c r="AG737" s="163">
        <v>1.0489999999999999</v>
      </c>
      <c r="AH737" s="163">
        <v>1.0469999999999999</v>
      </c>
      <c r="AI737" s="164">
        <v>1440642</v>
      </c>
      <c r="AJ737" s="164">
        <f t="shared" si="88"/>
        <v>0</v>
      </c>
      <c r="AK737" s="229">
        <v>1440642</v>
      </c>
      <c r="AL737" s="229">
        <f ca="1">SUMIF('MS &amp; Vacancies combined'!A:Q,D737,'MS &amp; Vacancies combined'!Q:Q)*105.3/100</f>
        <v>1400071.5395778418</v>
      </c>
      <c r="AM737" s="229">
        <f t="shared" ca="1" si="92"/>
        <v>1468675.0450171558</v>
      </c>
      <c r="AN737" s="229">
        <f t="shared" ca="1" si="93"/>
        <v>1537702.772132962</v>
      </c>
      <c r="AO737" s="166"/>
      <c r="AP737" s="413">
        <f t="shared" ca="1" si="89"/>
        <v>40570.460422158241</v>
      </c>
      <c r="AR737" s="231"/>
      <c r="AS737" s="231"/>
      <c r="AU737" s="414">
        <v>1440642</v>
      </c>
      <c r="AV737" s="415">
        <v>1440642</v>
      </c>
      <c r="AW737" s="414">
        <f t="shared" si="87"/>
        <v>0</v>
      </c>
    </row>
    <row r="738" spans="1:49" s="172" customFormat="1" x14ac:dyDescent="0.3">
      <c r="A738" s="166" t="s">
        <v>72</v>
      </c>
      <c r="B738" s="167" t="s">
        <v>1492</v>
      </c>
      <c r="C738" s="167" t="s">
        <v>406</v>
      </c>
      <c r="D738" s="412" t="s">
        <v>3475</v>
      </c>
      <c r="E738" s="168" t="s">
        <v>1085</v>
      </c>
      <c r="F738" s="168" t="s">
        <v>554</v>
      </c>
      <c r="G738" s="168" t="s">
        <v>309</v>
      </c>
      <c r="H738" s="168" t="s">
        <v>310</v>
      </c>
      <c r="I738" s="168" t="s">
        <v>407</v>
      </c>
      <c r="J738" s="168" t="s">
        <v>312</v>
      </c>
      <c r="K738" s="168" t="s">
        <v>1849</v>
      </c>
      <c r="L738" s="167" t="s">
        <v>304</v>
      </c>
      <c r="M738" s="167" t="s">
        <v>305</v>
      </c>
      <c r="N738" s="167">
        <v>11</v>
      </c>
      <c r="O738" s="167" t="s">
        <v>406</v>
      </c>
      <c r="P738" s="167" t="s">
        <v>406</v>
      </c>
      <c r="Q738" s="167" t="s">
        <v>1492</v>
      </c>
      <c r="R738" s="166" t="s">
        <v>72</v>
      </c>
      <c r="S738" s="169">
        <v>2385122</v>
      </c>
      <c r="T738" s="160">
        <v>153854.96</v>
      </c>
      <c r="U738" s="160">
        <v>0</v>
      </c>
      <c r="V738" s="160">
        <v>619444.46</v>
      </c>
      <c r="W738" s="160">
        <v>1765677.54</v>
      </c>
      <c r="X738" s="161">
        <v>0</v>
      </c>
      <c r="Y738" s="160"/>
      <c r="Z738" s="16">
        <v>25.97</v>
      </c>
      <c r="AA738" s="162">
        <v>619444.46</v>
      </c>
      <c r="AB738" s="162">
        <v>154861.11499999999</v>
      </c>
      <c r="AC738" s="162">
        <v>1858333.38</v>
      </c>
      <c r="AD738" s="160">
        <v>0</v>
      </c>
      <c r="AE738" s="145">
        <v>2385122</v>
      </c>
      <c r="AF738" s="163">
        <v>1.0529999999999999</v>
      </c>
      <c r="AG738" s="163">
        <v>1.0489999999999999</v>
      </c>
      <c r="AH738" s="163">
        <v>1.0469999999999999</v>
      </c>
      <c r="AI738" s="164">
        <v>2385122</v>
      </c>
      <c r="AJ738" s="164">
        <f t="shared" si="88"/>
        <v>0</v>
      </c>
      <c r="AK738" s="229">
        <v>2385122</v>
      </c>
      <c r="AL738" s="229">
        <f ca="1">SUMIF('MS &amp; Vacancies combined'!A:R,D738,'MS &amp; Vacancies combined'!R:R)*105.3/100</f>
        <v>2106847.9382283892</v>
      </c>
      <c r="AM738" s="229">
        <f t="shared" ca="1" si="92"/>
        <v>2210083.4872015803</v>
      </c>
      <c r="AN738" s="229">
        <f t="shared" ca="1" si="93"/>
        <v>2313957.4111000546</v>
      </c>
      <c r="AO738" s="166"/>
      <c r="AP738" s="413">
        <f t="shared" ca="1" si="89"/>
        <v>278274.06177161075</v>
      </c>
      <c r="AR738" s="231"/>
      <c r="AS738" s="231"/>
      <c r="AU738" s="414">
        <v>2385122</v>
      </c>
      <c r="AV738" s="415">
        <v>2385122</v>
      </c>
      <c r="AW738" s="414">
        <f t="shared" si="87"/>
        <v>0</v>
      </c>
    </row>
    <row r="739" spans="1:49" s="172" customFormat="1" x14ac:dyDescent="0.3">
      <c r="A739" s="166" t="s">
        <v>73</v>
      </c>
      <c r="B739" s="167" t="s">
        <v>1493</v>
      </c>
      <c r="C739" s="167" t="s">
        <v>307</v>
      </c>
      <c r="D739" s="412" t="s">
        <v>3475</v>
      </c>
      <c r="E739" s="168" t="s">
        <v>1085</v>
      </c>
      <c r="F739" s="168" t="s">
        <v>554</v>
      </c>
      <c r="G739" s="168" t="s">
        <v>309</v>
      </c>
      <c r="H739" s="168" t="s">
        <v>310</v>
      </c>
      <c r="I739" s="168" t="s">
        <v>311</v>
      </c>
      <c r="J739" s="168" t="s">
        <v>312</v>
      </c>
      <c r="K739" s="168" t="s">
        <v>1849</v>
      </c>
      <c r="L739" s="167" t="s">
        <v>304</v>
      </c>
      <c r="M739" s="167" t="s">
        <v>305</v>
      </c>
      <c r="N739" s="167">
        <v>11</v>
      </c>
      <c r="O739" s="167" t="s">
        <v>307</v>
      </c>
      <c r="P739" s="167" t="s">
        <v>307</v>
      </c>
      <c r="Q739" s="167" t="s">
        <v>1493</v>
      </c>
      <c r="R739" s="166" t="s">
        <v>73</v>
      </c>
      <c r="S739" s="169">
        <v>53459</v>
      </c>
      <c r="T739" s="160">
        <v>3868.78</v>
      </c>
      <c r="U739" s="160">
        <v>0</v>
      </c>
      <c r="V739" s="160">
        <v>15475.12</v>
      </c>
      <c r="W739" s="160">
        <v>37983.879999999997</v>
      </c>
      <c r="X739" s="161">
        <v>0</v>
      </c>
      <c r="Y739" s="160"/>
      <c r="Z739" s="16">
        <v>28.94</v>
      </c>
      <c r="AA739" s="162">
        <v>15475.12</v>
      </c>
      <c r="AB739" s="162">
        <v>3868.78</v>
      </c>
      <c r="AC739" s="162">
        <v>46425.36</v>
      </c>
      <c r="AD739" s="160">
        <v>0</v>
      </c>
      <c r="AE739" s="145">
        <v>53459</v>
      </c>
      <c r="AF739" s="163">
        <v>1.0529999999999999</v>
      </c>
      <c r="AG739" s="163">
        <v>1.0489999999999999</v>
      </c>
      <c r="AH739" s="163">
        <v>1.0469999999999999</v>
      </c>
      <c r="AI739" s="164">
        <v>53459</v>
      </c>
      <c r="AJ739" s="164">
        <f t="shared" si="88"/>
        <v>0</v>
      </c>
      <c r="AK739" s="229">
        <v>53459</v>
      </c>
      <c r="AL739" s="229">
        <f ca="1">SUMIF('MS &amp; Vacancies combined'!A:S,D739,'MS &amp; Vacancies combined'!S:S)*105.3/100</f>
        <v>49526.796702621839</v>
      </c>
      <c r="AM739" s="229">
        <f t="shared" ca="1" si="92"/>
        <v>51953.609741050306</v>
      </c>
      <c r="AN739" s="229">
        <f t="shared" ca="1" si="93"/>
        <v>54395.429398879663</v>
      </c>
      <c r="AO739" s="166"/>
      <c r="AP739" s="413">
        <f t="shared" ca="1" si="89"/>
        <v>3932.2032973781606</v>
      </c>
      <c r="AR739" s="231"/>
      <c r="AS739" s="231"/>
      <c r="AU739" s="414">
        <v>53459</v>
      </c>
      <c r="AV739" s="415">
        <v>53459</v>
      </c>
      <c r="AW739" s="414">
        <f t="shared" si="87"/>
        <v>0</v>
      </c>
    </row>
    <row r="740" spans="1:49" hidden="1" x14ac:dyDescent="0.3">
      <c r="A740" s="16" t="s">
        <v>324</v>
      </c>
      <c r="B740" s="39" t="s">
        <v>1494</v>
      </c>
      <c r="C740" s="39" t="s">
        <v>76</v>
      </c>
      <c r="D740" s="340" t="s">
        <v>3475</v>
      </c>
      <c r="E740" s="159" t="s">
        <v>1085</v>
      </c>
      <c r="F740" s="159" t="s">
        <v>554</v>
      </c>
      <c r="G740" s="159" t="s">
        <v>309</v>
      </c>
      <c r="H740" s="159" t="s">
        <v>325</v>
      </c>
      <c r="I740" s="159" t="s">
        <v>326</v>
      </c>
      <c r="J740" s="159" t="s">
        <v>327</v>
      </c>
      <c r="K740" s="159" t="s">
        <v>1849</v>
      </c>
      <c r="L740" s="39" t="s">
        <v>304</v>
      </c>
      <c r="M740" s="39" t="s">
        <v>305</v>
      </c>
      <c r="N740" s="39">
        <v>11</v>
      </c>
      <c r="O740" s="39" t="s">
        <v>76</v>
      </c>
      <c r="P740" s="39" t="s">
        <v>76</v>
      </c>
      <c r="Q740" s="39" t="s">
        <v>1494</v>
      </c>
      <c r="R740" s="16" t="s">
        <v>324</v>
      </c>
      <c r="S740" s="160">
        <v>8000</v>
      </c>
      <c r="T740" s="160">
        <v>0</v>
      </c>
      <c r="U740" s="160">
        <v>0</v>
      </c>
      <c r="V740" s="160">
        <v>0</v>
      </c>
      <c r="W740" s="160">
        <v>8000</v>
      </c>
      <c r="X740" s="161">
        <v>0</v>
      </c>
      <c r="Y740" s="160"/>
      <c r="Z740" s="16">
        <v>0</v>
      </c>
      <c r="AA740" s="162">
        <v>0</v>
      </c>
      <c r="AB740" s="162">
        <v>0</v>
      </c>
      <c r="AC740" s="162">
        <v>0</v>
      </c>
      <c r="AD740" s="160">
        <v>0</v>
      </c>
      <c r="AE740" s="145">
        <v>8000</v>
      </c>
      <c r="AF740" s="163">
        <v>1.0469999999999999</v>
      </c>
      <c r="AG740" s="164">
        <v>1.046</v>
      </c>
      <c r="AH740" s="164">
        <v>1.046</v>
      </c>
      <c r="AI740" s="164">
        <v>8000</v>
      </c>
      <c r="AJ740" s="164">
        <f t="shared" si="88"/>
        <v>0</v>
      </c>
      <c r="AK740" s="165">
        <v>8000</v>
      </c>
      <c r="AL740" s="165">
        <f t="shared" ref="AL740:AL756" si="94">AK740</f>
        <v>8000</v>
      </c>
      <c r="AM740" s="165">
        <f t="shared" si="92"/>
        <v>8368</v>
      </c>
      <c r="AN740" s="165">
        <f t="shared" si="93"/>
        <v>8752.9279999999999</v>
      </c>
      <c r="AO740" s="16"/>
      <c r="AP740" s="231">
        <f t="shared" si="89"/>
        <v>0</v>
      </c>
      <c r="AR740" s="231"/>
      <c r="AS740" s="231"/>
      <c r="AU740" s="230">
        <v>8000</v>
      </c>
      <c r="AV740" s="233">
        <v>8000</v>
      </c>
      <c r="AW740" s="230">
        <f t="shared" si="87"/>
        <v>0</v>
      </c>
    </row>
    <row r="741" spans="1:49" hidden="1" x14ac:dyDescent="0.3">
      <c r="A741" s="16" t="s">
        <v>477</v>
      </c>
      <c r="B741" s="39" t="s">
        <v>1495</v>
      </c>
      <c r="C741" s="39" t="s">
        <v>78</v>
      </c>
      <c r="D741" s="340" t="s">
        <v>3475</v>
      </c>
      <c r="E741" s="159" t="s">
        <v>1085</v>
      </c>
      <c r="F741" s="159" t="s">
        <v>554</v>
      </c>
      <c r="G741" s="159" t="s">
        <v>309</v>
      </c>
      <c r="H741" s="159" t="s">
        <v>330</v>
      </c>
      <c r="I741" s="159" t="s">
        <v>479</v>
      </c>
      <c r="J741" s="159" t="s">
        <v>312</v>
      </c>
      <c r="K741" s="159" t="s">
        <v>1849</v>
      </c>
      <c r="L741" s="39" t="s">
        <v>304</v>
      </c>
      <c r="M741" s="39" t="s">
        <v>305</v>
      </c>
      <c r="N741" s="39">
        <v>11</v>
      </c>
      <c r="O741" s="39" t="s">
        <v>78</v>
      </c>
      <c r="P741" s="39" t="s">
        <v>699</v>
      </c>
      <c r="Q741" s="39" t="s">
        <v>1495</v>
      </c>
      <c r="R741" s="16" t="s">
        <v>477</v>
      </c>
      <c r="S741" s="160">
        <v>0</v>
      </c>
      <c r="T741" s="160">
        <v>0</v>
      </c>
      <c r="U741" s="160">
        <v>0</v>
      </c>
      <c r="V741" s="160">
        <v>0</v>
      </c>
      <c r="W741" s="160">
        <v>0</v>
      </c>
      <c r="X741" s="161">
        <v>0</v>
      </c>
      <c r="Y741" s="160"/>
      <c r="Z741" s="16">
        <v>0</v>
      </c>
      <c r="AA741" s="162">
        <v>0</v>
      </c>
      <c r="AB741" s="162">
        <v>0</v>
      </c>
      <c r="AC741" s="162">
        <v>0</v>
      </c>
      <c r="AD741" s="160">
        <v>0</v>
      </c>
      <c r="AE741" s="145">
        <v>0</v>
      </c>
      <c r="AF741" s="163">
        <v>1.0469999999999999</v>
      </c>
      <c r="AG741" s="164">
        <v>1.046</v>
      </c>
      <c r="AH741" s="164">
        <v>1.046</v>
      </c>
      <c r="AI741" s="164">
        <v>0</v>
      </c>
      <c r="AJ741" s="164">
        <f t="shared" si="88"/>
        <v>0</v>
      </c>
      <c r="AK741" s="165">
        <v>0</v>
      </c>
      <c r="AL741" s="165">
        <f t="shared" si="94"/>
        <v>0</v>
      </c>
      <c r="AM741" s="165">
        <f t="shared" si="92"/>
        <v>0</v>
      </c>
      <c r="AN741" s="165">
        <f t="shared" si="93"/>
        <v>0</v>
      </c>
      <c r="AO741" s="16"/>
      <c r="AP741" s="231">
        <f t="shared" si="89"/>
        <v>0</v>
      </c>
      <c r="AR741" s="231"/>
      <c r="AS741" s="231"/>
      <c r="AU741" s="230">
        <v>0</v>
      </c>
      <c r="AV741" s="233">
        <v>0</v>
      </c>
      <c r="AW741" s="230">
        <f t="shared" si="87"/>
        <v>0</v>
      </c>
    </row>
    <row r="742" spans="1:49" hidden="1" x14ac:dyDescent="0.3">
      <c r="A742" s="16" t="s">
        <v>412</v>
      </c>
      <c r="B742" s="39" t="s">
        <v>1496</v>
      </c>
      <c r="C742" s="39" t="s">
        <v>80</v>
      </c>
      <c r="D742" s="340" t="s">
        <v>3475</v>
      </c>
      <c r="E742" s="159" t="s">
        <v>1085</v>
      </c>
      <c r="F742" s="159" t="s">
        <v>554</v>
      </c>
      <c r="G742" s="159" t="s">
        <v>309</v>
      </c>
      <c r="H742" s="159" t="s">
        <v>413</v>
      </c>
      <c r="I742" s="159" t="s">
        <v>414</v>
      </c>
      <c r="J742" s="159" t="s">
        <v>312</v>
      </c>
      <c r="K742" s="159" t="s">
        <v>1849</v>
      </c>
      <c r="L742" s="39" t="s">
        <v>1497</v>
      </c>
      <c r="M742" s="39" t="s">
        <v>305</v>
      </c>
      <c r="N742" s="39">
        <v>11</v>
      </c>
      <c r="O742" s="39" t="s">
        <v>80</v>
      </c>
      <c r="P742" s="39" t="s">
        <v>80</v>
      </c>
      <c r="Q742" s="39" t="s">
        <v>1496</v>
      </c>
      <c r="R742" s="16" t="s">
        <v>412</v>
      </c>
      <c r="S742" s="160">
        <v>0</v>
      </c>
      <c r="T742" s="160">
        <v>0</v>
      </c>
      <c r="U742" s="160">
        <v>0</v>
      </c>
      <c r="V742" s="160">
        <v>0</v>
      </c>
      <c r="W742" s="160">
        <v>0</v>
      </c>
      <c r="X742" s="161">
        <v>0</v>
      </c>
      <c r="Y742" s="160"/>
      <c r="Z742" s="16">
        <v>0</v>
      </c>
      <c r="AA742" s="162">
        <v>0</v>
      </c>
      <c r="AB742" s="162">
        <v>0</v>
      </c>
      <c r="AC742" s="162">
        <v>0</v>
      </c>
      <c r="AD742" s="160">
        <v>0</v>
      </c>
      <c r="AE742" s="145">
        <v>0</v>
      </c>
      <c r="AF742" s="163">
        <v>1.0469999999999999</v>
      </c>
      <c r="AG742" s="164">
        <v>1.046</v>
      </c>
      <c r="AH742" s="164">
        <v>1.046</v>
      </c>
      <c r="AI742" s="164">
        <v>0</v>
      </c>
      <c r="AJ742" s="164">
        <f t="shared" si="88"/>
        <v>0</v>
      </c>
      <c r="AK742" s="165">
        <v>0</v>
      </c>
      <c r="AL742" s="165">
        <f t="shared" si="94"/>
        <v>0</v>
      </c>
      <c r="AM742" s="165">
        <f t="shared" si="92"/>
        <v>0</v>
      </c>
      <c r="AN742" s="165">
        <f t="shared" si="93"/>
        <v>0</v>
      </c>
      <c r="AO742" s="16"/>
      <c r="AP742" s="231">
        <f t="shared" si="89"/>
        <v>0</v>
      </c>
      <c r="AR742" s="231"/>
      <c r="AS742" s="231"/>
      <c r="AU742" s="230">
        <v>0</v>
      </c>
      <c r="AV742" s="233">
        <v>0</v>
      </c>
      <c r="AW742" s="230">
        <f t="shared" si="87"/>
        <v>0</v>
      </c>
    </row>
    <row r="743" spans="1:49" hidden="1" x14ac:dyDescent="0.3">
      <c r="A743" s="16" t="s">
        <v>883</v>
      </c>
      <c r="B743" s="39" t="s">
        <v>1498</v>
      </c>
      <c r="C743" s="39" t="s">
        <v>82</v>
      </c>
      <c r="D743" s="340" t="s">
        <v>3475</v>
      </c>
      <c r="E743" s="159" t="s">
        <v>1085</v>
      </c>
      <c r="F743" s="159" t="s">
        <v>554</v>
      </c>
      <c r="G743" s="159" t="s">
        <v>309</v>
      </c>
      <c r="H743" s="159" t="s">
        <v>334</v>
      </c>
      <c r="I743" s="159" t="s">
        <v>885</v>
      </c>
      <c r="J743" s="159" t="s">
        <v>309</v>
      </c>
      <c r="K743" s="159" t="s">
        <v>1849</v>
      </c>
      <c r="L743" s="39" t="s">
        <v>304</v>
      </c>
      <c r="M743" s="39" t="s">
        <v>305</v>
      </c>
      <c r="N743" s="39">
        <v>11</v>
      </c>
      <c r="O743" s="39" t="s">
        <v>82</v>
      </c>
      <c r="P743" s="39" t="s">
        <v>884</v>
      </c>
      <c r="Q743" s="39" t="s">
        <v>1498</v>
      </c>
      <c r="R743" s="16" t="s">
        <v>883</v>
      </c>
      <c r="S743" s="160">
        <v>250000</v>
      </c>
      <c r="T743" s="160">
        <v>0</v>
      </c>
      <c r="U743" s="160">
        <v>0</v>
      </c>
      <c r="V743" s="160">
        <v>0</v>
      </c>
      <c r="W743" s="160">
        <v>250000</v>
      </c>
      <c r="X743" s="161">
        <v>0</v>
      </c>
      <c r="Y743" s="160"/>
      <c r="Z743" s="16">
        <v>0</v>
      </c>
      <c r="AA743" s="162">
        <v>0</v>
      </c>
      <c r="AB743" s="162">
        <v>0</v>
      </c>
      <c r="AC743" s="162">
        <v>0</v>
      </c>
      <c r="AD743" s="160">
        <v>0</v>
      </c>
      <c r="AE743" s="145">
        <v>250000</v>
      </c>
      <c r="AF743" s="163">
        <v>1.0469999999999999</v>
      </c>
      <c r="AG743" s="164">
        <v>1.046</v>
      </c>
      <c r="AH743" s="164">
        <v>1.046</v>
      </c>
      <c r="AI743" s="164">
        <v>250000</v>
      </c>
      <c r="AJ743" s="164">
        <f t="shared" si="88"/>
        <v>0</v>
      </c>
      <c r="AK743" s="165">
        <v>250000</v>
      </c>
      <c r="AL743" s="165">
        <f t="shared" si="94"/>
        <v>250000</v>
      </c>
      <c r="AM743" s="165">
        <f t="shared" si="92"/>
        <v>261500</v>
      </c>
      <c r="AN743" s="165">
        <f t="shared" si="93"/>
        <v>273529</v>
      </c>
      <c r="AO743" s="16"/>
      <c r="AP743" s="231">
        <f t="shared" si="89"/>
        <v>0</v>
      </c>
      <c r="AR743" s="231"/>
      <c r="AS743" s="231"/>
      <c r="AU743" s="230">
        <v>250000</v>
      </c>
      <c r="AV743" s="233">
        <v>250000</v>
      </c>
      <c r="AW743" s="230">
        <f t="shared" si="87"/>
        <v>0</v>
      </c>
    </row>
    <row r="744" spans="1:49" hidden="1" x14ac:dyDescent="0.3">
      <c r="A744" s="16" t="s">
        <v>341</v>
      </c>
      <c r="B744" s="39" t="s">
        <v>1499</v>
      </c>
      <c r="C744" s="39" t="s">
        <v>82</v>
      </c>
      <c r="D744" s="340" t="s">
        <v>3475</v>
      </c>
      <c r="E744" s="159" t="s">
        <v>1085</v>
      </c>
      <c r="F744" s="159" t="s">
        <v>554</v>
      </c>
      <c r="G744" s="159" t="s">
        <v>309</v>
      </c>
      <c r="H744" s="159" t="s">
        <v>334</v>
      </c>
      <c r="I744" s="159" t="s">
        <v>343</v>
      </c>
      <c r="J744" s="159" t="s">
        <v>312</v>
      </c>
      <c r="K744" s="159" t="s">
        <v>1849</v>
      </c>
      <c r="L744" s="39" t="s">
        <v>304</v>
      </c>
      <c r="M744" s="39" t="s">
        <v>305</v>
      </c>
      <c r="N744" s="39">
        <v>11</v>
      </c>
      <c r="O744" s="39" t="s">
        <v>82</v>
      </c>
      <c r="P744" s="39" t="s">
        <v>342</v>
      </c>
      <c r="Q744" s="39" t="s">
        <v>1499</v>
      </c>
      <c r="R744" s="16" t="s">
        <v>341</v>
      </c>
      <c r="S744" s="160">
        <v>0</v>
      </c>
      <c r="T744" s="160">
        <v>0</v>
      </c>
      <c r="U744" s="160">
        <v>0</v>
      </c>
      <c r="V744" s="160">
        <v>0</v>
      </c>
      <c r="W744" s="160">
        <v>0</v>
      </c>
      <c r="X744" s="161">
        <v>0</v>
      </c>
      <c r="Y744" s="160"/>
      <c r="Z744" s="16">
        <v>0</v>
      </c>
      <c r="AA744" s="162">
        <v>0</v>
      </c>
      <c r="AB744" s="162">
        <v>0</v>
      </c>
      <c r="AC744" s="162">
        <v>0</v>
      </c>
      <c r="AD744" s="160">
        <v>0</v>
      </c>
      <c r="AE744" s="145">
        <v>0</v>
      </c>
      <c r="AF744" s="163">
        <v>1.0469999999999999</v>
      </c>
      <c r="AG744" s="164">
        <v>1.046</v>
      </c>
      <c r="AH744" s="164">
        <v>1.046</v>
      </c>
      <c r="AI744" s="164">
        <v>0</v>
      </c>
      <c r="AJ744" s="164">
        <f t="shared" si="88"/>
        <v>0</v>
      </c>
      <c r="AK744" s="165">
        <v>0</v>
      </c>
      <c r="AL744" s="165">
        <f t="shared" si="94"/>
        <v>0</v>
      </c>
      <c r="AM744" s="165">
        <f t="shared" si="92"/>
        <v>0</v>
      </c>
      <c r="AN744" s="165">
        <f t="shared" si="93"/>
        <v>0</v>
      </c>
      <c r="AO744" s="16"/>
      <c r="AP744" s="231">
        <f t="shared" si="89"/>
        <v>0</v>
      </c>
      <c r="AR744" s="231"/>
      <c r="AS744" s="231"/>
      <c r="AU744" s="230">
        <v>0</v>
      </c>
      <c r="AV744" s="233">
        <v>0</v>
      </c>
      <c r="AW744" s="230">
        <f t="shared" si="87"/>
        <v>0</v>
      </c>
    </row>
    <row r="745" spans="1:49" hidden="1" x14ac:dyDescent="0.3">
      <c r="A745" s="16" t="s">
        <v>527</v>
      </c>
      <c r="B745" s="39" t="s">
        <v>1500</v>
      </c>
      <c r="C745" s="39" t="s">
        <v>82</v>
      </c>
      <c r="D745" s="340" t="s">
        <v>3475</v>
      </c>
      <c r="E745" s="159" t="s">
        <v>1085</v>
      </c>
      <c r="F745" s="159" t="s">
        <v>554</v>
      </c>
      <c r="G745" s="159" t="s">
        <v>309</v>
      </c>
      <c r="H745" s="159" t="s">
        <v>334</v>
      </c>
      <c r="I745" s="159" t="s">
        <v>529</v>
      </c>
      <c r="J745" s="159" t="s">
        <v>312</v>
      </c>
      <c r="K745" s="159" t="s">
        <v>1849</v>
      </c>
      <c r="L745" s="39" t="s">
        <v>304</v>
      </c>
      <c r="M745" s="39" t="s">
        <v>305</v>
      </c>
      <c r="N745" s="39">
        <v>11</v>
      </c>
      <c r="O745" s="39" t="s">
        <v>82</v>
      </c>
      <c r="P745" s="39" t="s">
        <v>585</v>
      </c>
      <c r="Q745" s="39" t="s">
        <v>1500</v>
      </c>
      <c r="R745" s="16" t="s">
        <v>527</v>
      </c>
      <c r="S745" s="160">
        <v>2000000</v>
      </c>
      <c r="T745" s="160">
        <v>0</v>
      </c>
      <c r="U745" s="160">
        <v>0</v>
      </c>
      <c r="V745" s="160">
        <v>0</v>
      </c>
      <c r="W745" s="160">
        <v>2000000</v>
      </c>
      <c r="X745" s="161">
        <v>0</v>
      </c>
      <c r="Y745" s="160"/>
      <c r="Z745" s="16">
        <v>0</v>
      </c>
      <c r="AA745" s="162">
        <v>0</v>
      </c>
      <c r="AB745" s="162">
        <v>0</v>
      </c>
      <c r="AC745" s="162">
        <v>0</v>
      </c>
      <c r="AD745" s="160">
        <v>0</v>
      </c>
      <c r="AE745" s="145">
        <v>2000000</v>
      </c>
      <c r="AF745" s="163">
        <v>1.0469999999999999</v>
      </c>
      <c r="AG745" s="164">
        <v>1.046</v>
      </c>
      <c r="AH745" s="164">
        <v>1.046</v>
      </c>
      <c r="AI745" s="164">
        <v>2000000</v>
      </c>
      <c r="AJ745" s="164">
        <f t="shared" si="88"/>
        <v>0</v>
      </c>
      <c r="AK745" s="165">
        <v>1000000</v>
      </c>
      <c r="AL745" s="165">
        <f t="shared" si="94"/>
        <v>1000000</v>
      </c>
      <c r="AM745" s="165">
        <f t="shared" si="92"/>
        <v>1046000</v>
      </c>
      <c r="AN745" s="165">
        <f t="shared" si="93"/>
        <v>1094116</v>
      </c>
      <c r="AO745" s="16"/>
      <c r="AP745" s="231">
        <f t="shared" si="89"/>
        <v>0</v>
      </c>
      <c r="AR745" s="231"/>
      <c r="AS745" s="231"/>
      <c r="AU745" s="230">
        <v>2000000</v>
      </c>
      <c r="AV745" s="233">
        <v>2000000</v>
      </c>
      <c r="AW745" s="230">
        <f t="shared" si="87"/>
        <v>0</v>
      </c>
    </row>
    <row r="746" spans="1:49" hidden="1" x14ac:dyDescent="0.3">
      <c r="A746" s="16" t="s">
        <v>1502</v>
      </c>
      <c r="B746" s="39" t="s">
        <v>1501</v>
      </c>
      <c r="C746" s="39" t="s">
        <v>82</v>
      </c>
      <c r="D746" s="340" t="s">
        <v>3475</v>
      </c>
      <c r="E746" s="159" t="s">
        <v>1085</v>
      </c>
      <c r="F746" s="159" t="s">
        <v>554</v>
      </c>
      <c r="G746" s="159" t="s">
        <v>309</v>
      </c>
      <c r="H746" s="159" t="s">
        <v>334</v>
      </c>
      <c r="I746" s="159" t="s">
        <v>841</v>
      </c>
      <c r="J746" s="159" t="s">
        <v>1215</v>
      </c>
      <c r="K746" s="159" t="s">
        <v>1849</v>
      </c>
      <c r="L746" s="39" t="s">
        <v>304</v>
      </c>
      <c r="M746" s="39" t="s">
        <v>305</v>
      </c>
      <c r="N746" s="39">
        <v>11</v>
      </c>
      <c r="O746" s="39" t="s">
        <v>82</v>
      </c>
      <c r="P746" s="39" t="s">
        <v>840</v>
      </c>
      <c r="Q746" s="39" t="s">
        <v>1501</v>
      </c>
      <c r="R746" s="16" t="s">
        <v>1502</v>
      </c>
      <c r="S746" s="160">
        <v>0</v>
      </c>
      <c r="T746" s="160">
        <v>0</v>
      </c>
      <c r="U746" s="160">
        <v>0</v>
      </c>
      <c r="V746" s="160">
        <v>0</v>
      </c>
      <c r="W746" s="160">
        <v>0</v>
      </c>
      <c r="X746" s="161">
        <v>0</v>
      </c>
      <c r="Y746" s="160"/>
      <c r="Z746" s="16">
        <v>0</v>
      </c>
      <c r="AA746" s="162">
        <v>0</v>
      </c>
      <c r="AB746" s="162">
        <v>0</v>
      </c>
      <c r="AC746" s="162">
        <v>0</v>
      </c>
      <c r="AD746" s="160">
        <v>0</v>
      </c>
      <c r="AE746" s="145">
        <v>0</v>
      </c>
      <c r="AF746" s="163">
        <v>1.0469999999999999</v>
      </c>
      <c r="AG746" s="164">
        <v>1.046</v>
      </c>
      <c r="AH746" s="164">
        <v>1.046</v>
      </c>
      <c r="AI746" s="164">
        <v>0</v>
      </c>
      <c r="AJ746" s="164">
        <f t="shared" si="88"/>
        <v>0</v>
      </c>
      <c r="AK746" s="165">
        <v>0</v>
      </c>
      <c r="AL746" s="165">
        <f t="shared" si="94"/>
        <v>0</v>
      </c>
      <c r="AM746" s="165">
        <f t="shared" si="92"/>
        <v>0</v>
      </c>
      <c r="AN746" s="165">
        <f t="shared" si="93"/>
        <v>0</v>
      </c>
      <c r="AO746" s="16"/>
      <c r="AP746" s="231">
        <f t="shared" si="89"/>
        <v>0</v>
      </c>
      <c r="AR746" s="231"/>
      <c r="AS746" s="231"/>
      <c r="AU746" s="230">
        <v>0</v>
      </c>
      <c r="AV746" s="233">
        <v>0</v>
      </c>
      <c r="AW746" s="230">
        <f t="shared" si="87"/>
        <v>0</v>
      </c>
    </row>
    <row r="747" spans="1:49" hidden="1" x14ac:dyDescent="0.3">
      <c r="A747" s="16" t="s">
        <v>83</v>
      </c>
      <c r="B747" s="39" t="s">
        <v>1503</v>
      </c>
      <c r="C747" s="39" t="s">
        <v>423</v>
      </c>
      <c r="D747" s="340" t="s">
        <v>3475</v>
      </c>
      <c r="E747" s="159" t="s">
        <v>1085</v>
      </c>
      <c r="F747" s="159" t="s">
        <v>554</v>
      </c>
      <c r="G747" s="159" t="s">
        <v>309</v>
      </c>
      <c r="H747" s="159" t="s">
        <v>424</v>
      </c>
      <c r="I747" s="159" t="s">
        <v>425</v>
      </c>
      <c r="J747" s="159" t="s">
        <v>426</v>
      </c>
      <c r="K747" s="159" t="s">
        <v>1849</v>
      </c>
      <c r="L747" s="39" t="s">
        <v>304</v>
      </c>
      <c r="M747" s="39" t="s">
        <v>305</v>
      </c>
      <c r="N747" s="39">
        <v>11</v>
      </c>
      <c r="O747" s="39" t="s">
        <v>423</v>
      </c>
      <c r="P747" s="39" t="s">
        <v>423</v>
      </c>
      <c r="Q747" s="39" t="s">
        <v>1503</v>
      </c>
      <c r="R747" s="16" t="s">
        <v>83</v>
      </c>
      <c r="S747" s="160">
        <v>115000</v>
      </c>
      <c r="T747" s="160">
        <v>0</v>
      </c>
      <c r="U747" s="160">
        <v>0</v>
      </c>
      <c r="V747" s="160">
        <v>3858.92</v>
      </c>
      <c r="W747" s="160">
        <v>111141.08</v>
      </c>
      <c r="X747" s="161">
        <v>0</v>
      </c>
      <c r="Y747" s="160"/>
      <c r="Z747" s="16">
        <v>3.35</v>
      </c>
      <c r="AA747" s="162">
        <v>3858.92</v>
      </c>
      <c r="AB747" s="162">
        <v>964.73</v>
      </c>
      <c r="AC747" s="162">
        <v>11576.76</v>
      </c>
      <c r="AD747" s="160">
        <v>-100000</v>
      </c>
      <c r="AE747" s="145">
        <v>15000</v>
      </c>
      <c r="AF747" s="163">
        <v>1.0469999999999999</v>
      </c>
      <c r="AG747" s="164">
        <v>1.046</v>
      </c>
      <c r="AH747" s="164">
        <v>1.046</v>
      </c>
      <c r="AI747" s="164">
        <v>15000</v>
      </c>
      <c r="AJ747" s="164">
        <f t="shared" si="88"/>
        <v>0</v>
      </c>
      <c r="AK747" s="165">
        <v>15000</v>
      </c>
      <c r="AL747" s="165">
        <f t="shared" si="94"/>
        <v>15000</v>
      </c>
      <c r="AM747" s="165">
        <f t="shared" si="92"/>
        <v>15690</v>
      </c>
      <c r="AN747" s="165">
        <f t="shared" si="93"/>
        <v>16411.740000000002</v>
      </c>
      <c r="AO747" s="145"/>
      <c r="AP747" s="231">
        <f t="shared" si="89"/>
        <v>0</v>
      </c>
      <c r="AR747" s="231"/>
      <c r="AS747" s="231"/>
      <c r="AU747" s="230">
        <v>115000</v>
      </c>
      <c r="AV747" s="233">
        <v>15000</v>
      </c>
      <c r="AW747" s="230">
        <f t="shared" si="87"/>
        <v>0</v>
      </c>
    </row>
    <row r="748" spans="1:49" hidden="1" x14ac:dyDescent="0.3">
      <c r="A748" s="16" t="s">
        <v>537</v>
      </c>
      <c r="B748" s="39" t="s">
        <v>1504</v>
      </c>
      <c r="C748" s="39" t="s">
        <v>423</v>
      </c>
      <c r="D748" s="340" t="s">
        <v>3475</v>
      </c>
      <c r="E748" s="159" t="s">
        <v>1085</v>
      </c>
      <c r="F748" s="159" t="s">
        <v>554</v>
      </c>
      <c r="G748" s="159" t="s">
        <v>309</v>
      </c>
      <c r="H748" s="159" t="s">
        <v>424</v>
      </c>
      <c r="I748" s="159" t="s">
        <v>425</v>
      </c>
      <c r="J748" s="159" t="s">
        <v>538</v>
      </c>
      <c r="K748" s="159" t="s">
        <v>1849</v>
      </c>
      <c r="L748" s="39" t="s">
        <v>304</v>
      </c>
      <c r="M748" s="39" t="s">
        <v>305</v>
      </c>
      <c r="N748" s="39">
        <v>11</v>
      </c>
      <c r="O748" s="39" t="s">
        <v>423</v>
      </c>
      <c r="P748" s="39" t="s">
        <v>423</v>
      </c>
      <c r="Q748" s="39" t="s">
        <v>1504</v>
      </c>
      <c r="R748" s="16" t="s">
        <v>537</v>
      </c>
      <c r="S748" s="160">
        <v>20000</v>
      </c>
      <c r="T748" s="160">
        <v>0</v>
      </c>
      <c r="U748" s="160">
        <v>0</v>
      </c>
      <c r="V748" s="160">
        <v>0</v>
      </c>
      <c r="W748" s="160">
        <v>20000</v>
      </c>
      <c r="X748" s="161">
        <v>0</v>
      </c>
      <c r="Y748" s="160"/>
      <c r="Z748" s="16">
        <v>0</v>
      </c>
      <c r="AA748" s="162">
        <v>0</v>
      </c>
      <c r="AB748" s="162">
        <v>0</v>
      </c>
      <c r="AC748" s="162">
        <v>0</v>
      </c>
      <c r="AD748" s="160">
        <v>0</v>
      </c>
      <c r="AE748" s="145">
        <v>20000</v>
      </c>
      <c r="AF748" s="163">
        <v>1.0469999999999999</v>
      </c>
      <c r="AG748" s="164">
        <v>1.046</v>
      </c>
      <c r="AH748" s="164">
        <v>1.046</v>
      </c>
      <c r="AI748" s="164">
        <v>20000</v>
      </c>
      <c r="AJ748" s="164">
        <f t="shared" si="88"/>
        <v>0</v>
      </c>
      <c r="AK748" s="165">
        <v>20000</v>
      </c>
      <c r="AL748" s="165">
        <f t="shared" si="94"/>
        <v>20000</v>
      </c>
      <c r="AM748" s="165">
        <f t="shared" si="92"/>
        <v>20920</v>
      </c>
      <c r="AN748" s="165">
        <f t="shared" si="93"/>
        <v>21882.32</v>
      </c>
      <c r="AO748" s="16"/>
      <c r="AP748" s="231">
        <f t="shared" si="89"/>
        <v>0</v>
      </c>
      <c r="AR748" s="231"/>
      <c r="AS748" s="231"/>
      <c r="AU748" s="230">
        <v>20000</v>
      </c>
      <c r="AV748" s="233">
        <v>20000</v>
      </c>
      <c r="AW748" s="230">
        <f t="shared" si="87"/>
        <v>0</v>
      </c>
    </row>
    <row r="749" spans="1:49" hidden="1" x14ac:dyDescent="0.3">
      <c r="A749" s="16" t="s">
        <v>499</v>
      </c>
      <c r="B749" s="39" t="s">
        <v>1505</v>
      </c>
      <c r="C749" s="39" t="s">
        <v>95</v>
      </c>
      <c r="D749" s="340" t="s">
        <v>3475</v>
      </c>
      <c r="E749" s="159" t="s">
        <v>1085</v>
      </c>
      <c r="F749" s="159" t="s">
        <v>554</v>
      </c>
      <c r="G749" s="159" t="s">
        <v>309</v>
      </c>
      <c r="H749" s="159" t="s">
        <v>501</v>
      </c>
      <c r="I749" s="159" t="s">
        <v>502</v>
      </c>
      <c r="J749" s="159" t="s">
        <v>312</v>
      </c>
      <c r="K749" s="159" t="s">
        <v>1849</v>
      </c>
      <c r="L749" s="39" t="s">
        <v>304</v>
      </c>
      <c r="M749" s="39" t="s">
        <v>305</v>
      </c>
      <c r="N749" s="39">
        <v>11</v>
      </c>
      <c r="O749" s="39" t="s">
        <v>95</v>
      </c>
      <c r="P749" s="39" t="s">
        <v>95</v>
      </c>
      <c r="Q749" s="39" t="s">
        <v>1505</v>
      </c>
      <c r="R749" s="16" t="s">
        <v>499</v>
      </c>
      <c r="S749" s="160">
        <v>0</v>
      </c>
      <c r="T749" s="160">
        <v>0</v>
      </c>
      <c r="U749" s="160">
        <v>0</v>
      </c>
      <c r="V749" s="160">
        <v>0</v>
      </c>
      <c r="W749" s="160">
        <v>0</v>
      </c>
      <c r="X749" s="161">
        <v>0</v>
      </c>
      <c r="Y749" s="160"/>
      <c r="Z749" s="16">
        <v>0</v>
      </c>
      <c r="AA749" s="162">
        <v>0</v>
      </c>
      <c r="AB749" s="162">
        <v>0</v>
      </c>
      <c r="AC749" s="162">
        <v>0</v>
      </c>
      <c r="AD749" s="160">
        <v>0</v>
      </c>
      <c r="AE749" s="145">
        <v>0</v>
      </c>
      <c r="AF749" s="163">
        <v>1.0469999999999999</v>
      </c>
      <c r="AG749" s="164">
        <v>1.046</v>
      </c>
      <c r="AH749" s="164">
        <v>1.046</v>
      </c>
      <c r="AI749" s="164">
        <v>0</v>
      </c>
      <c r="AJ749" s="164">
        <f t="shared" si="88"/>
        <v>0</v>
      </c>
      <c r="AK749" s="165">
        <v>0</v>
      </c>
      <c r="AL749" s="165">
        <f t="shared" si="94"/>
        <v>0</v>
      </c>
      <c r="AM749" s="165">
        <f t="shared" si="92"/>
        <v>0</v>
      </c>
      <c r="AN749" s="165">
        <f t="shared" si="93"/>
        <v>0</v>
      </c>
      <c r="AO749" s="16"/>
      <c r="AP749" s="231">
        <f t="shared" si="89"/>
        <v>0</v>
      </c>
      <c r="AR749" s="231"/>
      <c r="AS749" s="231"/>
      <c r="AU749" s="230">
        <v>0</v>
      </c>
      <c r="AV749" s="233">
        <v>0</v>
      </c>
      <c r="AW749" s="230">
        <f t="shared" si="87"/>
        <v>0</v>
      </c>
    </row>
    <row r="750" spans="1:49" hidden="1" x14ac:dyDescent="0.3">
      <c r="A750" s="16" t="s">
        <v>1507</v>
      </c>
      <c r="B750" s="39" t="s">
        <v>1506</v>
      </c>
      <c r="C750" s="39" t="s">
        <v>95</v>
      </c>
      <c r="D750" s="340" t="s">
        <v>3475</v>
      </c>
      <c r="E750" s="159" t="s">
        <v>1085</v>
      </c>
      <c r="F750" s="159" t="s">
        <v>554</v>
      </c>
      <c r="G750" s="159" t="s">
        <v>309</v>
      </c>
      <c r="H750" s="159" t="s">
        <v>501</v>
      </c>
      <c r="I750" s="159" t="s">
        <v>1509</v>
      </c>
      <c r="J750" s="159" t="s">
        <v>312</v>
      </c>
      <c r="K750" s="159" t="s">
        <v>1849</v>
      </c>
      <c r="L750" s="39" t="s">
        <v>304</v>
      </c>
      <c r="M750" s="39" t="s">
        <v>305</v>
      </c>
      <c r="N750" s="39">
        <v>11</v>
      </c>
      <c r="O750" s="39" t="s">
        <v>95</v>
      </c>
      <c r="P750" s="39" t="s">
        <v>1508</v>
      </c>
      <c r="Q750" s="39" t="s">
        <v>1506</v>
      </c>
      <c r="R750" s="16" t="s">
        <v>1507</v>
      </c>
      <c r="S750" s="160">
        <v>0</v>
      </c>
      <c r="T750" s="160">
        <v>0</v>
      </c>
      <c r="U750" s="160">
        <v>0</v>
      </c>
      <c r="V750" s="160">
        <v>0</v>
      </c>
      <c r="W750" s="160">
        <v>0</v>
      </c>
      <c r="X750" s="161">
        <v>0</v>
      </c>
      <c r="Y750" s="160"/>
      <c r="Z750" s="16">
        <v>0</v>
      </c>
      <c r="AA750" s="162">
        <v>0</v>
      </c>
      <c r="AB750" s="162">
        <v>0</v>
      </c>
      <c r="AC750" s="162">
        <v>0</v>
      </c>
      <c r="AD750" s="160">
        <v>0</v>
      </c>
      <c r="AE750" s="145">
        <v>0</v>
      </c>
      <c r="AF750" s="163">
        <v>1.0469999999999999</v>
      </c>
      <c r="AG750" s="164">
        <v>1.046</v>
      </c>
      <c r="AH750" s="164">
        <v>1.046</v>
      </c>
      <c r="AI750" s="164">
        <v>0</v>
      </c>
      <c r="AJ750" s="164">
        <f t="shared" si="88"/>
        <v>0</v>
      </c>
      <c r="AK750" s="165">
        <v>0</v>
      </c>
      <c r="AL750" s="165">
        <f t="shared" si="94"/>
        <v>0</v>
      </c>
      <c r="AM750" s="165">
        <f t="shared" si="92"/>
        <v>0</v>
      </c>
      <c r="AN750" s="165">
        <f t="shared" si="93"/>
        <v>0</v>
      </c>
      <c r="AO750" s="16"/>
      <c r="AP750" s="231">
        <f t="shared" si="89"/>
        <v>0</v>
      </c>
      <c r="AR750" s="231"/>
      <c r="AS750" s="231"/>
      <c r="AU750" s="230">
        <v>0</v>
      </c>
      <c r="AV750" s="233">
        <v>0</v>
      </c>
      <c r="AW750" s="230">
        <f t="shared" si="87"/>
        <v>0</v>
      </c>
    </row>
    <row r="751" spans="1:49" hidden="1" x14ac:dyDescent="0.3">
      <c r="A751" s="16" t="s">
        <v>931</v>
      </c>
      <c r="B751" s="39" t="s">
        <v>1510</v>
      </c>
      <c r="C751" s="39" t="s">
        <v>95</v>
      </c>
      <c r="D751" s="340" t="s">
        <v>3475</v>
      </c>
      <c r="E751" s="159" t="s">
        <v>1085</v>
      </c>
      <c r="F751" s="159" t="s">
        <v>554</v>
      </c>
      <c r="G751" s="159" t="s">
        <v>309</v>
      </c>
      <c r="H751" s="159" t="s">
        <v>501</v>
      </c>
      <c r="I751" s="159" t="s">
        <v>573</v>
      </c>
      <c r="J751" s="159" t="s">
        <v>312</v>
      </c>
      <c r="K751" s="159" t="s">
        <v>1849</v>
      </c>
      <c r="L751" s="39" t="s">
        <v>304</v>
      </c>
      <c r="M751" s="39" t="s">
        <v>305</v>
      </c>
      <c r="N751" s="39">
        <v>11</v>
      </c>
      <c r="O751" s="39" t="s">
        <v>95</v>
      </c>
      <c r="P751" s="39" t="s">
        <v>932</v>
      </c>
      <c r="Q751" s="39" t="s">
        <v>1510</v>
      </c>
      <c r="R751" s="16" t="s">
        <v>931</v>
      </c>
      <c r="S751" s="160">
        <v>0</v>
      </c>
      <c r="T751" s="160">
        <v>0</v>
      </c>
      <c r="U751" s="160">
        <v>0</v>
      </c>
      <c r="V751" s="160">
        <v>0</v>
      </c>
      <c r="W751" s="160">
        <v>0</v>
      </c>
      <c r="X751" s="161">
        <v>0</v>
      </c>
      <c r="Y751" s="160"/>
      <c r="Z751" s="16">
        <v>0</v>
      </c>
      <c r="AA751" s="162">
        <v>0</v>
      </c>
      <c r="AB751" s="162">
        <v>0</v>
      </c>
      <c r="AC751" s="162">
        <v>0</v>
      </c>
      <c r="AD751" s="160">
        <v>0</v>
      </c>
      <c r="AE751" s="145">
        <v>0</v>
      </c>
      <c r="AF751" s="163">
        <v>1.0469999999999999</v>
      </c>
      <c r="AG751" s="164">
        <v>1.046</v>
      </c>
      <c r="AH751" s="164">
        <v>1.046</v>
      </c>
      <c r="AI751" s="164">
        <v>0</v>
      </c>
      <c r="AJ751" s="164">
        <f t="shared" si="88"/>
        <v>0</v>
      </c>
      <c r="AK751" s="165">
        <v>0</v>
      </c>
      <c r="AL751" s="165">
        <f t="shared" si="94"/>
        <v>0</v>
      </c>
      <c r="AM751" s="165">
        <f t="shared" si="92"/>
        <v>0</v>
      </c>
      <c r="AN751" s="165">
        <f t="shared" si="93"/>
        <v>0</v>
      </c>
      <c r="AO751" s="16"/>
      <c r="AP751" s="231">
        <f t="shared" si="89"/>
        <v>0</v>
      </c>
      <c r="AR751" s="231"/>
      <c r="AS751" s="231"/>
      <c r="AU751" s="230">
        <v>0</v>
      </c>
      <c r="AV751" s="233">
        <v>0</v>
      </c>
      <c r="AW751" s="230">
        <f t="shared" si="87"/>
        <v>0</v>
      </c>
    </row>
    <row r="752" spans="1:49" hidden="1" x14ac:dyDescent="0.3">
      <c r="A752" s="16" t="s">
        <v>1512</v>
      </c>
      <c r="B752" s="39" t="s">
        <v>1511</v>
      </c>
      <c r="C752" s="39" t="s">
        <v>181</v>
      </c>
      <c r="D752" s="340" t="s">
        <v>3475</v>
      </c>
      <c r="E752" s="159" t="s">
        <v>1085</v>
      </c>
      <c r="F752" s="159" t="s">
        <v>554</v>
      </c>
      <c r="G752" s="159" t="s">
        <v>582</v>
      </c>
      <c r="H752" s="159" t="s">
        <v>805</v>
      </c>
      <c r="I752" s="159" t="s">
        <v>322</v>
      </c>
      <c r="J752" s="159" t="s">
        <v>312</v>
      </c>
      <c r="K752" s="159" t="s">
        <v>1849</v>
      </c>
      <c r="L752" s="39" t="s">
        <v>304</v>
      </c>
      <c r="M752" s="39" t="s">
        <v>305</v>
      </c>
      <c r="N752" s="39">
        <v>11</v>
      </c>
      <c r="O752" s="39" t="s">
        <v>803</v>
      </c>
      <c r="P752" s="39" t="s">
        <v>181</v>
      </c>
      <c r="Q752" s="39" t="s">
        <v>1511</v>
      </c>
      <c r="R752" s="16" t="s">
        <v>1512</v>
      </c>
      <c r="S752" s="160">
        <v>-3400000</v>
      </c>
      <c r="T752" s="160">
        <v>0</v>
      </c>
      <c r="U752" s="160">
        <v>0</v>
      </c>
      <c r="V752" s="160">
        <v>0</v>
      </c>
      <c r="W752" s="160">
        <v>-3400000</v>
      </c>
      <c r="X752" s="161">
        <v>0</v>
      </c>
      <c r="Y752" s="160"/>
      <c r="Z752" s="16">
        <v>0</v>
      </c>
      <c r="AA752" s="162">
        <v>0</v>
      </c>
      <c r="AB752" s="162">
        <v>0</v>
      </c>
      <c r="AC752" s="162">
        <v>0</v>
      </c>
      <c r="AD752" s="160">
        <v>0</v>
      </c>
      <c r="AE752" s="145">
        <v>-3400000</v>
      </c>
      <c r="AF752" s="163">
        <v>1.0469999999999999</v>
      </c>
      <c r="AG752" s="164">
        <v>1.046</v>
      </c>
      <c r="AH752" s="164">
        <v>1.046</v>
      </c>
      <c r="AI752" s="164">
        <v>-3400000</v>
      </c>
      <c r="AJ752" s="164">
        <f t="shared" si="88"/>
        <v>0</v>
      </c>
      <c r="AK752" s="165">
        <v>-3400000</v>
      </c>
      <c r="AL752" s="165">
        <f t="shared" si="94"/>
        <v>-3400000</v>
      </c>
      <c r="AM752" s="165">
        <f t="shared" si="92"/>
        <v>-3556400</v>
      </c>
      <c r="AN752" s="165">
        <f t="shared" si="93"/>
        <v>-3719994.4000000004</v>
      </c>
      <c r="AO752" s="16"/>
      <c r="AP752" s="231">
        <f t="shared" si="89"/>
        <v>0</v>
      </c>
      <c r="AR752" s="231"/>
      <c r="AS752" s="231"/>
      <c r="AU752" s="230">
        <v>-3400000</v>
      </c>
      <c r="AV752" s="233">
        <v>-3400000</v>
      </c>
      <c r="AW752" s="230">
        <f t="shared" si="87"/>
        <v>0</v>
      </c>
    </row>
    <row r="753" spans="1:49" hidden="1" x14ac:dyDescent="0.3">
      <c r="A753" s="16" t="s">
        <v>1515</v>
      </c>
      <c r="B753" s="39" t="s">
        <v>1513</v>
      </c>
      <c r="C753" s="39" t="s">
        <v>1514</v>
      </c>
      <c r="D753" s="340" t="s">
        <v>3475</v>
      </c>
      <c r="E753" s="159" t="s">
        <v>1085</v>
      </c>
      <c r="F753" s="159" t="s">
        <v>554</v>
      </c>
      <c r="G753" s="159" t="s">
        <v>582</v>
      </c>
      <c r="H753" s="159" t="s">
        <v>805</v>
      </c>
      <c r="I753" s="159" t="s">
        <v>846</v>
      </c>
      <c r="J753" s="159" t="s">
        <v>312</v>
      </c>
      <c r="K753" s="159" t="s">
        <v>1849</v>
      </c>
      <c r="L753" s="39" t="s">
        <v>304</v>
      </c>
      <c r="M753" s="39" t="s">
        <v>305</v>
      </c>
      <c r="N753" s="39">
        <v>11</v>
      </c>
      <c r="O753" s="39" t="s">
        <v>184</v>
      </c>
      <c r="P753" s="39" t="s">
        <v>1514</v>
      </c>
      <c r="Q753" s="39" t="s">
        <v>1513</v>
      </c>
      <c r="R753" s="16" t="s">
        <v>1515</v>
      </c>
      <c r="S753" s="160">
        <v>0</v>
      </c>
      <c r="T753" s="160">
        <v>0</v>
      </c>
      <c r="U753" s="160">
        <v>0</v>
      </c>
      <c r="V753" s="160">
        <v>0</v>
      </c>
      <c r="W753" s="160">
        <v>0</v>
      </c>
      <c r="X753" s="161">
        <v>0</v>
      </c>
      <c r="Y753" s="160"/>
      <c r="Z753" s="16">
        <v>0</v>
      </c>
      <c r="AA753" s="162">
        <v>0</v>
      </c>
      <c r="AB753" s="162">
        <v>0</v>
      </c>
      <c r="AC753" s="162">
        <v>0</v>
      </c>
      <c r="AD753" s="160">
        <v>0</v>
      </c>
      <c r="AE753" s="145">
        <v>0</v>
      </c>
      <c r="AF753" s="163">
        <v>1.0469999999999999</v>
      </c>
      <c r="AG753" s="164">
        <v>1.046</v>
      </c>
      <c r="AH753" s="164">
        <v>1.046</v>
      </c>
      <c r="AI753" s="164">
        <v>0</v>
      </c>
      <c r="AJ753" s="164">
        <f t="shared" si="88"/>
        <v>0</v>
      </c>
      <c r="AK753" s="165">
        <v>0</v>
      </c>
      <c r="AL753" s="165">
        <f t="shared" si="94"/>
        <v>0</v>
      </c>
      <c r="AM753" s="165">
        <f t="shared" si="92"/>
        <v>0</v>
      </c>
      <c r="AN753" s="165">
        <f t="shared" si="93"/>
        <v>0</v>
      </c>
      <c r="AO753" s="16"/>
      <c r="AP753" s="231">
        <f t="shared" si="89"/>
        <v>0</v>
      </c>
      <c r="AR753" s="231"/>
      <c r="AS753" s="231"/>
      <c r="AU753" s="230">
        <v>0</v>
      </c>
      <c r="AV753" s="233">
        <v>0</v>
      </c>
      <c r="AW753" s="230">
        <f t="shared" si="87"/>
        <v>0</v>
      </c>
    </row>
    <row r="754" spans="1:49" hidden="1" x14ac:dyDescent="0.3">
      <c r="A754" s="16" t="s">
        <v>1518</v>
      </c>
      <c r="B754" s="39" t="s">
        <v>1516</v>
      </c>
      <c r="C754" s="39" t="s">
        <v>1517</v>
      </c>
      <c r="D754" s="340" t="s">
        <v>3475</v>
      </c>
      <c r="E754" s="159" t="s">
        <v>1085</v>
      </c>
      <c r="F754" s="159" t="s">
        <v>554</v>
      </c>
      <c r="G754" s="159" t="s">
        <v>582</v>
      </c>
      <c r="H754" s="159" t="s">
        <v>1074</v>
      </c>
      <c r="I754" s="159" t="s">
        <v>319</v>
      </c>
      <c r="J754" s="159" t="s">
        <v>312</v>
      </c>
      <c r="K754" s="159" t="s">
        <v>1849</v>
      </c>
      <c r="L754" s="39" t="s">
        <v>304</v>
      </c>
      <c r="M754" s="39" t="s">
        <v>305</v>
      </c>
      <c r="N754" s="39">
        <v>11</v>
      </c>
      <c r="O754" s="39" t="s">
        <v>1517</v>
      </c>
      <c r="P754" s="39" t="s">
        <v>1517</v>
      </c>
      <c r="Q754" s="39" t="s">
        <v>1516</v>
      </c>
      <c r="R754" s="16" t="s">
        <v>1518</v>
      </c>
      <c r="S754" s="160">
        <v>0</v>
      </c>
      <c r="T754" s="160">
        <v>0</v>
      </c>
      <c r="U754" s="160">
        <v>0</v>
      </c>
      <c r="V754" s="160">
        <v>0</v>
      </c>
      <c r="W754" s="160">
        <v>0</v>
      </c>
      <c r="X754" s="161">
        <v>0</v>
      </c>
      <c r="Y754" s="160"/>
      <c r="Z754" s="16">
        <v>0</v>
      </c>
      <c r="AA754" s="162">
        <v>0</v>
      </c>
      <c r="AB754" s="162">
        <v>0</v>
      </c>
      <c r="AC754" s="162">
        <v>0</v>
      </c>
      <c r="AD754" s="160">
        <v>0</v>
      </c>
      <c r="AE754" s="145">
        <v>0</v>
      </c>
      <c r="AF754" s="163">
        <v>1.0469999999999999</v>
      </c>
      <c r="AG754" s="164">
        <v>1.046</v>
      </c>
      <c r="AH754" s="164">
        <v>1.046</v>
      </c>
      <c r="AI754" s="164">
        <v>0</v>
      </c>
      <c r="AJ754" s="164">
        <f t="shared" si="88"/>
        <v>0</v>
      </c>
      <c r="AK754" s="165">
        <v>0</v>
      </c>
      <c r="AL754" s="165">
        <f t="shared" si="94"/>
        <v>0</v>
      </c>
      <c r="AM754" s="165">
        <f t="shared" si="92"/>
        <v>0</v>
      </c>
      <c r="AN754" s="165">
        <f t="shared" si="93"/>
        <v>0</v>
      </c>
      <c r="AO754" s="16"/>
      <c r="AP754" s="231">
        <f t="shared" si="89"/>
        <v>0</v>
      </c>
      <c r="AR754" s="231"/>
      <c r="AS754" s="231"/>
      <c r="AU754" s="230">
        <v>0</v>
      </c>
      <c r="AV754" s="233">
        <v>0</v>
      </c>
      <c r="AW754" s="230">
        <f t="shared" si="87"/>
        <v>0</v>
      </c>
    </row>
    <row r="755" spans="1:49" hidden="1" x14ac:dyDescent="0.3">
      <c r="A755" s="16" t="s">
        <v>1521</v>
      </c>
      <c r="B755" s="39" t="s">
        <v>1519</v>
      </c>
      <c r="C755" s="39" t="s">
        <v>1520</v>
      </c>
      <c r="D755" s="340" t="s">
        <v>3475</v>
      </c>
      <c r="E755" s="159" t="s">
        <v>1085</v>
      </c>
      <c r="F755" s="159" t="s">
        <v>554</v>
      </c>
      <c r="G755" s="159" t="s">
        <v>582</v>
      </c>
      <c r="H755" s="159" t="s">
        <v>1176</v>
      </c>
      <c r="I755" s="159" t="s">
        <v>319</v>
      </c>
      <c r="J755" s="159" t="s">
        <v>312</v>
      </c>
      <c r="K755" s="159" t="s">
        <v>1849</v>
      </c>
      <c r="L755" s="39" t="s">
        <v>304</v>
      </c>
      <c r="M755" s="39" t="s">
        <v>305</v>
      </c>
      <c r="N755" s="39">
        <v>11</v>
      </c>
      <c r="O755" s="39" t="s">
        <v>1520</v>
      </c>
      <c r="P755" s="39" t="s">
        <v>1520</v>
      </c>
      <c r="Q755" s="39" t="s">
        <v>1519</v>
      </c>
      <c r="R755" s="16" t="s">
        <v>1521</v>
      </c>
      <c r="S755" s="160">
        <v>0</v>
      </c>
      <c r="T755" s="160">
        <v>0</v>
      </c>
      <c r="U755" s="160">
        <v>0</v>
      </c>
      <c r="V755" s="160">
        <v>0</v>
      </c>
      <c r="W755" s="160">
        <v>0</v>
      </c>
      <c r="X755" s="161">
        <v>0</v>
      </c>
      <c r="Y755" s="160"/>
      <c r="Z755" s="16">
        <v>0</v>
      </c>
      <c r="AA755" s="162">
        <v>0</v>
      </c>
      <c r="AB755" s="162">
        <v>0</v>
      </c>
      <c r="AC755" s="162">
        <v>0</v>
      </c>
      <c r="AD755" s="160">
        <v>0</v>
      </c>
      <c r="AE755" s="145">
        <v>0</v>
      </c>
      <c r="AF755" s="163">
        <v>1.0469999999999999</v>
      </c>
      <c r="AG755" s="164">
        <v>1.046</v>
      </c>
      <c r="AH755" s="164">
        <v>1.046</v>
      </c>
      <c r="AI755" s="164">
        <v>0</v>
      </c>
      <c r="AJ755" s="164">
        <f t="shared" si="88"/>
        <v>0</v>
      </c>
      <c r="AK755" s="165">
        <v>0</v>
      </c>
      <c r="AL755" s="165">
        <f t="shared" si="94"/>
        <v>0</v>
      </c>
      <c r="AM755" s="165">
        <f t="shared" si="92"/>
        <v>0</v>
      </c>
      <c r="AN755" s="165">
        <f t="shared" si="93"/>
        <v>0</v>
      </c>
      <c r="AO755" s="16"/>
      <c r="AP755" s="231">
        <f t="shared" si="89"/>
        <v>0</v>
      </c>
      <c r="AR755" s="231"/>
      <c r="AS755" s="231"/>
      <c r="AU755" s="230">
        <v>0</v>
      </c>
      <c r="AV755" s="233">
        <v>0</v>
      </c>
      <c r="AW755" s="230">
        <f t="shared" si="87"/>
        <v>0</v>
      </c>
    </row>
    <row r="756" spans="1:49" s="250" customFormat="1" hidden="1" x14ac:dyDescent="0.3">
      <c r="A756" s="241" t="s">
        <v>1523</v>
      </c>
      <c r="B756" s="242" t="s">
        <v>1522</v>
      </c>
      <c r="C756" s="242" t="s">
        <v>191</v>
      </c>
      <c r="D756" s="340" t="s">
        <v>3475</v>
      </c>
      <c r="E756" s="243" t="s">
        <v>1085</v>
      </c>
      <c r="F756" s="243" t="s">
        <v>554</v>
      </c>
      <c r="G756" s="243" t="s">
        <v>1078</v>
      </c>
      <c r="H756" s="243" t="s">
        <v>1524</v>
      </c>
      <c r="I756" s="243" t="s">
        <v>1199</v>
      </c>
      <c r="J756" s="243" t="s">
        <v>312</v>
      </c>
      <c r="K756" s="243" t="s">
        <v>1997</v>
      </c>
      <c r="L756" s="242" t="s">
        <v>1525</v>
      </c>
      <c r="M756" s="242" t="s">
        <v>305</v>
      </c>
      <c r="N756" s="242">
        <v>11</v>
      </c>
      <c r="O756" s="242" t="s">
        <v>191</v>
      </c>
      <c r="P756" s="242" t="s">
        <v>191</v>
      </c>
      <c r="Q756" s="242" t="s">
        <v>1522</v>
      </c>
      <c r="R756" s="241" t="s">
        <v>1523</v>
      </c>
      <c r="S756" s="223">
        <v>20000000</v>
      </c>
      <c r="T756" s="160">
        <v>2320514.5</v>
      </c>
      <c r="U756" s="160">
        <v>9170726.2100000009</v>
      </c>
      <c r="V756" s="160">
        <v>3624273.79</v>
      </c>
      <c r="W756" s="160">
        <v>16375726.210000001</v>
      </c>
      <c r="X756" s="161">
        <v>0</v>
      </c>
      <c r="Y756" s="160"/>
      <c r="Z756" s="16">
        <v>18.12</v>
      </c>
      <c r="AA756" s="162">
        <v>12795000</v>
      </c>
      <c r="AB756" s="224">
        <v>3198750</v>
      </c>
      <c r="AC756" s="224">
        <v>38385000</v>
      </c>
      <c r="AD756" s="223">
        <v>0</v>
      </c>
      <c r="AE756" s="244">
        <v>26000000</v>
      </c>
      <c r="AF756" s="220">
        <v>1.0469999999999999</v>
      </c>
      <c r="AG756" s="221">
        <v>1.046</v>
      </c>
      <c r="AH756" s="221">
        <v>1.046</v>
      </c>
      <c r="AI756" s="245">
        <v>20000000</v>
      </c>
      <c r="AJ756" s="164">
        <f t="shared" si="88"/>
        <v>6000000</v>
      </c>
      <c r="AK756" s="246">
        <v>25000000</v>
      </c>
      <c r="AL756" s="246">
        <f t="shared" si="94"/>
        <v>25000000</v>
      </c>
      <c r="AM756" s="246">
        <f t="shared" si="92"/>
        <v>26150000</v>
      </c>
      <c r="AN756" s="246">
        <f t="shared" si="93"/>
        <v>27352900</v>
      </c>
      <c r="AO756" s="244"/>
      <c r="AP756" s="247">
        <f t="shared" si="89"/>
        <v>0</v>
      </c>
      <c r="AR756" s="231"/>
      <c r="AS756" s="231"/>
      <c r="AU756" s="248">
        <v>20000000</v>
      </c>
      <c r="AV756" s="249">
        <v>20000000</v>
      </c>
      <c r="AW756" s="248">
        <f t="shared" si="87"/>
        <v>0</v>
      </c>
    </row>
    <row r="757" spans="1:49" hidden="1" x14ac:dyDescent="0.3">
      <c r="A757" s="16" t="s">
        <v>1528</v>
      </c>
      <c r="B757" s="39" t="s">
        <v>1526</v>
      </c>
      <c r="C757" s="39" t="s">
        <v>1527</v>
      </c>
      <c r="D757" s="340" t="s">
        <v>3475</v>
      </c>
      <c r="E757" s="159" t="s">
        <v>1085</v>
      </c>
      <c r="F757" s="159" t="s">
        <v>554</v>
      </c>
      <c r="G757" s="159" t="s">
        <v>1078</v>
      </c>
      <c r="H757" s="159" t="s">
        <v>1194</v>
      </c>
      <c r="I757" s="159" t="s">
        <v>393</v>
      </c>
      <c r="J757" s="159" t="s">
        <v>312</v>
      </c>
      <c r="K757" s="159" t="s">
        <v>1081</v>
      </c>
      <c r="L757" s="39" t="s">
        <v>1529</v>
      </c>
      <c r="M757" s="39" t="s">
        <v>305</v>
      </c>
      <c r="N757" s="39">
        <v>11</v>
      </c>
      <c r="O757" s="39" t="s">
        <v>1527</v>
      </c>
      <c r="P757" s="39" t="s">
        <v>1527</v>
      </c>
      <c r="Q757" s="39" t="s">
        <v>1526</v>
      </c>
      <c r="R757" s="16" t="s">
        <v>1528</v>
      </c>
      <c r="S757" s="160">
        <v>0</v>
      </c>
      <c r="T757" s="160">
        <v>0</v>
      </c>
      <c r="U757" s="160">
        <v>0</v>
      </c>
      <c r="V757" s="160">
        <v>0</v>
      </c>
      <c r="W757" s="160">
        <v>0</v>
      </c>
      <c r="X757" s="161">
        <v>0</v>
      </c>
      <c r="Y757" s="160"/>
      <c r="Z757" s="16">
        <v>0</v>
      </c>
      <c r="AA757" s="162">
        <v>0</v>
      </c>
      <c r="AB757" s="162">
        <v>0</v>
      </c>
      <c r="AC757" s="162">
        <v>0</v>
      </c>
      <c r="AD757" s="160">
        <v>0</v>
      </c>
      <c r="AE757" s="145">
        <v>0</v>
      </c>
      <c r="AF757" s="163">
        <v>1.0469999999999999</v>
      </c>
      <c r="AG757" s="164">
        <v>1.046</v>
      </c>
      <c r="AH757" s="164">
        <v>1.046</v>
      </c>
      <c r="AI757" s="164">
        <v>0</v>
      </c>
      <c r="AJ757" s="164">
        <f t="shared" si="88"/>
        <v>0</v>
      </c>
      <c r="AK757" s="165">
        <v>0</v>
      </c>
      <c r="AL757" s="165">
        <v>0</v>
      </c>
      <c r="AM757" s="165">
        <f t="shared" si="92"/>
        <v>0</v>
      </c>
      <c r="AN757" s="165">
        <f t="shared" si="93"/>
        <v>0</v>
      </c>
      <c r="AO757" s="16"/>
      <c r="AP757" s="231">
        <f t="shared" si="89"/>
        <v>0</v>
      </c>
      <c r="AR757" s="231"/>
      <c r="AS757" s="231"/>
      <c r="AU757" s="230">
        <v>0</v>
      </c>
      <c r="AV757" s="233">
        <v>0</v>
      </c>
      <c r="AW757" s="230">
        <f t="shared" si="87"/>
        <v>0</v>
      </c>
    </row>
    <row r="758" spans="1:49" s="250" customFormat="1" hidden="1" x14ac:dyDescent="0.3">
      <c r="A758" s="241" t="s">
        <v>234</v>
      </c>
      <c r="B758" s="242" t="s">
        <v>1530</v>
      </c>
      <c r="C758" s="242" t="s">
        <v>1531</v>
      </c>
      <c r="D758" s="340" t="s">
        <v>3475</v>
      </c>
      <c r="E758" s="243" t="s">
        <v>1085</v>
      </c>
      <c r="F758" s="243" t="s">
        <v>554</v>
      </c>
      <c r="G758" s="243" t="s">
        <v>1078</v>
      </c>
      <c r="H758" s="243" t="s">
        <v>1194</v>
      </c>
      <c r="I758" s="243" t="s">
        <v>393</v>
      </c>
      <c r="J758" s="243" t="s">
        <v>312</v>
      </c>
      <c r="K758" s="243" t="s">
        <v>1081</v>
      </c>
      <c r="L758" s="242" t="s">
        <v>1532</v>
      </c>
      <c r="M758" s="242" t="s">
        <v>305</v>
      </c>
      <c r="N758" s="242">
        <v>11</v>
      </c>
      <c r="O758" s="242" t="s">
        <v>1531</v>
      </c>
      <c r="P758" s="242" t="s">
        <v>1531</v>
      </c>
      <c r="Q758" s="242" t="s">
        <v>1530</v>
      </c>
      <c r="R758" s="241" t="s">
        <v>234</v>
      </c>
      <c r="S758" s="223">
        <v>5000000</v>
      </c>
      <c r="T758" s="160">
        <v>0</v>
      </c>
      <c r="U758" s="160">
        <v>0</v>
      </c>
      <c r="V758" s="160">
        <v>0</v>
      </c>
      <c r="W758" s="160">
        <v>5000000</v>
      </c>
      <c r="X758" s="161">
        <v>0</v>
      </c>
      <c r="Y758" s="160"/>
      <c r="Z758" s="16">
        <v>0</v>
      </c>
      <c r="AA758" s="162">
        <v>0</v>
      </c>
      <c r="AB758" s="224">
        <v>0</v>
      </c>
      <c r="AC758" s="224">
        <v>0</v>
      </c>
      <c r="AD758" s="223">
        <v>0</v>
      </c>
      <c r="AE758" s="244">
        <v>0</v>
      </c>
      <c r="AF758" s="220">
        <v>1.0469999999999999</v>
      </c>
      <c r="AG758" s="221">
        <v>1.046</v>
      </c>
      <c r="AH758" s="221">
        <v>1.046</v>
      </c>
      <c r="AI758" s="245">
        <v>5000000</v>
      </c>
      <c r="AJ758" s="164">
        <f t="shared" si="88"/>
        <v>-5000000</v>
      </c>
      <c r="AK758" s="246">
        <v>5000000</v>
      </c>
      <c r="AL758" s="246">
        <f t="shared" ref="AL758" si="95">AK758</f>
        <v>5000000</v>
      </c>
      <c r="AM758" s="246">
        <f t="shared" si="92"/>
        <v>5230000</v>
      </c>
      <c r="AN758" s="246">
        <f t="shared" si="93"/>
        <v>5470580</v>
      </c>
      <c r="AO758" s="241"/>
      <c r="AP758" s="247">
        <f t="shared" si="89"/>
        <v>0</v>
      </c>
      <c r="AR758" s="231"/>
      <c r="AS758" s="231"/>
      <c r="AU758" s="248">
        <v>5000000</v>
      </c>
      <c r="AV758" s="249">
        <v>5000000</v>
      </c>
      <c r="AW758" s="248">
        <f t="shared" si="87"/>
        <v>0</v>
      </c>
    </row>
    <row r="759" spans="1:49" hidden="1" x14ac:dyDescent="0.3">
      <c r="A759" s="16" t="s">
        <v>1535</v>
      </c>
      <c r="B759" s="39" t="s">
        <v>1533</v>
      </c>
      <c r="C759" s="39" t="s">
        <v>1534</v>
      </c>
      <c r="D759" s="340" t="s">
        <v>3475</v>
      </c>
      <c r="E759" s="159" t="s">
        <v>1085</v>
      </c>
      <c r="F759" s="159" t="s">
        <v>554</v>
      </c>
      <c r="G759" s="159" t="s">
        <v>1078</v>
      </c>
      <c r="H759" s="159" t="s">
        <v>1194</v>
      </c>
      <c r="I759" s="159" t="s">
        <v>1195</v>
      </c>
      <c r="J759" s="159" t="s">
        <v>312</v>
      </c>
      <c r="K759" s="159" t="s">
        <v>2097</v>
      </c>
      <c r="L759" s="39" t="s">
        <v>1536</v>
      </c>
      <c r="M759" s="39" t="s">
        <v>305</v>
      </c>
      <c r="N759" s="39">
        <v>11</v>
      </c>
      <c r="O759" s="39" t="s">
        <v>1534</v>
      </c>
      <c r="P759" s="39" t="s">
        <v>1534</v>
      </c>
      <c r="Q759" s="39" t="s">
        <v>1533</v>
      </c>
      <c r="R759" s="16" t="s">
        <v>1535</v>
      </c>
      <c r="S759" s="160">
        <v>0</v>
      </c>
      <c r="T759" s="160">
        <v>0</v>
      </c>
      <c r="U759" s="160">
        <v>0</v>
      </c>
      <c r="V759" s="160">
        <v>0</v>
      </c>
      <c r="W759" s="160">
        <v>0</v>
      </c>
      <c r="X759" s="161">
        <v>0</v>
      </c>
      <c r="Y759" s="160"/>
      <c r="Z759" s="16">
        <v>0</v>
      </c>
      <c r="AA759" s="162">
        <v>0</v>
      </c>
      <c r="AB759" s="162">
        <v>0</v>
      </c>
      <c r="AC759" s="162">
        <v>0</v>
      </c>
      <c r="AD759" s="160">
        <v>0</v>
      </c>
      <c r="AE759" s="145">
        <v>0</v>
      </c>
      <c r="AF759" s="163">
        <v>1.0469999999999999</v>
      </c>
      <c r="AG759" s="164">
        <v>1.046</v>
      </c>
      <c r="AH759" s="164">
        <v>1.046</v>
      </c>
      <c r="AI759" s="164">
        <v>0</v>
      </c>
      <c r="AJ759" s="164">
        <f t="shared" si="88"/>
        <v>0</v>
      </c>
      <c r="AK759" s="165">
        <v>0</v>
      </c>
      <c r="AL759" s="165">
        <v>0</v>
      </c>
      <c r="AM759" s="165">
        <f t="shared" si="92"/>
        <v>0</v>
      </c>
      <c r="AN759" s="165">
        <f t="shared" si="93"/>
        <v>0</v>
      </c>
      <c r="AO759" s="16"/>
      <c r="AP759" s="231">
        <f t="shared" si="89"/>
        <v>0</v>
      </c>
      <c r="AR759" s="231"/>
      <c r="AS759" s="231"/>
      <c r="AU759" s="230">
        <v>0</v>
      </c>
      <c r="AV759" s="233">
        <v>0</v>
      </c>
      <c r="AW759" s="230">
        <f t="shared" si="87"/>
        <v>0</v>
      </c>
    </row>
    <row r="760" spans="1:49" hidden="1" x14ac:dyDescent="0.3">
      <c r="A760" s="16" t="s">
        <v>223</v>
      </c>
      <c r="B760" s="39" t="s">
        <v>1537</v>
      </c>
      <c r="C760" s="39" t="s">
        <v>224</v>
      </c>
      <c r="D760" s="340" t="s">
        <v>3475</v>
      </c>
      <c r="E760" s="159" t="s">
        <v>1085</v>
      </c>
      <c r="F760" s="159" t="s">
        <v>554</v>
      </c>
      <c r="G760" s="159" t="s">
        <v>1078</v>
      </c>
      <c r="H760" s="159" t="s">
        <v>1194</v>
      </c>
      <c r="I760" s="159" t="s">
        <v>1195</v>
      </c>
      <c r="J760" s="159" t="s">
        <v>312</v>
      </c>
      <c r="K760" s="159" t="s">
        <v>1997</v>
      </c>
      <c r="L760" s="39" t="s">
        <v>1538</v>
      </c>
      <c r="M760" s="39" t="s">
        <v>305</v>
      </c>
      <c r="N760" s="39">
        <v>11</v>
      </c>
      <c r="O760" s="39" t="s">
        <v>224</v>
      </c>
      <c r="P760" s="39" t="s">
        <v>224</v>
      </c>
      <c r="Q760" s="39" t="s">
        <v>1537</v>
      </c>
      <c r="R760" s="16" t="s">
        <v>223</v>
      </c>
      <c r="S760" s="160">
        <v>0</v>
      </c>
      <c r="T760" s="160">
        <v>0</v>
      </c>
      <c r="U760" s="160">
        <v>0</v>
      </c>
      <c r="V760" s="160">
        <v>0</v>
      </c>
      <c r="W760" s="160">
        <v>0</v>
      </c>
      <c r="X760" s="161">
        <v>0</v>
      </c>
      <c r="Y760" s="160"/>
      <c r="Z760" s="16">
        <v>0</v>
      </c>
      <c r="AA760" s="162">
        <v>0</v>
      </c>
      <c r="AB760" s="162">
        <v>0</v>
      </c>
      <c r="AC760" s="162">
        <v>0</v>
      </c>
      <c r="AD760" s="160">
        <v>0</v>
      </c>
      <c r="AE760" s="145">
        <v>0</v>
      </c>
      <c r="AF760" s="163">
        <v>1.0469999999999999</v>
      </c>
      <c r="AG760" s="164">
        <v>1.046</v>
      </c>
      <c r="AH760" s="164">
        <v>1.046</v>
      </c>
      <c r="AI760" s="164">
        <v>0</v>
      </c>
      <c r="AJ760" s="164">
        <f t="shared" si="88"/>
        <v>0</v>
      </c>
      <c r="AK760" s="165">
        <v>0</v>
      </c>
      <c r="AL760" s="165">
        <v>0</v>
      </c>
      <c r="AM760" s="165">
        <f t="shared" si="92"/>
        <v>0</v>
      </c>
      <c r="AN760" s="165">
        <f t="shared" si="93"/>
        <v>0</v>
      </c>
      <c r="AO760" s="16"/>
      <c r="AP760" s="231">
        <f t="shared" si="89"/>
        <v>0</v>
      </c>
      <c r="AR760" s="231"/>
      <c r="AS760" s="231"/>
      <c r="AU760" s="230">
        <v>0</v>
      </c>
      <c r="AV760" s="233">
        <v>0</v>
      </c>
      <c r="AW760" s="230">
        <f t="shared" si="87"/>
        <v>0</v>
      </c>
    </row>
    <row r="761" spans="1:49" s="222" customFormat="1" hidden="1" x14ac:dyDescent="0.3">
      <c r="A761" s="215" t="s">
        <v>251</v>
      </c>
      <c r="B761" s="216" t="s">
        <v>1539</v>
      </c>
      <c r="C761" s="216" t="s">
        <v>1540</v>
      </c>
      <c r="D761" s="340" t="s">
        <v>3475</v>
      </c>
      <c r="E761" s="217" t="s">
        <v>1085</v>
      </c>
      <c r="F761" s="217" t="s">
        <v>554</v>
      </c>
      <c r="G761" s="217" t="s">
        <v>1078</v>
      </c>
      <c r="H761" s="217" t="s">
        <v>1194</v>
      </c>
      <c r="I761" s="217" t="s">
        <v>1195</v>
      </c>
      <c r="J761" s="217" t="s">
        <v>312</v>
      </c>
      <c r="K761" s="217" t="s">
        <v>1081</v>
      </c>
      <c r="L761" s="216" t="s">
        <v>1541</v>
      </c>
      <c r="M761" s="216" t="s">
        <v>305</v>
      </c>
      <c r="N761" s="216">
        <v>11</v>
      </c>
      <c r="O761" s="216" t="s">
        <v>1540</v>
      </c>
      <c r="P761" s="216" t="s">
        <v>1540</v>
      </c>
      <c r="Q761" s="216" t="s">
        <v>1539</v>
      </c>
      <c r="R761" s="215" t="s">
        <v>251</v>
      </c>
      <c r="S761" s="218">
        <v>7100000</v>
      </c>
      <c r="T761" s="160">
        <v>1354146.34</v>
      </c>
      <c r="U761" s="160">
        <v>5050957.91</v>
      </c>
      <c r="V761" s="160">
        <v>2049042.09</v>
      </c>
      <c r="W761" s="160">
        <v>5050957.91</v>
      </c>
      <c r="X761" s="161">
        <v>3652402.24</v>
      </c>
      <c r="Y761" s="160"/>
      <c r="Z761" s="16">
        <v>28.85</v>
      </c>
      <c r="AA761" s="162">
        <v>7100000</v>
      </c>
      <c r="AB761" s="162">
        <v>1775000</v>
      </c>
      <c r="AC761" s="162">
        <v>21300000</v>
      </c>
      <c r="AD761" s="160">
        <v>0</v>
      </c>
      <c r="AE761" s="219">
        <v>7100000</v>
      </c>
      <c r="AF761" s="220">
        <v>1.0469999999999999</v>
      </c>
      <c r="AG761" s="221">
        <v>1.046</v>
      </c>
      <c r="AH761" s="221">
        <v>1.046</v>
      </c>
      <c r="AI761" s="221">
        <v>7100000</v>
      </c>
      <c r="AJ761" s="164">
        <f t="shared" si="88"/>
        <v>0</v>
      </c>
      <c r="AK761" s="214">
        <v>7100000</v>
      </c>
      <c r="AL761" s="214">
        <f t="shared" ref="AL761:AL768" si="96">AK761</f>
        <v>7100000</v>
      </c>
      <c r="AM761" s="214">
        <f t="shared" si="92"/>
        <v>7426600</v>
      </c>
      <c r="AN761" s="214">
        <f t="shared" si="93"/>
        <v>7768223.6000000006</v>
      </c>
      <c r="AO761" s="16"/>
      <c r="AP761" s="231">
        <f t="shared" si="89"/>
        <v>0</v>
      </c>
      <c r="AQ761"/>
      <c r="AR761" s="231"/>
      <c r="AS761" s="231"/>
      <c r="AT761"/>
      <c r="AU761" s="230">
        <v>7100000</v>
      </c>
      <c r="AV761" s="233">
        <v>7100000</v>
      </c>
      <c r="AW761" s="230">
        <f t="shared" si="87"/>
        <v>0</v>
      </c>
    </row>
    <row r="762" spans="1:49" s="222" customFormat="1" hidden="1" x14ac:dyDescent="0.3">
      <c r="A762" s="215" t="s">
        <v>223</v>
      </c>
      <c r="B762" s="216" t="s">
        <v>1542</v>
      </c>
      <c r="C762" s="216" t="s">
        <v>224</v>
      </c>
      <c r="D762" s="340" t="s">
        <v>3475</v>
      </c>
      <c r="E762" s="217" t="s">
        <v>1085</v>
      </c>
      <c r="F762" s="217" t="s">
        <v>554</v>
      </c>
      <c r="G762" s="217" t="s">
        <v>1078</v>
      </c>
      <c r="H762" s="217" t="s">
        <v>1194</v>
      </c>
      <c r="I762" s="217" t="s">
        <v>1195</v>
      </c>
      <c r="J762" s="217" t="s">
        <v>312</v>
      </c>
      <c r="K762" s="217" t="s">
        <v>1081</v>
      </c>
      <c r="L762" s="216" t="s">
        <v>1538</v>
      </c>
      <c r="M762" s="216" t="s">
        <v>305</v>
      </c>
      <c r="N762" s="216">
        <v>11</v>
      </c>
      <c r="O762" s="216" t="s">
        <v>224</v>
      </c>
      <c r="P762" s="216" t="s">
        <v>224</v>
      </c>
      <c r="Q762" s="216" t="s">
        <v>1542</v>
      </c>
      <c r="R762" s="215" t="s">
        <v>223</v>
      </c>
      <c r="S762" s="218">
        <v>5000000</v>
      </c>
      <c r="T762" s="160">
        <v>1187630.83</v>
      </c>
      <c r="U762" s="160">
        <v>3812369.17</v>
      </c>
      <c r="V762" s="160">
        <v>1187630.83</v>
      </c>
      <c r="W762" s="160">
        <v>3812369.17</v>
      </c>
      <c r="X762" s="161">
        <v>0</v>
      </c>
      <c r="Y762" s="160"/>
      <c r="Z762" s="16">
        <v>23.75</v>
      </c>
      <c r="AA762" s="162">
        <v>5000000</v>
      </c>
      <c r="AB762" s="162">
        <v>1250000</v>
      </c>
      <c r="AC762" s="162">
        <v>15000000</v>
      </c>
      <c r="AD762" s="160">
        <v>0</v>
      </c>
      <c r="AE762" s="219">
        <v>5000000</v>
      </c>
      <c r="AF762" s="220">
        <v>1.0469999999999999</v>
      </c>
      <c r="AG762" s="221">
        <v>1.046</v>
      </c>
      <c r="AH762" s="221">
        <v>1.046</v>
      </c>
      <c r="AI762" s="221">
        <v>5000000</v>
      </c>
      <c r="AJ762" s="164">
        <f t="shared" si="88"/>
        <v>0</v>
      </c>
      <c r="AK762" s="214">
        <v>5000000</v>
      </c>
      <c r="AL762" s="214">
        <f t="shared" si="96"/>
        <v>5000000</v>
      </c>
      <c r="AM762" s="214">
        <f t="shared" si="92"/>
        <v>5230000</v>
      </c>
      <c r="AN762" s="214">
        <f t="shared" si="93"/>
        <v>5470580</v>
      </c>
      <c r="AO762" s="16"/>
      <c r="AP762" s="231">
        <f t="shared" si="89"/>
        <v>0</v>
      </c>
      <c r="AQ762"/>
      <c r="AR762" s="231"/>
      <c r="AS762" s="231"/>
      <c r="AT762"/>
      <c r="AU762" s="230">
        <v>5000000</v>
      </c>
      <c r="AV762" s="233">
        <v>5000000</v>
      </c>
      <c r="AW762" s="230">
        <f t="shared" si="87"/>
        <v>0</v>
      </c>
    </row>
    <row r="763" spans="1:49" s="250" customFormat="1" hidden="1" x14ac:dyDescent="0.3">
      <c r="A763" s="241" t="s">
        <v>209</v>
      </c>
      <c r="B763" s="242" t="s">
        <v>1543</v>
      </c>
      <c r="C763" s="242" t="s">
        <v>2098</v>
      </c>
      <c r="D763" s="340" t="s">
        <v>3475</v>
      </c>
      <c r="E763" s="243" t="s">
        <v>1085</v>
      </c>
      <c r="F763" s="243" t="s">
        <v>554</v>
      </c>
      <c r="G763" s="243" t="s">
        <v>1078</v>
      </c>
      <c r="H763" s="243" t="s">
        <v>1194</v>
      </c>
      <c r="I763" s="243" t="s">
        <v>1195</v>
      </c>
      <c r="J763" s="243" t="s">
        <v>312</v>
      </c>
      <c r="K763" s="243" t="s">
        <v>1081</v>
      </c>
      <c r="L763" s="242" t="s">
        <v>1544</v>
      </c>
      <c r="M763" s="242" t="s">
        <v>305</v>
      </c>
      <c r="N763" s="242">
        <v>11</v>
      </c>
      <c r="O763" s="242" t="s">
        <v>2098</v>
      </c>
      <c r="P763" s="242" t="s">
        <v>2098</v>
      </c>
      <c r="Q763" s="242" t="s">
        <v>1543</v>
      </c>
      <c r="R763" s="241" t="s">
        <v>209</v>
      </c>
      <c r="S763" s="223">
        <v>8000000</v>
      </c>
      <c r="T763" s="160">
        <v>0</v>
      </c>
      <c r="U763" s="160">
        <v>8000000</v>
      </c>
      <c r="V763" s="160">
        <v>0</v>
      </c>
      <c r="W763" s="160">
        <v>8000000</v>
      </c>
      <c r="X763" s="161">
        <v>0</v>
      </c>
      <c r="Y763" s="160"/>
      <c r="Z763" s="16">
        <v>0</v>
      </c>
      <c r="AA763" s="162">
        <v>8000000</v>
      </c>
      <c r="AB763" s="224">
        <v>2000000</v>
      </c>
      <c r="AC763" s="224">
        <v>24000000</v>
      </c>
      <c r="AD763" s="223">
        <v>0</v>
      </c>
      <c r="AE763" s="244">
        <v>0</v>
      </c>
      <c r="AF763" s="220">
        <v>1.0469999999999999</v>
      </c>
      <c r="AG763" s="221">
        <v>1.046</v>
      </c>
      <c r="AH763" s="221">
        <v>1.046</v>
      </c>
      <c r="AI763" s="245">
        <v>8000000</v>
      </c>
      <c r="AJ763" s="164">
        <f t="shared" si="88"/>
        <v>-8000000</v>
      </c>
      <c r="AK763" s="246">
        <v>6500000</v>
      </c>
      <c r="AL763" s="246">
        <f t="shared" si="96"/>
        <v>6500000</v>
      </c>
      <c r="AM763" s="246">
        <f t="shared" si="92"/>
        <v>6799000</v>
      </c>
      <c r="AN763" s="246">
        <f t="shared" si="93"/>
        <v>7111754</v>
      </c>
      <c r="AO763" s="241"/>
      <c r="AP763" s="247">
        <f t="shared" si="89"/>
        <v>0</v>
      </c>
      <c r="AR763" s="231"/>
      <c r="AS763" s="231"/>
      <c r="AU763" s="248">
        <v>8000000</v>
      </c>
      <c r="AV763" s="249">
        <v>8000000</v>
      </c>
      <c r="AW763" s="248">
        <f t="shared" si="87"/>
        <v>0</v>
      </c>
    </row>
    <row r="764" spans="1:49" s="250" customFormat="1" hidden="1" x14ac:dyDescent="0.3">
      <c r="A764" s="241" t="s">
        <v>210</v>
      </c>
      <c r="B764" s="242" t="s">
        <v>1545</v>
      </c>
      <c r="C764" s="242" t="s">
        <v>2099</v>
      </c>
      <c r="D764" s="340" t="s">
        <v>3475</v>
      </c>
      <c r="E764" s="243" t="s">
        <v>1085</v>
      </c>
      <c r="F764" s="243" t="s">
        <v>554</v>
      </c>
      <c r="G764" s="243" t="s">
        <v>1078</v>
      </c>
      <c r="H764" s="243" t="s">
        <v>1194</v>
      </c>
      <c r="I764" s="243" t="s">
        <v>1195</v>
      </c>
      <c r="J764" s="243" t="s">
        <v>312</v>
      </c>
      <c r="K764" s="243" t="s">
        <v>1081</v>
      </c>
      <c r="L764" s="242" t="s">
        <v>1546</v>
      </c>
      <c r="M764" s="242" t="s">
        <v>305</v>
      </c>
      <c r="N764" s="242">
        <v>11</v>
      </c>
      <c r="O764" s="242" t="s">
        <v>2099</v>
      </c>
      <c r="P764" s="242" t="s">
        <v>2099</v>
      </c>
      <c r="Q764" s="242" t="s">
        <v>1545</v>
      </c>
      <c r="R764" s="241" t="s">
        <v>210</v>
      </c>
      <c r="S764" s="223">
        <v>8000000</v>
      </c>
      <c r="T764" s="160">
        <v>0</v>
      </c>
      <c r="U764" s="160">
        <v>8000000</v>
      </c>
      <c r="V764" s="160">
        <v>0</v>
      </c>
      <c r="W764" s="160">
        <v>8000000</v>
      </c>
      <c r="X764" s="161">
        <v>0</v>
      </c>
      <c r="Y764" s="160"/>
      <c r="Z764" s="16">
        <v>0</v>
      </c>
      <c r="AA764" s="162">
        <v>8000000</v>
      </c>
      <c r="AB764" s="224">
        <v>2000000</v>
      </c>
      <c r="AC764" s="224">
        <v>24000000</v>
      </c>
      <c r="AD764" s="223">
        <v>0</v>
      </c>
      <c r="AE764" s="244">
        <v>0</v>
      </c>
      <c r="AF764" s="220">
        <v>1.0469999999999999</v>
      </c>
      <c r="AG764" s="221">
        <v>1.046</v>
      </c>
      <c r="AH764" s="221">
        <v>1.046</v>
      </c>
      <c r="AI764" s="245">
        <v>8000000</v>
      </c>
      <c r="AJ764" s="164">
        <f t="shared" si="88"/>
        <v>-8000000</v>
      </c>
      <c r="AK764" s="246">
        <v>6500000</v>
      </c>
      <c r="AL764" s="246">
        <f t="shared" si="96"/>
        <v>6500000</v>
      </c>
      <c r="AM764" s="246">
        <f t="shared" si="92"/>
        <v>6799000</v>
      </c>
      <c r="AN764" s="246">
        <f t="shared" si="93"/>
        <v>7111754</v>
      </c>
      <c r="AO764" s="241"/>
      <c r="AP764" s="247">
        <f t="shared" si="89"/>
        <v>0</v>
      </c>
      <c r="AR764" s="231"/>
      <c r="AS764" s="231"/>
      <c r="AU764" s="248">
        <v>8000000</v>
      </c>
      <c r="AV764" s="249">
        <v>8000000</v>
      </c>
      <c r="AW764" s="248">
        <f t="shared" si="87"/>
        <v>0</v>
      </c>
    </row>
    <row r="765" spans="1:49" s="250" customFormat="1" hidden="1" x14ac:dyDescent="0.3">
      <c r="A765" s="241" t="s">
        <v>211</v>
      </c>
      <c r="B765" s="242" t="s">
        <v>1547</v>
      </c>
      <c r="C765" s="242" t="s">
        <v>2100</v>
      </c>
      <c r="D765" s="340" t="s">
        <v>3475</v>
      </c>
      <c r="E765" s="243" t="s">
        <v>1085</v>
      </c>
      <c r="F765" s="243" t="s">
        <v>554</v>
      </c>
      <c r="G765" s="243" t="s">
        <v>1078</v>
      </c>
      <c r="H765" s="243" t="s">
        <v>1194</v>
      </c>
      <c r="I765" s="243" t="s">
        <v>1195</v>
      </c>
      <c r="J765" s="243" t="s">
        <v>312</v>
      </c>
      <c r="K765" s="243" t="s">
        <v>1081</v>
      </c>
      <c r="L765" s="242" t="s">
        <v>1548</v>
      </c>
      <c r="M765" s="242" t="s">
        <v>305</v>
      </c>
      <c r="N765" s="242">
        <v>11</v>
      </c>
      <c r="O765" s="242" t="s">
        <v>2100</v>
      </c>
      <c r="P765" s="242" t="s">
        <v>2100</v>
      </c>
      <c r="Q765" s="242" t="s">
        <v>1547</v>
      </c>
      <c r="R765" s="241" t="s">
        <v>211</v>
      </c>
      <c r="S765" s="223">
        <v>8000000</v>
      </c>
      <c r="T765" s="160">
        <v>0</v>
      </c>
      <c r="U765" s="160">
        <v>8000000</v>
      </c>
      <c r="V765" s="160">
        <v>0</v>
      </c>
      <c r="W765" s="160">
        <v>8000000</v>
      </c>
      <c r="X765" s="161">
        <v>0</v>
      </c>
      <c r="Y765" s="160"/>
      <c r="Z765" s="16">
        <v>0</v>
      </c>
      <c r="AA765" s="162">
        <v>8000000</v>
      </c>
      <c r="AB765" s="224">
        <v>2000000</v>
      </c>
      <c r="AC765" s="224">
        <v>24000000</v>
      </c>
      <c r="AD765" s="223">
        <v>0</v>
      </c>
      <c r="AE765" s="244">
        <v>0</v>
      </c>
      <c r="AF765" s="220">
        <v>1.0469999999999999</v>
      </c>
      <c r="AG765" s="221">
        <v>1.046</v>
      </c>
      <c r="AH765" s="221">
        <v>1.046</v>
      </c>
      <c r="AI765" s="245">
        <v>8000000</v>
      </c>
      <c r="AJ765" s="164">
        <f t="shared" si="88"/>
        <v>-8000000</v>
      </c>
      <c r="AK765" s="246">
        <v>6500000</v>
      </c>
      <c r="AL765" s="246">
        <f t="shared" si="96"/>
        <v>6500000</v>
      </c>
      <c r="AM765" s="246">
        <f t="shared" si="92"/>
        <v>6799000</v>
      </c>
      <c r="AN765" s="246">
        <f t="shared" si="93"/>
        <v>7111754</v>
      </c>
      <c r="AO765" s="241"/>
      <c r="AP765" s="247">
        <f t="shared" si="89"/>
        <v>0</v>
      </c>
      <c r="AR765" s="231"/>
      <c r="AS765" s="231"/>
      <c r="AU765" s="248">
        <v>8000000</v>
      </c>
      <c r="AV765" s="249">
        <v>8000000</v>
      </c>
      <c r="AW765" s="248">
        <f t="shared" si="87"/>
        <v>0</v>
      </c>
    </row>
    <row r="766" spans="1:49" s="250" customFormat="1" hidden="1" x14ac:dyDescent="0.3">
      <c r="A766" s="241" t="s">
        <v>212</v>
      </c>
      <c r="B766" s="242" t="s">
        <v>1549</v>
      </c>
      <c r="C766" s="242" t="s">
        <v>2101</v>
      </c>
      <c r="D766" s="340" t="s">
        <v>3475</v>
      </c>
      <c r="E766" s="243" t="s">
        <v>1085</v>
      </c>
      <c r="F766" s="243" t="s">
        <v>554</v>
      </c>
      <c r="G766" s="243" t="s">
        <v>1078</v>
      </c>
      <c r="H766" s="243" t="s">
        <v>1194</v>
      </c>
      <c r="I766" s="243" t="s">
        <v>1195</v>
      </c>
      <c r="J766" s="243" t="s">
        <v>312</v>
      </c>
      <c r="K766" s="243" t="s">
        <v>1081</v>
      </c>
      <c r="L766" s="242" t="s">
        <v>1550</v>
      </c>
      <c r="M766" s="242" t="s">
        <v>305</v>
      </c>
      <c r="N766" s="242">
        <v>11</v>
      </c>
      <c r="O766" s="242" t="s">
        <v>2101</v>
      </c>
      <c r="P766" s="242" t="s">
        <v>2101</v>
      </c>
      <c r="Q766" s="242" t="s">
        <v>1549</v>
      </c>
      <c r="R766" s="241" t="s">
        <v>212</v>
      </c>
      <c r="S766" s="223">
        <v>8000000</v>
      </c>
      <c r="T766" s="160">
        <v>0</v>
      </c>
      <c r="U766" s="160">
        <v>8000000</v>
      </c>
      <c r="V766" s="160">
        <v>0</v>
      </c>
      <c r="W766" s="160">
        <v>8000000</v>
      </c>
      <c r="X766" s="161">
        <v>0</v>
      </c>
      <c r="Y766" s="160"/>
      <c r="Z766" s="16">
        <v>0</v>
      </c>
      <c r="AA766" s="162">
        <v>8000000</v>
      </c>
      <c r="AB766" s="224">
        <v>2000000</v>
      </c>
      <c r="AC766" s="224">
        <v>24000000</v>
      </c>
      <c r="AD766" s="223">
        <v>0</v>
      </c>
      <c r="AE766" s="244">
        <v>0</v>
      </c>
      <c r="AF766" s="220">
        <v>1.0469999999999999</v>
      </c>
      <c r="AG766" s="221">
        <v>1.046</v>
      </c>
      <c r="AH766" s="221">
        <v>1.046</v>
      </c>
      <c r="AI766" s="245">
        <v>8000000</v>
      </c>
      <c r="AJ766" s="164">
        <f t="shared" si="88"/>
        <v>-8000000</v>
      </c>
      <c r="AK766" s="246">
        <v>6500000</v>
      </c>
      <c r="AL766" s="246">
        <f t="shared" si="96"/>
        <v>6500000</v>
      </c>
      <c r="AM766" s="246">
        <f t="shared" si="92"/>
        <v>6799000</v>
      </c>
      <c r="AN766" s="246">
        <f t="shared" si="93"/>
        <v>7111754</v>
      </c>
      <c r="AO766" s="241"/>
      <c r="AP766" s="247">
        <f t="shared" si="89"/>
        <v>0</v>
      </c>
      <c r="AR766" s="231"/>
      <c r="AS766" s="231"/>
      <c r="AU766" s="248">
        <v>8000000</v>
      </c>
      <c r="AV766" s="249">
        <v>8000000</v>
      </c>
      <c r="AW766" s="248">
        <f t="shared" si="87"/>
        <v>0</v>
      </c>
    </row>
    <row r="767" spans="1:49" s="250" customFormat="1" hidden="1" x14ac:dyDescent="0.3">
      <c r="A767" s="241" t="s">
        <v>213</v>
      </c>
      <c r="B767" s="242" t="s">
        <v>1551</v>
      </c>
      <c r="C767" s="242" t="s">
        <v>2102</v>
      </c>
      <c r="D767" s="340" t="s">
        <v>3475</v>
      </c>
      <c r="E767" s="243" t="s">
        <v>1085</v>
      </c>
      <c r="F767" s="243" t="s">
        <v>554</v>
      </c>
      <c r="G767" s="243" t="s">
        <v>1078</v>
      </c>
      <c r="H767" s="243" t="s">
        <v>1194</v>
      </c>
      <c r="I767" s="243" t="s">
        <v>1195</v>
      </c>
      <c r="J767" s="243" t="s">
        <v>312</v>
      </c>
      <c r="K767" s="243" t="s">
        <v>1081</v>
      </c>
      <c r="L767" s="242" t="s">
        <v>1552</v>
      </c>
      <c r="M767" s="242" t="s">
        <v>305</v>
      </c>
      <c r="N767" s="242">
        <v>11</v>
      </c>
      <c r="O767" s="242" t="s">
        <v>2102</v>
      </c>
      <c r="P767" s="242" t="s">
        <v>2102</v>
      </c>
      <c r="Q767" s="242" t="s">
        <v>1551</v>
      </c>
      <c r="R767" s="241" t="s">
        <v>213</v>
      </c>
      <c r="S767" s="223">
        <v>10000000</v>
      </c>
      <c r="T767" s="160">
        <v>0</v>
      </c>
      <c r="U767" s="160">
        <v>10000000</v>
      </c>
      <c r="V767" s="160">
        <v>0</v>
      </c>
      <c r="W767" s="160">
        <v>10000000</v>
      </c>
      <c r="X767" s="161">
        <v>0</v>
      </c>
      <c r="Y767" s="160"/>
      <c r="Z767" s="16">
        <v>0</v>
      </c>
      <c r="AA767" s="162">
        <v>10000000</v>
      </c>
      <c r="AB767" s="224">
        <v>2500000</v>
      </c>
      <c r="AC767" s="224">
        <v>30000000</v>
      </c>
      <c r="AD767" s="223">
        <v>0</v>
      </c>
      <c r="AE767" s="244">
        <v>0</v>
      </c>
      <c r="AF767" s="220">
        <v>1.0469999999999999</v>
      </c>
      <c r="AG767" s="221">
        <v>1.046</v>
      </c>
      <c r="AH767" s="221">
        <v>1.046</v>
      </c>
      <c r="AI767" s="245">
        <v>10000000</v>
      </c>
      <c r="AJ767" s="164">
        <f t="shared" si="88"/>
        <v>-10000000</v>
      </c>
      <c r="AK767" s="246">
        <v>8000000</v>
      </c>
      <c r="AL767" s="246">
        <f t="shared" si="96"/>
        <v>8000000</v>
      </c>
      <c r="AM767" s="246">
        <f t="shared" si="92"/>
        <v>8368000</v>
      </c>
      <c r="AN767" s="246">
        <f t="shared" si="93"/>
        <v>8752928</v>
      </c>
      <c r="AO767" s="241"/>
      <c r="AP767" s="247">
        <f t="shared" si="89"/>
        <v>0</v>
      </c>
      <c r="AR767" s="231"/>
      <c r="AS767" s="231"/>
      <c r="AU767" s="248">
        <v>10000000</v>
      </c>
      <c r="AV767" s="249">
        <v>10000000</v>
      </c>
      <c r="AW767" s="248">
        <f t="shared" si="87"/>
        <v>0</v>
      </c>
    </row>
    <row r="768" spans="1:49" s="222" customFormat="1" hidden="1" x14ac:dyDescent="0.3">
      <c r="A768" s="215" t="s">
        <v>214</v>
      </c>
      <c r="B768" s="216" t="s">
        <v>1553</v>
      </c>
      <c r="C768" s="216" t="s">
        <v>2103</v>
      </c>
      <c r="D768" s="340" t="s">
        <v>3475</v>
      </c>
      <c r="E768" s="217" t="s">
        <v>1085</v>
      </c>
      <c r="F768" s="217" t="s">
        <v>554</v>
      </c>
      <c r="G768" s="217" t="s">
        <v>1078</v>
      </c>
      <c r="H768" s="217" t="s">
        <v>1194</v>
      </c>
      <c r="I768" s="217" t="s">
        <v>1195</v>
      </c>
      <c r="J768" s="217" t="s">
        <v>312</v>
      </c>
      <c r="K768" s="217" t="s">
        <v>1081</v>
      </c>
      <c r="L768" s="216" t="s">
        <v>1554</v>
      </c>
      <c r="M768" s="216" t="s">
        <v>305</v>
      </c>
      <c r="N768" s="216">
        <v>11</v>
      </c>
      <c r="O768" s="216" t="s">
        <v>2103</v>
      </c>
      <c r="P768" s="216" t="s">
        <v>2103</v>
      </c>
      <c r="Q768" s="216" t="s">
        <v>1553</v>
      </c>
      <c r="R768" s="215" t="s">
        <v>214</v>
      </c>
      <c r="S768" s="218">
        <v>8000000</v>
      </c>
      <c r="T768" s="160">
        <v>0</v>
      </c>
      <c r="U768" s="160">
        <v>6042824.1799999997</v>
      </c>
      <c r="V768" s="160">
        <v>1957175.82</v>
      </c>
      <c r="W768" s="160">
        <v>6042824.1799999997</v>
      </c>
      <c r="X768" s="161">
        <v>0</v>
      </c>
      <c r="Y768" s="160"/>
      <c r="Z768" s="16">
        <v>24.46</v>
      </c>
      <c r="AA768" s="162">
        <v>8000000</v>
      </c>
      <c r="AB768" s="162">
        <v>2000000</v>
      </c>
      <c r="AC768" s="162">
        <v>24000000</v>
      </c>
      <c r="AD768" s="160">
        <v>0</v>
      </c>
      <c r="AE768" s="219">
        <v>8000000</v>
      </c>
      <c r="AF768" s="220">
        <v>1.0469999999999999</v>
      </c>
      <c r="AG768" s="221">
        <v>1.046</v>
      </c>
      <c r="AH768" s="221">
        <v>1.046</v>
      </c>
      <c r="AI768" s="221">
        <v>8000000</v>
      </c>
      <c r="AJ768" s="164">
        <f t="shared" si="88"/>
        <v>0</v>
      </c>
      <c r="AK768" s="214">
        <v>8000000</v>
      </c>
      <c r="AL768" s="214">
        <f t="shared" si="96"/>
        <v>8000000</v>
      </c>
      <c r="AM768" s="214">
        <f t="shared" si="92"/>
        <v>8368000</v>
      </c>
      <c r="AN768" s="214">
        <f t="shared" si="93"/>
        <v>8752928</v>
      </c>
      <c r="AO768" s="145"/>
      <c r="AP768" s="231">
        <f t="shared" si="89"/>
        <v>0</v>
      </c>
      <c r="AQ768"/>
      <c r="AR768" s="231"/>
      <c r="AS768" s="231"/>
      <c r="AT768"/>
      <c r="AU768" s="230">
        <v>8000000</v>
      </c>
      <c r="AV768" s="233">
        <v>8000000</v>
      </c>
      <c r="AW768" s="230">
        <f t="shared" si="87"/>
        <v>0</v>
      </c>
    </row>
    <row r="769" spans="1:49" hidden="1" x14ac:dyDescent="0.3">
      <c r="A769" s="16" t="s">
        <v>229</v>
      </c>
      <c r="B769" s="39" t="s">
        <v>1555</v>
      </c>
      <c r="C769" s="39" t="s">
        <v>230</v>
      </c>
      <c r="D769" s="340" t="s">
        <v>3475</v>
      </c>
      <c r="E769" s="159" t="s">
        <v>1085</v>
      </c>
      <c r="F769" s="159" t="s">
        <v>554</v>
      </c>
      <c r="G769" s="159" t="s">
        <v>1078</v>
      </c>
      <c r="H769" s="159" t="s">
        <v>1194</v>
      </c>
      <c r="I769" s="159" t="s">
        <v>1199</v>
      </c>
      <c r="J769" s="159" t="s">
        <v>312</v>
      </c>
      <c r="K769" s="159" t="s">
        <v>1997</v>
      </c>
      <c r="L769" s="39" t="s">
        <v>1556</v>
      </c>
      <c r="M769" s="39" t="s">
        <v>305</v>
      </c>
      <c r="N769" s="39">
        <v>11</v>
      </c>
      <c r="O769" s="39" t="s">
        <v>230</v>
      </c>
      <c r="P769" s="39" t="s">
        <v>230</v>
      </c>
      <c r="Q769" s="39" t="s">
        <v>1555</v>
      </c>
      <c r="R769" s="16" t="s">
        <v>229</v>
      </c>
      <c r="S769" s="160">
        <v>0</v>
      </c>
      <c r="T769" s="160">
        <v>0</v>
      </c>
      <c r="U769" s="160">
        <v>0</v>
      </c>
      <c r="V769" s="160">
        <v>0</v>
      </c>
      <c r="W769" s="160">
        <v>0</v>
      </c>
      <c r="X769" s="161">
        <v>0</v>
      </c>
      <c r="Y769" s="160"/>
      <c r="Z769" s="16">
        <v>0</v>
      </c>
      <c r="AA769" s="162">
        <v>0</v>
      </c>
      <c r="AB769" s="162">
        <v>0</v>
      </c>
      <c r="AC769" s="162">
        <v>0</v>
      </c>
      <c r="AD769" s="160">
        <v>0</v>
      </c>
      <c r="AE769" s="145">
        <v>0</v>
      </c>
      <c r="AF769" s="163">
        <v>1.0469999999999999</v>
      </c>
      <c r="AG769" s="164">
        <v>1.046</v>
      </c>
      <c r="AH769" s="164">
        <v>1.046</v>
      </c>
      <c r="AI769" s="164">
        <v>0</v>
      </c>
      <c r="AJ769" s="164">
        <f t="shared" si="88"/>
        <v>0</v>
      </c>
      <c r="AK769" s="165">
        <v>0</v>
      </c>
      <c r="AL769" s="165">
        <v>0</v>
      </c>
      <c r="AM769" s="165">
        <f t="shared" si="92"/>
        <v>0</v>
      </c>
      <c r="AN769" s="165">
        <f t="shared" si="93"/>
        <v>0</v>
      </c>
      <c r="AO769" s="16"/>
      <c r="AP769" s="231">
        <f t="shared" si="89"/>
        <v>0</v>
      </c>
      <c r="AR769" s="231"/>
      <c r="AS769" s="231"/>
      <c r="AU769" s="230">
        <v>0</v>
      </c>
      <c r="AV769" s="233">
        <v>0</v>
      </c>
      <c r="AW769" s="230">
        <f t="shared" si="87"/>
        <v>0</v>
      </c>
    </row>
    <row r="770" spans="1:49" s="222" customFormat="1" hidden="1" x14ac:dyDescent="0.3">
      <c r="A770" s="215" t="s">
        <v>193</v>
      </c>
      <c r="B770" s="216" t="s">
        <v>1557</v>
      </c>
      <c r="C770" s="216" t="s">
        <v>110</v>
      </c>
      <c r="D770" s="340" t="s">
        <v>3475</v>
      </c>
      <c r="E770" s="217" t="s">
        <v>1085</v>
      </c>
      <c r="F770" s="217" t="s">
        <v>554</v>
      </c>
      <c r="G770" s="217" t="s">
        <v>1078</v>
      </c>
      <c r="H770" s="217" t="s">
        <v>1194</v>
      </c>
      <c r="I770" s="217" t="s">
        <v>1199</v>
      </c>
      <c r="J770" s="217" t="s">
        <v>312</v>
      </c>
      <c r="K770" s="217" t="s">
        <v>2104</v>
      </c>
      <c r="L770" s="216" t="s">
        <v>1559</v>
      </c>
      <c r="M770" s="216" t="s">
        <v>305</v>
      </c>
      <c r="N770" s="216">
        <v>11</v>
      </c>
      <c r="O770" s="216" t="s">
        <v>110</v>
      </c>
      <c r="P770" s="216" t="s">
        <v>1558</v>
      </c>
      <c r="Q770" s="216" t="s">
        <v>1557</v>
      </c>
      <c r="R770" s="215" t="s">
        <v>193</v>
      </c>
      <c r="S770" s="218">
        <v>14300000</v>
      </c>
      <c r="T770" s="160">
        <v>1795411.97</v>
      </c>
      <c r="U770" s="160">
        <v>4606257.75</v>
      </c>
      <c r="V770" s="160">
        <v>3569463.2</v>
      </c>
      <c r="W770" s="160">
        <v>10730536.800000001</v>
      </c>
      <c r="X770" s="161">
        <v>0</v>
      </c>
      <c r="Y770" s="160"/>
      <c r="Z770" s="16">
        <v>24.96</v>
      </c>
      <c r="AA770" s="162">
        <v>8175720.9500000002</v>
      </c>
      <c r="AB770" s="162">
        <v>2043930.2375</v>
      </c>
      <c r="AC770" s="162">
        <v>24527162.850000001</v>
      </c>
      <c r="AD770" s="160">
        <v>0</v>
      </c>
      <c r="AE770" s="219">
        <v>14300000</v>
      </c>
      <c r="AF770" s="220">
        <v>1.0469999999999999</v>
      </c>
      <c r="AG770" s="221">
        <v>1.046</v>
      </c>
      <c r="AH770" s="221">
        <v>1.046</v>
      </c>
      <c r="AI770" s="221">
        <v>14300000</v>
      </c>
      <c r="AJ770" s="164">
        <f t="shared" si="88"/>
        <v>0</v>
      </c>
      <c r="AK770" s="214">
        <v>14300000</v>
      </c>
      <c r="AL770" s="214">
        <f t="shared" ref="AL770" si="97">AK770</f>
        <v>14300000</v>
      </c>
      <c r="AM770" s="214">
        <f t="shared" si="92"/>
        <v>14957800</v>
      </c>
      <c r="AN770" s="214">
        <f t="shared" si="93"/>
        <v>15645858.800000001</v>
      </c>
      <c r="AO770" s="145"/>
      <c r="AP770" s="231">
        <f t="shared" si="89"/>
        <v>0</v>
      </c>
      <c r="AQ770"/>
      <c r="AR770" s="231"/>
      <c r="AS770" s="231"/>
      <c r="AT770"/>
      <c r="AU770" s="230">
        <v>14300000</v>
      </c>
      <c r="AV770" s="233">
        <v>14300000</v>
      </c>
      <c r="AW770" s="230">
        <f t="shared" ref="AW770:AW833" si="98">AU770-S770</f>
        <v>0</v>
      </c>
    </row>
    <row r="771" spans="1:49" hidden="1" x14ac:dyDescent="0.3">
      <c r="A771" s="16" t="s">
        <v>193</v>
      </c>
      <c r="B771" s="39" t="s">
        <v>1560</v>
      </c>
      <c r="C771" s="39" t="s">
        <v>1558</v>
      </c>
      <c r="D771" s="340" t="s">
        <v>3475</v>
      </c>
      <c r="E771" s="159" t="s">
        <v>1085</v>
      </c>
      <c r="F771" s="159" t="s">
        <v>554</v>
      </c>
      <c r="G771" s="159" t="s">
        <v>1078</v>
      </c>
      <c r="H771" s="159" t="s">
        <v>1194</v>
      </c>
      <c r="I771" s="159" t="s">
        <v>1199</v>
      </c>
      <c r="J771" s="159" t="s">
        <v>312</v>
      </c>
      <c r="K771" s="159" t="s">
        <v>2104</v>
      </c>
      <c r="L771" s="39" t="s">
        <v>1559</v>
      </c>
      <c r="M771" s="39" t="s">
        <v>305</v>
      </c>
      <c r="N771" s="39">
        <v>40</v>
      </c>
      <c r="O771" s="39" t="s">
        <v>1558</v>
      </c>
      <c r="P771" s="39" t="s">
        <v>1558</v>
      </c>
      <c r="Q771" s="39" t="s">
        <v>1560</v>
      </c>
      <c r="R771" s="16" t="s">
        <v>193</v>
      </c>
      <c r="S771" s="160">
        <v>0</v>
      </c>
      <c r="T771" s="160">
        <v>0</v>
      </c>
      <c r="U771" s="160">
        <v>0</v>
      </c>
      <c r="V771" s="160">
        <v>0</v>
      </c>
      <c r="W771" s="160">
        <v>0</v>
      </c>
      <c r="X771" s="161">
        <v>0</v>
      </c>
      <c r="Y771" s="160"/>
      <c r="Z771" s="16">
        <v>0</v>
      </c>
      <c r="AA771" s="162">
        <v>0</v>
      </c>
      <c r="AB771" s="162">
        <v>0</v>
      </c>
      <c r="AC771" s="162">
        <v>0</v>
      </c>
      <c r="AD771" s="160">
        <v>0</v>
      </c>
      <c r="AE771" s="145">
        <v>0</v>
      </c>
      <c r="AF771" s="163">
        <v>1.0469999999999999</v>
      </c>
      <c r="AG771" s="164">
        <v>1.046</v>
      </c>
      <c r="AH771" s="164">
        <v>1.046</v>
      </c>
      <c r="AI771" s="164">
        <v>0</v>
      </c>
      <c r="AJ771" s="164">
        <f t="shared" si="88"/>
        <v>0</v>
      </c>
      <c r="AK771" s="165">
        <v>0</v>
      </c>
      <c r="AL771" s="165">
        <v>0</v>
      </c>
      <c r="AM771" s="165">
        <f t="shared" si="92"/>
        <v>0</v>
      </c>
      <c r="AN771" s="165">
        <f t="shared" si="93"/>
        <v>0</v>
      </c>
      <c r="AO771" s="16"/>
      <c r="AP771" s="231">
        <f t="shared" si="89"/>
        <v>0</v>
      </c>
      <c r="AR771" s="231"/>
      <c r="AS771" s="231"/>
      <c r="AU771" s="230">
        <v>0</v>
      </c>
      <c r="AV771" s="233">
        <v>0</v>
      </c>
      <c r="AW771" s="230">
        <f t="shared" si="98"/>
        <v>0</v>
      </c>
    </row>
    <row r="772" spans="1:49" s="222" customFormat="1" hidden="1" x14ac:dyDescent="0.3">
      <c r="A772" s="215" t="s">
        <v>229</v>
      </c>
      <c r="B772" s="216" t="s">
        <v>1561</v>
      </c>
      <c r="C772" s="216" t="s">
        <v>230</v>
      </c>
      <c r="D772" s="340" t="s">
        <v>3475</v>
      </c>
      <c r="E772" s="217" t="s">
        <v>1085</v>
      </c>
      <c r="F772" s="217" t="s">
        <v>554</v>
      </c>
      <c r="G772" s="217" t="s">
        <v>1078</v>
      </c>
      <c r="H772" s="217" t="s">
        <v>1194</v>
      </c>
      <c r="I772" s="217" t="s">
        <v>1199</v>
      </c>
      <c r="J772" s="217" t="s">
        <v>312</v>
      </c>
      <c r="K772" s="217" t="s">
        <v>1081</v>
      </c>
      <c r="L772" s="216" t="s">
        <v>1556</v>
      </c>
      <c r="M772" s="216" t="s">
        <v>305</v>
      </c>
      <c r="N772" s="216">
        <v>11</v>
      </c>
      <c r="O772" s="216" t="s">
        <v>230</v>
      </c>
      <c r="P772" s="216" t="s">
        <v>230</v>
      </c>
      <c r="Q772" s="216" t="s">
        <v>1561</v>
      </c>
      <c r="R772" s="215" t="s">
        <v>229</v>
      </c>
      <c r="S772" s="218">
        <v>3000000</v>
      </c>
      <c r="T772" s="160">
        <v>0</v>
      </c>
      <c r="U772" s="160">
        <v>1550000</v>
      </c>
      <c r="V772" s="160">
        <v>0</v>
      </c>
      <c r="W772" s="160">
        <v>3000000</v>
      </c>
      <c r="X772" s="161">
        <v>0</v>
      </c>
      <c r="Y772" s="160"/>
      <c r="Z772" s="16">
        <v>0</v>
      </c>
      <c r="AA772" s="162">
        <v>1550000</v>
      </c>
      <c r="AB772" s="162">
        <v>387500</v>
      </c>
      <c r="AC772" s="162">
        <v>4650000</v>
      </c>
      <c r="AD772" s="160">
        <v>0</v>
      </c>
      <c r="AE772" s="219">
        <v>3000000</v>
      </c>
      <c r="AF772" s="220">
        <v>1.0469999999999999</v>
      </c>
      <c r="AG772" s="221">
        <v>1.046</v>
      </c>
      <c r="AH772" s="221">
        <v>1.046</v>
      </c>
      <c r="AI772" s="221">
        <v>3000000</v>
      </c>
      <c r="AJ772" s="164">
        <f t="shared" si="88"/>
        <v>0</v>
      </c>
      <c r="AK772" s="214">
        <v>3000000</v>
      </c>
      <c r="AL772" s="214">
        <f t="shared" ref="AL772:AL775" si="99">AK772</f>
        <v>3000000</v>
      </c>
      <c r="AM772" s="214">
        <f t="shared" si="92"/>
        <v>3138000</v>
      </c>
      <c r="AN772" s="214">
        <f t="shared" si="93"/>
        <v>3282348</v>
      </c>
      <c r="AO772" s="16"/>
      <c r="AP772" s="231">
        <f t="shared" si="89"/>
        <v>0</v>
      </c>
      <c r="AQ772"/>
      <c r="AR772" s="231"/>
      <c r="AS772" s="231"/>
      <c r="AT772"/>
      <c r="AU772" s="230">
        <v>3000000</v>
      </c>
      <c r="AV772" s="233">
        <v>3000000</v>
      </c>
      <c r="AW772" s="230">
        <f t="shared" si="98"/>
        <v>0</v>
      </c>
    </row>
    <row r="773" spans="1:49" s="222" customFormat="1" hidden="1" x14ac:dyDescent="0.3">
      <c r="A773" s="215" t="s">
        <v>225</v>
      </c>
      <c r="B773" s="216" t="s">
        <v>1562</v>
      </c>
      <c r="C773" s="216" t="s">
        <v>226</v>
      </c>
      <c r="D773" s="340" t="s">
        <v>3475</v>
      </c>
      <c r="E773" s="217" t="s">
        <v>1085</v>
      </c>
      <c r="F773" s="217" t="s">
        <v>554</v>
      </c>
      <c r="G773" s="217" t="s">
        <v>1078</v>
      </c>
      <c r="H773" s="217" t="s">
        <v>1194</v>
      </c>
      <c r="I773" s="217" t="s">
        <v>1199</v>
      </c>
      <c r="J773" s="217" t="s">
        <v>312</v>
      </c>
      <c r="K773" s="217" t="s">
        <v>1081</v>
      </c>
      <c r="L773" s="216" t="s">
        <v>1563</v>
      </c>
      <c r="M773" s="216" t="s">
        <v>305</v>
      </c>
      <c r="N773" s="216">
        <v>11</v>
      </c>
      <c r="O773" s="216" t="s">
        <v>226</v>
      </c>
      <c r="P773" s="216" t="s">
        <v>226</v>
      </c>
      <c r="Q773" s="216" t="s">
        <v>1562</v>
      </c>
      <c r="R773" s="215" t="s">
        <v>225</v>
      </c>
      <c r="S773" s="218">
        <v>600000</v>
      </c>
      <c r="T773" s="160">
        <v>0</v>
      </c>
      <c r="U773" s="160">
        <v>250000</v>
      </c>
      <c r="V773" s="160">
        <v>0</v>
      </c>
      <c r="W773" s="160">
        <v>600000</v>
      </c>
      <c r="X773" s="161">
        <v>242328</v>
      </c>
      <c r="Y773" s="160"/>
      <c r="Z773" s="16">
        <v>0</v>
      </c>
      <c r="AA773" s="162">
        <v>250000</v>
      </c>
      <c r="AB773" s="162">
        <v>62500</v>
      </c>
      <c r="AC773" s="162">
        <v>750000</v>
      </c>
      <c r="AD773" s="160">
        <v>0</v>
      </c>
      <c r="AE773" s="219">
        <v>600000</v>
      </c>
      <c r="AF773" s="220">
        <v>1.0469999999999999</v>
      </c>
      <c r="AG773" s="221">
        <v>1.046</v>
      </c>
      <c r="AH773" s="221">
        <v>1.046</v>
      </c>
      <c r="AI773" s="221">
        <v>600000</v>
      </c>
      <c r="AJ773" s="164">
        <f t="shared" si="88"/>
        <v>0</v>
      </c>
      <c r="AK773" s="214">
        <v>600000</v>
      </c>
      <c r="AL773" s="214">
        <f t="shared" si="99"/>
        <v>600000</v>
      </c>
      <c r="AM773" s="214">
        <f t="shared" si="92"/>
        <v>627600</v>
      </c>
      <c r="AN773" s="214">
        <f t="shared" si="93"/>
        <v>656469.6</v>
      </c>
      <c r="AO773" s="16"/>
      <c r="AP773" s="231">
        <f t="shared" si="89"/>
        <v>0</v>
      </c>
      <c r="AQ773"/>
      <c r="AR773" s="231"/>
      <c r="AS773" s="231"/>
      <c r="AT773"/>
      <c r="AU773" s="230">
        <v>600000</v>
      </c>
      <c r="AV773" s="233">
        <v>600000</v>
      </c>
      <c r="AW773" s="230">
        <f t="shared" si="98"/>
        <v>0</v>
      </c>
    </row>
    <row r="774" spans="1:49" s="250" customFormat="1" hidden="1" x14ac:dyDescent="0.3">
      <c r="A774" s="241" t="s">
        <v>227</v>
      </c>
      <c r="B774" s="242" t="s">
        <v>1564</v>
      </c>
      <c r="C774" s="242" t="s">
        <v>1565</v>
      </c>
      <c r="D774" s="340" t="s">
        <v>3475</v>
      </c>
      <c r="E774" s="243" t="s">
        <v>1085</v>
      </c>
      <c r="F774" s="243" t="s">
        <v>554</v>
      </c>
      <c r="G774" s="243" t="s">
        <v>1078</v>
      </c>
      <c r="H774" s="243" t="s">
        <v>1194</v>
      </c>
      <c r="I774" s="243" t="s">
        <v>1199</v>
      </c>
      <c r="J774" s="243" t="s">
        <v>312</v>
      </c>
      <c r="K774" s="243" t="s">
        <v>1081</v>
      </c>
      <c r="L774" s="242" t="s">
        <v>1566</v>
      </c>
      <c r="M774" s="242" t="s">
        <v>305</v>
      </c>
      <c r="N774" s="242">
        <v>11</v>
      </c>
      <c r="O774" s="242" t="s">
        <v>1565</v>
      </c>
      <c r="P774" s="242" t="s">
        <v>1565</v>
      </c>
      <c r="Q774" s="242" t="s">
        <v>1564</v>
      </c>
      <c r="R774" s="241" t="s">
        <v>227</v>
      </c>
      <c r="S774" s="223">
        <v>8000000</v>
      </c>
      <c r="T774" s="160">
        <v>2550636</v>
      </c>
      <c r="U774" s="160">
        <v>1549277</v>
      </c>
      <c r="V774" s="160">
        <v>6450723</v>
      </c>
      <c r="W774" s="160">
        <v>1549277</v>
      </c>
      <c r="X774" s="161">
        <v>395190</v>
      </c>
      <c r="Y774" s="160"/>
      <c r="Z774" s="16">
        <v>80.63</v>
      </c>
      <c r="AA774" s="162">
        <v>8000000</v>
      </c>
      <c r="AB774" s="224">
        <v>2000000</v>
      </c>
      <c r="AC774" s="224">
        <v>24000000</v>
      </c>
      <c r="AD774" s="223">
        <v>0</v>
      </c>
      <c r="AE774" s="244">
        <v>14500000</v>
      </c>
      <c r="AF774" s="220">
        <v>1.0469999999999999</v>
      </c>
      <c r="AG774" s="221">
        <v>1.046</v>
      </c>
      <c r="AH774" s="221">
        <v>1.046</v>
      </c>
      <c r="AI774" s="245">
        <v>8000000</v>
      </c>
      <c r="AJ774" s="164">
        <f t="shared" si="88"/>
        <v>6500000</v>
      </c>
      <c r="AK774" s="246">
        <v>11000000</v>
      </c>
      <c r="AL774" s="246">
        <f t="shared" si="99"/>
        <v>11000000</v>
      </c>
      <c r="AM774" s="246">
        <f t="shared" si="92"/>
        <v>11506000</v>
      </c>
      <c r="AN774" s="246">
        <f t="shared" si="93"/>
        <v>12035276</v>
      </c>
      <c r="AO774" s="244"/>
      <c r="AP774" s="247">
        <f t="shared" si="89"/>
        <v>0</v>
      </c>
      <c r="AR774" s="231"/>
      <c r="AS774" s="231"/>
      <c r="AU774" s="248">
        <v>8000000</v>
      </c>
      <c r="AV774" s="249">
        <v>8000000</v>
      </c>
      <c r="AW774" s="248">
        <f t="shared" si="98"/>
        <v>0</v>
      </c>
    </row>
    <row r="775" spans="1:49" s="222" customFormat="1" hidden="1" x14ac:dyDescent="0.3">
      <c r="A775" s="215" t="s">
        <v>228</v>
      </c>
      <c r="B775" s="216" t="s">
        <v>1567</v>
      </c>
      <c r="C775" s="216" t="s">
        <v>1568</v>
      </c>
      <c r="D775" s="340" t="s">
        <v>3475</v>
      </c>
      <c r="E775" s="217" t="s">
        <v>1085</v>
      </c>
      <c r="F775" s="217" t="s">
        <v>554</v>
      </c>
      <c r="G775" s="217" t="s">
        <v>1078</v>
      </c>
      <c r="H775" s="217" t="s">
        <v>1194</v>
      </c>
      <c r="I775" s="217" t="s">
        <v>1199</v>
      </c>
      <c r="J775" s="217" t="s">
        <v>312</v>
      </c>
      <c r="K775" s="217" t="s">
        <v>1081</v>
      </c>
      <c r="L775" s="216" t="s">
        <v>1569</v>
      </c>
      <c r="M775" s="216" t="s">
        <v>305</v>
      </c>
      <c r="N775" s="216">
        <v>11</v>
      </c>
      <c r="O775" s="216" t="s">
        <v>1568</v>
      </c>
      <c r="P775" s="216" t="s">
        <v>1568</v>
      </c>
      <c r="Q775" s="216" t="s">
        <v>1567</v>
      </c>
      <c r="R775" s="215" t="s">
        <v>228</v>
      </c>
      <c r="S775" s="218">
        <v>500000</v>
      </c>
      <c r="T775" s="160">
        <v>3891.6</v>
      </c>
      <c r="U775" s="160">
        <v>858.4</v>
      </c>
      <c r="V775" s="160">
        <v>499141.6</v>
      </c>
      <c r="W775" s="160">
        <v>858.4</v>
      </c>
      <c r="X775" s="161">
        <v>0</v>
      </c>
      <c r="Y775" s="160"/>
      <c r="Z775" s="16">
        <v>99.82</v>
      </c>
      <c r="AA775" s="162">
        <v>500000</v>
      </c>
      <c r="AB775" s="162">
        <v>125000</v>
      </c>
      <c r="AC775" s="162">
        <v>1500000</v>
      </c>
      <c r="AD775" s="160">
        <v>0</v>
      </c>
      <c r="AE775" s="219">
        <v>500000</v>
      </c>
      <c r="AF775" s="220">
        <v>1.0469999999999999</v>
      </c>
      <c r="AG775" s="221">
        <v>1.046</v>
      </c>
      <c r="AH775" s="221">
        <v>1.046</v>
      </c>
      <c r="AI775" s="221">
        <v>500000</v>
      </c>
      <c r="AJ775" s="164">
        <f t="shared" ref="AJ775:AJ838" si="100">AE775-AI775</f>
        <v>0</v>
      </c>
      <c r="AK775" s="214">
        <v>500000</v>
      </c>
      <c r="AL775" s="214">
        <f t="shared" si="99"/>
        <v>500000</v>
      </c>
      <c r="AM775" s="214">
        <f t="shared" si="92"/>
        <v>523000</v>
      </c>
      <c r="AN775" s="214">
        <f t="shared" si="93"/>
        <v>547058</v>
      </c>
      <c r="AO775" s="16" t="s">
        <v>2105</v>
      </c>
      <c r="AP775" s="231">
        <f t="shared" ref="AP775:AP838" si="101">AK775-AL775</f>
        <v>0</v>
      </c>
      <c r="AQ775"/>
      <c r="AR775" s="231"/>
      <c r="AS775" s="231"/>
      <c r="AT775"/>
      <c r="AU775" s="230">
        <v>500000</v>
      </c>
      <c r="AV775" s="233">
        <v>500000</v>
      </c>
      <c r="AW775" s="230">
        <f t="shared" si="98"/>
        <v>0</v>
      </c>
    </row>
    <row r="776" spans="1:49" s="172" customFormat="1" x14ac:dyDescent="0.3">
      <c r="A776" s="166" t="s">
        <v>50</v>
      </c>
      <c r="B776" s="167" t="s">
        <v>1570</v>
      </c>
      <c r="C776" s="167" t="s">
        <v>302</v>
      </c>
      <c r="D776" s="412" t="s">
        <v>3476</v>
      </c>
      <c r="E776" s="168" t="s">
        <v>1085</v>
      </c>
      <c r="F776" s="168" t="s">
        <v>1524</v>
      </c>
      <c r="G776" s="168" t="s">
        <v>309</v>
      </c>
      <c r="H776" s="168" t="s">
        <v>373</v>
      </c>
      <c r="I776" s="168" t="s">
        <v>374</v>
      </c>
      <c r="J776" s="168" t="s">
        <v>312</v>
      </c>
      <c r="K776" s="168" t="s">
        <v>1849</v>
      </c>
      <c r="L776" s="167" t="s">
        <v>304</v>
      </c>
      <c r="M776" s="167" t="s">
        <v>305</v>
      </c>
      <c r="N776" s="167">
        <v>11</v>
      </c>
      <c r="O776" s="167" t="s">
        <v>302</v>
      </c>
      <c r="P776" s="167" t="s">
        <v>302</v>
      </c>
      <c r="Q776" s="167" t="s">
        <v>1570</v>
      </c>
      <c r="R776" s="166" t="s">
        <v>50</v>
      </c>
      <c r="S776" s="169">
        <v>51957513</v>
      </c>
      <c r="T776" s="160">
        <v>192700.64</v>
      </c>
      <c r="U776" s="160">
        <v>0</v>
      </c>
      <c r="V776" s="160">
        <v>852030.99</v>
      </c>
      <c r="W776" s="160">
        <v>51105482.009999998</v>
      </c>
      <c r="X776" s="161">
        <v>0</v>
      </c>
      <c r="Y776" s="160"/>
      <c r="Z776" s="16">
        <v>1.63</v>
      </c>
      <c r="AA776" s="162">
        <v>852030.99</v>
      </c>
      <c r="AB776" s="162">
        <v>213007.7475</v>
      </c>
      <c r="AC776" s="162">
        <v>2556092.9699999997</v>
      </c>
      <c r="AD776" s="160">
        <v>0</v>
      </c>
      <c r="AE776" s="145">
        <v>51957513</v>
      </c>
      <c r="AF776" s="163">
        <v>1.0529999999999999</v>
      </c>
      <c r="AG776" s="163">
        <v>1.0489999999999999</v>
      </c>
      <c r="AH776" s="163">
        <v>1.0469999999999999</v>
      </c>
      <c r="AI776" s="164">
        <v>51957513</v>
      </c>
      <c r="AJ776" s="164">
        <f t="shared" si="100"/>
        <v>0</v>
      </c>
      <c r="AK776" s="229">
        <v>51957513</v>
      </c>
      <c r="AL776" s="229">
        <f ca="1">SUMIF('MS &amp; Vacancies combined'!A:J,D776,'MS &amp; Vacancies combined'!J:J)*105.3/100</f>
        <v>49873514.455504566</v>
      </c>
      <c r="AM776" s="229">
        <f t="shared" ca="1" si="92"/>
        <v>52317316.66382429</v>
      </c>
      <c r="AN776" s="229">
        <f t="shared" ca="1" si="93"/>
        <v>54776230.547024027</v>
      </c>
      <c r="AO776" s="166"/>
      <c r="AP776" s="413">
        <f t="shared" ca="1" si="101"/>
        <v>2083998.5444954336</v>
      </c>
      <c r="AR776" s="231"/>
      <c r="AS776" s="231"/>
      <c r="AU776" s="414">
        <v>51957513</v>
      </c>
      <c r="AV776" s="415">
        <v>51957513</v>
      </c>
      <c r="AW776" s="414">
        <f t="shared" si="98"/>
        <v>0</v>
      </c>
    </row>
    <row r="777" spans="1:49" s="172" customFormat="1" x14ac:dyDescent="0.3">
      <c r="A777" s="166" t="s">
        <v>50</v>
      </c>
      <c r="B777" s="167" t="s">
        <v>1571</v>
      </c>
      <c r="C777" s="167" t="s">
        <v>302</v>
      </c>
      <c r="D777" s="412"/>
      <c r="E777" s="168" t="s">
        <v>1085</v>
      </c>
      <c r="F777" s="168" t="s">
        <v>1524</v>
      </c>
      <c r="G777" s="168" t="s">
        <v>309</v>
      </c>
      <c r="H777" s="168" t="s">
        <v>373</v>
      </c>
      <c r="I777" s="168" t="s">
        <v>374</v>
      </c>
      <c r="J777" s="168" t="s">
        <v>312</v>
      </c>
      <c r="K777" s="168" t="s">
        <v>1849</v>
      </c>
      <c r="L777" s="167" t="s">
        <v>1572</v>
      </c>
      <c r="M777" s="167" t="s">
        <v>305</v>
      </c>
      <c r="N777" s="167">
        <v>11</v>
      </c>
      <c r="O777" s="167" t="s">
        <v>302</v>
      </c>
      <c r="P777" s="167" t="s">
        <v>302</v>
      </c>
      <c r="Q777" s="167" t="s">
        <v>1571</v>
      </c>
      <c r="R777" s="166" t="s">
        <v>50</v>
      </c>
      <c r="S777" s="169">
        <v>0</v>
      </c>
      <c r="T777" s="160">
        <v>4147957.67</v>
      </c>
      <c r="U777" s="160">
        <v>0</v>
      </c>
      <c r="V777" s="160">
        <v>17303234.48</v>
      </c>
      <c r="W777" s="160">
        <v>-17303234.48</v>
      </c>
      <c r="X777" s="161">
        <v>0</v>
      </c>
      <c r="Y777" s="160"/>
      <c r="Z777" s="16">
        <v>0</v>
      </c>
      <c r="AA777" s="162">
        <v>17303234.48</v>
      </c>
      <c r="AB777" s="162">
        <v>4325808.62</v>
      </c>
      <c r="AC777" s="162">
        <v>51909703.439999998</v>
      </c>
      <c r="AD777" s="160"/>
      <c r="AE777" s="145">
        <v>0</v>
      </c>
      <c r="AF777" s="163">
        <v>1.0529999999999999</v>
      </c>
      <c r="AG777" s="163">
        <v>1.0489999999999999</v>
      </c>
      <c r="AH777" s="163">
        <v>1.0469999999999999</v>
      </c>
      <c r="AI777" s="164">
        <v>0</v>
      </c>
      <c r="AJ777" s="164">
        <f t="shared" si="100"/>
        <v>0</v>
      </c>
      <c r="AK777" s="229">
        <v>0</v>
      </c>
      <c r="AL777" s="229">
        <f ca="1">SUMIF('MS &amp; Vacancies combined'!A:J,D777,'MS &amp; Vacancies combined'!J:J)*105.3/100</f>
        <v>0</v>
      </c>
      <c r="AM777" s="229">
        <f t="shared" ca="1" si="92"/>
        <v>0</v>
      </c>
      <c r="AN777" s="229">
        <f t="shared" ca="1" si="93"/>
        <v>0</v>
      </c>
      <c r="AO777" s="166"/>
      <c r="AP777" s="413">
        <f t="shared" ca="1" si="101"/>
        <v>0</v>
      </c>
      <c r="AR777" s="231"/>
      <c r="AS777" s="231"/>
      <c r="AU777" s="414">
        <v>0</v>
      </c>
      <c r="AV777" s="415">
        <v>0</v>
      </c>
      <c r="AW777" s="414">
        <f t="shared" si="98"/>
        <v>0</v>
      </c>
    </row>
    <row r="778" spans="1:49" s="172" customFormat="1" x14ac:dyDescent="0.3">
      <c r="A778" s="166" t="s">
        <v>52</v>
      </c>
      <c r="B778" s="167" t="s">
        <v>1573</v>
      </c>
      <c r="C778" s="167" t="s">
        <v>376</v>
      </c>
      <c r="D778" s="412" t="s">
        <v>3476</v>
      </c>
      <c r="E778" s="168" t="s">
        <v>1085</v>
      </c>
      <c r="F778" s="168" t="s">
        <v>1524</v>
      </c>
      <c r="G778" s="168" t="s">
        <v>309</v>
      </c>
      <c r="H778" s="168" t="s">
        <v>373</v>
      </c>
      <c r="I778" s="168" t="s">
        <v>377</v>
      </c>
      <c r="J778" s="168" t="s">
        <v>312</v>
      </c>
      <c r="K778" s="168" t="s">
        <v>1849</v>
      </c>
      <c r="L778" s="167" t="s">
        <v>304</v>
      </c>
      <c r="M778" s="167" t="s">
        <v>305</v>
      </c>
      <c r="N778" s="167">
        <v>11</v>
      </c>
      <c r="O778" s="167" t="s">
        <v>376</v>
      </c>
      <c r="P778" s="167" t="s">
        <v>376</v>
      </c>
      <c r="Q778" s="167" t="s">
        <v>1573</v>
      </c>
      <c r="R778" s="166" t="s">
        <v>52</v>
      </c>
      <c r="S778" s="169">
        <v>216936</v>
      </c>
      <c r="T778" s="160">
        <v>1750</v>
      </c>
      <c r="U778" s="160">
        <v>0</v>
      </c>
      <c r="V778" s="160">
        <v>7000</v>
      </c>
      <c r="W778" s="160">
        <v>209936</v>
      </c>
      <c r="X778" s="161">
        <v>0</v>
      </c>
      <c r="Y778" s="160"/>
      <c r="Z778" s="16">
        <v>3.22</v>
      </c>
      <c r="AA778" s="162">
        <v>7000</v>
      </c>
      <c r="AB778" s="162">
        <v>1750</v>
      </c>
      <c r="AC778" s="162">
        <v>21000</v>
      </c>
      <c r="AD778" s="160"/>
      <c r="AE778" s="145">
        <v>216936</v>
      </c>
      <c r="AF778" s="163">
        <v>1.0529999999999999</v>
      </c>
      <c r="AG778" s="163">
        <v>1.0489999999999999</v>
      </c>
      <c r="AH778" s="163">
        <v>1.0469999999999999</v>
      </c>
      <c r="AI778" s="164">
        <v>216936</v>
      </c>
      <c r="AJ778" s="164">
        <f t="shared" si="100"/>
        <v>0</v>
      </c>
      <c r="AK778" s="229">
        <v>216936</v>
      </c>
      <c r="AL778" s="229">
        <f ca="1">SUMIF('MS &amp; Vacancies combined'!A:M,D778,'MS &amp; Vacancies combined'!M:M)*105.3/100</f>
        <v>221368.07845665238</v>
      </c>
      <c r="AM778" s="229">
        <f t="shared" ca="1" si="92"/>
        <v>232215.11430102834</v>
      </c>
      <c r="AN778" s="229">
        <f t="shared" ca="1" si="93"/>
        <v>243129.22467317665</v>
      </c>
      <c r="AO778" s="166"/>
      <c r="AP778" s="413">
        <f t="shared" ca="1" si="101"/>
        <v>-4432.0784566523798</v>
      </c>
      <c r="AR778" s="231"/>
      <c r="AS778" s="231"/>
      <c r="AU778" s="414">
        <v>216936</v>
      </c>
      <c r="AV778" s="415">
        <v>216936</v>
      </c>
      <c r="AW778" s="414">
        <f t="shared" si="98"/>
        <v>0</v>
      </c>
    </row>
    <row r="779" spans="1:49" s="172" customFormat="1" x14ac:dyDescent="0.3">
      <c r="A779" s="166" t="s">
        <v>52</v>
      </c>
      <c r="B779" s="167" t="s">
        <v>1574</v>
      </c>
      <c r="C779" s="167" t="s">
        <v>376</v>
      </c>
      <c r="D779" s="412"/>
      <c r="E779" s="168" t="s">
        <v>1085</v>
      </c>
      <c r="F779" s="168" t="s">
        <v>1524</v>
      </c>
      <c r="G779" s="168" t="s">
        <v>309</v>
      </c>
      <c r="H779" s="168" t="s">
        <v>373</v>
      </c>
      <c r="I779" s="168" t="s">
        <v>377</v>
      </c>
      <c r="J779" s="168" t="s">
        <v>312</v>
      </c>
      <c r="K779" s="168" t="s">
        <v>1849</v>
      </c>
      <c r="L779" s="167" t="s">
        <v>1572</v>
      </c>
      <c r="M779" s="167" t="s">
        <v>305</v>
      </c>
      <c r="N779" s="167">
        <v>11</v>
      </c>
      <c r="O779" s="167" t="s">
        <v>376</v>
      </c>
      <c r="P779" s="167" t="s">
        <v>376</v>
      </c>
      <c r="Q779" s="167" t="s">
        <v>1574</v>
      </c>
      <c r="R779" s="166" t="s">
        <v>52</v>
      </c>
      <c r="S779" s="169">
        <v>0</v>
      </c>
      <c r="T779" s="160">
        <v>14750</v>
      </c>
      <c r="U779" s="160">
        <v>0</v>
      </c>
      <c r="V779" s="160">
        <v>66500</v>
      </c>
      <c r="W779" s="160">
        <v>-66500</v>
      </c>
      <c r="X779" s="161">
        <v>0</v>
      </c>
      <c r="Y779" s="160"/>
      <c r="Z779" s="16">
        <v>0</v>
      </c>
      <c r="AA779" s="162">
        <v>66500</v>
      </c>
      <c r="AB779" s="162">
        <v>16625</v>
      </c>
      <c r="AC779" s="162">
        <v>199500</v>
      </c>
      <c r="AD779" s="160"/>
      <c r="AE779" s="145">
        <v>0</v>
      </c>
      <c r="AF779" s="163">
        <v>1.0529999999999999</v>
      </c>
      <c r="AG779" s="163">
        <v>1.0489999999999999</v>
      </c>
      <c r="AH779" s="163">
        <v>1.0469999999999999</v>
      </c>
      <c r="AI779" s="164">
        <v>0</v>
      </c>
      <c r="AJ779" s="164">
        <f t="shared" si="100"/>
        <v>0</v>
      </c>
      <c r="AK779" s="229">
        <v>0</v>
      </c>
      <c r="AL779" s="229">
        <f ca="1">SUMIF('MS &amp; Vacancies combined'!A:M,D779,'MS &amp; Vacancies combined'!M:M)*105.3/100</f>
        <v>0</v>
      </c>
      <c r="AM779" s="229">
        <f t="shared" ca="1" si="92"/>
        <v>0</v>
      </c>
      <c r="AN779" s="229">
        <f t="shared" ca="1" si="93"/>
        <v>0</v>
      </c>
      <c r="AO779" s="166"/>
      <c r="AP779" s="413">
        <f t="shared" ca="1" si="101"/>
        <v>0</v>
      </c>
      <c r="AR779" s="231"/>
      <c r="AS779" s="231"/>
      <c r="AU779" s="414">
        <v>0</v>
      </c>
      <c r="AV779" s="415">
        <v>0</v>
      </c>
      <c r="AW779" s="414">
        <f t="shared" si="98"/>
        <v>0</v>
      </c>
    </row>
    <row r="780" spans="1:49" s="172" customFormat="1" x14ac:dyDescent="0.3">
      <c r="A780" s="166" t="s">
        <v>54</v>
      </c>
      <c r="B780" s="167" t="s">
        <v>1575</v>
      </c>
      <c r="C780" s="167" t="s">
        <v>379</v>
      </c>
      <c r="D780" s="412" t="s">
        <v>3476</v>
      </c>
      <c r="E780" s="168" t="s">
        <v>1085</v>
      </c>
      <c r="F780" s="168" t="s">
        <v>1524</v>
      </c>
      <c r="G780" s="168" t="s">
        <v>309</v>
      </c>
      <c r="H780" s="168" t="s">
        <v>373</v>
      </c>
      <c r="I780" s="168" t="s">
        <v>380</v>
      </c>
      <c r="J780" s="168" t="s">
        <v>312</v>
      </c>
      <c r="K780" s="168" t="s">
        <v>1849</v>
      </c>
      <c r="L780" s="167" t="s">
        <v>1572</v>
      </c>
      <c r="M780" s="167" t="s">
        <v>305</v>
      </c>
      <c r="N780" s="167">
        <v>11</v>
      </c>
      <c r="O780" s="167" t="s">
        <v>379</v>
      </c>
      <c r="P780" s="167" t="s">
        <v>379</v>
      </c>
      <c r="Q780" s="167" t="s">
        <v>1575</v>
      </c>
      <c r="R780" s="166" t="s">
        <v>54</v>
      </c>
      <c r="S780" s="169">
        <v>2013527</v>
      </c>
      <c r="T780" s="160">
        <v>35411.949999999997</v>
      </c>
      <c r="U780" s="160">
        <v>0</v>
      </c>
      <c r="V780" s="160">
        <v>144683.10999999999</v>
      </c>
      <c r="W780" s="160">
        <v>1868843.89</v>
      </c>
      <c r="X780" s="161">
        <v>0</v>
      </c>
      <c r="Y780" s="160"/>
      <c r="Z780" s="16">
        <v>7.18</v>
      </c>
      <c r="AA780" s="162">
        <v>144683.10999999999</v>
      </c>
      <c r="AB780" s="162">
        <v>36170.777499999997</v>
      </c>
      <c r="AC780" s="162">
        <v>434049.32999999996</v>
      </c>
      <c r="AD780" s="160"/>
      <c r="AE780" s="145">
        <v>2013527</v>
      </c>
      <c r="AF780" s="163">
        <v>1.0529999999999999</v>
      </c>
      <c r="AG780" s="163">
        <v>1.0489999999999999</v>
      </c>
      <c r="AH780" s="163">
        <v>1.0469999999999999</v>
      </c>
      <c r="AI780" s="164">
        <v>2013527</v>
      </c>
      <c r="AJ780" s="164">
        <f t="shared" si="100"/>
        <v>0</v>
      </c>
      <c r="AK780" s="229">
        <v>2013527</v>
      </c>
      <c r="AL780" s="229">
        <f ca="1">SUMIF('MS &amp; Vacancies combined'!A:L,D780,'MS &amp; Vacancies combined'!L:L)*105.3/100</f>
        <v>1874305.2282986203</v>
      </c>
      <c r="AM780" s="229">
        <f t="shared" ca="1" si="92"/>
        <v>1966146.1844852525</v>
      </c>
      <c r="AN780" s="229">
        <f t="shared" ca="1" si="93"/>
        <v>2058555.0551560591</v>
      </c>
      <c r="AO780" s="166"/>
      <c r="AP780" s="413">
        <f t="shared" ca="1" si="101"/>
        <v>139221.77170137968</v>
      </c>
      <c r="AR780" s="231"/>
      <c r="AS780" s="231"/>
      <c r="AU780" s="414">
        <v>2013527</v>
      </c>
      <c r="AV780" s="415">
        <v>2013527</v>
      </c>
      <c r="AW780" s="414">
        <f t="shared" si="98"/>
        <v>0</v>
      </c>
    </row>
    <row r="781" spans="1:49" x14ac:dyDescent="0.3">
      <c r="A781" s="16" t="s">
        <v>55</v>
      </c>
      <c r="B781" s="39" t="s">
        <v>1576</v>
      </c>
      <c r="C781" s="39" t="s">
        <v>382</v>
      </c>
      <c r="D781" s="340" t="s">
        <v>3476</v>
      </c>
      <c r="E781" s="159" t="s">
        <v>1085</v>
      </c>
      <c r="F781" s="159" t="s">
        <v>1524</v>
      </c>
      <c r="G781" s="159" t="s">
        <v>309</v>
      </c>
      <c r="H781" s="159" t="s">
        <v>373</v>
      </c>
      <c r="I781" s="159" t="s">
        <v>383</v>
      </c>
      <c r="J781" s="159" t="s">
        <v>312</v>
      </c>
      <c r="K781" s="159" t="s">
        <v>1849</v>
      </c>
      <c r="L781" s="39" t="s">
        <v>1572</v>
      </c>
      <c r="M781" s="39" t="s">
        <v>305</v>
      </c>
      <c r="N781" s="39">
        <v>11</v>
      </c>
      <c r="O781" s="39" t="s">
        <v>382</v>
      </c>
      <c r="P781" s="39" t="s">
        <v>382</v>
      </c>
      <c r="Q781" s="39" t="s">
        <v>1576</v>
      </c>
      <c r="R781" s="16" t="s">
        <v>55</v>
      </c>
      <c r="S781" s="169">
        <v>0</v>
      </c>
      <c r="T781" s="160">
        <v>0</v>
      </c>
      <c r="U781" s="160">
        <v>0</v>
      </c>
      <c r="V781" s="160">
        <v>0</v>
      </c>
      <c r="W781" s="160">
        <v>0</v>
      </c>
      <c r="X781" s="161">
        <v>0</v>
      </c>
      <c r="Y781" s="160"/>
      <c r="Z781" s="16">
        <v>0</v>
      </c>
      <c r="AA781" s="162">
        <v>0</v>
      </c>
      <c r="AB781" s="162">
        <v>0</v>
      </c>
      <c r="AC781" s="162">
        <v>0</v>
      </c>
      <c r="AD781" s="160"/>
      <c r="AE781" s="145">
        <v>0</v>
      </c>
      <c r="AF781" s="163">
        <v>1.0469999999999999</v>
      </c>
      <c r="AG781" s="164">
        <v>1.046</v>
      </c>
      <c r="AH781" s="164">
        <v>1.046</v>
      </c>
      <c r="AI781" s="164">
        <v>0</v>
      </c>
      <c r="AJ781" s="164">
        <f t="shared" si="100"/>
        <v>0</v>
      </c>
      <c r="AK781" s="165">
        <v>0</v>
      </c>
      <c r="AL781" s="165">
        <v>0</v>
      </c>
      <c r="AM781" s="165">
        <f t="shared" si="92"/>
        <v>0</v>
      </c>
      <c r="AN781" s="165">
        <f t="shared" si="93"/>
        <v>0</v>
      </c>
      <c r="AO781" s="16"/>
      <c r="AP781" s="231">
        <f t="shared" si="101"/>
        <v>0</v>
      </c>
      <c r="AR781" s="231"/>
      <c r="AS781" s="231"/>
      <c r="AU781" s="230">
        <v>0</v>
      </c>
      <c r="AV781" s="233">
        <v>0</v>
      </c>
      <c r="AW781" s="230">
        <f t="shared" si="98"/>
        <v>0</v>
      </c>
    </row>
    <row r="782" spans="1:49" s="172" customFormat="1" x14ac:dyDescent="0.3">
      <c r="A782" s="166" t="s">
        <v>56</v>
      </c>
      <c r="B782" s="167" t="s">
        <v>1577</v>
      </c>
      <c r="C782" s="167" t="s">
        <v>385</v>
      </c>
      <c r="D782" s="412" t="s">
        <v>3476</v>
      </c>
      <c r="E782" s="168" t="s">
        <v>1085</v>
      </c>
      <c r="F782" s="168" t="s">
        <v>1524</v>
      </c>
      <c r="G782" s="168" t="s">
        <v>309</v>
      </c>
      <c r="H782" s="168" t="s">
        <v>373</v>
      </c>
      <c r="I782" s="168" t="s">
        <v>386</v>
      </c>
      <c r="J782" s="168" t="s">
        <v>387</v>
      </c>
      <c r="K782" s="168" t="s">
        <v>1849</v>
      </c>
      <c r="L782" s="167" t="s">
        <v>304</v>
      </c>
      <c r="M782" s="167" t="s">
        <v>305</v>
      </c>
      <c r="N782" s="167">
        <v>11</v>
      </c>
      <c r="O782" s="167" t="s">
        <v>385</v>
      </c>
      <c r="P782" s="167" t="s">
        <v>385</v>
      </c>
      <c r="Q782" s="167" t="s">
        <v>1577</v>
      </c>
      <c r="R782" s="166" t="s">
        <v>56</v>
      </c>
      <c r="S782" s="169">
        <v>167809</v>
      </c>
      <c r="T782" s="160">
        <v>16038.31</v>
      </c>
      <c r="U782" s="160">
        <v>0</v>
      </c>
      <c r="V782" s="160">
        <v>61412.52</v>
      </c>
      <c r="W782" s="160">
        <v>106396.48</v>
      </c>
      <c r="X782" s="161">
        <v>0</v>
      </c>
      <c r="Y782" s="160"/>
      <c r="Z782" s="16">
        <v>36.590000000000003</v>
      </c>
      <c r="AA782" s="162">
        <v>61412.52</v>
      </c>
      <c r="AB782" s="162">
        <v>15353.13</v>
      </c>
      <c r="AC782" s="162">
        <v>184237.56</v>
      </c>
      <c r="AD782" s="160"/>
      <c r="AE782" s="145">
        <v>167809</v>
      </c>
      <c r="AF782" s="163">
        <v>1.0529999999999999</v>
      </c>
      <c r="AG782" s="163">
        <v>1.0489999999999999</v>
      </c>
      <c r="AH782" s="163">
        <v>1.0469999999999999</v>
      </c>
      <c r="AI782" s="164">
        <v>167809</v>
      </c>
      <c r="AJ782" s="164">
        <f t="shared" si="100"/>
        <v>0</v>
      </c>
      <c r="AK782" s="229">
        <v>167809</v>
      </c>
      <c r="AL782" s="229">
        <f ca="1">SUMIF('MS &amp; Vacancies combined'!A:O,D782,'MS &amp; Vacancies combined'!O:O)*105.3/100</f>
        <v>1946690.4927826799</v>
      </c>
      <c r="AM782" s="229">
        <f t="shared" ca="1" si="92"/>
        <v>2042078.3269290309</v>
      </c>
      <c r="AN782" s="229">
        <f t="shared" ca="1" si="93"/>
        <v>2138056.0082946951</v>
      </c>
      <c r="AO782" s="166"/>
      <c r="AP782" s="413">
        <f t="shared" ca="1" si="101"/>
        <v>-1778881.4927826799</v>
      </c>
      <c r="AR782" s="231"/>
      <c r="AS782" s="231"/>
      <c r="AU782" s="414">
        <v>167809</v>
      </c>
      <c r="AV782" s="415">
        <v>167809</v>
      </c>
      <c r="AW782" s="414">
        <f t="shared" si="98"/>
        <v>0</v>
      </c>
    </row>
    <row r="783" spans="1:49" s="172" customFormat="1" x14ac:dyDescent="0.3">
      <c r="A783" s="166" t="s">
        <v>56</v>
      </c>
      <c r="B783" s="167" t="s">
        <v>1578</v>
      </c>
      <c r="C783" s="167" t="s">
        <v>385</v>
      </c>
      <c r="D783" s="412"/>
      <c r="E783" s="168" t="s">
        <v>1085</v>
      </c>
      <c r="F783" s="168" t="s">
        <v>1524</v>
      </c>
      <c r="G783" s="168" t="s">
        <v>309</v>
      </c>
      <c r="H783" s="168" t="s">
        <v>373</v>
      </c>
      <c r="I783" s="168" t="s">
        <v>386</v>
      </c>
      <c r="J783" s="168" t="s">
        <v>387</v>
      </c>
      <c r="K783" s="168" t="s">
        <v>1849</v>
      </c>
      <c r="L783" s="167" t="s">
        <v>1572</v>
      </c>
      <c r="M783" s="167" t="s">
        <v>305</v>
      </c>
      <c r="N783" s="167">
        <v>11</v>
      </c>
      <c r="O783" s="167" t="s">
        <v>385</v>
      </c>
      <c r="P783" s="167" t="s">
        <v>385</v>
      </c>
      <c r="Q783" s="167" t="s">
        <v>1578</v>
      </c>
      <c r="R783" s="166" t="s">
        <v>56</v>
      </c>
      <c r="S783" s="169">
        <v>0</v>
      </c>
      <c r="T783" s="160">
        <v>251149.39</v>
      </c>
      <c r="U783" s="160">
        <v>0</v>
      </c>
      <c r="V783" s="160">
        <v>1091608.51</v>
      </c>
      <c r="W783" s="160">
        <v>-1091608.51</v>
      </c>
      <c r="X783" s="161">
        <v>0</v>
      </c>
      <c r="Y783" s="160"/>
      <c r="Z783" s="16">
        <v>0</v>
      </c>
      <c r="AA783" s="162">
        <v>1091608.51</v>
      </c>
      <c r="AB783" s="162">
        <v>272902.1275</v>
      </c>
      <c r="AC783" s="162">
        <v>3274825.5300000003</v>
      </c>
      <c r="AD783" s="160"/>
      <c r="AE783" s="145">
        <v>0</v>
      </c>
      <c r="AF783" s="163">
        <v>1.0529999999999999</v>
      </c>
      <c r="AG783" s="163">
        <v>1.0489999999999999</v>
      </c>
      <c r="AH783" s="163">
        <v>1.0469999999999999</v>
      </c>
      <c r="AI783" s="164">
        <v>0</v>
      </c>
      <c r="AJ783" s="164">
        <f t="shared" si="100"/>
        <v>0</v>
      </c>
      <c r="AK783" s="229">
        <v>0</v>
      </c>
      <c r="AL783" s="229">
        <f ca="1">SUMIF('MS &amp; Vacancies combined'!A:O,D783,'MS &amp; Vacancies combined'!O:O)*105.3/100</f>
        <v>0</v>
      </c>
      <c r="AM783" s="229">
        <f t="shared" ca="1" si="92"/>
        <v>0</v>
      </c>
      <c r="AN783" s="229">
        <f t="shared" ca="1" si="93"/>
        <v>0</v>
      </c>
      <c r="AO783" s="166"/>
      <c r="AP783" s="413">
        <f t="shared" ca="1" si="101"/>
        <v>0</v>
      </c>
      <c r="AR783" s="231"/>
      <c r="AS783" s="231"/>
      <c r="AU783" s="414">
        <v>0</v>
      </c>
      <c r="AV783" s="415">
        <v>0</v>
      </c>
      <c r="AW783" s="414">
        <f t="shared" si="98"/>
        <v>0</v>
      </c>
    </row>
    <row r="784" spans="1:49" x14ac:dyDescent="0.3">
      <c r="A784" s="16" t="s">
        <v>57</v>
      </c>
      <c r="B784" s="39" t="s">
        <v>1579</v>
      </c>
      <c r="C784" s="39" t="s">
        <v>389</v>
      </c>
      <c r="D784" s="340" t="s">
        <v>3476</v>
      </c>
      <c r="E784" s="159" t="s">
        <v>1085</v>
      </c>
      <c r="F784" s="159" t="s">
        <v>1524</v>
      </c>
      <c r="G784" s="159" t="s">
        <v>309</v>
      </c>
      <c r="H784" s="159" t="s">
        <v>373</v>
      </c>
      <c r="I784" s="159" t="s">
        <v>390</v>
      </c>
      <c r="J784" s="159" t="s">
        <v>312</v>
      </c>
      <c r="K784" s="159" t="s">
        <v>1849</v>
      </c>
      <c r="L784" s="39" t="s">
        <v>304</v>
      </c>
      <c r="M784" s="39" t="s">
        <v>305</v>
      </c>
      <c r="N784" s="39">
        <v>11</v>
      </c>
      <c r="O784" s="39" t="s">
        <v>389</v>
      </c>
      <c r="P784" s="39" t="s">
        <v>389</v>
      </c>
      <c r="Q784" s="39" t="s">
        <v>1579</v>
      </c>
      <c r="R784" s="16" t="s">
        <v>57</v>
      </c>
      <c r="S784" s="169">
        <v>10576626</v>
      </c>
      <c r="T784" s="160">
        <v>52048.24</v>
      </c>
      <c r="U784" s="160">
        <v>0</v>
      </c>
      <c r="V784" s="160">
        <v>289291.7</v>
      </c>
      <c r="W784" s="160">
        <v>10287334.300000001</v>
      </c>
      <c r="X784" s="161">
        <v>0</v>
      </c>
      <c r="Y784" s="160"/>
      <c r="Z784" s="16">
        <v>2.73</v>
      </c>
      <c r="AA784" s="162">
        <v>289291.7</v>
      </c>
      <c r="AB784" s="162">
        <v>72322.925000000003</v>
      </c>
      <c r="AC784" s="162">
        <v>867875.10000000009</v>
      </c>
      <c r="AD784" s="160"/>
      <c r="AE784" s="145">
        <v>10576626</v>
      </c>
      <c r="AF784" s="421">
        <v>1.0529999999999999</v>
      </c>
      <c r="AG784" s="421">
        <v>1.0489999999999999</v>
      </c>
      <c r="AH784" s="421">
        <v>1.0469999999999999</v>
      </c>
      <c r="AI784" s="164">
        <v>10576626</v>
      </c>
      <c r="AJ784" s="164">
        <f t="shared" si="100"/>
        <v>0</v>
      </c>
      <c r="AK784" s="165">
        <v>10576626</v>
      </c>
      <c r="AL784" s="165">
        <f t="shared" ref="AL784:AL785" si="102">AK784*80%</f>
        <v>8461300.8000000007</v>
      </c>
      <c r="AM784" s="165">
        <f t="shared" si="92"/>
        <v>8875904.5392000005</v>
      </c>
      <c r="AN784" s="165">
        <f t="shared" si="93"/>
        <v>9293072.0525423996</v>
      </c>
      <c r="AO784" s="16"/>
      <c r="AP784" s="231">
        <f t="shared" si="101"/>
        <v>2115325.1999999993</v>
      </c>
      <c r="AR784" s="231"/>
      <c r="AS784" s="231"/>
      <c r="AU784" s="230">
        <v>10576626</v>
      </c>
      <c r="AV784" s="233">
        <v>10576626</v>
      </c>
      <c r="AW784" s="230">
        <f t="shared" si="98"/>
        <v>0</v>
      </c>
    </row>
    <row r="785" spans="1:49" x14ac:dyDescent="0.3">
      <c r="A785" s="16" t="s">
        <v>57</v>
      </c>
      <c r="B785" s="39" t="s">
        <v>1580</v>
      </c>
      <c r="C785" s="39" t="s">
        <v>389</v>
      </c>
      <c r="D785" s="340" t="s">
        <v>3476</v>
      </c>
      <c r="E785" s="159" t="s">
        <v>1085</v>
      </c>
      <c r="F785" s="159" t="s">
        <v>1524</v>
      </c>
      <c r="G785" s="159" t="s">
        <v>309</v>
      </c>
      <c r="H785" s="159" t="s">
        <v>373</v>
      </c>
      <c r="I785" s="159" t="s">
        <v>390</v>
      </c>
      <c r="J785" s="159" t="s">
        <v>312</v>
      </c>
      <c r="K785" s="159" t="s">
        <v>1849</v>
      </c>
      <c r="L785" s="39" t="s">
        <v>1572</v>
      </c>
      <c r="M785" s="39" t="s">
        <v>305</v>
      </c>
      <c r="N785" s="39">
        <v>11</v>
      </c>
      <c r="O785" s="39" t="s">
        <v>389</v>
      </c>
      <c r="P785" s="39" t="s">
        <v>389</v>
      </c>
      <c r="Q785" s="39" t="s">
        <v>1580</v>
      </c>
      <c r="R785" s="16" t="s">
        <v>57</v>
      </c>
      <c r="S785" s="169">
        <v>0</v>
      </c>
      <c r="T785" s="160">
        <v>1020147</v>
      </c>
      <c r="U785" s="160">
        <v>0</v>
      </c>
      <c r="V785" s="160">
        <v>3605298.49</v>
      </c>
      <c r="W785" s="160">
        <v>-3605298.49</v>
      </c>
      <c r="X785" s="161">
        <v>0</v>
      </c>
      <c r="Y785" s="160"/>
      <c r="Z785" s="16">
        <v>0</v>
      </c>
      <c r="AA785" s="162">
        <v>3605298.49</v>
      </c>
      <c r="AB785" s="162">
        <v>901324.62250000006</v>
      </c>
      <c r="AC785" s="162">
        <v>10815895.470000001</v>
      </c>
      <c r="AD785" s="160"/>
      <c r="AE785" s="145">
        <v>0</v>
      </c>
      <c r="AF785" s="421">
        <v>1.0529999999999999</v>
      </c>
      <c r="AG785" s="421">
        <v>1.0489999999999999</v>
      </c>
      <c r="AH785" s="421">
        <v>1.0469999999999999</v>
      </c>
      <c r="AI785" s="164">
        <v>0</v>
      </c>
      <c r="AJ785" s="164">
        <f t="shared" si="100"/>
        <v>0</v>
      </c>
      <c r="AK785" s="165">
        <v>0</v>
      </c>
      <c r="AL785" s="165">
        <f t="shared" si="102"/>
        <v>0</v>
      </c>
      <c r="AM785" s="165">
        <f t="shared" si="92"/>
        <v>0</v>
      </c>
      <c r="AN785" s="165">
        <f t="shared" si="93"/>
        <v>0</v>
      </c>
      <c r="AO785" s="16"/>
      <c r="AP785" s="231">
        <f t="shared" si="101"/>
        <v>0</v>
      </c>
      <c r="AR785" s="231"/>
      <c r="AS785" s="231"/>
      <c r="AU785" s="230">
        <v>0</v>
      </c>
      <c r="AV785" s="233">
        <v>0</v>
      </c>
      <c r="AW785" s="230">
        <f t="shared" si="98"/>
        <v>0</v>
      </c>
    </row>
    <row r="786" spans="1:49" x14ac:dyDescent="0.3">
      <c r="A786" s="16" t="s">
        <v>59</v>
      </c>
      <c r="B786" s="39" t="s">
        <v>1581</v>
      </c>
      <c r="C786" s="39" t="s">
        <v>855</v>
      </c>
      <c r="D786" s="340" t="s">
        <v>3476</v>
      </c>
      <c r="E786" s="159" t="s">
        <v>1085</v>
      </c>
      <c r="F786" s="159" t="s">
        <v>1524</v>
      </c>
      <c r="G786" s="159" t="s">
        <v>309</v>
      </c>
      <c r="H786" s="159" t="s">
        <v>373</v>
      </c>
      <c r="I786" s="159" t="s">
        <v>311</v>
      </c>
      <c r="J786" s="159" t="s">
        <v>312</v>
      </c>
      <c r="K786" s="159" t="s">
        <v>1849</v>
      </c>
      <c r="L786" s="39" t="s">
        <v>304</v>
      </c>
      <c r="M786" s="39" t="s">
        <v>305</v>
      </c>
      <c r="N786" s="39">
        <v>11</v>
      </c>
      <c r="O786" s="39" t="s">
        <v>855</v>
      </c>
      <c r="P786" s="39" t="s">
        <v>855</v>
      </c>
      <c r="Q786" s="39" t="s">
        <v>1581</v>
      </c>
      <c r="R786" s="16" t="s">
        <v>59</v>
      </c>
      <c r="S786" s="169">
        <v>743030</v>
      </c>
      <c r="T786" s="160">
        <v>1400.46</v>
      </c>
      <c r="U786" s="160">
        <v>0</v>
      </c>
      <c r="V786" s="160">
        <v>5476.8</v>
      </c>
      <c r="W786" s="160">
        <v>737553.2</v>
      </c>
      <c r="X786" s="161">
        <v>0</v>
      </c>
      <c r="Y786" s="160"/>
      <c r="Z786" s="16">
        <v>0.73</v>
      </c>
      <c r="AA786" s="162">
        <v>5476.8</v>
      </c>
      <c r="AB786" s="162">
        <v>1369.2</v>
      </c>
      <c r="AC786" s="162">
        <v>16430.400000000001</v>
      </c>
      <c r="AD786" s="160"/>
      <c r="AE786" s="145">
        <v>743030</v>
      </c>
      <c r="AF786" s="421">
        <v>1.0529999999999999</v>
      </c>
      <c r="AG786" s="421">
        <v>1.0489999999999999</v>
      </c>
      <c r="AH786" s="421">
        <v>1.0469999999999999</v>
      </c>
      <c r="AI786" s="164">
        <v>743030</v>
      </c>
      <c r="AJ786" s="164">
        <f t="shared" si="100"/>
        <v>0</v>
      </c>
      <c r="AK786" s="165">
        <v>743030</v>
      </c>
      <c r="AL786" s="165">
        <f t="shared" ref="AL786:AL787" si="103">AK786*AF786</f>
        <v>782410.59</v>
      </c>
      <c r="AM786" s="165">
        <f t="shared" si="92"/>
        <v>820748.70890999993</v>
      </c>
      <c r="AN786" s="165">
        <f t="shared" si="93"/>
        <v>859323.89822876989</v>
      </c>
      <c r="AO786" s="16"/>
      <c r="AP786" s="231">
        <f t="shared" si="101"/>
        <v>-39380.589999999967</v>
      </c>
      <c r="AR786" s="231"/>
      <c r="AS786" s="231"/>
      <c r="AU786" s="230">
        <v>743030</v>
      </c>
      <c r="AV786" s="233">
        <v>743030</v>
      </c>
      <c r="AW786" s="230">
        <f t="shared" si="98"/>
        <v>0</v>
      </c>
    </row>
    <row r="787" spans="1:49" x14ac:dyDescent="0.3">
      <c r="A787" s="16" t="s">
        <v>59</v>
      </c>
      <c r="B787" s="39" t="s">
        <v>1582</v>
      </c>
      <c r="C787" s="39" t="s">
        <v>855</v>
      </c>
      <c r="D787" s="340" t="s">
        <v>3476</v>
      </c>
      <c r="E787" s="159" t="s">
        <v>1085</v>
      </c>
      <c r="F787" s="159" t="s">
        <v>1524</v>
      </c>
      <c r="G787" s="159" t="s">
        <v>309</v>
      </c>
      <c r="H787" s="159" t="s">
        <v>373</v>
      </c>
      <c r="I787" s="159" t="s">
        <v>311</v>
      </c>
      <c r="J787" s="159" t="s">
        <v>312</v>
      </c>
      <c r="K787" s="159" t="s">
        <v>1849</v>
      </c>
      <c r="L787" s="39" t="s">
        <v>1572</v>
      </c>
      <c r="M787" s="39" t="s">
        <v>305</v>
      </c>
      <c r="N787" s="39">
        <v>11</v>
      </c>
      <c r="O787" s="39" t="s">
        <v>855</v>
      </c>
      <c r="P787" s="39" t="s">
        <v>855</v>
      </c>
      <c r="Q787" s="39" t="s">
        <v>1582</v>
      </c>
      <c r="R787" s="16" t="s">
        <v>59</v>
      </c>
      <c r="S787" s="169">
        <v>0</v>
      </c>
      <c r="T787" s="160">
        <v>104970.48</v>
      </c>
      <c r="U787" s="160">
        <v>0</v>
      </c>
      <c r="V787" s="160">
        <v>431888.25</v>
      </c>
      <c r="W787" s="160">
        <v>-431888.25</v>
      </c>
      <c r="X787" s="161">
        <v>0</v>
      </c>
      <c r="Y787" s="160"/>
      <c r="Z787" s="16">
        <v>0</v>
      </c>
      <c r="AA787" s="162">
        <v>431888.25</v>
      </c>
      <c r="AB787" s="162">
        <v>107972.0625</v>
      </c>
      <c r="AC787" s="162">
        <v>1295664.75</v>
      </c>
      <c r="AD787" s="160"/>
      <c r="AE787" s="145">
        <v>0</v>
      </c>
      <c r="AF787" s="421">
        <v>1.0529999999999999</v>
      </c>
      <c r="AG787" s="421">
        <v>1.0489999999999999</v>
      </c>
      <c r="AH787" s="421">
        <v>1.0469999999999999</v>
      </c>
      <c r="AI787" s="164">
        <v>0</v>
      </c>
      <c r="AJ787" s="164">
        <f t="shared" si="100"/>
        <v>0</v>
      </c>
      <c r="AK787" s="165">
        <v>0</v>
      </c>
      <c r="AL787" s="165">
        <f t="shared" si="103"/>
        <v>0</v>
      </c>
      <c r="AM787" s="165">
        <f t="shared" si="92"/>
        <v>0</v>
      </c>
      <c r="AN787" s="165">
        <f t="shared" si="93"/>
        <v>0</v>
      </c>
      <c r="AO787" s="16"/>
      <c r="AP787" s="231">
        <f t="shared" si="101"/>
        <v>0</v>
      </c>
      <c r="AR787" s="231"/>
      <c r="AS787" s="231"/>
      <c r="AU787" s="230">
        <v>0</v>
      </c>
      <c r="AV787" s="233">
        <v>0</v>
      </c>
      <c r="AW787" s="230">
        <f t="shared" si="98"/>
        <v>0</v>
      </c>
    </row>
    <row r="788" spans="1:49" x14ac:dyDescent="0.3">
      <c r="A788" s="16" t="s">
        <v>60</v>
      </c>
      <c r="B788" s="39" t="s">
        <v>1583</v>
      </c>
      <c r="C788" s="39" t="s">
        <v>392</v>
      </c>
      <c r="D788" s="340" t="s">
        <v>3476</v>
      </c>
      <c r="E788" s="159" t="s">
        <v>1085</v>
      </c>
      <c r="F788" s="159" t="s">
        <v>1524</v>
      </c>
      <c r="G788" s="159" t="s">
        <v>309</v>
      </c>
      <c r="H788" s="159" t="s">
        <v>373</v>
      </c>
      <c r="I788" s="159" t="s">
        <v>393</v>
      </c>
      <c r="J788" s="159" t="s">
        <v>312</v>
      </c>
      <c r="K788" s="159" t="s">
        <v>1849</v>
      </c>
      <c r="L788" s="39" t="s">
        <v>304</v>
      </c>
      <c r="M788" s="39" t="s">
        <v>305</v>
      </c>
      <c r="N788" s="39">
        <v>11</v>
      </c>
      <c r="O788" s="39" t="s">
        <v>392</v>
      </c>
      <c r="P788" s="39" t="s">
        <v>392</v>
      </c>
      <c r="Q788" s="39" t="s">
        <v>1583</v>
      </c>
      <c r="R788" s="16" t="s">
        <v>60</v>
      </c>
      <c r="S788" s="169">
        <v>687138</v>
      </c>
      <c r="T788" s="160">
        <v>2917.03</v>
      </c>
      <c r="U788" s="160">
        <v>0</v>
      </c>
      <c r="V788" s="160">
        <v>14293.27</v>
      </c>
      <c r="W788" s="160">
        <v>672844.73</v>
      </c>
      <c r="X788" s="161">
        <v>0</v>
      </c>
      <c r="Y788" s="160"/>
      <c r="Z788" s="16">
        <v>2.08</v>
      </c>
      <c r="AA788" s="162">
        <v>14293.27</v>
      </c>
      <c r="AB788" s="162">
        <v>3573.3175000000001</v>
      </c>
      <c r="AC788" s="162">
        <v>42879.81</v>
      </c>
      <c r="AD788" s="160"/>
      <c r="AE788" s="145">
        <v>687138</v>
      </c>
      <c r="AF788" s="421">
        <v>1.0529999999999999</v>
      </c>
      <c r="AG788" s="421">
        <v>1.0489999999999999</v>
      </c>
      <c r="AH788" s="421">
        <v>1.0469999999999999</v>
      </c>
      <c r="AI788" s="164">
        <v>687138</v>
      </c>
      <c r="AJ788" s="164">
        <f t="shared" si="100"/>
        <v>0</v>
      </c>
      <c r="AK788" s="165">
        <v>687138</v>
      </c>
      <c r="AL788" s="165">
        <f t="shared" ref="AL788:AL789" si="104">AK788*AF788</f>
        <v>723556.31400000001</v>
      </c>
      <c r="AM788" s="165">
        <f t="shared" si="92"/>
        <v>759010.573386</v>
      </c>
      <c r="AN788" s="165">
        <f t="shared" si="93"/>
        <v>794684.07033514197</v>
      </c>
      <c r="AO788" s="16"/>
      <c r="AP788" s="231">
        <f t="shared" si="101"/>
        <v>-36418.314000000013</v>
      </c>
      <c r="AR788" s="231"/>
      <c r="AS788" s="231"/>
      <c r="AU788" s="230">
        <v>687138</v>
      </c>
      <c r="AV788" s="233">
        <v>687138</v>
      </c>
      <c r="AW788" s="230">
        <f t="shared" si="98"/>
        <v>0</v>
      </c>
    </row>
    <row r="789" spans="1:49" x14ac:dyDescent="0.3">
      <c r="A789" s="16" t="s">
        <v>60</v>
      </c>
      <c r="B789" s="39" t="s">
        <v>1584</v>
      </c>
      <c r="C789" s="39" t="s">
        <v>392</v>
      </c>
      <c r="D789" s="340" t="s">
        <v>3476</v>
      </c>
      <c r="E789" s="159" t="s">
        <v>1085</v>
      </c>
      <c r="F789" s="159" t="s">
        <v>1524</v>
      </c>
      <c r="G789" s="159" t="s">
        <v>309</v>
      </c>
      <c r="H789" s="159" t="s">
        <v>373</v>
      </c>
      <c r="I789" s="159" t="s">
        <v>393</v>
      </c>
      <c r="J789" s="159" t="s">
        <v>312</v>
      </c>
      <c r="K789" s="159" t="s">
        <v>1849</v>
      </c>
      <c r="L789" s="39" t="s">
        <v>1572</v>
      </c>
      <c r="M789" s="39" t="s">
        <v>305</v>
      </c>
      <c r="N789" s="39">
        <v>11</v>
      </c>
      <c r="O789" s="39" t="s">
        <v>392</v>
      </c>
      <c r="P789" s="39" t="s">
        <v>392</v>
      </c>
      <c r="Q789" s="39" t="s">
        <v>1584</v>
      </c>
      <c r="R789" s="16" t="s">
        <v>60</v>
      </c>
      <c r="S789" s="169">
        <v>0</v>
      </c>
      <c r="T789" s="160">
        <v>63716.58</v>
      </c>
      <c r="U789" s="160">
        <v>0</v>
      </c>
      <c r="V789" s="160">
        <v>216018.85</v>
      </c>
      <c r="W789" s="160">
        <v>-216018.85</v>
      </c>
      <c r="X789" s="161">
        <v>0</v>
      </c>
      <c r="Y789" s="160"/>
      <c r="Z789" s="16">
        <v>0</v>
      </c>
      <c r="AA789" s="162">
        <v>216018.85</v>
      </c>
      <c r="AB789" s="162">
        <v>54004.712500000001</v>
      </c>
      <c r="AC789" s="162">
        <v>648056.55000000005</v>
      </c>
      <c r="AD789" s="160"/>
      <c r="AE789" s="145">
        <v>0</v>
      </c>
      <c r="AF789" s="421">
        <v>1.0529999999999999</v>
      </c>
      <c r="AG789" s="421">
        <v>1.0489999999999999</v>
      </c>
      <c r="AH789" s="421">
        <v>1.0469999999999999</v>
      </c>
      <c r="AI789" s="164">
        <v>0</v>
      </c>
      <c r="AJ789" s="164">
        <f t="shared" si="100"/>
        <v>0</v>
      </c>
      <c r="AK789" s="165">
        <v>0</v>
      </c>
      <c r="AL789" s="165">
        <f t="shared" si="104"/>
        <v>0</v>
      </c>
      <c r="AM789" s="165">
        <f t="shared" si="92"/>
        <v>0</v>
      </c>
      <c r="AN789" s="165">
        <f t="shared" si="93"/>
        <v>0</v>
      </c>
      <c r="AO789" s="16"/>
      <c r="AP789" s="231">
        <f t="shared" si="101"/>
        <v>0</v>
      </c>
      <c r="AR789" s="231"/>
      <c r="AS789" s="231"/>
      <c r="AU789" s="230">
        <v>0</v>
      </c>
      <c r="AV789" s="233">
        <v>0</v>
      </c>
      <c r="AW789" s="230">
        <f t="shared" si="98"/>
        <v>0</v>
      </c>
    </row>
    <row r="790" spans="1:49" x14ac:dyDescent="0.3">
      <c r="A790" s="16" t="s">
        <v>61</v>
      </c>
      <c r="B790" s="39" t="s">
        <v>1585</v>
      </c>
      <c r="C790" s="39" t="s">
        <v>460</v>
      </c>
      <c r="D790" s="340" t="s">
        <v>3476</v>
      </c>
      <c r="E790" s="159" t="s">
        <v>1085</v>
      </c>
      <c r="F790" s="159" t="s">
        <v>1524</v>
      </c>
      <c r="G790" s="159" t="s">
        <v>309</v>
      </c>
      <c r="H790" s="159" t="s">
        <v>373</v>
      </c>
      <c r="I790" s="159" t="s">
        <v>461</v>
      </c>
      <c r="J790" s="159" t="s">
        <v>312</v>
      </c>
      <c r="K790" s="159" t="s">
        <v>1849</v>
      </c>
      <c r="L790" s="39" t="s">
        <v>1572</v>
      </c>
      <c r="M790" s="39" t="s">
        <v>305</v>
      </c>
      <c r="N790" s="39">
        <v>11</v>
      </c>
      <c r="O790" s="39" t="s">
        <v>460</v>
      </c>
      <c r="P790" s="39" t="s">
        <v>460</v>
      </c>
      <c r="Q790" s="39" t="s">
        <v>1585</v>
      </c>
      <c r="R790" s="16" t="s">
        <v>61</v>
      </c>
      <c r="S790" s="169">
        <v>0</v>
      </c>
      <c r="T790" s="160">
        <v>11788</v>
      </c>
      <c r="U790" s="160">
        <v>0</v>
      </c>
      <c r="V790" s="160">
        <v>54189</v>
      </c>
      <c r="W790" s="160">
        <v>-54189</v>
      </c>
      <c r="X790" s="161">
        <v>0</v>
      </c>
      <c r="Y790" s="160"/>
      <c r="Z790" s="16">
        <v>0</v>
      </c>
      <c r="AA790" s="162">
        <v>54189</v>
      </c>
      <c r="AB790" s="162">
        <v>13547.25</v>
      </c>
      <c r="AC790" s="162">
        <v>162567</v>
      </c>
      <c r="AD790" s="160"/>
      <c r="AE790" s="145">
        <v>0</v>
      </c>
      <c r="AF790" s="163">
        <v>1.0469999999999999</v>
      </c>
      <c r="AG790" s="164">
        <v>1.046</v>
      </c>
      <c r="AH790" s="164">
        <v>1.046</v>
      </c>
      <c r="AI790" s="164">
        <v>0</v>
      </c>
      <c r="AJ790" s="164">
        <f t="shared" si="100"/>
        <v>0</v>
      </c>
      <c r="AK790" s="165">
        <v>0</v>
      </c>
      <c r="AL790" s="165">
        <v>0</v>
      </c>
      <c r="AM790" s="165">
        <f t="shared" si="92"/>
        <v>0</v>
      </c>
      <c r="AN790" s="165">
        <f t="shared" si="93"/>
        <v>0</v>
      </c>
      <c r="AO790" s="16"/>
      <c r="AP790" s="231">
        <f t="shared" si="101"/>
        <v>0</v>
      </c>
      <c r="AR790" s="231"/>
      <c r="AS790" s="231"/>
      <c r="AU790" s="230">
        <v>0</v>
      </c>
      <c r="AV790" s="233">
        <v>0</v>
      </c>
      <c r="AW790" s="230">
        <f t="shared" si="98"/>
        <v>0</v>
      </c>
    </row>
    <row r="791" spans="1:49" s="172" customFormat="1" x14ac:dyDescent="0.3">
      <c r="A791" s="166" t="s">
        <v>62</v>
      </c>
      <c r="B791" s="167" t="s">
        <v>1586</v>
      </c>
      <c r="C791" s="167" t="s">
        <v>395</v>
      </c>
      <c r="D791" s="412" t="s">
        <v>3476</v>
      </c>
      <c r="E791" s="168" t="s">
        <v>1085</v>
      </c>
      <c r="F791" s="168" t="s">
        <v>1524</v>
      </c>
      <c r="G791" s="168" t="s">
        <v>309</v>
      </c>
      <c r="H791" s="168" t="s">
        <v>373</v>
      </c>
      <c r="I791" s="168" t="s">
        <v>396</v>
      </c>
      <c r="J791" s="168" t="s">
        <v>312</v>
      </c>
      <c r="K791" s="168" t="s">
        <v>1849</v>
      </c>
      <c r="L791" s="167" t="s">
        <v>304</v>
      </c>
      <c r="M791" s="167" t="s">
        <v>305</v>
      </c>
      <c r="N791" s="167">
        <v>11</v>
      </c>
      <c r="O791" s="167" t="s">
        <v>395</v>
      </c>
      <c r="P791" s="167" t="s">
        <v>395</v>
      </c>
      <c r="Q791" s="167" t="s">
        <v>1586</v>
      </c>
      <c r="R791" s="166" t="s">
        <v>62</v>
      </c>
      <c r="S791" s="169">
        <v>4198609</v>
      </c>
      <c r="T791" s="160">
        <v>14926</v>
      </c>
      <c r="U791" s="160">
        <v>0</v>
      </c>
      <c r="V791" s="160">
        <v>59524</v>
      </c>
      <c r="W791" s="160">
        <v>4139085</v>
      </c>
      <c r="X791" s="161">
        <v>0</v>
      </c>
      <c r="Y791" s="160"/>
      <c r="Z791" s="16">
        <v>1.41</v>
      </c>
      <c r="AA791" s="162">
        <v>59524</v>
      </c>
      <c r="AB791" s="162">
        <v>14881</v>
      </c>
      <c r="AC791" s="162">
        <v>178572</v>
      </c>
      <c r="AD791" s="160"/>
      <c r="AE791" s="145">
        <v>4198609</v>
      </c>
      <c r="AF791" s="163">
        <v>1.0529999999999999</v>
      </c>
      <c r="AG791" s="163">
        <v>1.0489999999999999</v>
      </c>
      <c r="AH791" s="163">
        <v>1.0469999999999999</v>
      </c>
      <c r="AI791" s="164">
        <v>4198609</v>
      </c>
      <c r="AJ791" s="164">
        <f t="shared" si="100"/>
        <v>0</v>
      </c>
      <c r="AK791" s="229">
        <v>4198609</v>
      </c>
      <c r="AL791" s="229">
        <f ca="1">SUMIF('MS &amp; Vacancies combined'!A:K,D791,'MS &amp; Vacancies combined'!K:K)*105.3/100</f>
        <v>3882688.8102846467</v>
      </c>
      <c r="AM791" s="229">
        <f t="shared" ca="1" si="92"/>
        <v>4072940.561988594</v>
      </c>
      <c r="AN791" s="229">
        <f t="shared" ca="1" si="93"/>
        <v>4264368.7684020577</v>
      </c>
      <c r="AO791" s="166"/>
      <c r="AP791" s="413">
        <f t="shared" ca="1" si="101"/>
        <v>315920.18971535331</v>
      </c>
      <c r="AR791" s="231"/>
      <c r="AS791" s="231"/>
      <c r="AU791" s="414">
        <v>4198609</v>
      </c>
      <c r="AV791" s="415">
        <v>4198609</v>
      </c>
      <c r="AW791" s="414">
        <f t="shared" si="98"/>
        <v>0</v>
      </c>
    </row>
    <row r="792" spans="1:49" s="172" customFormat="1" x14ac:dyDescent="0.3">
      <c r="A792" s="166" t="s">
        <v>62</v>
      </c>
      <c r="B792" s="167" t="s">
        <v>1587</v>
      </c>
      <c r="C792" s="167" t="s">
        <v>395</v>
      </c>
      <c r="D792" s="412"/>
      <c r="E792" s="168" t="s">
        <v>1085</v>
      </c>
      <c r="F792" s="168" t="s">
        <v>1524</v>
      </c>
      <c r="G792" s="168" t="s">
        <v>309</v>
      </c>
      <c r="H792" s="168" t="s">
        <v>373</v>
      </c>
      <c r="I792" s="168" t="s">
        <v>396</v>
      </c>
      <c r="J792" s="168" t="s">
        <v>312</v>
      </c>
      <c r="K792" s="168" t="s">
        <v>1849</v>
      </c>
      <c r="L792" s="167" t="s">
        <v>1572</v>
      </c>
      <c r="M792" s="167" t="s">
        <v>305</v>
      </c>
      <c r="N792" s="167">
        <v>11</v>
      </c>
      <c r="O792" s="167" t="s">
        <v>395</v>
      </c>
      <c r="P792" s="167" t="s">
        <v>395</v>
      </c>
      <c r="Q792" s="167" t="s">
        <v>1587</v>
      </c>
      <c r="R792" s="166" t="s">
        <v>62</v>
      </c>
      <c r="S792" s="169">
        <v>0</v>
      </c>
      <c r="T792" s="160">
        <v>487490</v>
      </c>
      <c r="U792" s="160">
        <v>0</v>
      </c>
      <c r="V792" s="160">
        <v>1592516.04</v>
      </c>
      <c r="W792" s="160">
        <v>-1592516.04</v>
      </c>
      <c r="X792" s="161">
        <v>0</v>
      </c>
      <c r="Y792" s="160"/>
      <c r="Z792" s="16">
        <v>0</v>
      </c>
      <c r="AA792" s="162">
        <v>1592516.04</v>
      </c>
      <c r="AB792" s="162">
        <v>398129.01</v>
      </c>
      <c r="AC792" s="162">
        <v>4777548.12</v>
      </c>
      <c r="AD792" s="160"/>
      <c r="AE792" s="145">
        <v>0</v>
      </c>
      <c r="AF792" s="163">
        <v>1.0529999999999999</v>
      </c>
      <c r="AG792" s="163">
        <v>1.0489999999999999</v>
      </c>
      <c r="AH792" s="163">
        <v>1.0469999999999999</v>
      </c>
      <c r="AI792" s="164">
        <v>0</v>
      </c>
      <c r="AJ792" s="164">
        <f t="shared" si="100"/>
        <v>0</v>
      </c>
      <c r="AK792" s="229">
        <v>0</v>
      </c>
      <c r="AL792" s="229">
        <f ca="1">SUMIF('MS &amp; Vacancies combined'!A:K,D792,'MS &amp; Vacancies combined'!K:K)*105.3/100</f>
        <v>0</v>
      </c>
      <c r="AM792" s="229">
        <f t="shared" ca="1" si="92"/>
        <v>0</v>
      </c>
      <c r="AN792" s="229">
        <f t="shared" ca="1" si="93"/>
        <v>0</v>
      </c>
      <c r="AO792" s="166"/>
      <c r="AP792" s="413">
        <f t="shared" ca="1" si="101"/>
        <v>0</v>
      </c>
      <c r="AR792" s="231"/>
      <c r="AS792" s="231"/>
      <c r="AU792" s="414">
        <v>0</v>
      </c>
      <c r="AV792" s="415">
        <v>0</v>
      </c>
      <c r="AW792" s="414">
        <f t="shared" si="98"/>
        <v>0</v>
      </c>
    </row>
    <row r="793" spans="1:49" x14ac:dyDescent="0.3">
      <c r="A793" s="16" t="s">
        <v>63</v>
      </c>
      <c r="B793" s="39" t="s">
        <v>1588</v>
      </c>
      <c r="C793" s="39" t="s">
        <v>860</v>
      </c>
      <c r="D793" s="340" t="s">
        <v>3476</v>
      </c>
      <c r="E793" s="159" t="s">
        <v>1085</v>
      </c>
      <c r="F793" s="159" t="s">
        <v>1524</v>
      </c>
      <c r="G793" s="159" t="s">
        <v>309</v>
      </c>
      <c r="H793" s="159" t="s">
        <v>373</v>
      </c>
      <c r="I793" s="159" t="s">
        <v>861</v>
      </c>
      <c r="J793" s="159" t="s">
        <v>312</v>
      </c>
      <c r="K793" s="159" t="s">
        <v>1849</v>
      </c>
      <c r="L793" s="39" t="s">
        <v>1572</v>
      </c>
      <c r="M793" s="39" t="s">
        <v>305</v>
      </c>
      <c r="N793" s="39">
        <v>11</v>
      </c>
      <c r="O793" s="39" t="s">
        <v>860</v>
      </c>
      <c r="P793" s="39" t="s">
        <v>860</v>
      </c>
      <c r="Q793" s="39" t="s">
        <v>1588</v>
      </c>
      <c r="R793" s="16" t="s">
        <v>63</v>
      </c>
      <c r="S793" s="169">
        <v>0</v>
      </c>
      <c r="T793" s="160">
        <v>0</v>
      </c>
      <c r="U793" s="160">
        <v>0</v>
      </c>
      <c r="V793" s="160">
        <v>0</v>
      </c>
      <c r="W793" s="160">
        <v>0</v>
      </c>
      <c r="X793" s="161">
        <v>0</v>
      </c>
      <c r="Y793" s="160"/>
      <c r="Z793" s="16">
        <v>0</v>
      </c>
      <c r="AA793" s="162">
        <v>0</v>
      </c>
      <c r="AB793" s="162">
        <v>0</v>
      </c>
      <c r="AC793" s="162">
        <v>0</v>
      </c>
      <c r="AD793" s="160"/>
      <c r="AE793" s="145">
        <v>0</v>
      </c>
      <c r="AF793" s="163">
        <v>1.0469999999999999</v>
      </c>
      <c r="AG793" s="164">
        <v>1.046</v>
      </c>
      <c r="AH793" s="164">
        <v>1.046</v>
      </c>
      <c r="AI793" s="164">
        <v>0</v>
      </c>
      <c r="AJ793" s="164">
        <f t="shared" si="100"/>
        <v>0</v>
      </c>
      <c r="AK793" s="165">
        <v>0</v>
      </c>
      <c r="AL793" s="165">
        <v>0</v>
      </c>
      <c r="AM793" s="165">
        <f t="shared" si="92"/>
        <v>0</v>
      </c>
      <c r="AN793" s="165">
        <f t="shared" si="93"/>
        <v>0</v>
      </c>
      <c r="AO793" s="16"/>
      <c r="AP793" s="231">
        <f t="shared" si="101"/>
        <v>0</v>
      </c>
      <c r="AR793" s="231"/>
      <c r="AS793" s="231"/>
      <c r="AU793" s="230">
        <v>0</v>
      </c>
      <c r="AV793" s="233">
        <v>0</v>
      </c>
      <c r="AW793" s="230">
        <f t="shared" si="98"/>
        <v>0</v>
      </c>
    </row>
    <row r="794" spans="1:49" x14ac:dyDescent="0.3">
      <c r="A794" s="16" t="s">
        <v>64</v>
      </c>
      <c r="B794" s="39" t="s">
        <v>1589</v>
      </c>
      <c r="C794" s="39" t="s">
        <v>464</v>
      </c>
      <c r="D794" s="340" t="s">
        <v>3476</v>
      </c>
      <c r="E794" s="159" t="s">
        <v>1085</v>
      </c>
      <c r="F794" s="159" t="s">
        <v>1524</v>
      </c>
      <c r="G794" s="159" t="s">
        <v>309</v>
      </c>
      <c r="H794" s="159" t="s">
        <v>373</v>
      </c>
      <c r="I794" s="159" t="s">
        <v>465</v>
      </c>
      <c r="J794" s="159" t="s">
        <v>312</v>
      </c>
      <c r="K794" s="159" t="s">
        <v>1849</v>
      </c>
      <c r="L794" s="39" t="s">
        <v>304</v>
      </c>
      <c r="M794" s="39" t="s">
        <v>305</v>
      </c>
      <c r="N794" s="39">
        <v>11</v>
      </c>
      <c r="O794" s="39" t="s">
        <v>464</v>
      </c>
      <c r="P794" s="39" t="s">
        <v>464</v>
      </c>
      <c r="Q794" s="39" t="s">
        <v>1589</v>
      </c>
      <c r="R794" s="16" t="s">
        <v>64</v>
      </c>
      <c r="S794" s="169">
        <v>3182950</v>
      </c>
      <c r="T794" s="160">
        <v>17779.27</v>
      </c>
      <c r="U794" s="160">
        <v>0</v>
      </c>
      <c r="V794" s="160">
        <v>89952.05</v>
      </c>
      <c r="W794" s="160">
        <v>3092997.95</v>
      </c>
      <c r="X794" s="161">
        <v>0</v>
      </c>
      <c r="Y794" s="160"/>
      <c r="Z794" s="16">
        <v>2.82</v>
      </c>
      <c r="AA794" s="162">
        <v>89952.05</v>
      </c>
      <c r="AB794" s="162">
        <v>22488.012500000001</v>
      </c>
      <c r="AC794" s="162">
        <v>269856.15000000002</v>
      </c>
      <c r="AD794" s="160"/>
      <c r="AE794" s="145">
        <v>3182950</v>
      </c>
      <c r="AF794" s="421">
        <v>1.0529999999999999</v>
      </c>
      <c r="AG794" s="421">
        <v>1.0489999999999999</v>
      </c>
      <c r="AH794" s="421">
        <v>1.0469999999999999</v>
      </c>
      <c r="AI794" s="164">
        <v>3182950</v>
      </c>
      <c r="AJ794" s="164">
        <f t="shared" si="100"/>
        <v>0</v>
      </c>
      <c r="AK794" s="165">
        <v>3182950</v>
      </c>
      <c r="AL794" s="165">
        <f t="shared" ref="AL794:AL795" si="105">AK794*AF794</f>
        <v>3351646.3499999996</v>
      </c>
      <c r="AM794" s="165">
        <f t="shared" si="92"/>
        <v>3515877.0211499995</v>
      </c>
      <c r="AN794" s="165">
        <f t="shared" si="93"/>
        <v>3681123.241144049</v>
      </c>
      <c r="AO794" s="16"/>
      <c r="AP794" s="231">
        <f t="shared" si="101"/>
        <v>-168696.34999999963</v>
      </c>
      <c r="AR794" s="231"/>
      <c r="AS794" s="231"/>
      <c r="AU794" s="230">
        <v>3182950</v>
      </c>
      <c r="AV794" s="233">
        <v>3182950</v>
      </c>
      <c r="AW794" s="230">
        <f t="shared" si="98"/>
        <v>0</v>
      </c>
    </row>
    <row r="795" spans="1:49" x14ac:dyDescent="0.3">
      <c r="A795" s="16" t="s">
        <v>64</v>
      </c>
      <c r="B795" s="39" t="s">
        <v>1590</v>
      </c>
      <c r="C795" s="39" t="s">
        <v>464</v>
      </c>
      <c r="D795" s="340" t="s">
        <v>3476</v>
      </c>
      <c r="E795" s="159" t="s">
        <v>1085</v>
      </c>
      <c r="F795" s="159" t="s">
        <v>1524</v>
      </c>
      <c r="G795" s="159" t="s">
        <v>309</v>
      </c>
      <c r="H795" s="159" t="s">
        <v>373</v>
      </c>
      <c r="I795" s="159" t="s">
        <v>465</v>
      </c>
      <c r="J795" s="159" t="s">
        <v>312</v>
      </c>
      <c r="K795" s="159" t="s">
        <v>1849</v>
      </c>
      <c r="L795" s="39" t="s">
        <v>1572</v>
      </c>
      <c r="M795" s="39" t="s">
        <v>305</v>
      </c>
      <c r="N795" s="39">
        <v>11</v>
      </c>
      <c r="O795" s="39" t="s">
        <v>464</v>
      </c>
      <c r="P795" s="39" t="s">
        <v>464</v>
      </c>
      <c r="Q795" s="39" t="s">
        <v>1590</v>
      </c>
      <c r="R795" s="16" t="s">
        <v>64</v>
      </c>
      <c r="S795" s="169">
        <v>0</v>
      </c>
      <c r="T795" s="160">
        <v>282080.31</v>
      </c>
      <c r="U795" s="160">
        <v>0</v>
      </c>
      <c r="V795" s="160">
        <v>1103374.79</v>
      </c>
      <c r="W795" s="160">
        <v>-1103374.79</v>
      </c>
      <c r="X795" s="161">
        <v>0</v>
      </c>
      <c r="Y795" s="160"/>
      <c r="Z795" s="16">
        <v>0</v>
      </c>
      <c r="AA795" s="162">
        <v>1103374.79</v>
      </c>
      <c r="AB795" s="162">
        <v>275843.69750000001</v>
      </c>
      <c r="AC795" s="162">
        <v>3310124.37</v>
      </c>
      <c r="AD795" s="160"/>
      <c r="AE795" s="145">
        <v>0</v>
      </c>
      <c r="AF795" s="421">
        <v>1.0529999999999999</v>
      </c>
      <c r="AG795" s="421">
        <v>1.0489999999999999</v>
      </c>
      <c r="AH795" s="421">
        <v>1.0469999999999999</v>
      </c>
      <c r="AI795" s="164">
        <v>0</v>
      </c>
      <c r="AJ795" s="164">
        <f t="shared" si="100"/>
        <v>0</v>
      </c>
      <c r="AK795" s="165">
        <v>0</v>
      </c>
      <c r="AL795" s="165">
        <f t="shared" si="105"/>
        <v>0</v>
      </c>
      <c r="AM795" s="165">
        <f t="shared" si="92"/>
        <v>0</v>
      </c>
      <c r="AN795" s="165">
        <f t="shared" si="93"/>
        <v>0</v>
      </c>
      <c r="AO795" s="16"/>
      <c r="AP795" s="231">
        <f t="shared" si="101"/>
        <v>0</v>
      </c>
      <c r="AR795" s="231"/>
      <c r="AS795" s="231"/>
      <c r="AU795" s="230">
        <v>0</v>
      </c>
      <c r="AV795" s="233">
        <v>0</v>
      </c>
      <c r="AW795" s="230">
        <f t="shared" si="98"/>
        <v>0</v>
      </c>
    </row>
    <row r="796" spans="1:49" x14ac:dyDescent="0.3">
      <c r="A796" s="16" t="s">
        <v>66</v>
      </c>
      <c r="B796" s="39" t="s">
        <v>1591</v>
      </c>
      <c r="C796" s="39" t="s">
        <v>67</v>
      </c>
      <c r="D796" s="340" t="s">
        <v>3476</v>
      </c>
      <c r="E796" s="159" t="s">
        <v>1085</v>
      </c>
      <c r="F796" s="159" t="s">
        <v>1524</v>
      </c>
      <c r="G796" s="159" t="s">
        <v>309</v>
      </c>
      <c r="H796" s="159" t="s">
        <v>373</v>
      </c>
      <c r="I796" s="159" t="s">
        <v>326</v>
      </c>
      <c r="J796" s="159" t="s">
        <v>312</v>
      </c>
      <c r="K796" s="159" t="s">
        <v>1849</v>
      </c>
      <c r="L796" s="39" t="s">
        <v>1572</v>
      </c>
      <c r="M796" s="39" t="s">
        <v>305</v>
      </c>
      <c r="N796" s="39">
        <v>11</v>
      </c>
      <c r="O796" s="39" t="s">
        <v>67</v>
      </c>
      <c r="P796" s="39" t="s">
        <v>67</v>
      </c>
      <c r="Q796" s="39" t="s">
        <v>1591</v>
      </c>
      <c r="R796" s="16" t="s">
        <v>66</v>
      </c>
      <c r="S796" s="169">
        <v>0</v>
      </c>
      <c r="T796" s="160">
        <v>54.84</v>
      </c>
      <c r="U796" s="160">
        <v>0</v>
      </c>
      <c r="V796" s="160">
        <v>219.36</v>
      </c>
      <c r="W796" s="160">
        <v>-219.36</v>
      </c>
      <c r="X796" s="161">
        <v>0</v>
      </c>
      <c r="Y796" s="160"/>
      <c r="Z796" s="16">
        <v>0</v>
      </c>
      <c r="AA796" s="162">
        <v>219.36</v>
      </c>
      <c r="AB796" s="162">
        <v>54.84</v>
      </c>
      <c r="AC796" s="162">
        <v>658.08</v>
      </c>
      <c r="AD796" s="160"/>
      <c r="AE796" s="145">
        <v>0</v>
      </c>
      <c r="AF796" s="163">
        <v>1.0469999999999999</v>
      </c>
      <c r="AG796" s="164">
        <v>1.046</v>
      </c>
      <c r="AH796" s="164">
        <v>1.046</v>
      </c>
      <c r="AI796" s="164">
        <v>0</v>
      </c>
      <c r="AJ796" s="164">
        <f t="shared" si="100"/>
        <v>0</v>
      </c>
      <c r="AK796" s="165">
        <v>0</v>
      </c>
      <c r="AL796" s="165">
        <v>0</v>
      </c>
      <c r="AM796" s="165">
        <f t="shared" si="92"/>
        <v>0</v>
      </c>
      <c r="AN796" s="165">
        <f t="shared" si="93"/>
        <v>0</v>
      </c>
      <c r="AO796" s="16"/>
      <c r="AP796" s="231">
        <f t="shared" si="101"/>
        <v>0</v>
      </c>
      <c r="AR796" s="231"/>
      <c r="AS796" s="231"/>
      <c r="AU796" s="230">
        <v>0</v>
      </c>
      <c r="AV796" s="233">
        <v>0</v>
      </c>
      <c r="AW796" s="230">
        <f t="shared" si="98"/>
        <v>0</v>
      </c>
    </row>
    <row r="797" spans="1:49" s="172" customFormat="1" x14ac:dyDescent="0.3">
      <c r="A797" s="166" t="s">
        <v>69</v>
      </c>
      <c r="B797" s="167" t="s">
        <v>1592</v>
      </c>
      <c r="C797" s="167" t="s">
        <v>398</v>
      </c>
      <c r="D797" s="412" t="s">
        <v>3476</v>
      </c>
      <c r="E797" s="168" t="s">
        <v>1085</v>
      </c>
      <c r="F797" s="168" t="s">
        <v>1524</v>
      </c>
      <c r="G797" s="168" t="s">
        <v>309</v>
      </c>
      <c r="H797" s="168" t="s">
        <v>310</v>
      </c>
      <c r="I797" s="168" t="s">
        <v>374</v>
      </c>
      <c r="J797" s="168" t="s">
        <v>312</v>
      </c>
      <c r="K797" s="168" t="s">
        <v>1849</v>
      </c>
      <c r="L797" s="167" t="s">
        <v>304</v>
      </c>
      <c r="M797" s="167" t="s">
        <v>305</v>
      </c>
      <c r="N797" s="167">
        <v>11</v>
      </c>
      <c r="O797" s="167" t="s">
        <v>398</v>
      </c>
      <c r="P797" s="167" t="s">
        <v>398</v>
      </c>
      <c r="Q797" s="167" t="s">
        <v>1592</v>
      </c>
      <c r="R797" s="166" t="s">
        <v>69</v>
      </c>
      <c r="S797" s="169">
        <v>21502</v>
      </c>
      <c r="T797" s="160">
        <v>75.599999999999994</v>
      </c>
      <c r="U797" s="160">
        <v>0</v>
      </c>
      <c r="V797" s="160">
        <v>345.6</v>
      </c>
      <c r="W797" s="160">
        <v>21156.400000000001</v>
      </c>
      <c r="X797" s="161">
        <v>0</v>
      </c>
      <c r="Y797" s="160"/>
      <c r="Z797" s="16">
        <v>1.6</v>
      </c>
      <c r="AA797" s="162">
        <v>345.6</v>
      </c>
      <c r="AB797" s="162">
        <v>86.4</v>
      </c>
      <c r="AC797" s="162">
        <v>1036.8000000000002</v>
      </c>
      <c r="AD797" s="160"/>
      <c r="AE797" s="145">
        <v>21502</v>
      </c>
      <c r="AF797" s="163">
        <v>1.0529999999999999</v>
      </c>
      <c r="AG797" s="163">
        <v>1.0489999999999999</v>
      </c>
      <c r="AH797" s="163">
        <v>1.0469999999999999</v>
      </c>
      <c r="AI797" s="164">
        <v>21502</v>
      </c>
      <c r="AJ797" s="164">
        <f t="shared" si="100"/>
        <v>0</v>
      </c>
      <c r="AK797" s="229">
        <v>21502</v>
      </c>
      <c r="AL797" s="229">
        <f ca="1">SUMIF('MS &amp; Vacancies combined'!A:N,D797,'MS &amp; Vacancies combined'!N:N)*105.3/100</f>
        <v>20007.013911882284</v>
      </c>
      <c r="AM797" s="229">
        <f t="shared" ca="1" si="92"/>
        <v>20987.357593564517</v>
      </c>
      <c r="AN797" s="229">
        <f t="shared" ca="1" si="93"/>
        <v>21973.763400462049</v>
      </c>
      <c r="AO797" s="166"/>
      <c r="AP797" s="413">
        <f t="shared" ca="1" si="101"/>
        <v>1494.9860881177156</v>
      </c>
      <c r="AR797" s="231"/>
      <c r="AS797" s="231"/>
      <c r="AU797" s="414">
        <v>21502</v>
      </c>
      <c r="AV797" s="415">
        <v>21502</v>
      </c>
      <c r="AW797" s="414">
        <f t="shared" si="98"/>
        <v>0</v>
      </c>
    </row>
    <row r="798" spans="1:49" s="172" customFormat="1" x14ac:dyDescent="0.3">
      <c r="A798" s="166" t="s">
        <v>69</v>
      </c>
      <c r="B798" s="167" t="s">
        <v>1593</v>
      </c>
      <c r="C798" s="167" t="s">
        <v>398</v>
      </c>
      <c r="D798" s="412"/>
      <c r="E798" s="168" t="s">
        <v>1085</v>
      </c>
      <c r="F798" s="168" t="s">
        <v>1524</v>
      </c>
      <c r="G798" s="168" t="s">
        <v>309</v>
      </c>
      <c r="H798" s="168" t="s">
        <v>310</v>
      </c>
      <c r="I798" s="168" t="s">
        <v>374</v>
      </c>
      <c r="J798" s="168" t="s">
        <v>312</v>
      </c>
      <c r="K798" s="168" t="s">
        <v>1849</v>
      </c>
      <c r="L798" s="167" t="s">
        <v>1572</v>
      </c>
      <c r="M798" s="167" t="s">
        <v>305</v>
      </c>
      <c r="N798" s="167">
        <v>11</v>
      </c>
      <c r="O798" s="167" t="s">
        <v>398</v>
      </c>
      <c r="P798" s="167" t="s">
        <v>398</v>
      </c>
      <c r="Q798" s="167" t="s">
        <v>1593</v>
      </c>
      <c r="R798" s="166" t="s">
        <v>69</v>
      </c>
      <c r="S798" s="169">
        <v>0</v>
      </c>
      <c r="T798" s="160">
        <v>1706.4</v>
      </c>
      <c r="U798" s="160">
        <v>0</v>
      </c>
      <c r="V798" s="160">
        <v>6933.6</v>
      </c>
      <c r="W798" s="160">
        <v>-6933.6</v>
      </c>
      <c r="X798" s="161">
        <v>0</v>
      </c>
      <c r="Y798" s="160"/>
      <c r="Z798" s="16">
        <v>0</v>
      </c>
      <c r="AA798" s="162">
        <v>6933.6</v>
      </c>
      <c r="AB798" s="162">
        <v>1733.4</v>
      </c>
      <c r="AC798" s="162">
        <v>20800.800000000003</v>
      </c>
      <c r="AD798" s="160"/>
      <c r="AE798" s="145">
        <v>0</v>
      </c>
      <c r="AF798" s="163">
        <v>1.0529999999999999</v>
      </c>
      <c r="AG798" s="163">
        <v>1.0489999999999999</v>
      </c>
      <c r="AH798" s="163">
        <v>1.0469999999999999</v>
      </c>
      <c r="AI798" s="164">
        <v>0</v>
      </c>
      <c r="AJ798" s="164">
        <f t="shared" si="100"/>
        <v>0</v>
      </c>
      <c r="AK798" s="229">
        <v>0</v>
      </c>
      <c r="AL798" s="229">
        <f ca="1">SUMIF('MS &amp; Vacancies combined'!A:N,D798,'MS &amp; Vacancies combined'!N:N)*105.3/100</f>
        <v>0</v>
      </c>
      <c r="AM798" s="229">
        <f t="shared" ref="AM798:AN798" ca="1" si="106">AL798*AG798</f>
        <v>0</v>
      </c>
      <c r="AN798" s="229">
        <f t="shared" ca="1" si="106"/>
        <v>0</v>
      </c>
      <c r="AO798" s="166"/>
      <c r="AP798" s="413">
        <f t="shared" ca="1" si="101"/>
        <v>0</v>
      </c>
      <c r="AR798" s="231"/>
      <c r="AS798" s="231"/>
      <c r="AU798" s="414">
        <v>0</v>
      </c>
      <c r="AV798" s="415">
        <v>0</v>
      </c>
      <c r="AW798" s="414">
        <f t="shared" si="98"/>
        <v>0</v>
      </c>
    </row>
    <row r="799" spans="1:49" s="172" customFormat="1" x14ac:dyDescent="0.3">
      <c r="A799" s="166" t="s">
        <v>70</v>
      </c>
      <c r="B799" s="167" t="s">
        <v>1594</v>
      </c>
      <c r="C799" s="167" t="s">
        <v>400</v>
      </c>
      <c r="D799" s="412" t="s">
        <v>3476</v>
      </c>
      <c r="E799" s="168" t="s">
        <v>1085</v>
      </c>
      <c r="F799" s="168" t="s">
        <v>1524</v>
      </c>
      <c r="G799" s="168" t="s">
        <v>309</v>
      </c>
      <c r="H799" s="168" t="s">
        <v>310</v>
      </c>
      <c r="I799" s="168" t="s">
        <v>401</v>
      </c>
      <c r="J799" s="168" t="s">
        <v>312</v>
      </c>
      <c r="K799" s="168" t="s">
        <v>1849</v>
      </c>
      <c r="L799" s="167" t="s">
        <v>304</v>
      </c>
      <c r="M799" s="167" t="s">
        <v>305</v>
      </c>
      <c r="N799" s="167">
        <v>11</v>
      </c>
      <c r="O799" s="167" t="s">
        <v>400</v>
      </c>
      <c r="P799" s="167" t="s">
        <v>400</v>
      </c>
      <c r="Q799" s="167" t="s">
        <v>1594</v>
      </c>
      <c r="R799" s="166" t="s">
        <v>70</v>
      </c>
      <c r="S799" s="169">
        <v>883278</v>
      </c>
      <c r="T799" s="160">
        <v>2708.71</v>
      </c>
      <c r="U799" s="160">
        <v>0</v>
      </c>
      <c r="V799" s="160">
        <v>12162.96</v>
      </c>
      <c r="W799" s="160">
        <v>871115.04</v>
      </c>
      <c r="X799" s="161">
        <v>0</v>
      </c>
      <c r="Y799" s="160"/>
      <c r="Z799" s="16">
        <v>1.37</v>
      </c>
      <c r="AA799" s="162">
        <v>12162.96</v>
      </c>
      <c r="AB799" s="162">
        <v>3040.74</v>
      </c>
      <c r="AC799" s="162">
        <v>36488.879999999997</v>
      </c>
      <c r="AD799" s="160"/>
      <c r="AE799" s="145">
        <v>883278</v>
      </c>
      <c r="AF799" s="163">
        <v>1.0529999999999999</v>
      </c>
      <c r="AG799" s="163">
        <v>1.0489999999999999</v>
      </c>
      <c r="AH799" s="163">
        <v>1.0469999999999999</v>
      </c>
      <c r="AI799" s="164">
        <v>883278</v>
      </c>
      <c r="AJ799" s="164">
        <f t="shared" si="100"/>
        <v>0</v>
      </c>
      <c r="AK799" s="229">
        <v>883278</v>
      </c>
      <c r="AL799" s="229">
        <f ca="1">SUMIF('MS &amp; Vacancies combined'!A:P,D799,'MS &amp; Vacancies combined'!P:P)*105.3/100</f>
        <v>3878979.4337469931</v>
      </c>
      <c r="AM799" s="229">
        <f t="shared" ref="AM799:AN799" ca="1" si="107">AL799*AG799</f>
        <v>4069049.4260005956</v>
      </c>
      <c r="AN799" s="229">
        <f t="shared" ca="1" si="107"/>
        <v>4260294.7490226235</v>
      </c>
      <c r="AO799" s="166"/>
      <c r="AP799" s="413">
        <f t="shared" ca="1" si="101"/>
        <v>-2995701.4337469931</v>
      </c>
      <c r="AR799" s="231"/>
      <c r="AS799" s="231"/>
      <c r="AU799" s="414">
        <v>883278</v>
      </c>
      <c r="AV799" s="415">
        <v>883278</v>
      </c>
      <c r="AW799" s="414">
        <f t="shared" si="98"/>
        <v>0</v>
      </c>
    </row>
    <row r="800" spans="1:49" s="172" customFormat="1" x14ac:dyDescent="0.3">
      <c r="A800" s="166" t="s">
        <v>70</v>
      </c>
      <c r="B800" s="167" t="s">
        <v>1595</v>
      </c>
      <c r="C800" s="167" t="s">
        <v>400</v>
      </c>
      <c r="D800" s="412"/>
      <c r="E800" s="168" t="s">
        <v>1085</v>
      </c>
      <c r="F800" s="168" t="s">
        <v>1524</v>
      </c>
      <c r="G800" s="168" t="s">
        <v>309</v>
      </c>
      <c r="H800" s="168" t="s">
        <v>310</v>
      </c>
      <c r="I800" s="168" t="s">
        <v>401</v>
      </c>
      <c r="J800" s="168" t="s">
        <v>312</v>
      </c>
      <c r="K800" s="168" t="s">
        <v>1849</v>
      </c>
      <c r="L800" s="167" t="s">
        <v>1572</v>
      </c>
      <c r="M800" s="167" t="s">
        <v>305</v>
      </c>
      <c r="N800" s="167">
        <v>11</v>
      </c>
      <c r="O800" s="167" t="s">
        <v>400</v>
      </c>
      <c r="P800" s="167" t="s">
        <v>400</v>
      </c>
      <c r="Q800" s="167" t="s">
        <v>1595</v>
      </c>
      <c r="R800" s="166" t="s">
        <v>70</v>
      </c>
      <c r="S800" s="169">
        <v>0</v>
      </c>
      <c r="T800" s="160">
        <v>46101.15</v>
      </c>
      <c r="U800" s="160">
        <v>0</v>
      </c>
      <c r="V800" s="160">
        <v>183790.16</v>
      </c>
      <c r="W800" s="160">
        <v>-183790.16</v>
      </c>
      <c r="X800" s="161">
        <v>0</v>
      </c>
      <c r="Y800" s="160"/>
      <c r="Z800" s="16">
        <v>0</v>
      </c>
      <c r="AA800" s="162">
        <v>183790.16</v>
      </c>
      <c r="AB800" s="162">
        <v>45947.54</v>
      </c>
      <c r="AC800" s="162">
        <v>551370.48</v>
      </c>
      <c r="AD800" s="160"/>
      <c r="AE800" s="145">
        <v>0</v>
      </c>
      <c r="AF800" s="163">
        <v>1.0529999999999999</v>
      </c>
      <c r="AG800" s="163">
        <v>1.0489999999999999</v>
      </c>
      <c r="AH800" s="163">
        <v>1.0469999999999999</v>
      </c>
      <c r="AI800" s="164">
        <v>0</v>
      </c>
      <c r="AJ800" s="164">
        <f t="shared" si="100"/>
        <v>0</v>
      </c>
      <c r="AK800" s="229">
        <v>0</v>
      </c>
      <c r="AL800" s="229">
        <f ca="1">SUMIF('MS &amp; Vacancies combined'!A:P,D800,'MS &amp; Vacancies combined'!P:P)*105.3/100</f>
        <v>0</v>
      </c>
      <c r="AM800" s="229">
        <f t="shared" ref="AM800:AN800" ca="1" si="108">AL800*AG800</f>
        <v>0</v>
      </c>
      <c r="AN800" s="229">
        <f t="shared" ca="1" si="108"/>
        <v>0</v>
      </c>
      <c r="AO800" s="166"/>
      <c r="AP800" s="413">
        <f t="shared" ca="1" si="101"/>
        <v>0</v>
      </c>
      <c r="AR800" s="231"/>
      <c r="AS800" s="231"/>
      <c r="AU800" s="414">
        <v>0</v>
      </c>
      <c r="AV800" s="415">
        <v>0</v>
      </c>
      <c r="AW800" s="414">
        <f t="shared" si="98"/>
        <v>0</v>
      </c>
    </row>
    <row r="801" spans="1:49" s="172" customFormat="1" x14ac:dyDescent="0.3">
      <c r="A801" s="166" t="s">
        <v>71</v>
      </c>
      <c r="B801" s="167" t="s">
        <v>1596</v>
      </c>
      <c r="C801" s="167" t="s">
        <v>403</v>
      </c>
      <c r="D801" s="412" t="s">
        <v>3476</v>
      </c>
      <c r="E801" s="168" t="s">
        <v>1085</v>
      </c>
      <c r="F801" s="168" t="s">
        <v>1524</v>
      </c>
      <c r="G801" s="168" t="s">
        <v>309</v>
      </c>
      <c r="H801" s="168" t="s">
        <v>310</v>
      </c>
      <c r="I801" s="168" t="s">
        <v>404</v>
      </c>
      <c r="J801" s="168" t="s">
        <v>312</v>
      </c>
      <c r="K801" s="168" t="s">
        <v>1849</v>
      </c>
      <c r="L801" s="167" t="s">
        <v>304</v>
      </c>
      <c r="M801" s="167" t="s">
        <v>305</v>
      </c>
      <c r="N801" s="167">
        <v>11</v>
      </c>
      <c r="O801" s="167" t="s">
        <v>403</v>
      </c>
      <c r="P801" s="167" t="s">
        <v>403</v>
      </c>
      <c r="Q801" s="167" t="s">
        <v>1596</v>
      </c>
      <c r="R801" s="166" t="s">
        <v>71</v>
      </c>
      <c r="S801" s="169">
        <v>10024468</v>
      </c>
      <c r="T801" s="160">
        <v>26206.2</v>
      </c>
      <c r="U801" s="160">
        <v>0</v>
      </c>
      <c r="V801" s="160">
        <v>114838.8</v>
      </c>
      <c r="W801" s="160">
        <v>9909629.1999999993</v>
      </c>
      <c r="X801" s="161">
        <v>0</v>
      </c>
      <c r="Y801" s="160"/>
      <c r="Z801" s="16">
        <v>1.1399999999999999</v>
      </c>
      <c r="AA801" s="162">
        <v>114838.8</v>
      </c>
      <c r="AB801" s="162">
        <v>28709.7</v>
      </c>
      <c r="AC801" s="162">
        <v>344516.4</v>
      </c>
      <c r="AD801" s="160"/>
      <c r="AE801" s="145">
        <v>10024468</v>
      </c>
      <c r="AF801" s="186">
        <v>1.0529999999999999</v>
      </c>
      <c r="AG801" s="186">
        <v>1.0489999999999999</v>
      </c>
      <c r="AH801" s="186">
        <v>1.0469999999999999</v>
      </c>
      <c r="AI801" s="164">
        <v>10024468</v>
      </c>
      <c r="AJ801" s="164">
        <f t="shared" si="100"/>
        <v>0</v>
      </c>
      <c r="AK801" s="229">
        <v>10024468</v>
      </c>
      <c r="AL801" s="229">
        <f ca="1">SUMIF('MS &amp; Vacancies combined'!A:Q,D801,'MS &amp; Vacancies combined'!Q:Q)*105.3/100</f>
        <v>9275473.9497032147</v>
      </c>
      <c r="AM801" s="229">
        <f t="shared" ref="AM801" ca="1" si="109">AL801*AG801</f>
        <v>9729972.1732386723</v>
      </c>
      <c r="AN801" s="229">
        <f ca="1">AM801*AH801+453000</f>
        <v>10640280.865380889</v>
      </c>
      <c r="AO801" s="166"/>
      <c r="AP801" s="413">
        <f t="shared" ca="1" si="101"/>
        <v>748994.05029678531</v>
      </c>
      <c r="AR801" s="231"/>
      <c r="AS801" s="231"/>
      <c r="AU801" s="414">
        <v>10024468</v>
      </c>
      <c r="AV801" s="415">
        <v>10024468</v>
      </c>
      <c r="AW801" s="414">
        <f t="shared" si="98"/>
        <v>0</v>
      </c>
    </row>
    <row r="802" spans="1:49" s="172" customFormat="1" x14ac:dyDescent="0.3">
      <c r="A802" s="166" t="s">
        <v>71</v>
      </c>
      <c r="B802" s="167" t="s">
        <v>1597</v>
      </c>
      <c r="C802" s="167" t="s">
        <v>403</v>
      </c>
      <c r="D802" s="412"/>
      <c r="E802" s="168" t="s">
        <v>1085</v>
      </c>
      <c r="F802" s="168" t="s">
        <v>1524</v>
      </c>
      <c r="G802" s="168" t="s">
        <v>309</v>
      </c>
      <c r="H802" s="168" t="s">
        <v>310</v>
      </c>
      <c r="I802" s="168" t="s">
        <v>404</v>
      </c>
      <c r="J802" s="168" t="s">
        <v>312</v>
      </c>
      <c r="K802" s="168" t="s">
        <v>1849</v>
      </c>
      <c r="L802" s="167" t="s">
        <v>1572</v>
      </c>
      <c r="M802" s="167" t="s">
        <v>305</v>
      </c>
      <c r="N802" s="167">
        <v>11</v>
      </c>
      <c r="O802" s="167" t="s">
        <v>403</v>
      </c>
      <c r="P802" s="167" t="s">
        <v>403</v>
      </c>
      <c r="Q802" s="167" t="s">
        <v>1597</v>
      </c>
      <c r="R802" s="166" t="s">
        <v>71</v>
      </c>
      <c r="S802" s="169">
        <v>0</v>
      </c>
      <c r="T802" s="160">
        <v>474295.17</v>
      </c>
      <c r="U802" s="160">
        <v>0</v>
      </c>
      <c r="V802" s="160">
        <v>1904450.08</v>
      </c>
      <c r="W802" s="160">
        <v>-1904450.08</v>
      </c>
      <c r="X802" s="161">
        <v>0</v>
      </c>
      <c r="Y802" s="160"/>
      <c r="Z802" s="16">
        <v>0</v>
      </c>
      <c r="AA802" s="162">
        <v>1904450.08</v>
      </c>
      <c r="AB802" s="162">
        <v>476112.52</v>
      </c>
      <c r="AC802" s="162">
        <v>5713350.2400000002</v>
      </c>
      <c r="AD802" s="160"/>
      <c r="AE802" s="145">
        <v>0</v>
      </c>
      <c r="AF802" s="163">
        <v>1.0529999999999999</v>
      </c>
      <c r="AG802" s="163">
        <v>1.0489999999999999</v>
      </c>
      <c r="AH802" s="163">
        <v>1.0469999999999999</v>
      </c>
      <c r="AI802" s="164">
        <v>0</v>
      </c>
      <c r="AJ802" s="164">
        <f t="shared" si="100"/>
        <v>0</v>
      </c>
      <c r="AK802" s="229">
        <v>0</v>
      </c>
      <c r="AL802" s="229">
        <f ca="1">SUMIF('MS &amp; Vacancies combined'!A:Q,D802,'MS &amp; Vacancies combined'!Q:Q)*105.3/100</f>
        <v>0</v>
      </c>
      <c r="AM802" s="229">
        <f t="shared" ref="AM802:AN802" ca="1" si="110">AL802*AG802</f>
        <v>0</v>
      </c>
      <c r="AN802" s="229">
        <f t="shared" ca="1" si="110"/>
        <v>0</v>
      </c>
      <c r="AO802" s="166"/>
      <c r="AP802" s="413">
        <f t="shared" ca="1" si="101"/>
        <v>0</v>
      </c>
      <c r="AR802" s="231"/>
      <c r="AS802" s="231"/>
      <c r="AU802" s="414">
        <v>0</v>
      </c>
      <c r="AV802" s="415">
        <v>0</v>
      </c>
      <c r="AW802" s="414">
        <f t="shared" si="98"/>
        <v>0</v>
      </c>
    </row>
    <row r="803" spans="1:49" s="172" customFormat="1" x14ac:dyDescent="0.3">
      <c r="A803" s="166" t="s">
        <v>72</v>
      </c>
      <c r="B803" s="167" t="s">
        <v>1598</v>
      </c>
      <c r="C803" s="167" t="s">
        <v>406</v>
      </c>
      <c r="D803" s="412" t="s">
        <v>3476</v>
      </c>
      <c r="E803" s="168" t="s">
        <v>1085</v>
      </c>
      <c r="F803" s="168" t="s">
        <v>1524</v>
      </c>
      <c r="G803" s="168" t="s">
        <v>309</v>
      </c>
      <c r="H803" s="168" t="s">
        <v>310</v>
      </c>
      <c r="I803" s="168" t="s">
        <v>407</v>
      </c>
      <c r="J803" s="168" t="s">
        <v>312</v>
      </c>
      <c r="K803" s="168" t="s">
        <v>1849</v>
      </c>
      <c r="L803" s="167" t="s">
        <v>304</v>
      </c>
      <c r="M803" s="167" t="s">
        <v>305</v>
      </c>
      <c r="N803" s="167">
        <v>11</v>
      </c>
      <c r="O803" s="167" t="s">
        <v>406</v>
      </c>
      <c r="P803" s="167" t="s">
        <v>406</v>
      </c>
      <c r="Q803" s="167" t="s">
        <v>1598</v>
      </c>
      <c r="R803" s="166" t="s">
        <v>72</v>
      </c>
      <c r="S803" s="169">
        <v>9388723</v>
      </c>
      <c r="T803" s="160">
        <v>37746.25</v>
      </c>
      <c r="U803" s="160">
        <v>0</v>
      </c>
      <c r="V803" s="160">
        <v>168933</v>
      </c>
      <c r="W803" s="160">
        <v>9219790</v>
      </c>
      <c r="X803" s="161">
        <v>0</v>
      </c>
      <c r="Y803" s="160"/>
      <c r="Z803" s="16">
        <v>1.79</v>
      </c>
      <c r="AA803" s="162">
        <v>168933</v>
      </c>
      <c r="AB803" s="162">
        <v>42233.25</v>
      </c>
      <c r="AC803" s="162">
        <v>506799</v>
      </c>
      <c r="AD803" s="160"/>
      <c r="AE803" s="145">
        <v>9388723</v>
      </c>
      <c r="AF803" s="163">
        <v>1.0529999999999999</v>
      </c>
      <c r="AG803" s="163">
        <v>1.0489999999999999</v>
      </c>
      <c r="AH803" s="163">
        <v>1.0469999999999999</v>
      </c>
      <c r="AI803" s="164">
        <v>9388723</v>
      </c>
      <c r="AJ803" s="164">
        <f t="shared" si="100"/>
        <v>0</v>
      </c>
      <c r="AK803" s="229">
        <v>9388723</v>
      </c>
      <c r="AL803" s="229">
        <f ca="1">SUMIF('MS &amp; Vacancies combined'!A:R,D803,'MS &amp; Vacancies combined'!R:R)*105.3/100</f>
        <v>8735562.5255893283</v>
      </c>
      <c r="AM803" s="229">
        <f t="shared" ref="AM803:AN803" ca="1" si="111">AL803*AG803</f>
        <v>9163605.0893432051</v>
      </c>
      <c r="AN803" s="229">
        <f t="shared" ca="1" si="111"/>
        <v>9594294.5285423342</v>
      </c>
      <c r="AO803" s="166"/>
      <c r="AP803" s="413">
        <f t="shared" ca="1" si="101"/>
        <v>653160.47441067174</v>
      </c>
      <c r="AR803" s="231"/>
      <c r="AS803" s="231"/>
      <c r="AU803" s="414">
        <v>9388723</v>
      </c>
      <c r="AV803" s="415">
        <v>9388723</v>
      </c>
      <c r="AW803" s="414">
        <f t="shared" si="98"/>
        <v>0</v>
      </c>
    </row>
    <row r="804" spans="1:49" s="172" customFormat="1" x14ac:dyDescent="0.3">
      <c r="A804" s="166" t="s">
        <v>72</v>
      </c>
      <c r="B804" s="167" t="s">
        <v>1599</v>
      </c>
      <c r="C804" s="167" t="s">
        <v>406</v>
      </c>
      <c r="D804" s="412"/>
      <c r="E804" s="168" t="s">
        <v>1085</v>
      </c>
      <c r="F804" s="168" t="s">
        <v>1524</v>
      </c>
      <c r="G804" s="168" t="s">
        <v>309</v>
      </c>
      <c r="H804" s="168" t="s">
        <v>310</v>
      </c>
      <c r="I804" s="168" t="s">
        <v>407</v>
      </c>
      <c r="J804" s="168" t="s">
        <v>312</v>
      </c>
      <c r="K804" s="168" t="s">
        <v>1849</v>
      </c>
      <c r="L804" s="167" t="s">
        <v>1572</v>
      </c>
      <c r="M804" s="167" t="s">
        <v>305</v>
      </c>
      <c r="N804" s="167">
        <v>11</v>
      </c>
      <c r="O804" s="167" t="s">
        <v>406</v>
      </c>
      <c r="P804" s="167" t="s">
        <v>406</v>
      </c>
      <c r="Q804" s="167" t="s">
        <v>1599</v>
      </c>
      <c r="R804" s="166" t="s">
        <v>72</v>
      </c>
      <c r="S804" s="169">
        <v>0</v>
      </c>
      <c r="T804" s="160">
        <v>782934.14</v>
      </c>
      <c r="U804" s="160">
        <v>0</v>
      </c>
      <c r="V804" s="160">
        <v>3157030.37</v>
      </c>
      <c r="W804" s="160">
        <v>-3157030.37</v>
      </c>
      <c r="X804" s="161">
        <v>0</v>
      </c>
      <c r="Y804" s="160"/>
      <c r="Z804" s="16">
        <v>0</v>
      </c>
      <c r="AA804" s="162">
        <v>3157030.37</v>
      </c>
      <c r="AB804" s="162">
        <v>789257.59250000003</v>
      </c>
      <c r="AC804" s="162">
        <v>9471091.1099999994</v>
      </c>
      <c r="AD804" s="160"/>
      <c r="AE804" s="145">
        <v>0</v>
      </c>
      <c r="AF804" s="163">
        <v>1.0529999999999999</v>
      </c>
      <c r="AG804" s="163">
        <v>1.0489999999999999</v>
      </c>
      <c r="AH804" s="163">
        <v>1.0469999999999999</v>
      </c>
      <c r="AI804" s="164">
        <v>0</v>
      </c>
      <c r="AJ804" s="164">
        <f t="shared" si="100"/>
        <v>0</v>
      </c>
      <c r="AK804" s="229">
        <v>0</v>
      </c>
      <c r="AL804" s="229">
        <f ca="1">SUMIF('MS &amp; Vacancies combined'!A:R,D804,'MS &amp; Vacancies combined'!R:R)*105.3/100</f>
        <v>0</v>
      </c>
      <c r="AM804" s="229">
        <f t="shared" ref="AM804:AN804" ca="1" si="112">AL804*AG804</f>
        <v>0</v>
      </c>
      <c r="AN804" s="229">
        <f t="shared" ca="1" si="112"/>
        <v>0</v>
      </c>
      <c r="AO804" s="166"/>
      <c r="AP804" s="413">
        <f t="shared" ca="1" si="101"/>
        <v>0</v>
      </c>
      <c r="AR804" s="231"/>
      <c r="AS804" s="231"/>
      <c r="AU804" s="414">
        <v>0</v>
      </c>
      <c r="AV804" s="415">
        <v>0</v>
      </c>
      <c r="AW804" s="414">
        <f t="shared" si="98"/>
        <v>0</v>
      </c>
    </row>
    <row r="805" spans="1:49" s="172" customFormat="1" x14ac:dyDescent="0.3">
      <c r="A805" s="166" t="s">
        <v>73</v>
      </c>
      <c r="B805" s="167" t="s">
        <v>1600</v>
      </c>
      <c r="C805" s="167" t="s">
        <v>307</v>
      </c>
      <c r="D805" s="412" t="s">
        <v>3476</v>
      </c>
      <c r="E805" s="168" t="s">
        <v>1085</v>
      </c>
      <c r="F805" s="168" t="s">
        <v>1524</v>
      </c>
      <c r="G805" s="168" t="s">
        <v>309</v>
      </c>
      <c r="H805" s="168" t="s">
        <v>310</v>
      </c>
      <c r="I805" s="168" t="s">
        <v>311</v>
      </c>
      <c r="J805" s="168" t="s">
        <v>312</v>
      </c>
      <c r="K805" s="168" t="s">
        <v>1849</v>
      </c>
      <c r="L805" s="167" t="s">
        <v>304</v>
      </c>
      <c r="M805" s="167" t="s">
        <v>305</v>
      </c>
      <c r="N805" s="167">
        <v>11</v>
      </c>
      <c r="O805" s="167" t="s">
        <v>307</v>
      </c>
      <c r="P805" s="167" t="s">
        <v>307</v>
      </c>
      <c r="Q805" s="167" t="s">
        <v>1600</v>
      </c>
      <c r="R805" s="166" t="s">
        <v>73</v>
      </c>
      <c r="S805" s="169">
        <v>371986</v>
      </c>
      <c r="T805" s="160">
        <v>1239.8399999999999</v>
      </c>
      <c r="U805" s="160">
        <v>0</v>
      </c>
      <c r="V805" s="160">
        <v>5667.84</v>
      </c>
      <c r="W805" s="160">
        <v>366318.16</v>
      </c>
      <c r="X805" s="161">
        <v>0</v>
      </c>
      <c r="Y805" s="160"/>
      <c r="Z805" s="16">
        <v>1.52</v>
      </c>
      <c r="AA805" s="162">
        <v>5667.84</v>
      </c>
      <c r="AB805" s="162">
        <v>1416.96</v>
      </c>
      <c r="AC805" s="162">
        <v>17003.52</v>
      </c>
      <c r="AD805" s="160"/>
      <c r="AE805" s="145">
        <v>371986</v>
      </c>
      <c r="AF805" s="163">
        <v>1.0529999999999999</v>
      </c>
      <c r="AG805" s="163">
        <v>1.0489999999999999</v>
      </c>
      <c r="AH805" s="163">
        <v>1.0469999999999999</v>
      </c>
      <c r="AI805" s="164">
        <v>371986</v>
      </c>
      <c r="AJ805" s="164">
        <f t="shared" si="100"/>
        <v>0</v>
      </c>
      <c r="AK805" s="229">
        <v>371986</v>
      </c>
      <c r="AL805" s="229">
        <f ca="1">SUMIF('MS &amp; Vacancies combined'!A:S,D805,'MS &amp; Vacancies combined'!S:S)*105.3/100</f>
        <v>328115.02815487003</v>
      </c>
      <c r="AM805" s="229">
        <f t="shared" ref="AM805:AN805" ca="1" si="113">AL805*AG805</f>
        <v>344192.66453445866</v>
      </c>
      <c r="AN805" s="229">
        <f t="shared" ca="1" si="113"/>
        <v>360369.71976757818</v>
      </c>
      <c r="AO805" s="166"/>
      <c r="AP805" s="413">
        <f t="shared" ca="1" si="101"/>
        <v>43870.97184512997</v>
      </c>
      <c r="AR805" s="231"/>
      <c r="AS805" s="231"/>
      <c r="AU805" s="414">
        <v>371986</v>
      </c>
      <c r="AV805" s="415">
        <v>371986</v>
      </c>
      <c r="AW805" s="414">
        <f t="shared" si="98"/>
        <v>0</v>
      </c>
    </row>
    <row r="806" spans="1:49" s="172" customFormat="1" x14ac:dyDescent="0.3">
      <c r="A806" s="166" t="s">
        <v>73</v>
      </c>
      <c r="B806" s="167" t="s">
        <v>1601</v>
      </c>
      <c r="C806" s="167" t="s">
        <v>307</v>
      </c>
      <c r="D806" s="412"/>
      <c r="E806" s="168" t="s">
        <v>1085</v>
      </c>
      <c r="F806" s="168" t="s">
        <v>1524</v>
      </c>
      <c r="G806" s="168" t="s">
        <v>309</v>
      </c>
      <c r="H806" s="168" t="s">
        <v>310</v>
      </c>
      <c r="I806" s="168" t="s">
        <v>311</v>
      </c>
      <c r="J806" s="168" t="s">
        <v>312</v>
      </c>
      <c r="K806" s="168" t="s">
        <v>1849</v>
      </c>
      <c r="L806" s="167" t="s">
        <v>1572</v>
      </c>
      <c r="M806" s="167" t="s">
        <v>305</v>
      </c>
      <c r="N806" s="167">
        <v>11</v>
      </c>
      <c r="O806" s="167" t="s">
        <v>307</v>
      </c>
      <c r="P806" s="167" t="s">
        <v>307</v>
      </c>
      <c r="Q806" s="167" t="s">
        <v>1601</v>
      </c>
      <c r="R806" s="166" t="s">
        <v>73</v>
      </c>
      <c r="S806" s="169">
        <v>0</v>
      </c>
      <c r="T806" s="160">
        <v>27984.959999999999</v>
      </c>
      <c r="U806" s="160">
        <v>0</v>
      </c>
      <c r="V806" s="160">
        <v>113711.03999999999</v>
      </c>
      <c r="W806" s="160">
        <v>-113711.03999999999</v>
      </c>
      <c r="X806" s="161">
        <v>0</v>
      </c>
      <c r="Y806" s="160"/>
      <c r="Z806" s="16">
        <v>0</v>
      </c>
      <c r="AA806" s="162">
        <v>113711.03999999999</v>
      </c>
      <c r="AB806" s="162">
        <v>28427.759999999998</v>
      </c>
      <c r="AC806" s="162">
        <v>341133.12</v>
      </c>
      <c r="AD806" s="160"/>
      <c r="AE806" s="145">
        <v>0</v>
      </c>
      <c r="AF806" s="163">
        <v>1.0529999999999999</v>
      </c>
      <c r="AG806" s="163">
        <v>1.0489999999999999</v>
      </c>
      <c r="AH806" s="163">
        <v>1.0469999999999999</v>
      </c>
      <c r="AI806" s="164">
        <v>0</v>
      </c>
      <c r="AJ806" s="164">
        <f t="shared" si="100"/>
        <v>0</v>
      </c>
      <c r="AK806" s="229">
        <v>0</v>
      </c>
      <c r="AL806" s="229">
        <f ca="1">SUMIF('MS &amp; Vacancies combined'!A:S,D806,'MS &amp; Vacancies combined'!S:S)*105.3/100</f>
        <v>0</v>
      </c>
      <c r="AM806" s="229">
        <f t="shared" ref="AM806:AN806" ca="1" si="114">AL806*AG806</f>
        <v>0</v>
      </c>
      <c r="AN806" s="229">
        <f t="shared" ca="1" si="114"/>
        <v>0</v>
      </c>
      <c r="AO806" s="166"/>
      <c r="AP806" s="413">
        <f t="shared" ca="1" si="101"/>
        <v>0</v>
      </c>
      <c r="AR806" s="231"/>
      <c r="AS806" s="231"/>
      <c r="AU806" s="414">
        <v>0</v>
      </c>
      <c r="AV806" s="415">
        <v>0</v>
      </c>
      <c r="AW806" s="414">
        <f t="shared" si="98"/>
        <v>0</v>
      </c>
    </row>
    <row r="807" spans="1:49" hidden="1" x14ac:dyDescent="0.3">
      <c r="A807" s="16" t="s">
        <v>324</v>
      </c>
      <c r="B807" s="39" t="s">
        <v>1602</v>
      </c>
      <c r="C807" s="39" t="s">
        <v>76</v>
      </c>
      <c r="D807" s="340" t="s">
        <v>3476</v>
      </c>
      <c r="E807" s="159" t="s">
        <v>1085</v>
      </c>
      <c r="F807" s="159" t="s">
        <v>1524</v>
      </c>
      <c r="G807" s="159" t="s">
        <v>309</v>
      </c>
      <c r="H807" s="159" t="s">
        <v>325</v>
      </c>
      <c r="I807" s="159" t="s">
        <v>326</v>
      </c>
      <c r="J807" s="159" t="s">
        <v>327</v>
      </c>
      <c r="K807" s="159" t="s">
        <v>1849</v>
      </c>
      <c r="L807" s="39" t="s">
        <v>304</v>
      </c>
      <c r="M807" s="39" t="s">
        <v>305</v>
      </c>
      <c r="N807" s="39">
        <v>11</v>
      </c>
      <c r="O807" s="39" t="s">
        <v>76</v>
      </c>
      <c r="P807" s="39" t="s">
        <v>76</v>
      </c>
      <c r="Q807" s="39" t="s">
        <v>1602</v>
      </c>
      <c r="R807" s="16" t="s">
        <v>324</v>
      </c>
      <c r="S807" s="160">
        <v>5000</v>
      </c>
      <c r="T807" s="160">
        <v>0</v>
      </c>
      <c r="U807" s="160">
        <v>0</v>
      </c>
      <c r="V807" s="160">
        <v>0</v>
      </c>
      <c r="W807" s="160">
        <v>5000</v>
      </c>
      <c r="X807" s="161">
        <v>0</v>
      </c>
      <c r="Y807" s="160"/>
      <c r="Z807" s="16">
        <v>0</v>
      </c>
      <c r="AA807" s="162">
        <v>0</v>
      </c>
      <c r="AB807" s="162">
        <v>0</v>
      </c>
      <c r="AC807" s="162">
        <v>0</v>
      </c>
      <c r="AD807" s="160">
        <v>0</v>
      </c>
      <c r="AE807" s="145">
        <v>5000</v>
      </c>
      <c r="AF807" s="163">
        <v>1.0469999999999999</v>
      </c>
      <c r="AG807" s="164">
        <v>1.046</v>
      </c>
      <c r="AH807" s="164">
        <v>1.046</v>
      </c>
      <c r="AI807" s="164">
        <v>5000</v>
      </c>
      <c r="AJ807" s="164">
        <f t="shared" si="100"/>
        <v>0</v>
      </c>
      <c r="AK807" s="165">
        <v>5000</v>
      </c>
      <c r="AL807" s="165">
        <f t="shared" ref="AL807" si="115">AK807</f>
        <v>5000</v>
      </c>
      <c r="AM807" s="165">
        <f t="shared" ref="AM807:AM861" si="116">AL807*AG807</f>
        <v>5230</v>
      </c>
      <c r="AN807" s="165">
        <f t="shared" ref="AN807:AN861" si="117">AM807*AH807</f>
        <v>5470.58</v>
      </c>
      <c r="AO807" s="16"/>
      <c r="AP807" s="231">
        <f t="shared" si="101"/>
        <v>0</v>
      </c>
      <c r="AR807" s="231"/>
      <c r="AS807" s="231"/>
      <c r="AU807" s="230">
        <v>5000</v>
      </c>
      <c r="AV807" s="233">
        <v>5000</v>
      </c>
      <c r="AW807" s="230">
        <f t="shared" si="98"/>
        <v>0</v>
      </c>
    </row>
    <row r="808" spans="1:49" hidden="1" x14ac:dyDescent="0.3">
      <c r="A808" s="16" t="s">
        <v>412</v>
      </c>
      <c r="B808" s="39" t="s">
        <v>1603</v>
      </c>
      <c r="C808" s="39" t="s">
        <v>80</v>
      </c>
      <c r="D808" s="340" t="s">
        <v>3476</v>
      </c>
      <c r="E808" s="159" t="s">
        <v>1085</v>
      </c>
      <c r="F808" s="159" t="s">
        <v>1524</v>
      </c>
      <c r="G808" s="159" t="s">
        <v>309</v>
      </c>
      <c r="H808" s="159" t="s">
        <v>413</v>
      </c>
      <c r="I808" s="159" t="s">
        <v>414</v>
      </c>
      <c r="J808" s="159" t="s">
        <v>312</v>
      </c>
      <c r="K808" s="159" t="s">
        <v>1849</v>
      </c>
      <c r="L808" s="39" t="s">
        <v>1497</v>
      </c>
      <c r="M808" s="39" t="s">
        <v>305</v>
      </c>
      <c r="N808" s="39">
        <v>11</v>
      </c>
      <c r="O808" s="39" t="s">
        <v>80</v>
      </c>
      <c r="P808" s="39" t="s">
        <v>80</v>
      </c>
      <c r="Q808" s="39" t="s">
        <v>1603</v>
      </c>
      <c r="R808" s="16" t="s">
        <v>412</v>
      </c>
      <c r="S808" s="223">
        <v>300000</v>
      </c>
      <c r="T808" s="160">
        <v>0</v>
      </c>
      <c r="U808" s="160">
        <v>0</v>
      </c>
      <c r="V808" s="160">
        <v>0</v>
      </c>
      <c r="W808" s="160">
        <v>300000</v>
      </c>
      <c r="X808" s="161">
        <v>0</v>
      </c>
      <c r="Y808" s="160"/>
      <c r="Z808" s="16">
        <v>0</v>
      </c>
      <c r="AA808" s="162">
        <v>0</v>
      </c>
      <c r="AB808" s="224">
        <v>0</v>
      </c>
      <c r="AC808" s="224">
        <v>0</v>
      </c>
      <c r="AD808" s="223">
        <v>0</v>
      </c>
      <c r="AE808" s="145">
        <v>200000</v>
      </c>
      <c r="AF808" s="163">
        <v>1.0469999999999999</v>
      </c>
      <c r="AG808" s="164">
        <v>1.046</v>
      </c>
      <c r="AH808" s="164">
        <v>1.046</v>
      </c>
      <c r="AI808" s="164">
        <v>300000</v>
      </c>
      <c r="AJ808" s="164">
        <f t="shared" si="100"/>
        <v>-100000</v>
      </c>
      <c r="AK808" s="165">
        <v>300000</v>
      </c>
      <c r="AL808" s="165">
        <v>314100</v>
      </c>
      <c r="AM808" s="165">
        <f t="shared" si="116"/>
        <v>328548.60000000003</v>
      </c>
      <c r="AN808" s="165">
        <f t="shared" si="117"/>
        <v>343661.83560000005</v>
      </c>
      <c r="AO808" s="16"/>
      <c r="AP808" s="231">
        <f t="shared" si="101"/>
        <v>-14100</v>
      </c>
      <c r="AR808" s="231"/>
      <c r="AS808" s="231"/>
      <c r="AU808" s="230">
        <v>300000</v>
      </c>
      <c r="AV808" s="233">
        <v>300000</v>
      </c>
      <c r="AW808" s="230">
        <f t="shared" si="98"/>
        <v>0</v>
      </c>
    </row>
    <row r="809" spans="1:49" hidden="1" x14ac:dyDescent="0.3">
      <c r="A809" s="16" t="s">
        <v>412</v>
      </c>
      <c r="B809" s="39" t="s">
        <v>1604</v>
      </c>
      <c r="C809" s="39" t="s">
        <v>80</v>
      </c>
      <c r="D809" s="340" t="s">
        <v>3476</v>
      </c>
      <c r="E809" s="159" t="s">
        <v>1085</v>
      </c>
      <c r="F809" s="159" t="s">
        <v>1524</v>
      </c>
      <c r="G809" s="159" t="s">
        <v>309</v>
      </c>
      <c r="H809" s="159" t="s">
        <v>413</v>
      </c>
      <c r="I809" s="159" t="s">
        <v>414</v>
      </c>
      <c r="J809" s="159" t="s">
        <v>312</v>
      </c>
      <c r="K809" s="159" t="s">
        <v>1849</v>
      </c>
      <c r="L809" s="39" t="s">
        <v>1605</v>
      </c>
      <c r="M809" s="39" t="s">
        <v>305</v>
      </c>
      <c r="N809" s="39">
        <v>11</v>
      </c>
      <c r="O809" s="39" t="s">
        <v>80</v>
      </c>
      <c r="P809" s="39" t="s">
        <v>80</v>
      </c>
      <c r="Q809" s="39" t="s">
        <v>1604</v>
      </c>
      <c r="R809" s="16" t="s">
        <v>412</v>
      </c>
      <c r="S809" s="160">
        <v>0</v>
      </c>
      <c r="T809" s="160">
        <v>0</v>
      </c>
      <c r="U809" s="160">
        <v>0</v>
      </c>
      <c r="V809" s="160">
        <v>0</v>
      </c>
      <c r="W809" s="160">
        <v>0</v>
      </c>
      <c r="X809" s="161">
        <v>0</v>
      </c>
      <c r="Y809" s="160"/>
      <c r="Z809" s="16">
        <v>0</v>
      </c>
      <c r="AA809" s="162">
        <v>0</v>
      </c>
      <c r="AB809" s="162">
        <v>0</v>
      </c>
      <c r="AC809" s="162">
        <v>0</v>
      </c>
      <c r="AD809" s="160">
        <v>0</v>
      </c>
      <c r="AE809" s="145">
        <v>0</v>
      </c>
      <c r="AF809" s="163">
        <v>1.0469999999999999</v>
      </c>
      <c r="AG809" s="164">
        <v>1.046</v>
      </c>
      <c r="AH809" s="164">
        <v>1.046</v>
      </c>
      <c r="AI809" s="164">
        <v>0</v>
      </c>
      <c r="AJ809" s="164">
        <f t="shared" si="100"/>
        <v>0</v>
      </c>
      <c r="AK809" s="165">
        <v>0</v>
      </c>
      <c r="AL809" s="165">
        <v>0</v>
      </c>
      <c r="AM809" s="165">
        <f t="shared" si="116"/>
        <v>0</v>
      </c>
      <c r="AN809" s="165">
        <f t="shared" si="117"/>
        <v>0</v>
      </c>
      <c r="AO809" s="16"/>
      <c r="AP809" s="231">
        <f t="shared" si="101"/>
        <v>0</v>
      </c>
      <c r="AR809" s="231"/>
      <c r="AS809" s="231"/>
      <c r="AU809" s="230">
        <v>0</v>
      </c>
      <c r="AV809" s="233">
        <v>0</v>
      </c>
      <c r="AW809" s="230">
        <f t="shared" si="98"/>
        <v>0</v>
      </c>
    </row>
    <row r="810" spans="1:49" hidden="1" x14ac:dyDescent="0.3">
      <c r="A810" s="16" t="s">
        <v>1607</v>
      </c>
      <c r="B810" s="39" t="s">
        <v>1606</v>
      </c>
      <c r="C810" s="39" t="s">
        <v>82</v>
      </c>
      <c r="D810" s="340" t="s">
        <v>3476</v>
      </c>
      <c r="E810" s="159" t="s">
        <v>1085</v>
      </c>
      <c r="F810" s="159" t="s">
        <v>1524</v>
      </c>
      <c r="G810" s="159" t="s">
        <v>309</v>
      </c>
      <c r="H810" s="159" t="s">
        <v>334</v>
      </c>
      <c r="I810" s="159" t="s">
        <v>885</v>
      </c>
      <c r="J810" s="159" t="s">
        <v>312</v>
      </c>
      <c r="K810" s="159" t="s">
        <v>1849</v>
      </c>
      <c r="L810" s="39" t="s">
        <v>304</v>
      </c>
      <c r="M810" s="39" t="s">
        <v>305</v>
      </c>
      <c r="N810" s="39">
        <v>11</v>
      </c>
      <c r="O810" s="39" t="s">
        <v>82</v>
      </c>
      <c r="P810" s="39" t="s">
        <v>884</v>
      </c>
      <c r="Q810" s="39" t="s">
        <v>1606</v>
      </c>
      <c r="R810" s="16" t="s">
        <v>1607</v>
      </c>
      <c r="S810" s="160">
        <v>36045727</v>
      </c>
      <c r="T810" s="160">
        <v>3994588.56</v>
      </c>
      <c r="U810" s="160">
        <v>4055184.4</v>
      </c>
      <c r="V810" s="160">
        <v>15829489.51</v>
      </c>
      <c r="W810" s="160">
        <v>20216237.489999998</v>
      </c>
      <c r="X810" s="161">
        <v>18810815.829999994</v>
      </c>
      <c r="Y810" s="160"/>
      <c r="Z810" s="16">
        <v>43.91</v>
      </c>
      <c r="AA810" s="162">
        <v>19884673.91</v>
      </c>
      <c r="AB810" s="162">
        <v>4971168.4775</v>
      </c>
      <c r="AC810" s="162">
        <v>59654021.730000004</v>
      </c>
      <c r="AD810" s="160">
        <v>0</v>
      </c>
      <c r="AE810" s="145">
        <v>36045727</v>
      </c>
      <c r="AF810" s="163">
        <v>1.0469999999999999</v>
      </c>
      <c r="AG810" s="164">
        <v>1.046</v>
      </c>
      <c r="AH810" s="164">
        <v>1.046</v>
      </c>
      <c r="AI810" s="164">
        <v>36045727</v>
      </c>
      <c r="AJ810" s="164">
        <f t="shared" si="100"/>
        <v>0</v>
      </c>
      <c r="AK810" s="165">
        <v>36045727</v>
      </c>
      <c r="AL810" s="165">
        <v>37739876.169</v>
      </c>
      <c r="AM810" s="165">
        <f t="shared" si="116"/>
        <v>39475910.472773999</v>
      </c>
      <c r="AN810" s="165">
        <f t="shared" si="117"/>
        <v>41291802.354521602</v>
      </c>
      <c r="AO810" s="145"/>
      <c r="AP810" s="231">
        <f t="shared" si="101"/>
        <v>-1694149.1689999998</v>
      </c>
      <c r="AR810" s="231"/>
      <c r="AS810" s="231"/>
      <c r="AU810" s="230">
        <v>36045727</v>
      </c>
      <c r="AV810" s="233">
        <v>36045727</v>
      </c>
      <c r="AW810" s="230">
        <f t="shared" si="98"/>
        <v>0</v>
      </c>
    </row>
    <row r="811" spans="1:49" hidden="1" x14ac:dyDescent="0.3">
      <c r="A811" s="16" t="s">
        <v>883</v>
      </c>
      <c r="B811" s="39" t="s">
        <v>1608</v>
      </c>
      <c r="C811" s="39" t="s">
        <v>82</v>
      </c>
      <c r="D811" s="340" t="s">
        <v>3476</v>
      </c>
      <c r="E811" s="159" t="s">
        <v>1085</v>
      </c>
      <c r="F811" s="159" t="s">
        <v>1524</v>
      </c>
      <c r="G811" s="159" t="s">
        <v>309</v>
      </c>
      <c r="H811" s="159" t="s">
        <v>334</v>
      </c>
      <c r="I811" s="159" t="s">
        <v>885</v>
      </c>
      <c r="J811" s="159" t="s">
        <v>309</v>
      </c>
      <c r="K811" s="159" t="s">
        <v>1849</v>
      </c>
      <c r="L811" s="39" t="s">
        <v>304</v>
      </c>
      <c r="M811" s="39" t="s">
        <v>305</v>
      </c>
      <c r="N811" s="39">
        <v>11</v>
      </c>
      <c r="O811" s="39" t="s">
        <v>82</v>
      </c>
      <c r="P811" s="39" t="s">
        <v>884</v>
      </c>
      <c r="Q811" s="39" t="s">
        <v>1608</v>
      </c>
      <c r="R811" s="16" t="s">
        <v>883</v>
      </c>
      <c r="S811" s="160">
        <v>1500000</v>
      </c>
      <c r="T811" s="160">
        <v>0</v>
      </c>
      <c r="U811" s="160">
        <v>0</v>
      </c>
      <c r="V811" s="160">
        <v>0</v>
      </c>
      <c r="W811" s="160">
        <v>1500000</v>
      </c>
      <c r="X811" s="161">
        <v>0</v>
      </c>
      <c r="Y811" s="160"/>
      <c r="Z811" s="16">
        <v>0</v>
      </c>
      <c r="AA811" s="162">
        <v>0</v>
      </c>
      <c r="AB811" s="162">
        <v>0</v>
      </c>
      <c r="AC811" s="162">
        <v>0</v>
      </c>
      <c r="AD811" s="160">
        <v>0</v>
      </c>
      <c r="AE811" s="145">
        <v>1500000</v>
      </c>
      <c r="AF811" s="163">
        <v>1.0469999999999999</v>
      </c>
      <c r="AG811" s="164">
        <v>1.046</v>
      </c>
      <c r="AH811" s="164">
        <v>1.046</v>
      </c>
      <c r="AI811" s="164">
        <v>1500000</v>
      </c>
      <c r="AJ811" s="164">
        <f t="shared" si="100"/>
        <v>0</v>
      </c>
      <c r="AK811" s="165">
        <v>1000000</v>
      </c>
      <c r="AL811" s="165">
        <f>AK811</f>
        <v>1000000</v>
      </c>
      <c r="AM811" s="165">
        <f t="shared" si="116"/>
        <v>1046000</v>
      </c>
      <c r="AN811" s="165">
        <f t="shared" si="117"/>
        <v>1094116</v>
      </c>
      <c r="AO811" s="16"/>
      <c r="AP811" s="231">
        <f t="shared" si="101"/>
        <v>0</v>
      </c>
      <c r="AR811" s="231"/>
      <c r="AS811" s="231"/>
      <c r="AU811" s="230">
        <v>1500000</v>
      </c>
      <c r="AV811" s="233">
        <v>1500000</v>
      </c>
      <c r="AW811" s="230">
        <f t="shared" si="98"/>
        <v>0</v>
      </c>
    </row>
    <row r="812" spans="1:49" hidden="1" x14ac:dyDescent="0.3">
      <c r="A812" s="16" t="s">
        <v>337</v>
      </c>
      <c r="B812" s="39" t="s">
        <v>1609</v>
      </c>
      <c r="C812" s="39" t="s">
        <v>82</v>
      </c>
      <c r="D812" s="340" t="s">
        <v>3476</v>
      </c>
      <c r="E812" s="159" t="s">
        <v>1085</v>
      </c>
      <c r="F812" s="159" t="s">
        <v>1524</v>
      </c>
      <c r="G812" s="159" t="s">
        <v>309</v>
      </c>
      <c r="H812" s="159" t="s">
        <v>334</v>
      </c>
      <c r="I812" s="159" t="s">
        <v>339</v>
      </c>
      <c r="J812" s="159" t="s">
        <v>312</v>
      </c>
      <c r="K812" s="159" t="s">
        <v>1849</v>
      </c>
      <c r="L812" s="39" t="s">
        <v>304</v>
      </c>
      <c r="M812" s="39" t="s">
        <v>305</v>
      </c>
      <c r="N812" s="39">
        <v>11</v>
      </c>
      <c r="O812" s="39" t="s">
        <v>82</v>
      </c>
      <c r="P812" s="39" t="s">
        <v>338</v>
      </c>
      <c r="Q812" s="39" t="s">
        <v>1609</v>
      </c>
      <c r="R812" s="16" t="s">
        <v>337</v>
      </c>
      <c r="S812" s="160">
        <v>0</v>
      </c>
      <c r="T812" s="160">
        <v>0</v>
      </c>
      <c r="U812" s="160">
        <v>0</v>
      </c>
      <c r="V812" s="160">
        <v>0</v>
      </c>
      <c r="W812" s="160">
        <v>0</v>
      </c>
      <c r="X812" s="161">
        <v>0</v>
      </c>
      <c r="Y812" s="160"/>
      <c r="Z812" s="16">
        <v>0</v>
      </c>
      <c r="AA812" s="162">
        <v>0</v>
      </c>
      <c r="AB812" s="162">
        <v>0</v>
      </c>
      <c r="AC812" s="162">
        <v>0</v>
      </c>
      <c r="AD812" s="160">
        <v>0</v>
      </c>
      <c r="AE812" s="145">
        <v>0</v>
      </c>
      <c r="AF812" s="163">
        <v>1.0469999999999999</v>
      </c>
      <c r="AG812" s="164">
        <v>1.046</v>
      </c>
      <c r="AH812" s="164">
        <v>1.046</v>
      </c>
      <c r="AI812" s="164">
        <v>0</v>
      </c>
      <c r="AJ812" s="164">
        <f t="shared" si="100"/>
        <v>0</v>
      </c>
      <c r="AK812" s="165">
        <v>0</v>
      </c>
      <c r="AL812" s="165">
        <v>0</v>
      </c>
      <c r="AM812" s="165">
        <f t="shared" si="116"/>
        <v>0</v>
      </c>
      <c r="AN812" s="165">
        <f t="shared" si="117"/>
        <v>0</v>
      </c>
      <c r="AO812" s="16"/>
      <c r="AP812" s="231">
        <f t="shared" si="101"/>
        <v>0</v>
      </c>
      <c r="AR812" s="231"/>
      <c r="AS812" s="231"/>
      <c r="AU812" s="230">
        <v>0</v>
      </c>
      <c r="AV812" s="233">
        <v>0</v>
      </c>
      <c r="AW812" s="230">
        <f t="shared" si="98"/>
        <v>0</v>
      </c>
    </row>
    <row r="813" spans="1:49" hidden="1" x14ac:dyDescent="0.3">
      <c r="A813" s="16" t="s">
        <v>341</v>
      </c>
      <c r="B813" s="39" t="s">
        <v>1610</v>
      </c>
      <c r="C813" s="39" t="s">
        <v>82</v>
      </c>
      <c r="D813" s="340" t="s">
        <v>3476</v>
      </c>
      <c r="E813" s="159" t="s">
        <v>1085</v>
      </c>
      <c r="F813" s="159" t="s">
        <v>1524</v>
      </c>
      <c r="G813" s="159" t="s">
        <v>309</v>
      </c>
      <c r="H813" s="159" t="s">
        <v>334</v>
      </c>
      <c r="I813" s="159" t="s">
        <v>343</v>
      </c>
      <c r="J813" s="159" t="s">
        <v>312</v>
      </c>
      <c r="K813" s="159" t="s">
        <v>1849</v>
      </c>
      <c r="L813" s="39" t="s">
        <v>304</v>
      </c>
      <c r="M813" s="39" t="s">
        <v>305</v>
      </c>
      <c r="N813" s="39">
        <v>11</v>
      </c>
      <c r="O813" s="39" t="s">
        <v>82</v>
      </c>
      <c r="P813" s="39" t="s">
        <v>342</v>
      </c>
      <c r="Q813" s="39" t="s">
        <v>1610</v>
      </c>
      <c r="R813" s="16" t="s">
        <v>341</v>
      </c>
      <c r="S813" s="160">
        <v>0</v>
      </c>
      <c r="T813" s="160">
        <v>64645.63</v>
      </c>
      <c r="U813" s="160">
        <v>0</v>
      </c>
      <c r="V813" s="160">
        <v>274466.90999999997</v>
      </c>
      <c r="W813" s="160">
        <v>-274466.90999999997</v>
      </c>
      <c r="X813" s="161">
        <v>0</v>
      </c>
      <c r="Y813" s="160"/>
      <c r="Z813" s="16">
        <v>0</v>
      </c>
      <c r="AA813" s="162">
        <v>274466.90999999997</v>
      </c>
      <c r="AB813" s="162">
        <v>68616.727499999994</v>
      </c>
      <c r="AC813" s="162">
        <v>823400.73</v>
      </c>
      <c r="AD813" s="160">
        <v>0</v>
      </c>
      <c r="AE813" s="145">
        <v>0</v>
      </c>
      <c r="AF813" s="163">
        <v>1.0469999999999999</v>
      </c>
      <c r="AG813" s="164">
        <v>1.046</v>
      </c>
      <c r="AH813" s="164">
        <v>1.046</v>
      </c>
      <c r="AI813" s="164">
        <v>0</v>
      </c>
      <c r="AJ813" s="164">
        <f t="shared" si="100"/>
        <v>0</v>
      </c>
      <c r="AK813" s="165">
        <v>0</v>
      </c>
      <c r="AL813" s="165">
        <v>0</v>
      </c>
      <c r="AM813" s="165">
        <f t="shared" si="116"/>
        <v>0</v>
      </c>
      <c r="AN813" s="165">
        <f t="shared" si="117"/>
        <v>0</v>
      </c>
      <c r="AO813" s="16"/>
      <c r="AP813" s="231">
        <f t="shared" si="101"/>
        <v>0</v>
      </c>
      <c r="AR813" s="231"/>
      <c r="AS813" s="231"/>
      <c r="AU813" s="230">
        <v>0</v>
      </c>
      <c r="AV813" s="233">
        <v>0</v>
      </c>
      <c r="AW813" s="230">
        <f t="shared" si="98"/>
        <v>0</v>
      </c>
    </row>
    <row r="814" spans="1:49" hidden="1" x14ac:dyDescent="0.3">
      <c r="A814" s="16" t="s">
        <v>357</v>
      </c>
      <c r="B814" s="39" t="s">
        <v>1611</v>
      </c>
      <c r="C814" s="39" t="s">
        <v>82</v>
      </c>
      <c r="D814" s="340" t="s">
        <v>3476</v>
      </c>
      <c r="E814" s="159" t="s">
        <v>1085</v>
      </c>
      <c r="F814" s="159" t="s">
        <v>1524</v>
      </c>
      <c r="G814" s="159" t="s">
        <v>309</v>
      </c>
      <c r="H814" s="159" t="s">
        <v>334</v>
      </c>
      <c r="I814" s="159" t="s">
        <v>359</v>
      </c>
      <c r="J814" s="159" t="s">
        <v>312</v>
      </c>
      <c r="K814" s="159" t="s">
        <v>1849</v>
      </c>
      <c r="L814" s="39" t="s">
        <v>304</v>
      </c>
      <c r="M814" s="39" t="s">
        <v>305</v>
      </c>
      <c r="N814" s="39">
        <v>11</v>
      </c>
      <c r="O814" s="39" t="s">
        <v>82</v>
      </c>
      <c r="P814" s="39" t="s">
        <v>358</v>
      </c>
      <c r="Q814" s="39" t="s">
        <v>1611</v>
      </c>
      <c r="R814" s="16" t="s">
        <v>357</v>
      </c>
      <c r="S814" s="160">
        <v>0</v>
      </c>
      <c r="T814" s="160">
        <v>0</v>
      </c>
      <c r="U814" s="160">
        <v>0</v>
      </c>
      <c r="V814" s="160">
        <v>0</v>
      </c>
      <c r="W814" s="160">
        <v>0</v>
      </c>
      <c r="X814" s="161">
        <v>0</v>
      </c>
      <c r="Y814" s="160"/>
      <c r="Z814" s="16">
        <v>0</v>
      </c>
      <c r="AA814" s="162">
        <v>0</v>
      </c>
      <c r="AB814" s="162">
        <v>0</v>
      </c>
      <c r="AC814" s="162">
        <v>0</v>
      </c>
      <c r="AD814" s="160">
        <v>0</v>
      </c>
      <c r="AE814" s="145">
        <v>0</v>
      </c>
      <c r="AF814" s="163">
        <v>1.0469999999999999</v>
      </c>
      <c r="AG814" s="164">
        <v>1.046</v>
      </c>
      <c r="AH814" s="164">
        <v>1.046</v>
      </c>
      <c r="AI814" s="164">
        <v>0</v>
      </c>
      <c r="AJ814" s="164">
        <f t="shared" si="100"/>
        <v>0</v>
      </c>
      <c r="AK814" s="165">
        <v>0</v>
      </c>
      <c r="AL814" s="165">
        <v>0</v>
      </c>
      <c r="AM814" s="165">
        <f t="shared" si="116"/>
        <v>0</v>
      </c>
      <c r="AN814" s="165">
        <f t="shared" si="117"/>
        <v>0</v>
      </c>
      <c r="AO814" s="16"/>
      <c r="AP814" s="231">
        <f t="shared" si="101"/>
        <v>0</v>
      </c>
      <c r="AR814" s="231"/>
      <c r="AS814" s="231"/>
      <c r="AU814" s="230">
        <v>0</v>
      </c>
      <c r="AV814" s="233">
        <v>0</v>
      </c>
      <c r="AW814" s="230">
        <f t="shared" si="98"/>
        <v>0</v>
      </c>
    </row>
    <row r="815" spans="1:49" hidden="1" x14ac:dyDescent="0.3">
      <c r="A815" s="16" t="s">
        <v>527</v>
      </c>
      <c r="B815" s="39" t="s">
        <v>1612</v>
      </c>
      <c r="C815" s="39" t="s">
        <v>82</v>
      </c>
      <c r="D815" s="340" t="s">
        <v>3476</v>
      </c>
      <c r="E815" s="159" t="s">
        <v>1085</v>
      </c>
      <c r="F815" s="159" t="s">
        <v>1524</v>
      </c>
      <c r="G815" s="159" t="s">
        <v>309</v>
      </c>
      <c r="H815" s="159" t="s">
        <v>334</v>
      </c>
      <c r="I815" s="159" t="s">
        <v>529</v>
      </c>
      <c r="J815" s="159" t="s">
        <v>312</v>
      </c>
      <c r="K815" s="159" t="s">
        <v>1849</v>
      </c>
      <c r="L815" s="39" t="s">
        <v>304</v>
      </c>
      <c r="M815" s="39" t="s">
        <v>305</v>
      </c>
      <c r="N815" s="39">
        <v>11</v>
      </c>
      <c r="O815" s="39" t="s">
        <v>82</v>
      </c>
      <c r="P815" s="39" t="s">
        <v>585</v>
      </c>
      <c r="Q815" s="39" t="s">
        <v>1612</v>
      </c>
      <c r="R815" s="16" t="s">
        <v>527</v>
      </c>
      <c r="S815" s="160">
        <v>2382058</v>
      </c>
      <c r="T815" s="160">
        <v>0</v>
      </c>
      <c r="U815" s="160">
        <v>14539.52</v>
      </c>
      <c r="V815" s="160">
        <v>22012.1</v>
      </c>
      <c r="W815" s="160">
        <v>2360045.9</v>
      </c>
      <c r="X815" s="161">
        <v>0</v>
      </c>
      <c r="Y815" s="160"/>
      <c r="Z815" s="16">
        <v>0.92</v>
      </c>
      <c r="AA815" s="162">
        <v>36551.619999999995</v>
      </c>
      <c r="AB815" s="162">
        <v>9137.9049999999988</v>
      </c>
      <c r="AC815" s="162">
        <v>109654.85999999999</v>
      </c>
      <c r="AD815" s="160">
        <v>0</v>
      </c>
      <c r="AE815" s="145">
        <v>2382058</v>
      </c>
      <c r="AF815" s="163">
        <v>1.0469999999999999</v>
      </c>
      <c r="AG815" s="164">
        <v>1.046</v>
      </c>
      <c r="AH815" s="164">
        <v>1.046</v>
      </c>
      <c r="AI815" s="164">
        <v>2382058</v>
      </c>
      <c r="AJ815" s="164">
        <f t="shared" si="100"/>
        <v>0</v>
      </c>
      <c r="AK815" s="165">
        <v>2382058</v>
      </c>
      <c r="AL815" s="165">
        <v>2494014.7259999998</v>
      </c>
      <c r="AM815" s="165">
        <f t="shared" si="116"/>
        <v>2608739.4033959997</v>
      </c>
      <c r="AN815" s="165">
        <f t="shared" si="117"/>
        <v>2728741.4159522159</v>
      </c>
      <c r="AO815" s="16"/>
      <c r="AP815" s="231">
        <f t="shared" si="101"/>
        <v>-111956.72599999979</v>
      </c>
      <c r="AR815" s="231"/>
      <c r="AS815" s="231"/>
      <c r="AU815" s="230">
        <v>2382058</v>
      </c>
      <c r="AV815" s="233">
        <v>2382058</v>
      </c>
      <c r="AW815" s="230">
        <f t="shared" si="98"/>
        <v>0</v>
      </c>
    </row>
    <row r="816" spans="1:49" hidden="1" x14ac:dyDescent="0.3">
      <c r="A816" s="16" t="s">
        <v>83</v>
      </c>
      <c r="B816" s="39" t="s">
        <v>1613</v>
      </c>
      <c r="C816" s="39" t="s">
        <v>423</v>
      </c>
      <c r="D816" s="340" t="s">
        <v>3476</v>
      </c>
      <c r="E816" s="159" t="s">
        <v>1085</v>
      </c>
      <c r="F816" s="159" t="s">
        <v>1524</v>
      </c>
      <c r="G816" s="159" t="s">
        <v>309</v>
      </c>
      <c r="H816" s="159" t="s">
        <v>424</v>
      </c>
      <c r="I816" s="159" t="s">
        <v>425</v>
      </c>
      <c r="J816" s="159" t="s">
        <v>426</v>
      </c>
      <c r="K816" s="159" t="s">
        <v>1849</v>
      </c>
      <c r="L816" s="39" t="s">
        <v>304</v>
      </c>
      <c r="M816" s="39" t="s">
        <v>305</v>
      </c>
      <c r="N816" s="39">
        <v>11</v>
      </c>
      <c r="O816" s="39" t="s">
        <v>423</v>
      </c>
      <c r="P816" s="39" t="s">
        <v>423</v>
      </c>
      <c r="Q816" s="39" t="s">
        <v>1613</v>
      </c>
      <c r="R816" s="16" t="s">
        <v>83</v>
      </c>
      <c r="S816" s="160">
        <v>50000</v>
      </c>
      <c r="T816" s="160">
        <v>255</v>
      </c>
      <c r="U816" s="160">
        <v>0</v>
      </c>
      <c r="V816" s="160">
        <v>5636.11</v>
      </c>
      <c r="W816" s="160">
        <v>44363.89</v>
      </c>
      <c r="X816" s="161">
        <v>0</v>
      </c>
      <c r="Y816" s="160"/>
      <c r="Z816" s="16">
        <v>11.27</v>
      </c>
      <c r="AA816" s="162">
        <v>5636.11</v>
      </c>
      <c r="AB816" s="162">
        <v>1409.0274999999999</v>
      </c>
      <c r="AC816" s="162">
        <v>16908.329999999998</v>
      </c>
      <c r="AD816" s="160">
        <v>0</v>
      </c>
      <c r="AE816" s="145">
        <v>50000</v>
      </c>
      <c r="AF816" s="163">
        <v>1.0469999999999999</v>
      </c>
      <c r="AG816" s="164">
        <v>1.046</v>
      </c>
      <c r="AH816" s="164">
        <v>1.046</v>
      </c>
      <c r="AI816" s="164">
        <v>50000</v>
      </c>
      <c r="AJ816" s="164">
        <f t="shared" si="100"/>
        <v>0</v>
      </c>
      <c r="AK816" s="165">
        <v>50000</v>
      </c>
      <c r="AL816" s="165">
        <v>52350</v>
      </c>
      <c r="AM816" s="165">
        <f t="shared" si="116"/>
        <v>54758.1</v>
      </c>
      <c r="AN816" s="165">
        <f t="shared" si="117"/>
        <v>57276.972600000001</v>
      </c>
      <c r="AO816" s="16"/>
      <c r="AP816" s="231">
        <f t="shared" si="101"/>
        <v>-2350</v>
      </c>
      <c r="AR816" s="231"/>
      <c r="AS816" s="231"/>
      <c r="AU816" s="230">
        <v>50000</v>
      </c>
      <c r="AV816" s="233">
        <v>50000</v>
      </c>
      <c r="AW816" s="230">
        <f t="shared" si="98"/>
        <v>0</v>
      </c>
    </row>
    <row r="817" spans="1:49" hidden="1" x14ac:dyDescent="0.3">
      <c r="A817" s="16" t="s">
        <v>1615</v>
      </c>
      <c r="B817" s="39" t="s">
        <v>1614</v>
      </c>
      <c r="C817" s="39" t="s">
        <v>423</v>
      </c>
      <c r="D817" s="340" t="s">
        <v>3476</v>
      </c>
      <c r="E817" s="159" t="s">
        <v>1085</v>
      </c>
      <c r="F817" s="159" t="s">
        <v>1524</v>
      </c>
      <c r="G817" s="159" t="s">
        <v>309</v>
      </c>
      <c r="H817" s="159" t="s">
        <v>424</v>
      </c>
      <c r="I817" s="159" t="s">
        <v>425</v>
      </c>
      <c r="J817" s="159" t="s">
        <v>327</v>
      </c>
      <c r="K817" s="159" t="s">
        <v>1849</v>
      </c>
      <c r="L817" s="39" t="s">
        <v>304</v>
      </c>
      <c r="M817" s="39" t="s">
        <v>305</v>
      </c>
      <c r="N817" s="39">
        <v>11</v>
      </c>
      <c r="O817" s="39" t="s">
        <v>423</v>
      </c>
      <c r="P817" s="39" t="s">
        <v>423</v>
      </c>
      <c r="Q817" s="39" t="s">
        <v>1614</v>
      </c>
      <c r="R817" s="16" t="s">
        <v>1615</v>
      </c>
      <c r="S817" s="223">
        <v>16394928</v>
      </c>
      <c r="T817" s="160">
        <v>2440026.2599999998</v>
      </c>
      <c r="U817" s="160">
        <v>2140418.84</v>
      </c>
      <c r="V817" s="160">
        <v>5540039.7400000002</v>
      </c>
      <c r="W817" s="160">
        <v>10854888.26</v>
      </c>
      <c r="X817" s="161">
        <v>693384</v>
      </c>
      <c r="Y817" s="160"/>
      <c r="Z817" s="16">
        <v>33.79</v>
      </c>
      <c r="AA817" s="162">
        <v>7680458.5800000001</v>
      </c>
      <c r="AB817" s="224">
        <v>1920114.645</v>
      </c>
      <c r="AC817" s="224">
        <v>23041375.740000002</v>
      </c>
      <c r="AD817" s="223">
        <v>6646447.7400000021</v>
      </c>
      <c r="AE817" s="145">
        <v>21541375.740000002</v>
      </c>
      <c r="AF817" s="163">
        <v>1.0469999999999999</v>
      </c>
      <c r="AG817" s="164">
        <v>1.046</v>
      </c>
      <c r="AH817" s="164">
        <v>1.046</v>
      </c>
      <c r="AI817" s="164">
        <v>23041375.740000002</v>
      </c>
      <c r="AJ817" s="164">
        <f t="shared" si="100"/>
        <v>-1500000</v>
      </c>
      <c r="AK817" s="165">
        <f>AE817</f>
        <v>21541375.740000002</v>
      </c>
      <c r="AL817" s="165">
        <f>AK817</f>
        <v>21541375.740000002</v>
      </c>
      <c r="AM817" s="165">
        <f t="shared" si="116"/>
        <v>22532279.024040002</v>
      </c>
      <c r="AN817" s="165">
        <f t="shared" si="117"/>
        <v>23568763.859145842</v>
      </c>
      <c r="AO817" s="145" t="s">
        <v>2106</v>
      </c>
      <c r="AP817" s="231">
        <f t="shared" si="101"/>
        <v>0</v>
      </c>
      <c r="AR817" s="231"/>
      <c r="AS817" s="231"/>
      <c r="AU817" s="230">
        <v>16394928</v>
      </c>
      <c r="AV817" s="233">
        <v>23041375.740000002</v>
      </c>
      <c r="AW817" s="230">
        <f t="shared" si="98"/>
        <v>0</v>
      </c>
    </row>
    <row r="818" spans="1:49" hidden="1" x14ac:dyDescent="0.3">
      <c r="A818" s="16" t="s">
        <v>897</v>
      </c>
      <c r="B818" s="39" t="s">
        <v>1616</v>
      </c>
      <c r="C818" s="39" t="s">
        <v>423</v>
      </c>
      <c r="D818" s="340" t="s">
        <v>3476</v>
      </c>
      <c r="E818" s="159" t="s">
        <v>1085</v>
      </c>
      <c r="F818" s="159" t="s">
        <v>1524</v>
      </c>
      <c r="G818" s="159" t="s">
        <v>309</v>
      </c>
      <c r="H818" s="159" t="s">
        <v>424</v>
      </c>
      <c r="I818" s="159" t="s">
        <v>425</v>
      </c>
      <c r="J818" s="159" t="s">
        <v>1152</v>
      </c>
      <c r="K818" s="159" t="s">
        <v>1849</v>
      </c>
      <c r="L818" s="39" t="s">
        <v>304</v>
      </c>
      <c r="M818" s="39" t="s">
        <v>305</v>
      </c>
      <c r="N818" s="39">
        <v>11</v>
      </c>
      <c r="O818" s="39" t="s">
        <v>423</v>
      </c>
      <c r="P818" s="39" t="s">
        <v>423</v>
      </c>
      <c r="Q818" s="39" t="s">
        <v>1616</v>
      </c>
      <c r="R818" s="16" t="s">
        <v>897</v>
      </c>
      <c r="S818" s="160">
        <v>0</v>
      </c>
      <c r="T818" s="160">
        <v>0</v>
      </c>
      <c r="U818" s="160">
        <v>0</v>
      </c>
      <c r="V818" s="160">
        <v>0</v>
      </c>
      <c r="W818" s="160">
        <v>0</v>
      </c>
      <c r="X818" s="161">
        <v>0</v>
      </c>
      <c r="Y818" s="160"/>
      <c r="Z818" s="16">
        <v>0</v>
      </c>
      <c r="AA818" s="162">
        <v>0</v>
      </c>
      <c r="AB818" s="162">
        <v>0</v>
      </c>
      <c r="AC818" s="162">
        <v>0</v>
      </c>
      <c r="AD818" s="160">
        <v>0</v>
      </c>
      <c r="AE818" s="145">
        <v>0</v>
      </c>
      <c r="AF818" s="163">
        <v>1.0469999999999999</v>
      </c>
      <c r="AG818" s="164">
        <v>1.046</v>
      </c>
      <c r="AH818" s="164">
        <v>1.046</v>
      </c>
      <c r="AI818" s="164">
        <v>0</v>
      </c>
      <c r="AJ818" s="164">
        <f t="shared" si="100"/>
        <v>0</v>
      </c>
      <c r="AK818" s="165">
        <v>0</v>
      </c>
      <c r="AL818" s="165">
        <v>0</v>
      </c>
      <c r="AM818" s="165">
        <f t="shared" si="116"/>
        <v>0</v>
      </c>
      <c r="AN818" s="165">
        <f t="shared" si="117"/>
        <v>0</v>
      </c>
      <c r="AO818" s="16"/>
      <c r="AP818" s="231">
        <f t="shared" si="101"/>
        <v>0</v>
      </c>
      <c r="AR818" s="231"/>
      <c r="AS818" s="231"/>
      <c r="AU818" s="230">
        <v>0</v>
      </c>
      <c r="AV818" s="233">
        <v>0</v>
      </c>
      <c r="AW818" s="230">
        <f t="shared" si="98"/>
        <v>0</v>
      </c>
    </row>
    <row r="819" spans="1:49" hidden="1" x14ac:dyDescent="0.3">
      <c r="A819" s="16" t="s">
        <v>537</v>
      </c>
      <c r="B819" s="39" t="s">
        <v>1617</v>
      </c>
      <c r="C819" s="39" t="s">
        <v>423</v>
      </c>
      <c r="D819" s="340" t="s">
        <v>3476</v>
      </c>
      <c r="E819" s="159" t="s">
        <v>1085</v>
      </c>
      <c r="F819" s="159" t="s">
        <v>1524</v>
      </c>
      <c r="G819" s="159" t="s">
        <v>309</v>
      </c>
      <c r="H819" s="159" t="s">
        <v>424</v>
      </c>
      <c r="I819" s="159" t="s">
        <v>425</v>
      </c>
      <c r="J819" s="159" t="s">
        <v>538</v>
      </c>
      <c r="K819" s="159" t="s">
        <v>1849</v>
      </c>
      <c r="L819" s="39" t="s">
        <v>304</v>
      </c>
      <c r="M819" s="39" t="s">
        <v>305</v>
      </c>
      <c r="N819" s="39">
        <v>11</v>
      </c>
      <c r="O819" s="39" t="s">
        <v>423</v>
      </c>
      <c r="P819" s="39" t="s">
        <v>423</v>
      </c>
      <c r="Q819" s="39" t="s">
        <v>1617</v>
      </c>
      <c r="R819" s="16" t="s">
        <v>537</v>
      </c>
      <c r="S819" s="160">
        <v>16000</v>
      </c>
      <c r="T819" s="160">
        <v>0</v>
      </c>
      <c r="U819" s="160">
        <v>0</v>
      </c>
      <c r="V819" s="160">
        <v>178</v>
      </c>
      <c r="W819" s="160">
        <v>15822</v>
      </c>
      <c r="X819" s="161">
        <v>0</v>
      </c>
      <c r="Y819" s="160"/>
      <c r="Z819" s="16">
        <v>1.1100000000000001</v>
      </c>
      <c r="AA819" s="162">
        <v>178</v>
      </c>
      <c r="AB819" s="162">
        <v>44.5</v>
      </c>
      <c r="AC819" s="162">
        <v>534</v>
      </c>
      <c r="AD819" s="160">
        <v>0</v>
      </c>
      <c r="AE819" s="145">
        <v>16000</v>
      </c>
      <c r="AF819" s="163">
        <v>1.0469999999999999</v>
      </c>
      <c r="AG819" s="164">
        <v>1.046</v>
      </c>
      <c r="AH819" s="164">
        <v>1.046</v>
      </c>
      <c r="AI819" s="164">
        <v>16000</v>
      </c>
      <c r="AJ819" s="164">
        <f t="shared" si="100"/>
        <v>0</v>
      </c>
      <c r="AK819" s="165">
        <v>16000</v>
      </c>
      <c r="AL819" s="165">
        <v>16752</v>
      </c>
      <c r="AM819" s="165">
        <f t="shared" si="116"/>
        <v>17522.592000000001</v>
      </c>
      <c r="AN819" s="165">
        <f t="shared" si="117"/>
        <v>18328.631232</v>
      </c>
      <c r="AO819" s="16"/>
      <c r="AP819" s="231">
        <f t="shared" si="101"/>
        <v>-752</v>
      </c>
      <c r="AR819" s="231"/>
      <c r="AS819" s="231"/>
      <c r="AU819" s="230">
        <v>16000</v>
      </c>
      <c r="AV819" s="233">
        <v>16000</v>
      </c>
      <c r="AW819" s="230">
        <f t="shared" si="98"/>
        <v>0</v>
      </c>
    </row>
    <row r="820" spans="1:49" hidden="1" x14ac:dyDescent="0.3">
      <c r="A820" s="16" t="s">
        <v>499</v>
      </c>
      <c r="B820" s="39" t="s">
        <v>1618</v>
      </c>
      <c r="C820" s="39" t="s">
        <v>95</v>
      </c>
      <c r="D820" s="340" t="s">
        <v>3476</v>
      </c>
      <c r="E820" s="159" t="s">
        <v>1085</v>
      </c>
      <c r="F820" s="159" t="s">
        <v>1524</v>
      </c>
      <c r="G820" s="159" t="s">
        <v>309</v>
      </c>
      <c r="H820" s="159" t="s">
        <v>501</v>
      </c>
      <c r="I820" s="159" t="s">
        <v>502</v>
      </c>
      <c r="J820" s="159" t="s">
        <v>312</v>
      </c>
      <c r="K820" s="159" t="s">
        <v>1849</v>
      </c>
      <c r="L820" s="39" t="s">
        <v>304</v>
      </c>
      <c r="M820" s="39" t="s">
        <v>305</v>
      </c>
      <c r="N820" s="39">
        <v>11</v>
      </c>
      <c r="O820" s="39" t="s">
        <v>95</v>
      </c>
      <c r="P820" s="39" t="s">
        <v>95</v>
      </c>
      <c r="Q820" s="39" t="s">
        <v>1618</v>
      </c>
      <c r="R820" s="16" t="s">
        <v>499</v>
      </c>
      <c r="S820" s="160">
        <v>0</v>
      </c>
      <c r="T820" s="160">
        <v>0</v>
      </c>
      <c r="U820" s="160">
        <v>0</v>
      </c>
      <c r="V820" s="160">
        <v>0</v>
      </c>
      <c r="W820" s="160">
        <v>0</v>
      </c>
      <c r="X820" s="161">
        <v>0</v>
      </c>
      <c r="Y820" s="160"/>
      <c r="Z820" s="16">
        <v>0</v>
      </c>
      <c r="AA820" s="162">
        <v>0</v>
      </c>
      <c r="AB820" s="162">
        <v>0</v>
      </c>
      <c r="AC820" s="162">
        <v>0</v>
      </c>
      <c r="AD820" s="160">
        <v>0</v>
      </c>
      <c r="AE820" s="145">
        <v>0</v>
      </c>
      <c r="AF820" s="163">
        <v>1.0469999999999999</v>
      </c>
      <c r="AG820" s="164">
        <v>1.046</v>
      </c>
      <c r="AH820" s="164">
        <v>1.046</v>
      </c>
      <c r="AI820" s="164">
        <v>0</v>
      </c>
      <c r="AJ820" s="164">
        <f t="shared" si="100"/>
        <v>0</v>
      </c>
      <c r="AK820" s="165">
        <v>0</v>
      </c>
      <c r="AL820" s="165">
        <v>0</v>
      </c>
      <c r="AM820" s="165">
        <f t="shared" si="116"/>
        <v>0</v>
      </c>
      <c r="AN820" s="165">
        <f t="shared" si="117"/>
        <v>0</v>
      </c>
      <c r="AO820" s="16"/>
      <c r="AP820" s="231">
        <f t="shared" si="101"/>
        <v>0</v>
      </c>
      <c r="AR820" s="231"/>
      <c r="AS820" s="231"/>
      <c r="AU820" s="230">
        <v>0</v>
      </c>
      <c r="AV820" s="233">
        <v>0</v>
      </c>
      <c r="AW820" s="230">
        <f t="shared" si="98"/>
        <v>0</v>
      </c>
    </row>
    <row r="821" spans="1:49" hidden="1" x14ac:dyDescent="0.3">
      <c r="A821" s="16" t="s">
        <v>931</v>
      </c>
      <c r="B821" s="39" t="s">
        <v>1619</v>
      </c>
      <c r="C821" s="39" t="s">
        <v>95</v>
      </c>
      <c r="D821" s="340" t="s">
        <v>3476</v>
      </c>
      <c r="E821" s="159" t="s">
        <v>1085</v>
      </c>
      <c r="F821" s="159" t="s">
        <v>1524</v>
      </c>
      <c r="G821" s="159" t="s">
        <v>309</v>
      </c>
      <c r="H821" s="159" t="s">
        <v>501</v>
      </c>
      <c r="I821" s="159" t="s">
        <v>573</v>
      </c>
      <c r="J821" s="159" t="s">
        <v>312</v>
      </c>
      <c r="K821" s="159" t="s">
        <v>1849</v>
      </c>
      <c r="L821" s="39" t="s">
        <v>304</v>
      </c>
      <c r="M821" s="39" t="s">
        <v>305</v>
      </c>
      <c r="N821" s="39">
        <v>11</v>
      </c>
      <c r="O821" s="39" t="s">
        <v>95</v>
      </c>
      <c r="P821" s="39" t="s">
        <v>932</v>
      </c>
      <c r="Q821" s="39" t="s">
        <v>1619</v>
      </c>
      <c r="R821" s="16" t="s">
        <v>931</v>
      </c>
      <c r="S821" s="160">
        <v>5623129</v>
      </c>
      <c r="T821" s="160">
        <v>565249.73</v>
      </c>
      <c r="U821" s="160">
        <v>0</v>
      </c>
      <c r="V821" s="160">
        <v>2048176.8</v>
      </c>
      <c r="W821" s="160">
        <v>3574952.2</v>
      </c>
      <c r="X821" s="161">
        <v>0</v>
      </c>
      <c r="Y821" s="160"/>
      <c r="Z821" s="16">
        <v>36.42</v>
      </c>
      <c r="AA821" s="162">
        <v>2048176.8</v>
      </c>
      <c r="AB821" s="162">
        <v>512044.2</v>
      </c>
      <c r="AC821" s="162">
        <v>6144530.4000000004</v>
      </c>
      <c r="AD821" s="160">
        <v>0</v>
      </c>
      <c r="AE821" s="145">
        <v>5623129</v>
      </c>
      <c r="AF821" s="163">
        <v>1.0469999999999999</v>
      </c>
      <c r="AG821" s="164">
        <v>1.046</v>
      </c>
      <c r="AH821" s="164">
        <v>1.046</v>
      </c>
      <c r="AI821" s="164">
        <v>5623129</v>
      </c>
      <c r="AJ821" s="164">
        <f t="shared" si="100"/>
        <v>0</v>
      </c>
      <c r="AK821" s="165">
        <v>5623129</v>
      </c>
      <c r="AL821" s="165">
        <f t="shared" ref="AL821" si="118">AK821</f>
        <v>5623129</v>
      </c>
      <c r="AM821" s="165">
        <f t="shared" si="116"/>
        <v>5881792.9340000004</v>
      </c>
      <c r="AN821" s="165">
        <f t="shared" si="117"/>
        <v>6152355.4089640006</v>
      </c>
      <c r="AO821" s="16"/>
      <c r="AP821" s="231">
        <f t="shared" si="101"/>
        <v>0</v>
      </c>
      <c r="AR821" s="231"/>
      <c r="AS821" s="231"/>
      <c r="AU821" s="230">
        <v>5623129</v>
      </c>
      <c r="AV821" s="233">
        <v>5623129</v>
      </c>
      <c r="AW821" s="230">
        <f t="shared" si="98"/>
        <v>0</v>
      </c>
    </row>
    <row r="822" spans="1:49" hidden="1" x14ac:dyDescent="0.3">
      <c r="A822" s="16" t="s">
        <v>249</v>
      </c>
      <c r="B822" s="39" t="s">
        <v>1620</v>
      </c>
      <c r="C822" s="39" t="s">
        <v>1621</v>
      </c>
      <c r="D822" s="340" t="s">
        <v>3476</v>
      </c>
      <c r="E822" s="159" t="s">
        <v>1085</v>
      </c>
      <c r="F822" s="159" t="s">
        <v>1524</v>
      </c>
      <c r="G822" s="159" t="s">
        <v>1078</v>
      </c>
      <c r="H822" s="159" t="s">
        <v>1194</v>
      </c>
      <c r="I822" s="159" t="s">
        <v>1190</v>
      </c>
      <c r="J822" s="159" t="s">
        <v>312</v>
      </c>
      <c r="K822" s="159" t="s">
        <v>1997</v>
      </c>
      <c r="L822" s="39" t="s">
        <v>1622</v>
      </c>
      <c r="M822" s="39" t="s">
        <v>305</v>
      </c>
      <c r="N822" s="39">
        <v>11</v>
      </c>
      <c r="O822" s="39" t="s">
        <v>1621</v>
      </c>
      <c r="P822" s="39" t="s">
        <v>1621</v>
      </c>
      <c r="Q822" s="39" t="s">
        <v>1620</v>
      </c>
      <c r="R822" s="16" t="s">
        <v>249</v>
      </c>
      <c r="S822" s="160">
        <v>0</v>
      </c>
      <c r="T822" s="160">
        <v>0</v>
      </c>
      <c r="U822" s="160">
        <v>0</v>
      </c>
      <c r="V822" s="160">
        <v>0</v>
      </c>
      <c r="W822" s="160">
        <v>0</v>
      </c>
      <c r="X822" s="161">
        <v>0</v>
      </c>
      <c r="Y822" s="160"/>
      <c r="Z822" s="16">
        <v>0</v>
      </c>
      <c r="AA822" s="162">
        <v>0</v>
      </c>
      <c r="AB822" s="162">
        <v>0</v>
      </c>
      <c r="AC822" s="162">
        <v>0</v>
      </c>
      <c r="AD822" s="160">
        <v>0</v>
      </c>
      <c r="AE822" s="145">
        <v>0</v>
      </c>
      <c r="AF822" s="163">
        <v>1.0469999999999999</v>
      </c>
      <c r="AG822" s="164">
        <v>1.046</v>
      </c>
      <c r="AH822" s="164">
        <v>1.046</v>
      </c>
      <c r="AI822" s="164">
        <v>0</v>
      </c>
      <c r="AJ822" s="164">
        <f t="shared" si="100"/>
        <v>0</v>
      </c>
      <c r="AK822" s="165">
        <v>0</v>
      </c>
      <c r="AL822" s="165">
        <v>0</v>
      </c>
      <c r="AM822" s="165">
        <f t="shared" si="116"/>
        <v>0</v>
      </c>
      <c r="AN822" s="165">
        <f t="shared" si="117"/>
        <v>0</v>
      </c>
      <c r="AO822" s="16"/>
      <c r="AP822" s="231">
        <f t="shared" si="101"/>
        <v>0</v>
      </c>
      <c r="AR822" s="231"/>
      <c r="AS822" s="231"/>
      <c r="AU822" s="230">
        <v>0</v>
      </c>
      <c r="AV822" s="233">
        <v>0</v>
      </c>
      <c r="AW822" s="230">
        <f t="shared" si="98"/>
        <v>0</v>
      </c>
    </row>
    <row r="823" spans="1:49" s="250" customFormat="1" hidden="1" x14ac:dyDescent="0.3">
      <c r="A823" s="241" t="s">
        <v>249</v>
      </c>
      <c r="B823" s="242" t="s">
        <v>1623</v>
      </c>
      <c r="C823" s="242" t="s">
        <v>1621</v>
      </c>
      <c r="D823" s="340" t="s">
        <v>3476</v>
      </c>
      <c r="E823" s="243" t="s">
        <v>1085</v>
      </c>
      <c r="F823" s="243" t="s">
        <v>1524</v>
      </c>
      <c r="G823" s="243" t="s">
        <v>1078</v>
      </c>
      <c r="H823" s="243" t="s">
        <v>1194</v>
      </c>
      <c r="I823" s="243" t="s">
        <v>1190</v>
      </c>
      <c r="J823" s="243" t="s">
        <v>312</v>
      </c>
      <c r="K823" s="243" t="s">
        <v>1081</v>
      </c>
      <c r="L823" s="242" t="s">
        <v>1622</v>
      </c>
      <c r="M823" s="242" t="s">
        <v>305</v>
      </c>
      <c r="N823" s="242">
        <v>11</v>
      </c>
      <c r="O823" s="242" t="s">
        <v>1621</v>
      </c>
      <c r="P823" s="242" t="s">
        <v>1621</v>
      </c>
      <c r="Q823" s="242" t="s">
        <v>1623</v>
      </c>
      <c r="R823" s="241" t="s">
        <v>249</v>
      </c>
      <c r="S823" s="223">
        <v>9000000</v>
      </c>
      <c r="T823" s="160">
        <v>0</v>
      </c>
      <c r="U823" s="160">
        <v>7835046.1200000001</v>
      </c>
      <c r="V823" s="160">
        <v>0</v>
      </c>
      <c r="W823" s="160">
        <v>9000000</v>
      </c>
      <c r="X823" s="161">
        <v>7835046.1200000001</v>
      </c>
      <c r="Y823" s="160"/>
      <c r="Z823" s="16">
        <v>0</v>
      </c>
      <c r="AA823" s="162">
        <v>7835046.1200000001</v>
      </c>
      <c r="AB823" s="224">
        <v>1958761.53</v>
      </c>
      <c r="AC823" s="224">
        <v>23505138.359999999</v>
      </c>
      <c r="AD823" s="223">
        <v>6000000</v>
      </c>
      <c r="AE823" s="244">
        <v>9000000</v>
      </c>
      <c r="AF823" s="220">
        <v>1.0469999999999999</v>
      </c>
      <c r="AG823" s="221">
        <v>1.046</v>
      </c>
      <c r="AH823" s="221">
        <v>1.046</v>
      </c>
      <c r="AI823" s="245">
        <v>15000000</v>
      </c>
      <c r="AJ823" s="164">
        <f t="shared" si="100"/>
        <v>-6000000</v>
      </c>
      <c r="AK823" s="246">
        <v>10000000</v>
      </c>
      <c r="AL823" s="246">
        <f t="shared" ref="AL823" si="119">AK823</f>
        <v>10000000</v>
      </c>
      <c r="AM823" s="246">
        <f t="shared" si="116"/>
        <v>10460000</v>
      </c>
      <c r="AN823" s="246">
        <f t="shared" si="117"/>
        <v>10941160</v>
      </c>
      <c r="AO823" s="244" t="s">
        <v>2106</v>
      </c>
      <c r="AP823" s="247">
        <f t="shared" si="101"/>
        <v>0</v>
      </c>
      <c r="AR823" s="231"/>
      <c r="AS823" s="231"/>
      <c r="AU823" s="248">
        <v>9000000</v>
      </c>
      <c r="AV823" s="249">
        <v>15000000</v>
      </c>
      <c r="AW823" s="248">
        <f t="shared" si="98"/>
        <v>0</v>
      </c>
    </row>
    <row r="824" spans="1:49" hidden="1" x14ac:dyDescent="0.3">
      <c r="A824" s="16" t="s">
        <v>232</v>
      </c>
      <c r="B824" s="39" t="s">
        <v>1624</v>
      </c>
      <c r="C824" s="39" t="s">
        <v>1625</v>
      </c>
      <c r="D824" s="340" t="s">
        <v>3476</v>
      </c>
      <c r="E824" s="159" t="s">
        <v>1085</v>
      </c>
      <c r="F824" s="159" t="s">
        <v>1524</v>
      </c>
      <c r="G824" s="159" t="s">
        <v>1078</v>
      </c>
      <c r="H824" s="159" t="s">
        <v>1194</v>
      </c>
      <c r="I824" s="159" t="s">
        <v>1199</v>
      </c>
      <c r="J824" s="159" t="s">
        <v>312</v>
      </c>
      <c r="K824" s="159" t="s">
        <v>1997</v>
      </c>
      <c r="L824" s="39" t="s">
        <v>1626</v>
      </c>
      <c r="M824" s="39" t="s">
        <v>305</v>
      </c>
      <c r="N824" s="39">
        <v>11</v>
      </c>
      <c r="O824" s="39" t="s">
        <v>1625</v>
      </c>
      <c r="P824" s="39">
        <v>0</v>
      </c>
      <c r="Q824" s="39" t="s">
        <v>1624</v>
      </c>
      <c r="R824" s="16" t="s">
        <v>232</v>
      </c>
      <c r="S824" s="160">
        <v>0</v>
      </c>
      <c r="T824" s="160">
        <v>0</v>
      </c>
      <c r="U824" s="160">
        <v>0</v>
      </c>
      <c r="V824" s="160">
        <v>0</v>
      </c>
      <c r="W824" s="160">
        <v>0</v>
      </c>
      <c r="X824" s="161">
        <v>0</v>
      </c>
      <c r="Y824" s="160"/>
      <c r="Z824" s="16">
        <v>0</v>
      </c>
      <c r="AA824" s="162">
        <v>0</v>
      </c>
      <c r="AB824" s="162">
        <v>0</v>
      </c>
      <c r="AC824" s="162">
        <v>0</v>
      </c>
      <c r="AD824" s="160">
        <v>0</v>
      </c>
      <c r="AE824" s="145">
        <v>0</v>
      </c>
      <c r="AF824" s="163">
        <v>1.0469999999999999</v>
      </c>
      <c r="AG824" s="164">
        <v>1.046</v>
      </c>
      <c r="AH824" s="164">
        <v>1.046</v>
      </c>
      <c r="AI824" s="164">
        <v>0</v>
      </c>
      <c r="AJ824" s="164">
        <f t="shared" si="100"/>
        <v>0</v>
      </c>
      <c r="AK824" s="165">
        <v>0</v>
      </c>
      <c r="AL824" s="165">
        <v>0</v>
      </c>
      <c r="AM824" s="165">
        <f t="shared" si="116"/>
        <v>0</v>
      </c>
      <c r="AN824" s="165">
        <f t="shared" si="117"/>
        <v>0</v>
      </c>
      <c r="AO824" s="16"/>
      <c r="AP824" s="231">
        <f t="shared" si="101"/>
        <v>0</v>
      </c>
      <c r="AR824" s="231"/>
      <c r="AS824" s="231"/>
      <c r="AU824" s="230">
        <v>0</v>
      </c>
      <c r="AV824" s="233">
        <v>0</v>
      </c>
      <c r="AW824" s="230">
        <f t="shared" si="98"/>
        <v>0</v>
      </c>
    </row>
    <row r="825" spans="1:49" hidden="1" x14ac:dyDescent="0.3">
      <c r="A825" s="16" t="s">
        <v>238</v>
      </c>
      <c r="B825" s="39" t="s">
        <v>1627</v>
      </c>
      <c r="C825" s="39" t="s">
        <v>1628</v>
      </c>
      <c r="D825" s="340" t="s">
        <v>3476</v>
      </c>
      <c r="E825" s="159" t="s">
        <v>1085</v>
      </c>
      <c r="F825" s="159" t="s">
        <v>1524</v>
      </c>
      <c r="G825" s="159" t="s">
        <v>1078</v>
      </c>
      <c r="H825" s="159" t="s">
        <v>1194</v>
      </c>
      <c r="I825" s="159" t="s">
        <v>1199</v>
      </c>
      <c r="J825" s="159" t="s">
        <v>312</v>
      </c>
      <c r="K825" s="159" t="s">
        <v>1997</v>
      </c>
      <c r="L825" s="39" t="s">
        <v>1629</v>
      </c>
      <c r="M825" s="39" t="s">
        <v>305</v>
      </c>
      <c r="N825" s="39">
        <v>11</v>
      </c>
      <c r="O825" s="39" t="s">
        <v>1628</v>
      </c>
      <c r="P825" s="39">
        <v>0</v>
      </c>
      <c r="Q825" s="39" t="s">
        <v>1627</v>
      </c>
      <c r="R825" s="16" t="s">
        <v>238</v>
      </c>
      <c r="S825" s="160">
        <v>0</v>
      </c>
      <c r="T825" s="160">
        <v>0</v>
      </c>
      <c r="U825" s="160">
        <v>0</v>
      </c>
      <c r="V825" s="160">
        <v>0</v>
      </c>
      <c r="W825" s="160">
        <v>0</v>
      </c>
      <c r="X825" s="161">
        <v>0</v>
      </c>
      <c r="Y825" s="160"/>
      <c r="Z825" s="16">
        <v>0</v>
      </c>
      <c r="AA825" s="162">
        <v>0</v>
      </c>
      <c r="AB825" s="162">
        <v>0</v>
      </c>
      <c r="AC825" s="162">
        <v>0</v>
      </c>
      <c r="AD825" s="160">
        <v>0</v>
      </c>
      <c r="AE825" s="145">
        <v>0</v>
      </c>
      <c r="AF825" s="163">
        <v>1.0469999999999999</v>
      </c>
      <c r="AG825" s="164">
        <v>1.046</v>
      </c>
      <c r="AH825" s="164">
        <v>1.046</v>
      </c>
      <c r="AI825" s="164">
        <v>0</v>
      </c>
      <c r="AJ825" s="164">
        <f t="shared" si="100"/>
        <v>0</v>
      </c>
      <c r="AK825" s="165">
        <v>0</v>
      </c>
      <c r="AL825" s="165">
        <v>0</v>
      </c>
      <c r="AM825" s="165">
        <f t="shared" si="116"/>
        <v>0</v>
      </c>
      <c r="AN825" s="165">
        <f t="shared" si="117"/>
        <v>0</v>
      </c>
      <c r="AO825" s="16"/>
      <c r="AP825" s="231">
        <f t="shared" si="101"/>
        <v>0</v>
      </c>
      <c r="AR825" s="231"/>
      <c r="AS825" s="231"/>
      <c r="AU825" s="230">
        <v>0</v>
      </c>
      <c r="AV825" s="233">
        <v>0</v>
      </c>
      <c r="AW825" s="230">
        <f t="shared" si="98"/>
        <v>0</v>
      </c>
    </row>
    <row r="826" spans="1:49" hidden="1" x14ac:dyDescent="0.3">
      <c r="A826" s="16" t="s">
        <v>239</v>
      </c>
      <c r="B826" s="39" t="s">
        <v>1630</v>
      </c>
      <c r="C826" s="39" t="s">
        <v>1638</v>
      </c>
      <c r="D826" s="340" t="s">
        <v>3476</v>
      </c>
      <c r="E826" s="159" t="s">
        <v>1085</v>
      </c>
      <c r="F826" s="159" t="s">
        <v>1524</v>
      </c>
      <c r="G826" s="159" t="s">
        <v>1078</v>
      </c>
      <c r="H826" s="159" t="s">
        <v>1194</v>
      </c>
      <c r="I826" s="159" t="s">
        <v>1199</v>
      </c>
      <c r="J826" s="159" t="s">
        <v>312</v>
      </c>
      <c r="K826" s="159" t="s">
        <v>1997</v>
      </c>
      <c r="L826" s="39" t="s">
        <v>1631</v>
      </c>
      <c r="M826" s="39" t="s">
        <v>305</v>
      </c>
      <c r="N826" s="39">
        <v>11</v>
      </c>
      <c r="O826" s="39" t="s">
        <v>1638</v>
      </c>
      <c r="P826" s="39" t="s">
        <v>1638</v>
      </c>
      <c r="Q826" s="39" t="s">
        <v>1630</v>
      </c>
      <c r="R826" s="16" t="s">
        <v>239</v>
      </c>
      <c r="S826" s="160">
        <v>0</v>
      </c>
      <c r="T826" s="160">
        <v>0</v>
      </c>
      <c r="U826" s="160">
        <v>0</v>
      </c>
      <c r="V826" s="160">
        <v>0</v>
      </c>
      <c r="W826" s="160">
        <v>0</v>
      </c>
      <c r="X826" s="161">
        <v>0</v>
      </c>
      <c r="Y826" s="160"/>
      <c r="Z826" s="16">
        <v>0</v>
      </c>
      <c r="AA826" s="162">
        <v>0</v>
      </c>
      <c r="AB826" s="162">
        <v>0</v>
      </c>
      <c r="AC826" s="162">
        <v>0</v>
      </c>
      <c r="AD826" s="160">
        <v>0</v>
      </c>
      <c r="AE826" s="145">
        <v>0</v>
      </c>
      <c r="AF826" s="163">
        <v>1.0469999999999999</v>
      </c>
      <c r="AG826" s="164">
        <v>1.046</v>
      </c>
      <c r="AH826" s="164">
        <v>1.046</v>
      </c>
      <c r="AI826" s="164">
        <v>0</v>
      </c>
      <c r="AJ826" s="164">
        <f t="shared" si="100"/>
        <v>0</v>
      </c>
      <c r="AK826" s="165">
        <v>0</v>
      </c>
      <c r="AL826" s="165">
        <v>0</v>
      </c>
      <c r="AM826" s="165">
        <f t="shared" si="116"/>
        <v>0</v>
      </c>
      <c r="AN826" s="165">
        <f t="shared" si="117"/>
        <v>0</v>
      </c>
      <c r="AO826" s="16"/>
      <c r="AP826" s="231">
        <f t="shared" si="101"/>
        <v>0</v>
      </c>
      <c r="AR826" s="231"/>
      <c r="AS826" s="231"/>
      <c r="AU826" s="230">
        <v>0</v>
      </c>
      <c r="AV826" s="233">
        <v>0</v>
      </c>
      <c r="AW826" s="230">
        <f t="shared" si="98"/>
        <v>0</v>
      </c>
    </row>
    <row r="827" spans="1:49" s="250" customFormat="1" hidden="1" x14ac:dyDescent="0.3">
      <c r="A827" s="241" t="s">
        <v>231</v>
      </c>
      <c r="B827" s="242" t="s">
        <v>1632</v>
      </c>
      <c r="C827" s="242" t="s">
        <v>1633</v>
      </c>
      <c r="D827" s="340" t="s">
        <v>3476</v>
      </c>
      <c r="E827" s="243" t="s">
        <v>1085</v>
      </c>
      <c r="F827" s="243" t="s">
        <v>1524</v>
      </c>
      <c r="G827" s="243" t="s">
        <v>1078</v>
      </c>
      <c r="H827" s="243" t="s">
        <v>1194</v>
      </c>
      <c r="I827" s="243" t="s">
        <v>1199</v>
      </c>
      <c r="J827" s="243" t="s">
        <v>312</v>
      </c>
      <c r="K827" s="243" t="s">
        <v>1081</v>
      </c>
      <c r="L827" s="242" t="s">
        <v>1634</v>
      </c>
      <c r="M827" s="242" t="s">
        <v>305</v>
      </c>
      <c r="N827" s="242">
        <v>11</v>
      </c>
      <c r="O827" s="242" t="s">
        <v>1633</v>
      </c>
      <c r="P827" s="242" t="s">
        <v>1633</v>
      </c>
      <c r="Q827" s="242" t="s">
        <v>1632</v>
      </c>
      <c r="R827" s="241" t="s">
        <v>231</v>
      </c>
      <c r="S827" s="223">
        <v>1005275</v>
      </c>
      <c r="T827" s="160">
        <v>105585.35</v>
      </c>
      <c r="U827" s="160">
        <v>261988.86</v>
      </c>
      <c r="V827" s="160">
        <v>297244.59000000003</v>
      </c>
      <c r="W827" s="160">
        <v>708030.41</v>
      </c>
      <c r="X827" s="161">
        <v>705841.36</v>
      </c>
      <c r="Y827" s="160"/>
      <c r="Z827" s="16">
        <v>29.56</v>
      </c>
      <c r="AA827" s="162">
        <v>559233.44999999995</v>
      </c>
      <c r="AB827" s="224">
        <v>139808.36249999999</v>
      </c>
      <c r="AC827" s="224">
        <v>1677700.3499999999</v>
      </c>
      <c r="AD827" s="223">
        <v>672425.34999999986</v>
      </c>
      <c r="AE827" s="244">
        <v>1005275</v>
      </c>
      <c r="AF827" s="220">
        <v>1.0469999999999999</v>
      </c>
      <c r="AG827" s="221">
        <v>1.046</v>
      </c>
      <c r="AH827" s="221">
        <v>1.046</v>
      </c>
      <c r="AI827" s="245">
        <v>1677700.3499999999</v>
      </c>
      <c r="AJ827" s="164">
        <f t="shared" si="100"/>
        <v>-672425.34999999986</v>
      </c>
      <c r="AK827" s="246">
        <f>AE827</f>
        <v>1005275</v>
      </c>
      <c r="AL827" s="246">
        <f t="shared" ref="AL827:AL830" si="120">AK827</f>
        <v>1005275</v>
      </c>
      <c r="AM827" s="246">
        <f t="shared" si="116"/>
        <v>1051517.6500000001</v>
      </c>
      <c r="AN827" s="246">
        <f t="shared" si="117"/>
        <v>1099887.4619000002</v>
      </c>
      <c r="AO827" s="244"/>
      <c r="AP827" s="247">
        <f t="shared" si="101"/>
        <v>0</v>
      </c>
      <c r="AR827" s="231"/>
      <c r="AS827" s="231"/>
      <c r="AU827" s="248">
        <v>1005275</v>
      </c>
      <c r="AV827" s="249">
        <v>1677700.3499999999</v>
      </c>
      <c r="AW827" s="248">
        <f t="shared" si="98"/>
        <v>0</v>
      </c>
    </row>
    <row r="828" spans="1:49" s="250" customFormat="1" hidden="1" x14ac:dyDescent="0.3">
      <c r="A828" s="241" t="s">
        <v>232</v>
      </c>
      <c r="B828" s="242" t="s">
        <v>1635</v>
      </c>
      <c r="C828" s="242" t="s">
        <v>1625</v>
      </c>
      <c r="D828" s="340" t="s">
        <v>3476</v>
      </c>
      <c r="E828" s="243" t="s">
        <v>1085</v>
      </c>
      <c r="F828" s="243" t="s">
        <v>1524</v>
      </c>
      <c r="G828" s="243" t="s">
        <v>1078</v>
      </c>
      <c r="H828" s="243" t="s">
        <v>1194</v>
      </c>
      <c r="I828" s="243" t="s">
        <v>1199</v>
      </c>
      <c r="J828" s="243" t="s">
        <v>312</v>
      </c>
      <c r="K828" s="243" t="s">
        <v>1081</v>
      </c>
      <c r="L828" s="242" t="s">
        <v>1626</v>
      </c>
      <c r="M828" s="242" t="s">
        <v>305</v>
      </c>
      <c r="N828" s="242">
        <v>11</v>
      </c>
      <c r="O828" s="242" t="s">
        <v>1625</v>
      </c>
      <c r="P828" s="242" t="s">
        <v>1625</v>
      </c>
      <c r="Q828" s="242" t="s">
        <v>1635</v>
      </c>
      <c r="R828" s="241" t="s">
        <v>232</v>
      </c>
      <c r="S828" s="223">
        <v>7029525</v>
      </c>
      <c r="T828" s="160">
        <v>5151572.5999999996</v>
      </c>
      <c r="U828" s="160">
        <v>0</v>
      </c>
      <c r="V828" s="160">
        <v>5824685.4000000004</v>
      </c>
      <c r="W828" s="160">
        <v>1204839.6000000001</v>
      </c>
      <c r="X828" s="161">
        <v>6054540.0999999996</v>
      </c>
      <c r="Y828" s="160"/>
      <c r="Z828" s="16">
        <v>82.86</v>
      </c>
      <c r="AA828" s="162">
        <v>5824685.4000000004</v>
      </c>
      <c r="AB828" s="224">
        <v>1456171.35</v>
      </c>
      <c r="AC828" s="224">
        <v>17474056.200000003</v>
      </c>
      <c r="AD828" s="223">
        <v>4619845.8000000007</v>
      </c>
      <c r="AE828" s="244">
        <v>7029525</v>
      </c>
      <c r="AF828" s="220">
        <v>1.0469999999999999</v>
      </c>
      <c r="AG828" s="221">
        <v>1.046</v>
      </c>
      <c r="AH828" s="221">
        <v>1.046</v>
      </c>
      <c r="AI828" s="245">
        <v>11649370.800000001</v>
      </c>
      <c r="AJ828" s="164">
        <f t="shared" si="100"/>
        <v>-4619845.8000000007</v>
      </c>
      <c r="AK828" s="246">
        <f>AE828</f>
        <v>7029525</v>
      </c>
      <c r="AL828" s="246">
        <f t="shared" si="120"/>
        <v>7029525</v>
      </c>
      <c r="AM828" s="246">
        <f t="shared" si="116"/>
        <v>7352883.1500000004</v>
      </c>
      <c r="AN828" s="246">
        <f t="shared" si="117"/>
        <v>7691115.7749000005</v>
      </c>
      <c r="AO828" s="244"/>
      <c r="AP828" s="247">
        <f t="shared" si="101"/>
        <v>0</v>
      </c>
      <c r="AR828" s="231"/>
      <c r="AS828" s="231"/>
      <c r="AU828" s="248">
        <v>7029525</v>
      </c>
      <c r="AV828" s="249">
        <v>11649370.800000001</v>
      </c>
      <c r="AW828" s="248">
        <f t="shared" si="98"/>
        <v>0</v>
      </c>
    </row>
    <row r="829" spans="1:49" s="250" customFormat="1" hidden="1" x14ac:dyDescent="0.3">
      <c r="A829" s="241" t="s">
        <v>238</v>
      </c>
      <c r="B829" s="242" t="s">
        <v>1636</v>
      </c>
      <c r="C829" s="242" t="s">
        <v>1628</v>
      </c>
      <c r="D829" s="340" t="s">
        <v>3476</v>
      </c>
      <c r="E829" s="243" t="s">
        <v>1085</v>
      </c>
      <c r="F829" s="243" t="s">
        <v>1524</v>
      </c>
      <c r="G829" s="243" t="s">
        <v>1078</v>
      </c>
      <c r="H829" s="243" t="s">
        <v>1194</v>
      </c>
      <c r="I829" s="243" t="s">
        <v>1199</v>
      </c>
      <c r="J829" s="243" t="s">
        <v>312</v>
      </c>
      <c r="K829" s="243" t="s">
        <v>1081</v>
      </c>
      <c r="L829" s="242" t="s">
        <v>1629</v>
      </c>
      <c r="M829" s="242" t="s">
        <v>305</v>
      </c>
      <c r="N829" s="242">
        <v>11</v>
      </c>
      <c r="O829" s="242" t="s">
        <v>1628</v>
      </c>
      <c r="P829" s="242" t="s">
        <v>1628</v>
      </c>
      <c r="Q829" s="242" t="s">
        <v>1636</v>
      </c>
      <c r="R829" s="241" t="s">
        <v>238</v>
      </c>
      <c r="S829" s="223">
        <v>800000</v>
      </c>
      <c r="T829" s="160">
        <v>16560</v>
      </c>
      <c r="U829" s="160">
        <v>0</v>
      </c>
      <c r="V829" s="160">
        <v>39011.25</v>
      </c>
      <c r="W829" s="160">
        <v>760988.75</v>
      </c>
      <c r="X829" s="161">
        <v>0</v>
      </c>
      <c r="Y829" s="160"/>
      <c r="Z829" s="16">
        <v>4.87</v>
      </c>
      <c r="AA829" s="162">
        <v>39011.25</v>
      </c>
      <c r="AB829" s="224">
        <v>9752.8125</v>
      </c>
      <c r="AC829" s="224">
        <v>117033.75</v>
      </c>
      <c r="AD829" s="223">
        <v>78022.5</v>
      </c>
      <c r="AE829" s="244">
        <v>800000</v>
      </c>
      <c r="AF829" s="220">
        <v>1.0469999999999999</v>
      </c>
      <c r="AG829" s="221">
        <v>1.046</v>
      </c>
      <c r="AH829" s="221">
        <v>1.046</v>
      </c>
      <c r="AI829" s="245">
        <v>878022.5</v>
      </c>
      <c r="AJ829" s="164">
        <f t="shared" si="100"/>
        <v>-78022.5</v>
      </c>
      <c r="AK829" s="246">
        <f>AE829</f>
        <v>800000</v>
      </c>
      <c r="AL829" s="246">
        <f t="shared" si="120"/>
        <v>800000</v>
      </c>
      <c r="AM829" s="246">
        <f t="shared" si="116"/>
        <v>836800</v>
      </c>
      <c r="AN829" s="246">
        <f t="shared" si="117"/>
        <v>875292.8</v>
      </c>
      <c r="AO829" s="241"/>
      <c r="AP829" s="247">
        <f t="shared" si="101"/>
        <v>0</v>
      </c>
      <c r="AR829" s="231"/>
      <c r="AS829" s="231"/>
      <c r="AU829" s="248">
        <v>800000</v>
      </c>
      <c r="AV829" s="249">
        <v>878022.5</v>
      </c>
      <c r="AW829" s="248">
        <f t="shared" si="98"/>
        <v>0</v>
      </c>
    </row>
    <row r="830" spans="1:49" s="222" customFormat="1" hidden="1" x14ac:dyDescent="0.3">
      <c r="A830" s="215" t="s">
        <v>239</v>
      </c>
      <c r="B830" s="216" t="s">
        <v>1637</v>
      </c>
      <c r="C830" s="216" t="s">
        <v>1638</v>
      </c>
      <c r="D830" s="340" t="s">
        <v>3476</v>
      </c>
      <c r="E830" s="217" t="s">
        <v>1085</v>
      </c>
      <c r="F830" s="217" t="s">
        <v>1524</v>
      </c>
      <c r="G830" s="217" t="s">
        <v>1078</v>
      </c>
      <c r="H830" s="217" t="s">
        <v>1194</v>
      </c>
      <c r="I830" s="217" t="s">
        <v>1199</v>
      </c>
      <c r="J830" s="217" t="s">
        <v>312</v>
      </c>
      <c r="K830" s="217" t="s">
        <v>1081</v>
      </c>
      <c r="L830" s="216" t="s">
        <v>1631</v>
      </c>
      <c r="M830" s="216" t="s">
        <v>305</v>
      </c>
      <c r="N830" s="216">
        <v>11</v>
      </c>
      <c r="O830" s="216" t="s">
        <v>1638</v>
      </c>
      <c r="P830" s="216" t="s">
        <v>1638</v>
      </c>
      <c r="Q830" s="216" t="s">
        <v>1637</v>
      </c>
      <c r="R830" s="215" t="s">
        <v>239</v>
      </c>
      <c r="S830" s="218">
        <v>1000000</v>
      </c>
      <c r="T830" s="160">
        <v>0</v>
      </c>
      <c r="U830" s="160">
        <v>0</v>
      </c>
      <c r="V830" s="160">
        <v>0</v>
      </c>
      <c r="W830" s="160">
        <v>1000000</v>
      </c>
      <c r="X830" s="161">
        <v>0</v>
      </c>
      <c r="Y830" s="160"/>
      <c r="Z830" s="16">
        <v>0</v>
      </c>
      <c r="AA830" s="162">
        <v>0</v>
      </c>
      <c r="AB830" s="162">
        <v>0</v>
      </c>
      <c r="AC830" s="162">
        <v>0</v>
      </c>
      <c r="AD830" s="160">
        <v>0</v>
      </c>
      <c r="AE830" s="219">
        <v>1000000</v>
      </c>
      <c r="AF830" s="220">
        <v>1.0469999999999999</v>
      </c>
      <c r="AG830" s="221">
        <v>1.046</v>
      </c>
      <c r="AH830" s="221">
        <v>1.046</v>
      </c>
      <c r="AI830" s="221">
        <v>1000000</v>
      </c>
      <c r="AJ830" s="164">
        <f t="shared" si="100"/>
        <v>0</v>
      </c>
      <c r="AK830" s="214">
        <v>1000000</v>
      </c>
      <c r="AL830" s="214">
        <f t="shared" si="120"/>
        <v>1000000</v>
      </c>
      <c r="AM830" s="214">
        <f t="shared" si="116"/>
        <v>1046000</v>
      </c>
      <c r="AN830" s="214">
        <f t="shared" si="117"/>
        <v>1094116</v>
      </c>
      <c r="AO830" s="16"/>
      <c r="AP830" s="231">
        <f t="shared" si="101"/>
        <v>0</v>
      </c>
      <c r="AQ830"/>
      <c r="AR830" s="231"/>
      <c r="AS830" s="231"/>
      <c r="AT830"/>
      <c r="AU830" s="230">
        <v>1000000</v>
      </c>
      <c r="AV830" s="233">
        <v>1000000</v>
      </c>
      <c r="AW830" s="230">
        <f t="shared" si="98"/>
        <v>0</v>
      </c>
    </row>
    <row r="831" spans="1:49" s="172" customFormat="1" x14ac:dyDescent="0.3">
      <c r="A831" s="166" t="s">
        <v>50</v>
      </c>
      <c r="B831" s="167" t="s">
        <v>1639</v>
      </c>
      <c r="C831" s="167" t="s">
        <v>302</v>
      </c>
      <c r="D831" s="412" t="s">
        <v>3477</v>
      </c>
      <c r="E831" s="168" t="s">
        <v>1085</v>
      </c>
      <c r="F831" s="168" t="s">
        <v>775</v>
      </c>
      <c r="G831" s="168" t="s">
        <v>309</v>
      </c>
      <c r="H831" s="168" t="s">
        <v>373</v>
      </c>
      <c r="I831" s="168" t="s">
        <v>374</v>
      </c>
      <c r="J831" s="168" t="s">
        <v>312</v>
      </c>
      <c r="K831" s="168" t="s">
        <v>1849</v>
      </c>
      <c r="L831" s="167" t="s">
        <v>304</v>
      </c>
      <c r="M831" s="167" t="s">
        <v>305</v>
      </c>
      <c r="N831" s="167">
        <v>11</v>
      </c>
      <c r="O831" s="167" t="s">
        <v>302</v>
      </c>
      <c r="P831" s="167" t="s">
        <v>302</v>
      </c>
      <c r="Q831" s="167" t="s">
        <v>1639</v>
      </c>
      <c r="R831" s="166" t="s">
        <v>50</v>
      </c>
      <c r="S831" s="169">
        <v>20503231</v>
      </c>
      <c r="T831" s="160">
        <v>1700626.95</v>
      </c>
      <c r="U831" s="160">
        <v>0</v>
      </c>
      <c r="V831" s="160">
        <v>6901602.7300000004</v>
      </c>
      <c r="W831" s="160">
        <v>13601628.27</v>
      </c>
      <c r="X831" s="161">
        <v>0</v>
      </c>
      <c r="Y831" s="160"/>
      <c r="Z831" s="16">
        <v>33.659999999999997</v>
      </c>
      <c r="AA831" s="162">
        <v>6901602.7300000004</v>
      </c>
      <c r="AB831" s="162">
        <v>1725400.6825000001</v>
      </c>
      <c r="AC831" s="162">
        <v>20704808.190000001</v>
      </c>
      <c r="AD831" s="160">
        <v>0</v>
      </c>
      <c r="AE831" s="145">
        <v>20503231</v>
      </c>
      <c r="AF831" s="163">
        <v>1.0529999999999999</v>
      </c>
      <c r="AG831" s="163">
        <v>1.0489999999999999</v>
      </c>
      <c r="AH831" s="163">
        <v>1.0469999999999999</v>
      </c>
      <c r="AI831" s="164">
        <v>20503231</v>
      </c>
      <c r="AJ831" s="164">
        <f t="shared" si="100"/>
        <v>0</v>
      </c>
      <c r="AK831" s="229">
        <v>20503231</v>
      </c>
      <c r="AL831" s="229">
        <f ca="1">SUMIF('MS &amp; Vacancies combined'!A:J,D831,'MS &amp; Vacancies combined'!J:J)*105.3/100</f>
        <v>19825480.436596338</v>
      </c>
      <c r="AM831" s="229">
        <f t="shared" ca="1" si="116"/>
        <v>20796928.977989558</v>
      </c>
      <c r="AN831" s="229">
        <f t="shared" ca="1" si="117"/>
        <v>21774384.639955066</v>
      </c>
      <c r="AO831" s="166"/>
      <c r="AP831" s="413">
        <f t="shared" ca="1" si="101"/>
        <v>677750.56340366229</v>
      </c>
      <c r="AR831" s="231"/>
      <c r="AS831" s="231"/>
      <c r="AU831" s="414">
        <v>20503231</v>
      </c>
      <c r="AV831" s="415">
        <v>20503231</v>
      </c>
      <c r="AW831" s="414">
        <f t="shared" si="98"/>
        <v>0</v>
      </c>
    </row>
    <row r="832" spans="1:49" s="172" customFormat="1" x14ac:dyDescent="0.3">
      <c r="A832" s="166" t="s">
        <v>52</v>
      </c>
      <c r="B832" s="167" t="s">
        <v>1640</v>
      </c>
      <c r="C832" s="167" t="s">
        <v>376</v>
      </c>
      <c r="D832" s="412" t="s">
        <v>3477</v>
      </c>
      <c r="E832" s="168" t="s">
        <v>1085</v>
      </c>
      <c r="F832" s="168" t="s">
        <v>775</v>
      </c>
      <c r="G832" s="168" t="s">
        <v>309</v>
      </c>
      <c r="H832" s="168" t="s">
        <v>373</v>
      </c>
      <c r="I832" s="168" t="s">
        <v>377</v>
      </c>
      <c r="J832" s="168" t="s">
        <v>312</v>
      </c>
      <c r="K832" s="168" t="s">
        <v>1849</v>
      </c>
      <c r="L832" s="167" t="s">
        <v>304</v>
      </c>
      <c r="M832" s="167" t="s">
        <v>305</v>
      </c>
      <c r="N832" s="167">
        <v>11</v>
      </c>
      <c r="O832" s="167" t="s">
        <v>376</v>
      </c>
      <c r="P832" s="167" t="s">
        <v>376</v>
      </c>
      <c r="Q832" s="167" t="s">
        <v>1640</v>
      </c>
      <c r="R832" s="166" t="s">
        <v>52</v>
      </c>
      <c r="S832" s="169">
        <v>88556</v>
      </c>
      <c r="T832" s="160">
        <v>8360</v>
      </c>
      <c r="U832" s="160">
        <v>0</v>
      </c>
      <c r="V832" s="160">
        <v>33440</v>
      </c>
      <c r="W832" s="160">
        <v>55116</v>
      </c>
      <c r="X832" s="161">
        <v>0</v>
      </c>
      <c r="Y832" s="160"/>
      <c r="Z832" s="16">
        <v>37.76</v>
      </c>
      <c r="AA832" s="162">
        <v>33440</v>
      </c>
      <c r="AB832" s="162">
        <v>8360</v>
      </c>
      <c r="AC832" s="162">
        <v>100320</v>
      </c>
      <c r="AD832" s="160">
        <v>0</v>
      </c>
      <c r="AE832" s="145">
        <v>88556</v>
      </c>
      <c r="AF832" s="163">
        <v>1.0529999999999999</v>
      </c>
      <c r="AG832" s="163">
        <v>1.0489999999999999</v>
      </c>
      <c r="AH832" s="163">
        <v>1.0469999999999999</v>
      </c>
      <c r="AI832" s="164">
        <v>88556</v>
      </c>
      <c r="AJ832" s="164">
        <f t="shared" si="100"/>
        <v>0</v>
      </c>
      <c r="AK832" s="229">
        <v>88556</v>
      </c>
      <c r="AL832" s="229">
        <f ca="1">SUMIF('MS &amp; Vacancies combined'!A:M,D832,'MS &amp; Vacancies combined'!M:M)*105.3/100</f>
        <v>91576.478772067741</v>
      </c>
      <c r="AM832" s="229">
        <f t="shared" ca="1" si="116"/>
        <v>96063.726231899054</v>
      </c>
      <c r="AN832" s="229">
        <f t="shared" ca="1" si="117"/>
        <v>100578.7213647983</v>
      </c>
      <c r="AO832" s="166"/>
      <c r="AP832" s="413">
        <f t="shared" ca="1" si="101"/>
        <v>-3020.4787720677414</v>
      </c>
      <c r="AR832" s="231"/>
      <c r="AS832" s="231"/>
      <c r="AU832" s="414">
        <v>88556</v>
      </c>
      <c r="AV832" s="415">
        <v>88556</v>
      </c>
      <c r="AW832" s="414">
        <f t="shared" si="98"/>
        <v>0</v>
      </c>
    </row>
    <row r="833" spans="1:49" s="172" customFormat="1" x14ac:dyDescent="0.3">
      <c r="A833" s="166" t="s">
        <v>54</v>
      </c>
      <c r="B833" s="167" t="s">
        <v>1641</v>
      </c>
      <c r="C833" s="167" t="s">
        <v>379</v>
      </c>
      <c r="D833" s="412" t="s">
        <v>3477</v>
      </c>
      <c r="E833" s="168" t="s">
        <v>1085</v>
      </c>
      <c r="F833" s="168" t="s">
        <v>775</v>
      </c>
      <c r="G833" s="168" t="s">
        <v>309</v>
      </c>
      <c r="H833" s="168" t="s">
        <v>373</v>
      </c>
      <c r="I833" s="168" t="s">
        <v>380</v>
      </c>
      <c r="J833" s="168" t="s">
        <v>312</v>
      </c>
      <c r="K833" s="168" t="s">
        <v>1849</v>
      </c>
      <c r="L833" s="167" t="s">
        <v>304</v>
      </c>
      <c r="M833" s="167" t="s">
        <v>305</v>
      </c>
      <c r="N833" s="167">
        <v>11</v>
      </c>
      <c r="O833" s="167" t="s">
        <v>379</v>
      </c>
      <c r="P833" s="167" t="s">
        <v>379</v>
      </c>
      <c r="Q833" s="167" t="s">
        <v>1641</v>
      </c>
      <c r="R833" s="166" t="s">
        <v>54</v>
      </c>
      <c r="S833" s="169">
        <v>1018893</v>
      </c>
      <c r="T833" s="160">
        <v>7082.39</v>
      </c>
      <c r="U833" s="160">
        <v>0</v>
      </c>
      <c r="V833" s="160">
        <v>28329.56</v>
      </c>
      <c r="W833" s="160">
        <v>990563.44</v>
      </c>
      <c r="X833" s="161">
        <v>0</v>
      </c>
      <c r="Y833" s="160"/>
      <c r="Z833" s="16">
        <v>2.78</v>
      </c>
      <c r="AA833" s="162">
        <v>28329.56</v>
      </c>
      <c r="AB833" s="162">
        <v>7082.39</v>
      </c>
      <c r="AC833" s="162">
        <v>84988.680000000008</v>
      </c>
      <c r="AD833" s="160">
        <v>0</v>
      </c>
      <c r="AE833" s="145">
        <v>1018893</v>
      </c>
      <c r="AF833" s="163">
        <v>1.0529999999999999</v>
      </c>
      <c r="AG833" s="163">
        <v>1.0489999999999999</v>
      </c>
      <c r="AH833" s="163">
        <v>1.0469999999999999</v>
      </c>
      <c r="AI833" s="164">
        <v>1018893</v>
      </c>
      <c r="AJ833" s="164">
        <f t="shared" si="100"/>
        <v>0</v>
      </c>
      <c r="AK833" s="229">
        <v>1018893</v>
      </c>
      <c r="AL833" s="229">
        <f ca="1">SUMIF('MS &amp; Vacancies combined'!A:L,D833,'MS &amp; Vacancies combined'!L:L)*105.3/100</f>
        <v>1001987.0717319698</v>
      </c>
      <c r="AM833" s="229">
        <f t="shared" ca="1" si="116"/>
        <v>1051084.4382468362</v>
      </c>
      <c r="AN833" s="229">
        <f t="shared" ca="1" si="117"/>
        <v>1100485.4068444374</v>
      </c>
      <c r="AO833" s="166"/>
      <c r="AP833" s="413">
        <f t="shared" ca="1" si="101"/>
        <v>16905.928268030169</v>
      </c>
      <c r="AR833" s="231"/>
      <c r="AS833" s="231"/>
      <c r="AU833" s="414">
        <v>1018893</v>
      </c>
      <c r="AV833" s="415">
        <v>1018893</v>
      </c>
      <c r="AW833" s="414">
        <f t="shared" si="98"/>
        <v>0</v>
      </c>
    </row>
    <row r="834" spans="1:49" x14ac:dyDescent="0.3">
      <c r="A834" s="16" t="s">
        <v>55</v>
      </c>
      <c r="B834" s="39" t="s">
        <v>1642</v>
      </c>
      <c r="C834" s="39" t="s">
        <v>382</v>
      </c>
      <c r="D834" s="340" t="s">
        <v>3477</v>
      </c>
      <c r="E834" s="159" t="s">
        <v>1085</v>
      </c>
      <c r="F834" s="159" t="s">
        <v>775</v>
      </c>
      <c r="G834" s="159" t="s">
        <v>309</v>
      </c>
      <c r="H834" s="159" t="s">
        <v>373</v>
      </c>
      <c r="I834" s="159" t="s">
        <v>383</v>
      </c>
      <c r="J834" s="159" t="s">
        <v>312</v>
      </c>
      <c r="K834" s="159" t="s">
        <v>1849</v>
      </c>
      <c r="L834" s="39" t="s">
        <v>304</v>
      </c>
      <c r="M834" s="39" t="s">
        <v>305</v>
      </c>
      <c r="N834" s="39">
        <v>11</v>
      </c>
      <c r="O834" s="39" t="s">
        <v>382</v>
      </c>
      <c r="P834" s="39" t="s">
        <v>382</v>
      </c>
      <c r="Q834" s="39" t="s">
        <v>1642</v>
      </c>
      <c r="R834" s="16" t="s">
        <v>55</v>
      </c>
      <c r="S834" s="169">
        <v>0</v>
      </c>
      <c r="T834" s="160">
        <v>0</v>
      </c>
      <c r="U834" s="160">
        <v>0</v>
      </c>
      <c r="V834" s="160">
        <v>0</v>
      </c>
      <c r="W834" s="160">
        <v>0</v>
      </c>
      <c r="X834" s="161">
        <v>0</v>
      </c>
      <c r="Y834" s="160"/>
      <c r="Z834" s="16">
        <v>0</v>
      </c>
      <c r="AA834" s="162">
        <v>0</v>
      </c>
      <c r="AB834" s="162">
        <v>0</v>
      </c>
      <c r="AC834" s="162">
        <v>0</v>
      </c>
      <c r="AD834" s="160">
        <v>0</v>
      </c>
      <c r="AE834" s="145">
        <v>0</v>
      </c>
      <c r="AF834" s="163">
        <v>1.0469999999999999</v>
      </c>
      <c r="AG834" s="164">
        <v>1.046</v>
      </c>
      <c r="AH834" s="164">
        <v>1.046</v>
      </c>
      <c r="AI834" s="164">
        <v>0</v>
      </c>
      <c r="AJ834" s="164">
        <f t="shared" si="100"/>
        <v>0</v>
      </c>
      <c r="AK834" s="165">
        <v>0</v>
      </c>
      <c r="AL834" s="165">
        <v>0</v>
      </c>
      <c r="AM834" s="165">
        <f t="shared" si="116"/>
        <v>0</v>
      </c>
      <c r="AN834" s="165">
        <f t="shared" si="117"/>
        <v>0</v>
      </c>
      <c r="AO834" s="16"/>
      <c r="AP834" s="231">
        <f t="shared" si="101"/>
        <v>0</v>
      </c>
      <c r="AR834" s="231"/>
      <c r="AS834" s="231"/>
      <c r="AU834" s="230">
        <v>0</v>
      </c>
      <c r="AV834" s="233">
        <v>0</v>
      </c>
      <c r="AW834" s="230">
        <f t="shared" ref="AW834:AW897" si="121">AU834-S834</f>
        <v>0</v>
      </c>
    </row>
    <row r="835" spans="1:49" s="172" customFormat="1" x14ac:dyDescent="0.3">
      <c r="A835" s="166" t="s">
        <v>56</v>
      </c>
      <c r="B835" s="167" t="s">
        <v>1643</v>
      </c>
      <c r="C835" s="167" t="s">
        <v>385</v>
      </c>
      <c r="D835" s="412" t="s">
        <v>3477</v>
      </c>
      <c r="E835" s="168" t="s">
        <v>1085</v>
      </c>
      <c r="F835" s="168" t="s">
        <v>775</v>
      </c>
      <c r="G835" s="168" t="s">
        <v>309</v>
      </c>
      <c r="H835" s="168" t="s">
        <v>373</v>
      </c>
      <c r="I835" s="168" t="s">
        <v>386</v>
      </c>
      <c r="J835" s="168" t="s">
        <v>387</v>
      </c>
      <c r="K835" s="168" t="s">
        <v>1849</v>
      </c>
      <c r="L835" s="167" t="s">
        <v>304</v>
      </c>
      <c r="M835" s="167" t="s">
        <v>305</v>
      </c>
      <c r="N835" s="167">
        <v>11</v>
      </c>
      <c r="O835" s="167" t="s">
        <v>385</v>
      </c>
      <c r="P835" s="167" t="s">
        <v>385</v>
      </c>
      <c r="Q835" s="167" t="s">
        <v>1643</v>
      </c>
      <c r="R835" s="166" t="s">
        <v>56</v>
      </c>
      <c r="S835" s="169">
        <v>27849</v>
      </c>
      <c r="T835" s="160">
        <v>66554.53</v>
      </c>
      <c r="U835" s="160">
        <v>0</v>
      </c>
      <c r="V835" s="160">
        <v>294529.63</v>
      </c>
      <c r="W835" s="160">
        <v>-266680.63</v>
      </c>
      <c r="X835" s="161">
        <v>0</v>
      </c>
      <c r="Y835" s="160"/>
      <c r="Z835" s="16">
        <v>999.99</v>
      </c>
      <c r="AA835" s="162">
        <v>294529.63</v>
      </c>
      <c r="AB835" s="162">
        <v>73632.407500000001</v>
      </c>
      <c r="AC835" s="162">
        <v>883588.89</v>
      </c>
      <c r="AD835" s="160"/>
      <c r="AE835" s="145">
        <v>27849</v>
      </c>
      <c r="AF835" s="163">
        <v>1.0529999999999999</v>
      </c>
      <c r="AG835" s="163">
        <v>1.0489999999999999</v>
      </c>
      <c r="AH835" s="163">
        <v>1.0469999999999999</v>
      </c>
      <c r="AI835" s="164">
        <v>27849</v>
      </c>
      <c r="AJ835" s="164">
        <f t="shared" si="100"/>
        <v>0</v>
      </c>
      <c r="AK835" s="229">
        <v>27849</v>
      </c>
      <c r="AL835" s="229">
        <f ca="1">SUMIF('MS &amp; Vacancies combined'!A:O,D835,'MS &amp; Vacancies combined'!O:O)*105.3/100</f>
        <v>320491.46106136724</v>
      </c>
      <c r="AM835" s="229">
        <f ca="1">AL835*AG835</f>
        <v>336195.5426533742</v>
      </c>
      <c r="AN835" s="229">
        <f ca="1">AM835*AH835</f>
        <v>351996.73315808276</v>
      </c>
      <c r="AO835" s="166"/>
      <c r="AP835" s="413">
        <f t="shared" ca="1" si="101"/>
        <v>-292642.46106136724</v>
      </c>
      <c r="AR835" s="231"/>
      <c r="AS835" s="231"/>
      <c r="AU835" s="414">
        <v>27849</v>
      </c>
      <c r="AV835" s="415">
        <v>27849</v>
      </c>
      <c r="AW835" s="414">
        <f t="shared" si="121"/>
        <v>0</v>
      </c>
    </row>
    <row r="836" spans="1:49" x14ac:dyDescent="0.3">
      <c r="A836" s="16" t="s">
        <v>58</v>
      </c>
      <c r="B836" s="39" t="s">
        <v>1644</v>
      </c>
      <c r="C836" s="39" t="s">
        <v>594</v>
      </c>
      <c r="D836" s="340" t="s">
        <v>3477</v>
      </c>
      <c r="E836" s="159" t="s">
        <v>1085</v>
      </c>
      <c r="F836" s="159" t="s">
        <v>775</v>
      </c>
      <c r="G836" s="159" t="s">
        <v>309</v>
      </c>
      <c r="H836" s="159" t="s">
        <v>373</v>
      </c>
      <c r="I836" s="159" t="s">
        <v>595</v>
      </c>
      <c r="J836" s="159" t="s">
        <v>312</v>
      </c>
      <c r="K836" s="159" t="s">
        <v>1849</v>
      </c>
      <c r="L836" s="39" t="s">
        <v>304</v>
      </c>
      <c r="M836" s="39" t="s">
        <v>305</v>
      </c>
      <c r="N836" s="39">
        <v>11</v>
      </c>
      <c r="O836" s="39" t="s">
        <v>594</v>
      </c>
      <c r="P836" s="39" t="s">
        <v>594</v>
      </c>
      <c r="Q836" s="39" t="s">
        <v>1644</v>
      </c>
      <c r="R836" s="16" t="s">
        <v>58</v>
      </c>
      <c r="S836" s="169">
        <v>0</v>
      </c>
      <c r="T836" s="160">
        <v>0</v>
      </c>
      <c r="U836" s="160">
        <v>0</v>
      </c>
      <c r="V836" s="160">
        <v>0</v>
      </c>
      <c r="W836" s="160">
        <v>0</v>
      </c>
      <c r="X836" s="161">
        <v>0</v>
      </c>
      <c r="Y836" s="160"/>
      <c r="Z836" s="16">
        <v>0</v>
      </c>
      <c r="AA836" s="162">
        <v>0</v>
      </c>
      <c r="AB836" s="162">
        <v>0</v>
      </c>
      <c r="AC836" s="162">
        <v>0</v>
      </c>
      <c r="AD836" s="160"/>
      <c r="AE836" s="145">
        <v>0</v>
      </c>
      <c r="AF836" s="163">
        <v>1.0469999999999999</v>
      </c>
      <c r="AG836" s="164">
        <v>1.046</v>
      </c>
      <c r="AH836" s="164">
        <v>1.046</v>
      </c>
      <c r="AI836" s="164">
        <v>0</v>
      </c>
      <c r="AJ836" s="164">
        <f t="shared" si="100"/>
        <v>0</v>
      </c>
      <c r="AK836" s="165">
        <v>0</v>
      </c>
      <c r="AL836" s="165">
        <v>0</v>
      </c>
      <c r="AM836" s="165">
        <f t="shared" si="116"/>
        <v>0</v>
      </c>
      <c r="AN836" s="165">
        <f t="shared" si="117"/>
        <v>0</v>
      </c>
      <c r="AO836" s="16"/>
      <c r="AP836" s="231">
        <f t="shared" si="101"/>
        <v>0</v>
      </c>
      <c r="AR836" s="231"/>
      <c r="AS836" s="231"/>
      <c r="AU836" s="230">
        <v>0</v>
      </c>
      <c r="AV836" s="233">
        <v>0</v>
      </c>
      <c r="AW836" s="230">
        <f t="shared" si="121"/>
        <v>0</v>
      </c>
    </row>
    <row r="837" spans="1:49" x14ac:dyDescent="0.3">
      <c r="A837" s="16" t="s">
        <v>57</v>
      </c>
      <c r="B837" s="39" t="s">
        <v>1645</v>
      </c>
      <c r="C837" s="39" t="s">
        <v>389</v>
      </c>
      <c r="D837" s="340" t="s">
        <v>3477</v>
      </c>
      <c r="E837" s="159" t="s">
        <v>1085</v>
      </c>
      <c r="F837" s="159" t="s">
        <v>775</v>
      </c>
      <c r="G837" s="159" t="s">
        <v>309</v>
      </c>
      <c r="H837" s="159" t="s">
        <v>373</v>
      </c>
      <c r="I837" s="159" t="s">
        <v>390</v>
      </c>
      <c r="J837" s="159" t="s">
        <v>312</v>
      </c>
      <c r="K837" s="159" t="s">
        <v>1849</v>
      </c>
      <c r="L837" s="39" t="s">
        <v>304</v>
      </c>
      <c r="M837" s="39" t="s">
        <v>305</v>
      </c>
      <c r="N837" s="39">
        <v>11</v>
      </c>
      <c r="O837" s="39" t="s">
        <v>389</v>
      </c>
      <c r="P837" s="39" t="s">
        <v>389</v>
      </c>
      <c r="Q837" s="39" t="s">
        <v>1645</v>
      </c>
      <c r="R837" s="16" t="s">
        <v>57</v>
      </c>
      <c r="S837" s="169">
        <v>3553282</v>
      </c>
      <c r="T837" s="160">
        <v>415858.42</v>
      </c>
      <c r="U837" s="160">
        <v>0</v>
      </c>
      <c r="V837" s="160">
        <v>1472650.75</v>
      </c>
      <c r="W837" s="160">
        <v>2080631.25</v>
      </c>
      <c r="X837" s="161">
        <v>0</v>
      </c>
      <c r="Y837" s="160"/>
      <c r="Z837" s="16">
        <v>41.44</v>
      </c>
      <c r="AA837" s="162">
        <v>1472650.75</v>
      </c>
      <c r="AB837" s="162">
        <v>368162.6875</v>
      </c>
      <c r="AC837" s="162">
        <v>4417952.25</v>
      </c>
      <c r="AD837" s="160"/>
      <c r="AE837" s="145">
        <v>3553282</v>
      </c>
      <c r="AF837" s="421">
        <v>1.0529999999999999</v>
      </c>
      <c r="AG837" s="421">
        <v>1.0489999999999999</v>
      </c>
      <c r="AH837" s="421">
        <v>1.0469999999999999</v>
      </c>
      <c r="AI837" s="164">
        <v>3553282</v>
      </c>
      <c r="AJ837" s="164">
        <f t="shared" si="100"/>
        <v>0</v>
      </c>
      <c r="AK837" s="165">
        <v>3553282</v>
      </c>
      <c r="AL837" s="165">
        <f>AK837*80%</f>
        <v>2842625.6</v>
      </c>
      <c r="AM837" s="165">
        <f t="shared" si="116"/>
        <v>2981914.2544</v>
      </c>
      <c r="AN837" s="165">
        <f t="shared" si="117"/>
        <v>3122064.2243567999</v>
      </c>
      <c r="AO837" s="16"/>
      <c r="AP837" s="231">
        <f t="shared" si="101"/>
        <v>710656.39999999991</v>
      </c>
      <c r="AR837" s="231"/>
      <c r="AS837" s="231"/>
      <c r="AU837" s="230">
        <v>3553282</v>
      </c>
      <c r="AV837" s="233">
        <v>3553282</v>
      </c>
      <c r="AW837" s="230">
        <f t="shared" si="121"/>
        <v>0</v>
      </c>
    </row>
    <row r="838" spans="1:49" x14ac:dyDescent="0.3">
      <c r="A838" s="16" t="s">
        <v>59</v>
      </c>
      <c r="B838" s="39" t="s">
        <v>1646</v>
      </c>
      <c r="C838" s="39" t="s">
        <v>855</v>
      </c>
      <c r="D838" s="340" t="s">
        <v>3477</v>
      </c>
      <c r="E838" s="159" t="s">
        <v>1085</v>
      </c>
      <c r="F838" s="159" t="s">
        <v>775</v>
      </c>
      <c r="G838" s="159" t="s">
        <v>309</v>
      </c>
      <c r="H838" s="159" t="s">
        <v>373</v>
      </c>
      <c r="I838" s="159" t="s">
        <v>311</v>
      </c>
      <c r="J838" s="159" t="s">
        <v>312</v>
      </c>
      <c r="K838" s="159" t="s">
        <v>1849</v>
      </c>
      <c r="L838" s="39" t="s">
        <v>304</v>
      </c>
      <c r="M838" s="39" t="s">
        <v>305</v>
      </c>
      <c r="N838" s="39">
        <v>11</v>
      </c>
      <c r="O838" s="39" t="s">
        <v>855</v>
      </c>
      <c r="P838" s="39" t="s">
        <v>855</v>
      </c>
      <c r="Q838" s="39" t="s">
        <v>1646</v>
      </c>
      <c r="R838" s="16" t="s">
        <v>59</v>
      </c>
      <c r="S838" s="169">
        <v>300405</v>
      </c>
      <c r="T838" s="160">
        <v>50928.18</v>
      </c>
      <c r="U838" s="160">
        <v>0</v>
      </c>
      <c r="V838" s="160">
        <v>203587.68</v>
      </c>
      <c r="W838" s="160">
        <v>96817.32</v>
      </c>
      <c r="X838" s="161">
        <v>0</v>
      </c>
      <c r="Y838" s="160"/>
      <c r="Z838" s="16">
        <v>67.77</v>
      </c>
      <c r="AA838" s="162">
        <v>203587.68</v>
      </c>
      <c r="AB838" s="162">
        <v>50896.92</v>
      </c>
      <c r="AC838" s="162">
        <v>610763.04</v>
      </c>
      <c r="AD838" s="160"/>
      <c r="AE838" s="145">
        <v>300405</v>
      </c>
      <c r="AF838" s="421">
        <v>1.0529999999999999</v>
      </c>
      <c r="AG838" s="421">
        <v>1.0489999999999999</v>
      </c>
      <c r="AH838" s="421">
        <v>1.0469999999999999</v>
      </c>
      <c r="AI838" s="164">
        <v>300405</v>
      </c>
      <c r="AJ838" s="164">
        <f t="shared" si="100"/>
        <v>0</v>
      </c>
      <c r="AK838" s="165">
        <v>300405</v>
      </c>
      <c r="AL838" s="165">
        <f>AK838*AF838</f>
        <v>316326.46499999997</v>
      </c>
      <c r="AM838" s="165">
        <f t="shared" si="116"/>
        <v>331826.46178499993</v>
      </c>
      <c r="AN838" s="165">
        <f t="shared" si="117"/>
        <v>347422.30548889493</v>
      </c>
      <c r="AO838" s="16"/>
      <c r="AP838" s="231">
        <f t="shared" si="101"/>
        <v>-15921.464999999967</v>
      </c>
      <c r="AR838" s="231"/>
      <c r="AS838" s="231"/>
      <c r="AU838" s="230">
        <v>300405</v>
      </c>
      <c r="AV838" s="233">
        <v>300405</v>
      </c>
      <c r="AW838" s="230">
        <f t="shared" si="121"/>
        <v>0</v>
      </c>
    </row>
    <row r="839" spans="1:49" x14ac:dyDescent="0.3">
      <c r="A839" s="16" t="s">
        <v>60</v>
      </c>
      <c r="B839" s="39" t="s">
        <v>1647</v>
      </c>
      <c r="C839" s="39" t="s">
        <v>392</v>
      </c>
      <c r="D839" s="340" t="s">
        <v>3477</v>
      </c>
      <c r="E839" s="159" t="s">
        <v>1085</v>
      </c>
      <c r="F839" s="159" t="s">
        <v>775</v>
      </c>
      <c r="G839" s="159" t="s">
        <v>309</v>
      </c>
      <c r="H839" s="159" t="s">
        <v>373</v>
      </c>
      <c r="I839" s="159" t="s">
        <v>393</v>
      </c>
      <c r="J839" s="159" t="s">
        <v>312</v>
      </c>
      <c r="K839" s="159" t="s">
        <v>1849</v>
      </c>
      <c r="L839" s="39" t="s">
        <v>304</v>
      </c>
      <c r="M839" s="39" t="s">
        <v>305</v>
      </c>
      <c r="N839" s="39">
        <v>11</v>
      </c>
      <c r="O839" s="39" t="s">
        <v>392</v>
      </c>
      <c r="P839" s="39" t="s">
        <v>392</v>
      </c>
      <c r="Q839" s="39" t="s">
        <v>1647</v>
      </c>
      <c r="R839" s="16" t="s">
        <v>60</v>
      </c>
      <c r="S839" s="169">
        <v>311031</v>
      </c>
      <c r="T839" s="160">
        <v>24009.68</v>
      </c>
      <c r="U839" s="160">
        <v>0</v>
      </c>
      <c r="V839" s="160">
        <v>85788.32</v>
      </c>
      <c r="W839" s="160">
        <v>225242.68</v>
      </c>
      <c r="X839" s="161">
        <v>0</v>
      </c>
      <c r="Y839" s="160"/>
      <c r="Z839" s="16">
        <v>27.58</v>
      </c>
      <c r="AA839" s="162">
        <v>85788.32</v>
      </c>
      <c r="AB839" s="162">
        <v>21447.08</v>
      </c>
      <c r="AC839" s="162">
        <v>257364.96000000002</v>
      </c>
      <c r="AD839" s="160"/>
      <c r="AE839" s="145">
        <v>311031</v>
      </c>
      <c r="AF839" s="421">
        <v>1.0529999999999999</v>
      </c>
      <c r="AG839" s="421">
        <v>1.0489999999999999</v>
      </c>
      <c r="AH839" s="421">
        <v>1.0469999999999999</v>
      </c>
      <c r="AI839" s="164">
        <v>311031</v>
      </c>
      <c r="AJ839" s="164">
        <f t="shared" ref="AJ839:AJ902" si="122">AE839-AI839</f>
        <v>0</v>
      </c>
      <c r="AK839" s="165">
        <v>311031</v>
      </c>
      <c r="AL839" s="165">
        <f>AK839*AF839</f>
        <v>327515.64299999998</v>
      </c>
      <c r="AM839" s="165">
        <f t="shared" si="116"/>
        <v>343563.90950699995</v>
      </c>
      <c r="AN839" s="165">
        <f t="shared" si="117"/>
        <v>359711.41325382894</v>
      </c>
      <c r="AO839" s="16"/>
      <c r="AP839" s="231">
        <f t="shared" ref="AP839:AP902" si="123">AK839-AL839</f>
        <v>-16484.642999999982</v>
      </c>
      <c r="AR839" s="231"/>
      <c r="AS839" s="231"/>
      <c r="AU839" s="230">
        <v>311031</v>
      </c>
      <c r="AV839" s="233">
        <v>311031</v>
      </c>
      <c r="AW839" s="230">
        <f t="shared" si="121"/>
        <v>0</v>
      </c>
    </row>
    <row r="840" spans="1:49" x14ac:dyDescent="0.3">
      <c r="A840" s="16" t="s">
        <v>61</v>
      </c>
      <c r="B840" s="39" t="s">
        <v>1648</v>
      </c>
      <c r="C840" s="39" t="s">
        <v>460</v>
      </c>
      <c r="D840" s="340" t="s">
        <v>3477</v>
      </c>
      <c r="E840" s="159" t="s">
        <v>1085</v>
      </c>
      <c r="F840" s="159" t="s">
        <v>775</v>
      </c>
      <c r="G840" s="159" t="s">
        <v>309</v>
      </c>
      <c r="H840" s="159" t="s">
        <v>373</v>
      </c>
      <c r="I840" s="159" t="s">
        <v>461</v>
      </c>
      <c r="J840" s="159" t="s">
        <v>312</v>
      </c>
      <c r="K840" s="159" t="s">
        <v>1849</v>
      </c>
      <c r="L840" s="39" t="s">
        <v>304</v>
      </c>
      <c r="M840" s="39" t="s">
        <v>305</v>
      </c>
      <c r="N840" s="39">
        <v>11</v>
      </c>
      <c r="O840" s="39" t="s">
        <v>460</v>
      </c>
      <c r="P840" s="39" t="s">
        <v>460</v>
      </c>
      <c r="Q840" s="39" t="s">
        <v>1648</v>
      </c>
      <c r="R840" s="16" t="s">
        <v>61</v>
      </c>
      <c r="S840" s="169">
        <v>0</v>
      </c>
      <c r="T840" s="160">
        <v>4563</v>
      </c>
      <c r="U840" s="160">
        <v>0</v>
      </c>
      <c r="V840" s="160">
        <v>35292</v>
      </c>
      <c r="W840" s="160">
        <v>-35292</v>
      </c>
      <c r="X840" s="161">
        <v>0</v>
      </c>
      <c r="Y840" s="160"/>
      <c r="Z840" s="16">
        <v>0</v>
      </c>
      <c r="AA840" s="162">
        <v>35292</v>
      </c>
      <c r="AB840" s="162">
        <v>8823</v>
      </c>
      <c r="AC840" s="162">
        <v>105876</v>
      </c>
      <c r="AD840" s="160"/>
      <c r="AE840" s="145">
        <v>0</v>
      </c>
      <c r="AF840" s="163">
        <v>1.0469999999999999</v>
      </c>
      <c r="AG840" s="164">
        <v>1.046</v>
      </c>
      <c r="AH840" s="164">
        <v>1.046</v>
      </c>
      <c r="AI840" s="164">
        <v>0</v>
      </c>
      <c r="AJ840" s="164">
        <f t="shared" si="122"/>
        <v>0</v>
      </c>
      <c r="AK840" s="165">
        <v>0</v>
      </c>
      <c r="AL840" s="165">
        <v>0</v>
      </c>
      <c r="AM840" s="165">
        <f t="shared" si="116"/>
        <v>0</v>
      </c>
      <c r="AN840" s="165">
        <f t="shared" si="117"/>
        <v>0</v>
      </c>
      <c r="AO840" s="16"/>
      <c r="AP840" s="231">
        <f t="shared" si="123"/>
        <v>0</v>
      </c>
      <c r="AR840" s="231"/>
      <c r="AS840" s="231"/>
      <c r="AU840" s="230">
        <v>0</v>
      </c>
      <c r="AV840" s="233">
        <v>0</v>
      </c>
      <c r="AW840" s="230">
        <f t="shared" si="121"/>
        <v>0</v>
      </c>
    </row>
    <row r="841" spans="1:49" s="172" customFormat="1" x14ac:dyDescent="0.3">
      <c r="A841" s="166" t="s">
        <v>62</v>
      </c>
      <c r="B841" s="167" t="s">
        <v>1649</v>
      </c>
      <c r="C841" s="167" t="s">
        <v>395</v>
      </c>
      <c r="D841" s="412" t="s">
        <v>3477</v>
      </c>
      <c r="E841" s="168" t="s">
        <v>1085</v>
      </c>
      <c r="F841" s="168" t="s">
        <v>775</v>
      </c>
      <c r="G841" s="168" t="s">
        <v>309</v>
      </c>
      <c r="H841" s="168" t="s">
        <v>373</v>
      </c>
      <c r="I841" s="168" t="s">
        <v>396</v>
      </c>
      <c r="J841" s="168" t="s">
        <v>312</v>
      </c>
      <c r="K841" s="168" t="s">
        <v>1849</v>
      </c>
      <c r="L841" s="167" t="s">
        <v>304</v>
      </c>
      <c r="M841" s="167" t="s">
        <v>305</v>
      </c>
      <c r="N841" s="167">
        <v>11</v>
      </c>
      <c r="O841" s="167" t="s">
        <v>395</v>
      </c>
      <c r="P841" s="167" t="s">
        <v>395</v>
      </c>
      <c r="Q841" s="167" t="s">
        <v>1649</v>
      </c>
      <c r="R841" s="166" t="s">
        <v>62</v>
      </c>
      <c r="S841" s="169">
        <v>1708603</v>
      </c>
      <c r="T841" s="160">
        <v>284576</v>
      </c>
      <c r="U841" s="160">
        <v>0</v>
      </c>
      <c r="V841" s="160">
        <v>732898</v>
      </c>
      <c r="W841" s="160">
        <v>975705</v>
      </c>
      <c r="X841" s="161">
        <v>0</v>
      </c>
      <c r="Y841" s="160"/>
      <c r="Z841" s="16">
        <v>42.89</v>
      </c>
      <c r="AA841" s="162">
        <v>732898</v>
      </c>
      <c r="AB841" s="162">
        <v>183224.5</v>
      </c>
      <c r="AC841" s="162">
        <v>2198694</v>
      </c>
      <c r="AD841" s="160"/>
      <c r="AE841" s="145">
        <v>1708603</v>
      </c>
      <c r="AF841" s="163">
        <v>1.0529999999999999</v>
      </c>
      <c r="AG841" s="163">
        <v>1.0489999999999999</v>
      </c>
      <c r="AH841" s="163">
        <v>1.0469999999999999</v>
      </c>
      <c r="AI841" s="164">
        <v>1708603</v>
      </c>
      <c r="AJ841" s="164">
        <f t="shared" si="122"/>
        <v>0</v>
      </c>
      <c r="AK841" s="229">
        <v>1708603</v>
      </c>
      <c r="AL841" s="229">
        <f ca="1">SUMIF('MS &amp; Vacancies combined'!A:K,D841,'MS &amp; Vacancies combined'!K:K)*105.3/100</f>
        <v>1537030.4162587703</v>
      </c>
      <c r="AM841" s="229">
        <f ca="1">AL841*AG841</f>
        <v>1612344.9066554499</v>
      </c>
      <c r="AN841" s="229">
        <f ca="1">AM841*AH841</f>
        <v>1688125.1172682559</v>
      </c>
      <c r="AO841" s="166"/>
      <c r="AP841" s="413">
        <f t="shared" ca="1" si="123"/>
        <v>171572.58374122973</v>
      </c>
      <c r="AR841" s="231"/>
      <c r="AS841" s="231"/>
      <c r="AU841" s="414">
        <v>1708603</v>
      </c>
      <c r="AV841" s="415">
        <v>1708603</v>
      </c>
      <c r="AW841" s="414">
        <f t="shared" si="121"/>
        <v>0</v>
      </c>
    </row>
    <row r="842" spans="1:49" x14ac:dyDescent="0.3">
      <c r="A842" s="16" t="s">
        <v>63</v>
      </c>
      <c r="B842" s="39" t="s">
        <v>1650</v>
      </c>
      <c r="C842" s="39" t="s">
        <v>860</v>
      </c>
      <c r="D842" s="340" t="s">
        <v>3477</v>
      </c>
      <c r="E842" s="159" t="s">
        <v>1085</v>
      </c>
      <c r="F842" s="159" t="s">
        <v>775</v>
      </c>
      <c r="G842" s="159" t="s">
        <v>309</v>
      </c>
      <c r="H842" s="159" t="s">
        <v>373</v>
      </c>
      <c r="I842" s="159" t="s">
        <v>861</v>
      </c>
      <c r="J842" s="159" t="s">
        <v>312</v>
      </c>
      <c r="K842" s="159" t="s">
        <v>1849</v>
      </c>
      <c r="L842" s="39" t="s">
        <v>304</v>
      </c>
      <c r="M842" s="39" t="s">
        <v>305</v>
      </c>
      <c r="N842" s="39">
        <v>11</v>
      </c>
      <c r="O842" s="39" t="s">
        <v>860</v>
      </c>
      <c r="P842" s="39" t="s">
        <v>860</v>
      </c>
      <c r="Q842" s="39" t="s">
        <v>1650</v>
      </c>
      <c r="R842" s="16" t="s">
        <v>63</v>
      </c>
      <c r="S842" s="169">
        <v>0</v>
      </c>
      <c r="T842" s="160">
        <v>0</v>
      </c>
      <c r="U842" s="160">
        <v>0</v>
      </c>
      <c r="V842" s="160">
        <v>0</v>
      </c>
      <c r="W842" s="160">
        <v>0</v>
      </c>
      <c r="X842" s="161">
        <v>0</v>
      </c>
      <c r="Y842" s="160"/>
      <c r="Z842" s="16">
        <v>0</v>
      </c>
      <c r="AA842" s="162">
        <v>0</v>
      </c>
      <c r="AB842" s="162">
        <v>0</v>
      </c>
      <c r="AC842" s="162">
        <v>0</v>
      </c>
      <c r="AD842" s="160"/>
      <c r="AE842" s="145">
        <v>0</v>
      </c>
      <c r="AF842" s="163">
        <v>1.0469999999999999</v>
      </c>
      <c r="AG842" s="164">
        <v>1.046</v>
      </c>
      <c r="AH842" s="164">
        <v>1.046</v>
      </c>
      <c r="AI842" s="164">
        <v>0</v>
      </c>
      <c r="AJ842" s="164">
        <f t="shared" si="122"/>
        <v>0</v>
      </c>
      <c r="AK842" s="165">
        <v>0</v>
      </c>
      <c r="AL842" s="165">
        <v>0</v>
      </c>
      <c r="AM842" s="165">
        <f t="shared" si="116"/>
        <v>0</v>
      </c>
      <c r="AN842" s="165">
        <f t="shared" si="117"/>
        <v>0</v>
      </c>
      <c r="AO842" s="16"/>
      <c r="AP842" s="231">
        <f t="shared" si="123"/>
        <v>0</v>
      </c>
      <c r="AR842" s="231"/>
      <c r="AS842" s="231"/>
      <c r="AU842" s="230">
        <v>0</v>
      </c>
      <c r="AV842" s="233">
        <v>0</v>
      </c>
      <c r="AW842" s="230">
        <f t="shared" si="121"/>
        <v>0</v>
      </c>
    </row>
    <row r="843" spans="1:49" x14ac:dyDescent="0.3">
      <c r="A843" s="16" t="s">
        <v>64</v>
      </c>
      <c r="B843" s="39" t="s">
        <v>1651</v>
      </c>
      <c r="C843" s="39" t="s">
        <v>464</v>
      </c>
      <c r="D843" s="340" t="s">
        <v>3477</v>
      </c>
      <c r="E843" s="159" t="s">
        <v>1085</v>
      </c>
      <c r="F843" s="159" t="s">
        <v>775</v>
      </c>
      <c r="G843" s="159" t="s">
        <v>309</v>
      </c>
      <c r="H843" s="159" t="s">
        <v>373</v>
      </c>
      <c r="I843" s="159" t="s">
        <v>465</v>
      </c>
      <c r="J843" s="159" t="s">
        <v>312</v>
      </c>
      <c r="K843" s="159" t="s">
        <v>1849</v>
      </c>
      <c r="L843" s="39" t="s">
        <v>304</v>
      </c>
      <c r="M843" s="39" t="s">
        <v>305</v>
      </c>
      <c r="N843" s="39">
        <v>11</v>
      </c>
      <c r="O843" s="39" t="s">
        <v>464</v>
      </c>
      <c r="P843" s="39" t="s">
        <v>464</v>
      </c>
      <c r="Q843" s="39" t="s">
        <v>1651</v>
      </c>
      <c r="R843" s="16" t="s">
        <v>64</v>
      </c>
      <c r="S843" s="169">
        <v>1471286</v>
      </c>
      <c r="T843" s="160">
        <v>152344.28</v>
      </c>
      <c r="U843" s="160">
        <v>0</v>
      </c>
      <c r="V843" s="160">
        <v>618689.81999999995</v>
      </c>
      <c r="W843" s="160">
        <v>852596.18</v>
      </c>
      <c r="X843" s="161">
        <v>0</v>
      </c>
      <c r="Y843" s="160"/>
      <c r="Z843" s="16">
        <v>42.05</v>
      </c>
      <c r="AA843" s="162">
        <v>618689.81999999995</v>
      </c>
      <c r="AB843" s="162">
        <v>154672.45499999999</v>
      </c>
      <c r="AC843" s="162">
        <v>1856069.46</v>
      </c>
      <c r="AD843" s="160"/>
      <c r="AE843" s="145">
        <v>1471286</v>
      </c>
      <c r="AF843" s="421">
        <v>1.0529999999999999</v>
      </c>
      <c r="AG843" s="421">
        <v>1.0489999999999999</v>
      </c>
      <c r="AH843" s="421">
        <v>1.0469999999999999</v>
      </c>
      <c r="AI843" s="164">
        <v>1471286</v>
      </c>
      <c r="AJ843" s="164">
        <f t="shared" si="122"/>
        <v>0</v>
      </c>
      <c r="AK843" s="165">
        <v>1471286</v>
      </c>
      <c r="AL843" s="165">
        <f>AK843*AF843</f>
        <v>1549264.1579999998</v>
      </c>
      <c r="AM843" s="165">
        <f t="shared" si="116"/>
        <v>1625178.1017419996</v>
      </c>
      <c r="AN843" s="165">
        <f t="shared" si="117"/>
        <v>1701561.4725238734</v>
      </c>
      <c r="AO843" s="16"/>
      <c r="AP843" s="231">
        <f t="shared" si="123"/>
        <v>-77978.157999999821</v>
      </c>
      <c r="AR843" s="231"/>
      <c r="AS843" s="231"/>
      <c r="AU843" s="230">
        <v>1471286</v>
      </c>
      <c r="AV843" s="233">
        <v>1471286</v>
      </c>
      <c r="AW843" s="230">
        <f t="shared" si="121"/>
        <v>0</v>
      </c>
    </row>
    <row r="844" spans="1:49" s="172" customFormat="1" x14ac:dyDescent="0.3">
      <c r="A844" s="166" t="s">
        <v>69</v>
      </c>
      <c r="B844" s="167" t="s">
        <v>1652</v>
      </c>
      <c r="C844" s="167" t="s">
        <v>398</v>
      </c>
      <c r="D844" s="412" t="s">
        <v>3477</v>
      </c>
      <c r="E844" s="168" t="s">
        <v>1085</v>
      </c>
      <c r="F844" s="168" t="s">
        <v>775</v>
      </c>
      <c r="G844" s="168" t="s">
        <v>309</v>
      </c>
      <c r="H844" s="168" t="s">
        <v>310</v>
      </c>
      <c r="I844" s="168" t="s">
        <v>374</v>
      </c>
      <c r="J844" s="168" t="s">
        <v>312</v>
      </c>
      <c r="K844" s="168" t="s">
        <v>1849</v>
      </c>
      <c r="L844" s="167" t="s">
        <v>304</v>
      </c>
      <c r="M844" s="167" t="s">
        <v>305</v>
      </c>
      <c r="N844" s="167">
        <v>11</v>
      </c>
      <c r="O844" s="167" t="s">
        <v>398</v>
      </c>
      <c r="P844" s="167" t="s">
        <v>398</v>
      </c>
      <c r="Q844" s="167" t="s">
        <v>1652</v>
      </c>
      <c r="R844" s="166" t="s">
        <v>69</v>
      </c>
      <c r="S844" s="169">
        <v>10881</v>
      </c>
      <c r="T844" s="160">
        <v>831.6</v>
      </c>
      <c r="U844" s="160">
        <v>0</v>
      </c>
      <c r="V844" s="160">
        <v>3369.6</v>
      </c>
      <c r="W844" s="160">
        <v>7511.4</v>
      </c>
      <c r="X844" s="161">
        <v>0</v>
      </c>
      <c r="Y844" s="160"/>
      <c r="Z844" s="16">
        <v>30.96</v>
      </c>
      <c r="AA844" s="162">
        <v>3369.6</v>
      </c>
      <c r="AB844" s="162">
        <v>842.4</v>
      </c>
      <c r="AC844" s="162">
        <v>10108.799999999999</v>
      </c>
      <c r="AD844" s="160"/>
      <c r="AE844" s="145">
        <v>10881</v>
      </c>
      <c r="AF844" s="163">
        <v>1.0529999999999999</v>
      </c>
      <c r="AG844" s="163">
        <v>1.0489999999999999</v>
      </c>
      <c r="AH844" s="163">
        <v>1.0469999999999999</v>
      </c>
      <c r="AI844" s="164">
        <v>10881</v>
      </c>
      <c r="AJ844" s="164">
        <f t="shared" si="122"/>
        <v>0</v>
      </c>
      <c r="AK844" s="229">
        <v>10881</v>
      </c>
      <c r="AL844" s="229">
        <f ca="1">SUMIF('MS &amp; Vacancies combined'!A:N,D844,'MS &amp; Vacancies combined'!N:N)*105.3/100</f>
        <v>10695.573474905626</v>
      </c>
      <c r="AM844" s="229">
        <f t="shared" ca="1" si="116"/>
        <v>11219.656575176001</v>
      </c>
      <c r="AN844" s="229">
        <f t="shared" ca="1" si="117"/>
        <v>11746.980434209272</v>
      </c>
      <c r="AO844" s="166"/>
      <c r="AP844" s="413">
        <f t="shared" ca="1" si="123"/>
        <v>185.42652509437357</v>
      </c>
      <c r="AR844" s="231"/>
      <c r="AS844" s="231"/>
      <c r="AU844" s="414">
        <v>10881</v>
      </c>
      <c r="AV844" s="415">
        <v>10881</v>
      </c>
      <c r="AW844" s="414">
        <f t="shared" si="121"/>
        <v>0</v>
      </c>
    </row>
    <row r="845" spans="1:49" s="172" customFormat="1" x14ac:dyDescent="0.3">
      <c r="A845" s="166" t="s">
        <v>70</v>
      </c>
      <c r="B845" s="167" t="s">
        <v>1653</v>
      </c>
      <c r="C845" s="167" t="s">
        <v>400</v>
      </c>
      <c r="D845" s="412" t="s">
        <v>3477</v>
      </c>
      <c r="E845" s="168" t="s">
        <v>1085</v>
      </c>
      <c r="F845" s="168" t="s">
        <v>775</v>
      </c>
      <c r="G845" s="168" t="s">
        <v>309</v>
      </c>
      <c r="H845" s="168" t="s">
        <v>310</v>
      </c>
      <c r="I845" s="168" t="s">
        <v>401</v>
      </c>
      <c r="J845" s="168" t="s">
        <v>312</v>
      </c>
      <c r="K845" s="168" t="s">
        <v>1849</v>
      </c>
      <c r="L845" s="167" t="s">
        <v>304</v>
      </c>
      <c r="M845" s="167" t="s">
        <v>305</v>
      </c>
      <c r="N845" s="167">
        <v>11</v>
      </c>
      <c r="O845" s="167" t="s">
        <v>400</v>
      </c>
      <c r="P845" s="167" t="s">
        <v>400</v>
      </c>
      <c r="Q845" s="167" t="s">
        <v>1653</v>
      </c>
      <c r="R845" s="166" t="s">
        <v>70</v>
      </c>
      <c r="S845" s="169">
        <v>348555</v>
      </c>
      <c r="T845" s="160">
        <v>18631.759999999998</v>
      </c>
      <c r="U845" s="160">
        <v>0</v>
      </c>
      <c r="V845" s="160">
        <v>74760.210000000006</v>
      </c>
      <c r="W845" s="160">
        <v>273794.78999999998</v>
      </c>
      <c r="X845" s="161">
        <v>0</v>
      </c>
      <c r="Y845" s="160"/>
      <c r="Z845" s="16">
        <v>21.44</v>
      </c>
      <c r="AA845" s="162">
        <v>74760.210000000006</v>
      </c>
      <c r="AB845" s="162">
        <v>18690.052500000002</v>
      </c>
      <c r="AC845" s="162">
        <v>224280.63</v>
      </c>
      <c r="AD845" s="160"/>
      <c r="AE845" s="145">
        <v>348555</v>
      </c>
      <c r="AF845" s="163">
        <v>1.0529999999999999</v>
      </c>
      <c r="AG845" s="163">
        <v>1.0489999999999999</v>
      </c>
      <c r="AH845" s="163">
        <v>1.0469999999999999</v>
      </c>
      <c r="AI845" s="164">
        <v>348555</v>
      </c>
      <c r="AJ845" s="164">
        <f t="shared" si="122"/>
        <v>0</v>
      </c>
      <c r="AK845" s="229">
        <v>348555</v>
      </c>
      <c r="AL845" s="229">
        <f ca="1">SUMIF('MS &amp; Vacancies combined'!A:P,D845,'MS &amp; Vacancies combined'!P:P)*105.3/100</f>
        <v>2436684.2488301527</v>
      </c>
      <c r="AM845" s="229">
        <f t="shared" ca="1" si="116"/>
        <v>2556081.7770228302</v>
      </c>
      <c r="AN845" s="229">
        <f t="shared" ca="1" si="117"/>
        <v>2676217.620542903</v>
      </c>
      <c r="AO845" s="166"/>
      <c r="AP845" s="413">
        <f t="shared" ca="1" si="123"/>
        <v>-2088129.2488301527</v>
      </c>
      <c r="AR845" s="231"/>
      <c r="AS845" s="231"/>
      <c r="AU845" s="414">
        <v>348555</v>
      </c>
      <c r="AV845" s="415">
        <v>348555</v>
      </c>
      <c r="AW845" s="414">
        <f t="shared" si="121"/>
        <v>0</v>
      </c>
    </row>
    <row r="846" spans="1:49" s="172" customFormat="1" x14ac:dyDescent="0.3">
      <c r="A846" s="166" t="s">
        <v>71</v>
      </c>
      <c r="B846" s="167" t="s">
        <v>1654</v>
      </c>
      <c r="C846" s="167" t="s">
        <v>403</v>
      </c>
      <c r="D846" s="412" t="s">
        <v>3477</v>
      </c>
      <c r="E846" s="168" t="s">
        <v>1085</v>
      </c>
      <c r="F846" s="168" t="s">
        <v>775</v>
      </c>
      <c r="G846" s="168" t="s">
        <v>309</v>
      </c>
      <c r="H846" s="168" t="s">
        <v>310</v>
      </c>
      <c r="I846" s="168" t="s">
        <v>404</v>
      </c>
      <c r="J846" s="168" t="s">
        <v>312</v>
      </c>
      <c r="K846" s="168" t="s">
        <v>1849</v>
      </c>
      <c r="L846" s="167" t="s">
        <v>304</v>
      </c>
      <c r="M846" s="167" t="s">
        <v>305</v>
      </c>
      <c r="N846" s="167">
        <v>11</v>
      </c>
      <c r="O846" s="167" t="s">
        <v>403</v>
      </c>
      <c r="P846" s="167" t="s">
        <v>403</v>
      </c>
      <c r="Q846" s="167" t="s">
        <v>1654</v>
      </c>
      <c r="R846" s="166" t="s">
        <v>71</v>
      </c>
      <c r="S846" s="169">
        <v>5042248</v>
      </c>
      <c r="T846" s="160">
        <v>229465.2</v>
      </c>
      <c r="U846" s="160">
        <v>0</v>
      </c>
      <c r="V846" s="160">
        <v>928037.4</v>
      </c>
      <c r="W846" s="160">
        <v>4114210.6</v>
      </c>
      <c r="X846" s="161">
        <v>0</v>
      </c>
      <c r="Y846" s="160"/>
      <c r="Z846" s="16">
        <v>18.399999999999999</v>
      </c>
      <c r="AA846" s="162">
        <v>928037.4</v>
      </c>
      <c r="AB846" s="162">
        <v>232009.35</v>
      </c>
      <c r="AC846" s="162">
        <v>2784112.2</v>
      </c>
      <c r="AD846" s="160"/>
      <c r="AE846" s="145">
        <v>5042248</v>
      </c>
      <c r="AF846" s="163">
        <v>1.0529999999999999</v>
      </c>
      <c r="AG846" s="163">
        <v>1.0489999999999999</v>
      </c>
      <c r="AH846" s="163">
        <v>1.0469999999999999</v>
      </c>
      <c r="AI846" s="164">
        <v>5042248</v>
      </c>
      <c r="AJ846" s="164">
        <f t="shared" si="122"/>
        <v>0</v>
      </c>
      <c r="AK846" s="229">
        <v>5042248</v>
      </c>
      <c r="AL846" s="229">
        <f ca="1">SUMIF('MS &amp; Vacancies combined'!A:Q,D846,'MS &amp; Vacancies combined'!Q:Q)*105.3/100</f>
        <v>4958586.7026715297</v>
      </c>
      <c r="AM846" s="229">
        <f t="shared" ca="1" si="116"/>
        <v>5201557.4511024347</v>
      </c>
      <c r="AN846" s="229">
        <f t="shared" ca="1" si="117"/>
        <v>5446030.6513042487</v>
      </c>
      <c r="AO846" s="166"/>
      <c r="AP846" s="413">
        <f t="shared" ca="1" si="123"/>
        <v>83661.297328470275</v>
      </c>
      <c r="AR846" s="231"/>
      <c r="AS846" s="231"/>
      <c r="AU846" s="414">
        <v>5042248</v>
      </c>
      <c r="AV846" s="415">
        <v>5042248</v>
      </c>
      <c r="AW846" s="414">
        <f t="shared" si="121"/>
        <v>0</v>
      </c>
    </row>
    <row r="847" spans="1:49" s="172" customFormat="1" x14ac:dyDescent="0.3">
      <c r="A847" s="166" t="s">
        <v>72</v>
      </c>
      <c r="B847" s="167" t="s">
        <v>1655</v>
      </c>
      <c r="C847" s="167" t="s">
        <v>406</v>
      </c>
      <c r="D847" s="412" t="s">
        <v>3477</v>
      </c>
      <c r="E847" s="168" t="s">
        <v>1085</v>
      </c>
      <c r="F847" s="168" t="s">
        <v>775</v>
      </c>
      <c r="G847" s="168" t="s">
        <v>309</v>
      </c>
      <c r="H847" s="168" t="s">
        <v>310</v>
      </c>
      <c r="I847" s="168" t="s">
        <v>407</v>
      </c>
      <c r="J847" s="168" t="s">
        <v>312</v>
      </c>
      <c r="K847" s="168" t="s">
        <v>1849</v>
      </c>
      <c r="L847" s="167" t="s">
        <v>304</v>
      </c>
      <c r="M847" s="167" t="s">
        <v>305</v>
      </c>
      <c r="N847" s="167">
        <v>11</v>
      </c>
      <c r="O847" s="167" t="s">
        <v>406</v>
      </c>
      <c r="P847" s="167" t="s">
        <v>406</v>
      </c>
      <c r="Q847" s="167" t="s">
        <v>1655</v>
      </c>
      <c r="R847" s="166" t="s">
        <v>72</v>
      </c>
      <c r="S847" s="169">
        <v>3704934</v>
      </c>
      <c r="T847" s="160">
        <v>312325.82</v>
      </c>
      <c r="U847" s="160">
        <v>0</v>
      </c>
      <c r="V847" s="160">
        <v>1259243.8</v>
      </c>
      <c r="W847" s="160">
        <v>2445690.2000000002</v>
      </c>
      <c r="X847" s="161">
        <v>0</v>
      </c>
      <c r="Y847" s="160"/>
      <c r="Z847" s="16">
        <v>33.979999999999997</v>
      </c>
      <c r="AA847" s="162">
        <v>1259243.8</v>
      </c>
      <c r="AB847" s="162">
        <v>314810.95</v>
      </c>
      <c r="AC847" s="162">
        <v>3777731.4000000004</v>
      </c>
      <c r="AD847" s="160"/>
      <c r="AE847" s="145">
        <v>3704934</v>
      </c>
      <c r="AF847" s="163">
        <v>1.0529999999999999</v>
      </c>
      <c r="AG847" s="163">
        <v>1.0489999999999999</v>
      </c>
      <c r="AH847" s="163">
        <v>1.0469999999999999</v>
      </c>
      <c r="AI847" s="164">
        <v>3704934</v>
      </c>
      <c r="AJ847" s="164">
        <f t="shared" si="122"/>
        <v>0</v>
      </c>
      <c r="AK847" s="229">
        <v>3704934</v>
      </c>
      <c r="AL847" s="229">
        <f ca="1">SUMIF('MS &amp; Vacancies combined'!A:R,D847,'MS &amp; Vacancies combined'!R:R)*105.3/100</f>
        <v>3582464.314892964</v>
      </c>
      <c r="AM847" s="229">
        <f t="shared" ca="1" si="116"/>
        <v>3758005.0663227187</v>
      </c>
      <c r="AN847" s="229">
        <f t="shared" ca="1" si="117"/>
        <v>3934631.3044398865</v>
      </c>
      <c r="AO847" s="166"/>
      <c r="AP847" s="413">
        <f t="shared" ca="1" si="123"/>
        <v>122469.68510703603</v>
      </c>
      <c r="AR847" s="231"/>
      <c r="AS847" s="231"/>
      <c r="AU847" s="414">
        <v>3704934</v>
      </c>
      <c r="AV847" s="415">
        <v>3704934</v>
      </c>
      <c r="AW847" s="414">
        <f t="shared" si="121"/>
        <v>0</v>
      </c>
    </row>
    <row r="848" spans="1:49" s="172" customFormat="1" x14ac:dyDescent="0.3">
      <c r="A848" s="166" t="s">
        <v>73</v>
      </c>
      <c r="B848" s="167" t="s">
        <v>1656</v>
      </c>
      <c r="C848" s="167" t="s">
        <v>307</v>
      </c>
      <c r="D848" s="412" t="s">
        <v>3477</v>
      </c>
      <c r="E848" s="168" t="s">
        <v>1085</v>
      </c>
      <c r="F848" s="168" t="s">
        <v>775</v>
      </c>
      <c r="G848" s="168" t="s">
        <v>309</v>
      </c>
      <c r="H848" s="168" t="s">
        <v>310</v>
      </c>
      <c r="I848" s="168" t="s">
        <v>311</v>
      </c>
      <c r="J848" s="168" t="s">
        <v>312</v>
      </c>
      <c r="K848" s="168" t="s">
        <v>1849</v>
      </c>
      <c r="L848" s="167" t="s">
        <v>304</v>
      </c>
      <c r="M848" s="167" t="s">
        <v>305</v>
      </c>
      <c r="N848" s="167">
        <v>11</v>
      </c>
      <c r="O848" s="167" t="s">
        <v>307</v>
      </c>
      <c r="P848" s="167" t="s">
        <v>307</v>
      </c>
      <c r="Q848" s="167" t="s">
        <v>1656</v>
      </c>
      <c r="R848" s="166" t="s">
        <v>73</v>
      </c>
      <c r="S848" s="169">
        <v>187107</v>
      </c>
      <c r="T848" s="160">
        <v>13638.24</v>
      </c>
      <c r="U848" s="160">
        <v>0</v>
      </c>
      <c r="V848" s="160">
        <v>55261.440000000002</v>
      </c>
      <c r="W848" s="160">
        <v>131845.56</v>
      </c>
      <c r="X848" s="161">
        <v>0</v>
      </c>
      <c r="Y848" s="160"/>
      <c r="Z848" s="16">
        <v>29.53</v>
      </c>
      <c r="AA848" s="162">
        <v>55261.440000000002</v>
      </c>
      <c r="AB848" s="162">
        <v>13815.36</v>
      </c>
      <c r="AC848" s="162">
        <v>165784.32000000001</v>
      </c>
      <c r="AD848" s="160"/>
      <c r="AE848" s="145">
        <v>187107</v>
      </c>
      <c r="AF848" s="163">
        <v>1.0529999999999999</v>
      </c>
      <c r="AG848" s="163">
        <v>1.0489999999999999</v>
      </c>
      <c r="AH848" s="163">
        <v>1.0469999999999999</v>
      </c>
      <c r="AI848" s="164">
        <v>187107</v>
      </c>
      <c r="AJ848" s="164">
        <f t="shared" si="122"/>
        <v>0</v>
      </c>
      <c r="AK848" s="229">
        <v>187107</v>
      </c>
      <c r="AL848" s="229">
        <f ca="1">SUMIF('MS &amp; Vacancies combined'!A:S,D848,'MS &amp; Vacancies combined'!S:S)*105.3/100</f>
        <v>175407.4049884525</v>
      </c>
      <c r="AM848" s="229">
        <f t="shared" ca="1" si="116"/>
        <v>184002.36783288667</v>
      </c>
      <c r="AN848" s="229">
        <f t="shared" ca="1" si="117"/>
        <v>192650.47912103232</v>
      </c>
      <c r="AO848" s="166"/>
      <c r="AP848" s="413">
        <f t="shared" ca="1" si="123"/>
        <v>11699.595011547499</v>
      </c>
      <c r="AR848" s="231"/>
      <c r="AS848" s="231"/>
      <c r="AU848" s="414">
        <v>187107</v>
      </c>
      <c r="AV848" s="415">
        <v>187107</v>
      </c>
      <c r="AW848" s="414">
        <f t="shared" si="121"/>
        <v>0</v>
      </c>
    </row>
    <row r="849" spans="1:49" hidden="1" x14ac:dyDescent="0.3">
      <c r="A849" s="16" t="s">
        <v>324</v>
      </c>
      <c r="B849" s="39" t="s">
        <v>1657</v>
      </c>
      <c r="C849" s="39" t="s">
        <v>76</v>
      </c>
      <c r="D849" s="340" t="s">
        <v>3477</v>
      </c>
      <c r="E849" s="159" t="s">
        <v>1085</v>
      </c>
      <c r="F849" s="159" t="s">
        <v>775</v>
      </c>
      <c r="G849" s="159" t="s">
        <v>309</v>
      </c>
      <c r="H849" s="159" t="s">
        <v>325</v>
      </c>
      <c r="I849" s="159" t="s">
        <v>326</v>
      </c>
      <c r="J849" s="159" t="s">
        <v>327</v>
      </c>
      <c r="K849" s="159" t="s">
        <v>1849</v>
      </c>
      <c r="L849" s="39" t="s">
        <v>304</v>
      </c>
      <c r="M849" s="39" t="s">
        <v>305</v>
      </c>
      <c r="N849" s="39">
        <v>11</v>
      </c>
      <c r="O849" s="39" t="s">
        <v>76</v>
      </c>
      <c r="P849" s="39" t="s">
        <v>76</v>
      </c>
      <c r="Q849" s="39" t="s">
        <v>1657</v>
      </c>
      <c r="R849" s="16" t="s">
        <v>324</v>
      </c>
      <c r="S849" s="160">
        <v>0</v>
      </c>
      <c r="T849" s="160">
        <v>0</v>
      </c>
      <c r="U849" s="160">
        <v>0</v>
      </c>
      <c r="V849" s="160">
        <v>0</v>
      </c>
      <c r="W849" s="160">
        <v>0</v>
      </c>
      <c r="X849" s="161">
        <v>0</v>
      </c>
      <c r="Y849" s="160"/>
      <c r="Z849" s="16">
        <v>0</v>
      </c>
      <c r="AA849" s="162">
        <v>0</v>
      </c>
      <c r="AB849" s="162">
        <v>0</v>
      </c>
      <c r="AC849" s="162">
        <v>0</v>
      </c>
      <c r="AD849" s="160">
        <v>0</v>
      </c>
      <c r="AE849" s="145">
        <v>0</v>
      </c>
      <c r="AF849" s="163">
        <v>1.0469999999999999</v>
      </c>
      <c r="AG849" s="164">
        <v>1.046</v>
      </c>
      <c r="AH849" s="164">
        <v>1.046</v>
      </c>
      <c r="AI849" s="164">
        <v>0</v>
      </c>
      <c r="AJ849" s="164">
        <f t="shared" si="122"/>
        <v>0</v>
      </c>
      <c r="AK849" s="165">
        <v>0</v>
      </c>
      <c r="AL849" s="165">
        <v>0</v>
      </c>
      <c r="AM849" s="165">
        <f t="shared" si="116"/>
        <v>0</v>
      </c>
      <c r="AN849" s="165">
        <f t="shared" si="117"/>
        <v>0</v>
      </c>
      <c r="AO849" s="16"/>
      <c r="AP849" s="231">
        <f t="shared" si="123"/>
        <v>0</v>
      </c>
      <c r="AR849" s="231"/>
      <c r="AS849" s="231"/>
      <c r="AU849" s="230">
        <v>0</v>
      </c>
      <c r="AV849" s="233">
        <v>0</v>
      </c>
      <c r="AW849" s="230">
        <f t="shared" si="121"/>
        <v>0</v>
      </c>
    </row>
    <row r="850" spans="1:49" hidden="1" x14ac:dyDescent="0.3">
      <c r="A850" s="16" t="s">
        <v>412</v>
      </c>
      <c r="B850" s="39" t="s">
        <v>1658</v>
      </c>
      <c r="C850" s="39" t="s">
        <v>80</v>
      </c>
      <c r="D850" s="340" t="s">
        <v>3477</v>
      </c>
      <c r="E850" s="159" t="s">
        <v>1085</v>
      </c>
      <c r="F850" s="159" t="s">
        <v>775</v>
      </c>
      <c r="G850" s="159" t="s">
        <v>309</v>
      </c>
      <c r="H850" s="159" t="s">
        <v>413</v>
      </c>
      <c r="I850" s="159" t="s">
        <v>414</v>
      </c>
      <c r="J850" s="159" t="s">
        <v>312</v>
      </c>
      <c r="K850" s="159" t="s">
        <v>1849</v>
      </c>
      <c r="L850" s="39" t="s">
        <v>415</v>
      </c>
      <c r="M850" s="39" t="s">
        <v>305</v>
      </c>
      <c r="N850" s="39">
        <v>11</v>
      </c>
      <c r="O850" s="39" t="s">
        <v>80</v>
      </c>
      <c r="P850" s="39" t="s">
        <v>80</v>
      </c>
      <c r="Q850" s="39" t="s">
        <v>1658</v>
      </c>
      <c r="R850" s="16" t="s">
        <v>412</v>
      </c>
      <c r="S850" s="160">
        <v>0</v>
      </c>
      <c r="T850" s="160">
        <v>0</v>
      </c>
      <c r="U850" s="160">
        <v>0</v>
      </c>
      <c r="V850" s="160">
        <v>0</v>
      </c>
      <c r="W850" s="160">
        <v>0</v>
      </c>
      <c r="X850" s="161">
        <v>0</v>
      </c>
      <c r="Y850" s="160"/>
      <c r="Z850" s="16">
        <v>0</v>
      </c>
      <c r="AA850" s="162">
        <v>0</v>
      </c>
      <c r="AB850" s="162">
        <v>0</v>
      </c>
      <c r="AC850" s="162">
        <v>0</v>
      </c>
      <c r="AD850" s="160">
        <v>0</v>
      </c>
      <c r="AE850" s="145">
        <v>0</v>
      </c>
      <c r="AF850" s="163">
        <v>1.0469999999999999</v>
      </c>
      <c r="AG850" s="164">
        <v>1.046</v>
      </c>
      <c r="AH850" s="164">
        <v>1.046</v>
      </c>
      <c r="AI850" s="164">
        <v>0</v>
      </c>
      <c r="AJ850" s="164">
        <f t="shared" si="122"/>
        <v>0</v>
      </c>
      <c r="AK850" s="165">
        <v>0</v>
      </c>
      <c r="AL850" s="165">
        <v>0</v>
      </c>
      <c r="AM850" s="165">
        <f t="shared" si="116"/>
        <v>0</v>
      </c>
      <c r="AN850" s="165">
        <f t="shared" si="117"/>
        <v>0</v>
      </c>
      <c r="AO850" s="16"/>
      <c r="AP850" s="231">
        <f t="shared" si="123"/>
        <v>0</v>
      </c>
      <c r="AR850" s="231"/>
      <c r="AS850" s="231"/>
      <c r="AU850" s="230">
        <v>0</v>
      </c>
      <c r="AV850" s="233">
        <v>0</v>
      </c>
      <c r="AW850" s="230">
        <f t="shared" si="121"/>
        <v>0</v>
      </c>
    </row>
    <row r="851" spans="1:49" hidden="1" x14ac:dyDescent="0.3">
      <c r="A851" s="16" t="s">
        <v>883</v>
      </c>
      <c r="B851" s="39" t="s">
        <v>1659</v>
      </c>
      <c r="C851" s="39" t="s">
        <v>82</v>
      </c>
      <c r="D851" s="340" t="s">
        <v>3477</v>
      </c>
      <c r="E851" s="159" t="s">
        <v>1085</v>
      </c>
      <c r="F851" s="159" t="s">
        <v>775</v>
      </c>
      <c r="G851" s="159" t="s">
        <v>309</v>
      </c>
      <c r="H851" s="159" t="s">
        <v>334</v>
      </c>
      <c r="I851" s="159" t="s">
        <v>885</v>
      </c>
      <c r="J851" s="159" t="s">
        <v>309</v>
      </c>
      <c r="K851" s="159" t="s">
        <v>1849</v>
      </c>
      <c r="L851" s="39" t="s">
        <v>304</v>
      </c>
      <c r="M851" s="39" t="s">
        <v>305</v>
      </c>
      <c r="N851" s="39">
        <v>11</v>
      </c>
      <c r="O851" s="39" t="s">
        <v>82</v>
      </c>
      <c r="P851" s="39" t="s">
        <v>884</v>
      </c>
      <c r="Q851" s="39" t="s">
        <v>1659</v>
      </c>
      <c r="R851" s="16" t="s">
        <v>883</v>
      </c>
      <c r="S851" s="160">
        <v>12500</v>
      </c>
      <c r="T851" s="160">
        <v>0</v>
      </c>
      <c r="U851" s="160">
        <v>0</v>
      </c>
      <c r="V851" s="160">
        <v>0</v>
      </c>
      <c r="W851" s="160">
        <v>12500</v>
      </c>
      <c r="X851" s="161">
        <v>0</v>
      </c>
      <c r="Y851" s="160"/>
      <c r="Z851" s="16">
        <v>0</v>
      </c>
      <c r="AA851" s="162">
        <v>0</v>
      </c>
      <c r="AB851" s="162">
        <v>0</v>
      </c>
      <c r="AC851" s="162">
        <v>0</v>
      </c>
      <c r="AD851" s="160">
        <v>737500</v>
      </c>
      <c r="AE851" s="145">
        <v>750000</v>
      </c>
      <c r="AF851" s="163">
        <v>1.0469999999999999</v>
      </c>
      <c r="AG851" s="164">
        <v>1.046</v>
      </c>
      <c r="AH851" s="164">
        <v>1.046</v>
      </c>
      <c r="AI851" s="164">
        <v>750000</v>
      </c>
      <c r="AJ851" s="164">
        <f t="shared" si="122"/>
        <v>0</v>
      </c>
      <c r="AK851" s="165">
        <v>40000</v>
      </c>
      <c r="AL851" s="165">
        <f>AK851</f>
        <v>40000</v>
      </c>
      <c r="AM851" s="165">
        <f t="shared" si="116"/>
        <v>41840</v>
      </c>
      <c r="AN851" s="165">
        <f t="shared" si="117"/>
        <v>43764.639999999999</v>
      </c>
      <c r="AO851" s="145" t="s">
        <v>2107</v>
      </c>
      <c r="AP851" s="231">
        <f t="shared" si="123"/>
        <v>0</v>
      </c>
      <c r="AR851" s="231"/>
      <c r="AS851" s="231"/>
      <c r="AU851" s="230">
        <v>12500</v>
      </c>
      <c r="AV851" s="233">
        <v>750000</v>
      </c>
      <c r="AW851" s="230">
        <f t="shared" si="121"/>
        <v>0</v>
      </c>
    </row>
    <row r="852" spans="1:49" hidden="1" x14ac:dyDescent="0.3">
      <c r="A852" s="16" t="s">
        <v>341</v>
      </c>
      <c r="B852" s="39" t="s">
        <v>1660</v>
      </c>
      <c r="C852" s="39" t="s">
        <v>82</v>
      </c>
      <c r="D852" s="340" t="s">
        <v>3477</v>
      </c>
      <c r="E852" s="159" t="s">
        <v>1085</v>
      </c>
      <c r="F852" s="159" t="s">
        <v>775</v>
      </c>
      <c r="G852" s="159" t="s">
        <v>309</v>
      </c>
      <c r="H852" s="159" t="s">
        <v>334</v>
      </c>
      <c r="I852" s="159" t="s">
        <v>343</v>
      </c>
      <c r="J852" s="159" t="s">
        <v>312</v>
      </c>
      <c r="K852" s="159" t="s">
        <v>1849</v>
      </c>
      <c r="L852" s="39" t="s">
        <v>304</v>
      </c>
      <c r="M852" s="39" t="s">
        <v>305</v>
      </c>
      <c r="N852" s="39">
        <v>11</v>
      </c>
      <c r="O852" s="39" t="s">
        <v>82</v>
      </c>
      <c r="P852" s="39" t="s">
        <v>342</v>
      </c>
      <c r="Q852" s="39" t="s">
        <v>1660</v>
      </c>
      <c r="R852" s="16" t="s">
        <v>341</v>
      </c>
      <c r="S852" s="160">
        <v>0</v>
      </c>
      <c r="T852" s="160">
        <v>0</v>
      </c>
      <c r="U852" s="160">
        <v>0</v>
      </c>
      <c r="V852" s="160">
        <v>0</v>
      </c>
      <c r="W852" s="160">
        <v>0</v>
      </c>
      <c r="X852" s="161">
        <v>0</v>
      </c>
      <c r="Y852" s="160"/>
      <c r="Z852" s="16">
        <v>0</v>
      </c>
      <c r="AA852" s="162">
        <v>0</v>
      </c>
      <c r="AB852" s="162">
        <v>0</v>
      </c>
      <c r="AC852" s="162">
        <v>0</v>
      </c>
      <c r="AD852" s="160">
        <v>0</v>
      </c>
      <c r="AE852" s="145">
        <v>0</v>
      </c>
      <c r="AF852" s="163">
        <v>1.0469999999999999</v>
      </c>
      <c r="AG852" s="164">
        <v>1.046</v>
      </c>
      <c r="AH852" s="164">
        <v>1.046</v>
      </c>
      <c r="AI852" s="164">
        <v>0</v>
      </c>
      <c r="AJ852" s="164">
        <f t="shared" si="122"/>
        <v>0</v>
      </c>
      <c r="AK852" s="165">
        <v>0</v>
      </c>
      <c r="AL852" s="165">
        <v>0</v>
      </c>
      <c r="AM852" s="165">
        <f t="shared" si="116"/>
        <v>0</v>
      </c>
      <c r="AN852" s="165">
        <f t="shared" si="117"/>
        <v>0</v>
      </c>
      <c r="AO852" s="16"/>
      <c r="AP852" s="231">
        <f t="shared" si="123"/>
        <v>0</v>
      </c>
      <c r="AR852" s="231"/>
      <c r="AS852" s="231"/>
      <c r="AU852" s="230">
        <v>0</v>
      </c>
      <c r="AV852" s="233">
        <v>0</v>
      </c>
      <c r="AW852" s="230">
        <f t="shared" si="121"/>
        <v>0</v>
      </c>
    </row>
    <row r="853" spans="1:49" hidden="1" x14ac:dyDescent="0.3">
      <c r="A853" s="16" t="s">
        <v>345</v>
      </c>
      <c r="B853" s="39" t="s">
        <v>1661</v>
      </c>
      <c r="C853" s="39" t="s">
        <v>82</v>
      </c>
      <c r="D853" s="340" t="s">
        <v>3477</v>
      </c>
      <c r="E853" s="159" t="s">
        <v>1085</v>
      </c>
      <c r="F853" s="159" t="s">
        <v>775</v>
      </c>
      <c r="G853" s="159" t="s">
        <v>309</v>
      </c>
      <c r="H853" s="159" t="s">
        <v>334</v>
      </c>
      <c r="I853" s="159" t="s">
        <v>347</v>
      </c>
      <c r="J853" s="159" t="s">
        <v>312</v>
      </c>
      <c r="K853" s="159" t="s">
        <v>1849</v>
      </c>
      <c r="L853" s="39" t="s">
        <v>304</v>
      </c>
      <c r="M853" s="39" t="s">
        <v>305</v>
      </c>
      <c r="N853" s="39">
        <v>11</v>
      </c>
      <c r="O853" s="39" t="s">
        <v>82</v>
      </c>
      <c r="P853" s="39" t="s">
        <v>346</v>
      </c>
      <c r="Q853" s="39" t="s">
        <v>1661</v>
      </c>
      <c r="R853" s="16" t="s">
        <v>345</v>
      </c>
      <c r="S853" s="160">
        <v>0</v>
      </c>
      <c r="T853" s="160">
        <v>0</v>
      </c>
      <c r="U853" s="160">
        <v>0</v>
      </c>
      <c r="V853" s="160">
        <v>0</v>
      </c>
      <c r="W853" s="160">
        <v>0</v>
      </c>
      <c r="X853" s="161">
        <v>0</v>
      </c>
      <c r="Y853" s="160"/>
      <c r="Z853" s="16">
        <v>0</v>
      </c>
      <c r="AA853" s="162">
        <v>0</v>
      </c>
      <c r="AB853" s="162">
        <v>0</v>
      </c>
      <c r="AC853" s="162">
        <v>0</v>
      </c>
      <c r="AD853" s="160">
        <v>0</v>
      </c>
      <c r="AE853" s="145">
        <v>0</v>
      </c>
      <c r="AF853" s="163">
        <v>1.0469999999999999</v>
      </c>
      <c r="AG853" s="164">
        <v>1.046</v>
      </c>
      <c r="AH853" s="164">
        <v>1.046</v>
      </c>
      <c r="AI853" s="164">
        <v>0</v>
      </c>
      <c r="AJ853" s="164">
        <f t="shared" si="122"/>
        <v>0</v>
      </c>
      <c r="AK853" s="165">
        <v>0</v>
      </c>
      <c r="AL853" s="165">
        <v>0</v>
      </c>
      <c r="AM853" s="165">
        <f t="shared" si="116"/>
        <v>0</v>
      </c>
      <c r="AN853" s="165">
        <f t="shared" si="117"/>
        <v>0</v>
      </c>
      <c r="AO853" s="16"/>
      <c r="AP853" s="231">
        <f t="shared" si="123"/>
        <v>0</v>
      </c>
      <c r="AR853" s="231"/>
      <c r="AS853" s="231"/>
      <c r="AU853" s="230">
        <v>0</v>
      </c>
      <c r="AV853" s="233">
        <v>0</v>
      </c>
      <c r="AW853" s="230">
        <f t="shared" si="121"/>
        <v>0</v>
      </c>
    </row>
    <row r="854" spans="1:49" hidden="1" x14ac:dyDescent="0.3">
      <c r="A854" s="16" t="s">
        <v>349</v>
      </c>
      <c r="B854" s="39" t="s">
        <v>1662</v>
      </c>
      <c r="C854" s="39" t="s">
        <v>82</v>
      </c>
      <c r="D854" s="340" t="s">
        <v>3477</v>
      </c>
      <c r="E854" s="159" t="s">
        <v>1085</v>
      </c>
      <c r="F854" s="159" t="s">
        <v>775</v>
      </c>
      <c r="G854" s="159" t="s">
        <v>309</v>
      </c>
      <c r="H854" s="159" t="s">
        <v>334</v>
      </c>
      <c r="I854" s="159" t="s">
        <v>351</v>
      </c>
      <c r="J854" s="159" t="s">
        <v>312</v>
      </c>
      <c r="K854" s="159" t="s">
        <v>1849</v>
      </c>
      <c r="L854" s="39" t="s">
        <v>304</v>
      </c>
      <c r="M854" s="39" t="s">
        <v>305</v>
      </c>
      <c r="N854" s="39">
        <v>11</v>
      </c>
      <c r="O854" s="39" t="s">
        <v>82</v>
      </c>
      <c r="P854" s="39" t="s">
        <v>350</v>
      </c>
      <c r="Q854" s="39" t="s">
        <v>1662</v>
      </c>
      <c r="R854" s="16" t="s">
        <v>349</v>
      </c>
      <c r="S854" s="160">
        <v>0</v>
      </c>
      <c r="T854" s="160">
        <v>0</v>
      </c>
      <c r="U854" s="160">
        <v>0</v>
      </c>
      <c r="V854" s="160">
        <v>0</v>
      </c>
      <c r="W854" s="160">
        <v>0</v>
      </c>
      <c r="X854" s="161">
        <v>0</v>
      </c>
      <c r="Y854" s="160"/>
      <c r="Z854" s="16">
        <v>0</v>
      </c>
      <c r="AA854" s="162">
        <v>0</v>
      </c>
      <c r="AB854" s="162">
        <v>0</v>
      </c>
      <c r="AC854" s="162">
        <v>0</v>
      </c>
      <c r="AD854" s="160">
        <v>0</v>
      </c>
      <c r="AE854" s="145">
        <v>0</v>
      </c>
      <c r="AF854" s="163">
        <v>1.0469999999999999</v>
      </c>
      <c r="AG854" s="164">
        <v>1.046</v>
      </c>
      <c r="AH854" s="164">
        <v>1.046</v>
      </c>
      <c r="AI854" s="164">
        <v>0</v>
      </c>
      <c r="AJ854" s="164">
        <f t="shared" si="122"/>
        <v>0</v>
      </c>
      <c r="AK854" s="165">
        <v>0</v>
      </c>
      <c r="AL854" s="165">
        <v>0</v>
      </c>
      <c r="AM854" s="165">
        <f t="shared" si="116"/>
        <v>0</v>
      </c>
      <c r="AN854" s="165">
        <f t="shared" si="117"/>
        <v>0</v>
      </c>
      <c r="AO854" s="16"/>
      <c r="AP854" s="231">
        <f t="shared" si="123"/>
        <v>0</v>
      </c>
      <c r="AR854" s="231"/>
      <c r="AS854" s="231"/>
      <c r="AU854" s="230">
        <v>0</v>
      </c>
      <c r="AV854" s="233">
        <v>0</v>
      </c>
      <c r="AW854" s="230">
        <f t="shared" si="121"/>
        <v>0</v>
      </c>
    </row>
    <row r="855" spans="1:49" hidden="1" x14ac:dyDescent="0.3">
      <c r="A855" s="16" t="s">
        <v>353</v>
      </c>
      <c r="B855" s="39" t="s">
        <v>1663</v>
      </c>
      <c r="C855" s="39" t="s">
        <v>82</v>
      </c>
      <c r="D855" s="340" t="s">
        <v>3477</v>
      </c>
      <c r="E855" s="159" t="s">
        <v>1085</v>
      </c>
      <c r="F855" s="159" t="s">
        <v>775</v>
      </c>
      <c r="G855" s="159" t="s">
        <v>309</v>
      </c>
      <c r="H855" s="159" t="s">
        <v>334</v>
      </c>
      <c r="I855" s="159" t="s">
        <v>355</v>
      </c>
      <c r="J855" s="159" t="s">
        <v>312</v>
      </c>
      <c r="K855" s="159" t="s">
        <v>1849</v>
      </c>
      <c r="L855" s="39" t="s">
        <v>304</v>
      </c>
      <c r="M855" s="39" t="s">
        <v>305</v>
      </c>
      <c r="N855" s="39">
        <v>11</v>
      </c>
      <c r="O855" s="39" t="s">
        <v>82</v>
      </c>
      <c r="P855" s="39" t="s">
        <v>354</v>
      </c>
      <c r="Q855" s="39" t="s">
        <v>1663</v>
      </c>
      <c r="R855" s="16" t="s">
        <v>353</v>
      </c>
      <c r="S855" s="160">
        <v>0</v>
      </c>
      <c r="T855" s="160">
        <v>0</v>
      </c>
      <c r="U855" s="160">
        <v>0</v>
      </c>
      <c r="V855" s="160">
        <v>0</v>
      </c>
      <c r="W855" s="160">
        <v>0</v>
      </c>
      <c r="X855" s="161">
        <v>0</v>
      </c>
      <c r="Y855" s="160"/>
      <c r="Z855" s="16">
        <v>0</v>
      </c>
      <c r="AA855" s="162">
        <v>0</v>
      </c>
      <c r="AB855" s="162">
        <v>0</v>
      </c>
      <c r="AC855" s="162">
        <v>0</v>
      </c>
      <c r="AD855" s="160">
        <v>0</v>
      </c>
      <c r="AE855" s="145">
        <v>0</v>
      </c>
      <c r="AF855" s="163">
        <v>1.0469999999999999</v>
      </c>
      <c r="AG855" s="164">
        <v>1.046</v>
      </c>
      <c r="AH855" s="164">
        <v>1.046</v>
      </c>
      <c r="AI855" s="164">
        <v>0</v>
      </c>
      <c r="AJ855" s="164">
        <f t="shared" si="122"/>
        <v>0</v>
      </c>
      <c r="AK855" s="165">
        <v>0</v>
      </c>
      <c r="AL855" s="165">
        <v>0</v>
      </c>
      <c r="AM855" s="165">
        <f t="shared" si="116"/>
        <v>0</v>
      </c>
      <c r="AN855" s="165">
        <f t="shared" si="117"/>
        <v>0</v>
      </c>
      <c r="AO855" s="16"/>
      <c r="AP855" s="231">
        <f t="shared" si="123"/>
        <v>0</v>
      </c>
      <c r="AR855" s="231"/>
      <c r="AS855" s="231"/>
      <c r="AU855" s="230">
        <v>0</v>
      </c>
      <c r="AV855" s="233">
        <v>0</v>
      </c>
      <c r="AW855" s="230">
        <f t="shared" si="121"/>
        <v>0</v>
      </c>
    </row>
    <row r="856" spans="1:49" hidden="1" x14ac:dyDescent="0.3">
      <c r="A856" s="16" t="s">
        <v>357</v>
      </c>
      <c r="B856" s="39" t="s">
        <v>1664</v>
      </c>
      <c r="C856" s="39" t="s">
        <v>82</v>
      </c>
      <c r="D856" s="340" t="s">
        <v>3477</v>
      </c>
      <c r="E856" s="159" t="s">
        <v>1085</v>
      </c>
      <c r="F856" s="159" t="s">
        <v>775</v>
      </c>
      <c r="G856" s="159" t="s">
        <v>309</v>
      </c>
      <c r="H856" s="159" t="s">
        <v>334</v>
      </c>
      <c r="I856" s="159" t="s">
        <v>359</v>
      </c>
      <c r="J856" s="159" t="s">
        <v>312</v>
      </c>
      <c r="K856" s="159" t="s">
        <v>1849</v>
      </c>
      <c r="L856" s="39" t="s">
        <v>304</v>
      </c>
      <c r="M856" s="39" t="s">
        <v>305</v>
      </c>
      <c r="N856" s="39">
        <v>11</v>
      </c>
      <c r="O856" s="39" t="s">
        <v>82</v>
      </c>
      <c r="P856" s="39" t="s">
        <v>358</v>
      </c>
      <c r="Q856" s="39" t="s">
        <v>1664</v>
      </c>
      <c r="R856" s="16" t="s">
        <v>357</v>
      </c>
      <c r="S856" s="160">
        <v>0</v>
      </c>
      <c r="T856" s="160">
        <v>0</v>
      </c>
      <c r="U856" s="160">
        <v>0</v>
      </c>
      <c r="V856" s="160">
        <v>0</v>
      </c>
      <c r="W856" s="160">
        <v>0</v>
      </c>
      <c r="X856" s="161">
        <v>0</v>
      </c>
      <c r="Y856" s="160"/>
      <c r="Z856" s="16">
        <v>0</v>
      </c>
      <c r="AA856" s="162">
        <v>0</v>
      </c>
      <c r="AB856" s="162">
        <v>0</v>
      </c>
      <c r="AC856" s="162">
        <v>0</v>
      </c>
      <c r="AD856" s="160">
        <v>0</v>
      </c>
      <c r="AE856" s="145">
        <v>0</v>
      </c>
      <c r="AF856" s="163">
        <v>1.0469999999999999</v>
      </c>
      <c r="AG856" s="164">
        <v>1.046</v>
      </c>
      <c r="AH856" s="164">
        <v>1.046</v>
      </c>
      <c r="AI856" s="164">
        <v>0</v>
      </c>
      <c r="AJ856" s="164">
        <f t="shared" si="122"/>
        <v>0</v>
      </c>
      <c r="AK856" s="165">
        <v>0</v>
      </c>
      <c r="AL856" s="165">
        <v>0</v>
      </c>
      <c r="AM856" s="165">
        <f t="shared" si="116"/>
        <v>0</v>
      </c>
      <c r="AN856" s="165">
        <f t="shared" si="117"/>
        <v>0</v>
      </c>
      <c r="AO856" s="16"/>
      <c r="AP856" s="231">
        <f t="shared" si="123"/>
        <v>0</v>
      </c>
      <c r="AR856" s="231"/>
      <c r="AS856" s="231"/>
      <c r="AU856" s="230">
        <v>0</v>
      </c>
      <c r="AV856" s="233">
        <v>0</v>
      </c>
      <c r="AW856" s="230">
        <f t="shared" si="121"/>
        <v>0</v>
      </c>
    </row>
    <row r="857" spans="1:49" hidden="1" x14ac:dyDescent="0.3">
      <c r="A857" s="16" t="s">
        <v>527</v>
      </c>
      <c r="B857" s="39" t="s">
        <v>1665</v>
      </c>
      <c r="C857" s="39" t="s">
        <v>82</v>
      </c>
      <c r="D857" s="340" t="s">
        <v>3477</v>
      </c>
      <c r="E857" s="159" t="s">
        <v>1085</v>
      </c>
      <c r="F857" s="159" t="s">
        <v>775</v>
      </c>
      <c r="G857" s="159" t="s">
        <v>309</v>
      </c>
      <c r="H857" s="159" t="s">
        <v>334</v>
      </c>
      <c r="I857" s="159" t="s">
        <v>529</v>
      </c>
      <c r="J857" s="159" t="s">
        <v>312</v>
      </c>
      <c r="K857" s="159" t="s">
        <v>1849</v>
      </c>
      <c r="L857" s="39" t="s">
        <v>304</v>
      </c>
      <c r="M857" s="39" t="s">
        <v>305</v>
      </c>
      <c r="N857" s="39">
        <v>11</v>
      </c>
      <c r="O857" s="39" t="s">
        <v>82</v>
      </c>
      <c r="P857" s="39" t="s">
        <v>585</v>
      </c>
      <c r="Q857" s="39" t="s">
        <v>1665</v>
      </c>
      <c r="R857" s="16" t="s">
        <v>527</v>
      </c>
      <c r="S857" s="160">
        <v>80357</v>
      </c>
      <c r="T857" s="160">
        <v>2145</v>
      </c>
      <c r="U857" s="160">
        <v>0</v>
      </c>
      <c r="V857" s="160">
        <v>2145</v>
      </c>
      <c r="W857" s="160">
        <v>78212</v>
      </c>
      <c r="X857" s="161">
        <v>0</v>
      </c>
      <c r="Y857" s="160"/>
      <c r="Z857" s="16">
        <v>2.66</v>
      </c>
      <c r="AA857" s="162">
        <v>2145</v>
      </c>
      <c r="AB857" s="162">
        <v>536.25</v>
      </c>
      <c r="AC857" s="162">
        <v>6435</v>
      </c>
      <c r="AD857" s="160">
        <v>919643</v>
      </c>
      <c r="AE857" s="145">
        <v>1000000</v>
      </c>
      <c r="AF857" s="163">
        <v>1.0469999999999999</v>
      </c>
      <c r="AG857" s="164">
        <v>1.046</v>
      </c>
      <c r="AH857" s="164">
        <v>1.046</v>
      </c>
      <c r="AI857" s="164">
        <v>1000000</v>
      </c>
      <c r="AJ857" s="164">
        <f t="shared" si="122"/>
        <v>0</v>
      </c>
      <c r="AK857" s="165">
        <v>500000</v>
      </c>
      <c r="AL857" s="165">
        <f>AK857</f>
        <v>500000</v>
      </c>
      <c r="AM857" s="165">
        <f t="shared" si="116"/>
        <v>523000</v>
      </c>
      <c r="AN857" s="165">
        <f t="shared" si="117"/>
        <v>547058</v>
      </c>
      <c r="AO857" s="145" t="s">
        <v>2107</v>
      </c>
      <c r="AP857" s="231">
        <f t="shared" si="123"/>
        <v>0</v>
      </c>
      <c r="AR857" s="231"/>
      <c r="AS857" s="231"/>
      <c r="AU857" s="230">
        <v>80357</v>
      </c>
      <c r="AV857" s="233">
        <v>1000000</v>
      </c>
      <c r="AW857" s="230">
        <f t="shared" si="121"/>
        <v>0</v>
      </c>
    </row>
    <row r="858" spans="1:49" hidden="1" x14ac:dyDescent="0.3">
      <c r="A858" s="16" t="s">
        <v>83</v>
      </c>
      <c r="B858" s="39" t="s">
        <v>1666</v>
      </c>
      <c r="C858" s="39" t="s">
        <v>423</v>
      </c>
      <c r="D858" s="340" t="s">
        <v>3477</v>
      </c>
      <c r="E858" s="159" t="s">
        <v>1085</v>
      </c>
      <c r="F858" s="159" t="s">
        <v>775</v>
      </c>
      <c r="G858" s="159" t="s">
        <v>309</v>
      </c>
      <c r="H858" s="159" t="s">
        <v>424</v>
      </c>
      <c r="I858" s="159" t="s">
        <v>425</v>
      </c>
      <c r="J858" s="159" t="s">
        <v>426</v>
      </c>
      <c r="K858" s="159" t="s">
        <v>1849</v>
      </c>
      <c r="L858" s="39" t="s">
        <v>304</v>
      </c>
      <c r="M858" s="39" t="s">
        <v>305</v>
      </c>
      <c r="N858" s="39">
        <v>11</v>
      </c>
      <c r="O858" s="39" t="s">
        <v>423</v>
      </c>
      <c r="P858" s="39" t="s">
        <v>423</v>
      </c>
      <c r="Q858" s="39" t="s">
        <v>1666</v>
      </c>
      <c r="R858" s="16" t="s">
        <v>83</v>
      </c>
      <c r="S858" s="160">
        <v>20000</v>
      </c>
      <c r="T858" s="160">
        <v>0</v>
      </c>
      <c r="U858" s="160">
        <v>0</v>
      </c>
      <c r="V858" s="160">
        <v>356.4</v>
      </c>
      <c r="W858" s="160">
        <v>19643.599999999999</v>
      </c>
      <c r="X858" s="161">
        <v>0</v>
      </c>
      <c r="Y858" s="160"/>
      <c r="Z858" s="16">
        <v>1.78</v>
      </c>
      <c r="AA858" s="162">
        <v>356.4</v>
      </c>
      <c r="AB858" s="162">
        <v>89.1</v>
      </c>
      <c r="AC858" s="162">
        <v>1069.1999999999998</v>
      </c>
      <c r="AD858" s="160">
        <v>0</v>
      </c>
      <c r="AE858" s="145">
        <v>20000</v>
      </c>
      <c r="AF858" s="163">
        <v>1.0469999999999999</v>
      </c>
      <c r="AG858" s="164">
        <v>1.046</v>
      </c>
      <c r="AH858" s="164">
        <v>1.046</v>
      </c>
      <c r="AI858" s="164">
        <v>20000</v>
      </c>
      <c r="AJ858" s="164">
        <f t="shared" si="122"/>
        <v>0</v>
      </c>
      <c r="AK858" s="165">
        <v>20000</v>
      </c>
      <c r="AL858" s="165">
        <v>20940</v>
      </c>
      <c r="AM858" s="165">
        <f t="shared" si="116"/>
        <v>21903.24</v>
      </c>
      <c r="AN858" s="165">
        <f t="shared" si="117"/>
        <v>22910.789040000003</v>
      </c>
      <c r="AO858" s="145"/>
      <c r="AP858" s="231">
        <f t="shared" si="123"/>
        <v>-940</v>
      </c>
      <c r="AR858" s="231"/>
      <c r="AS858" s="231"/>
      <c r="AU858" s="230">
        <v>20000</v>
      </c>
      <c r="AV858" s="233">
        <v>20000</v>
      </c>
      <c r="AW858" s="230">
        <f t="shared" si="121"/>
        <v>0</v>
      </c>
    </row>
    <row r="859" spans="1:49" hidden="1" x14ac:dyDescent="0.3">
      <c r="A859" s="16" t="s">
        <v>83</v>
      </c>
      <c r="B859" s="39" t="s">
        <v>1667</v>
      </c>
      <c r="C859" s="39" t="s">
        <v>423</v>
      </c>
      <c r="D859" s="340" t="s">
        <v>3477</v>
      </c>
      <c r="E859" s="159" t="s">
        <v>1085</v>
      </c>
      <c r="F859" s="159" t="s">
        <v>775</v>
      </c>
      <c r="G859" s="159" t="s">
        <v>309</v>
      </c>
      <c r="H859" s="159" t="s">
        <v>424</v>
      </c>
      <c r="I859" s="159" t="s">
        <v>425</v>
      </c>
      <c r="J859" s="159" t="s">
        <v>1278</v>
      </c>
      <c r="K859" s="159" t="s">
        <v>1849</v>
      </c>
      <c r="L859" s="39" t="s">
        <v>304</v>
      </c>
      <c r="M859" s="39" t="s">
        <v>305</v>
      </c>
      <c r="N859" s="39">
        <v>11</v>
      </c>
      <c r="O859" s="39" t="s">
        <v>423</v>
      </c>
      <c r="P859" s="39" t="s">
        <v>423</v>
      </c>
      <c r="Q859" s="39" t="s">
        <v>1667</v>
      </c>
      <c r="R859" s="16" t="s">
        <v>83</v>
      </c>
      <c r="S859" s="160">
        <v>0</v>
      </c>
      <c r="T859" s="160">
        <v>0</v>
      </c>
      <c r="U859" s="160">
        <v>0</v>
      </c>
      <c r="V859" s="160">
        <v>0</v>
      </c>
      <c r="W859" s="160">
        <v>0</v>
      </c>
      <c r="X859" s="161">
        <v>0</v>
      </c>
      <c r="Y859" s="160"/>
      <c r="Z859" s="16">
        <v>0</v>
      </c>
      <c r="AA859" s="162">
        <v>0</v>
      </c>
      <c r="AB859" s="162">
        <v>0</v>
      </c>
      <c r="AC859" s="162">
        <v>0</v>
      </c>
      <c r="AD859" s="160">
        <v>0</v>
      </c>
      <c r="AE859" s="145">
        <v>0</v>
      </c>
      <c r="AF859" s="163">
        <v>1.0469999999999999</v>
      </c>
      <c r="AG859" s="164">
        <v>1.046</v>
      </c>
      <c r="AH859" s="164">
        <v>1.046</v>
      </c>
      <c r="AI859" s="164">
        <v>0</v>
      </c>
      <c r="AJ859" s="164">
        <f t="shared" si="122"/>
        <v>0</v>
      </c>
      <c r="AK859" s="165">
        <v>0</v>
      </c>
      <c r="AL859" s="165">
        <v>0</v>
      </c>
      <c r="AM859" s="165">
        <f t="shared" si="116"/>
        <v>0</v>
      </c>
      <c r="AN859" s="165">
        <f t="shared" si="117"/>
        <v>0</v>
      </c>
      <c r="AO859" s="16"/>
      <c r="AP859" s="231">
        <f t="shared" si="123"/>
        <v>0</v>
      </c>
      <c r="AR859" s="231"/>
      <c r="AS859" s="231"/>
      <c r="AU859" s="230">
        <v>0</v>
      </c>
      <c r="AV859" s="233">
        <v>0</v>
      </c>
      <c r="AW859" s="230">
        <f t="shared" si="121"/>
        <v>0</v>
      </c>
    </row>
    <row r="860" spans="1:49" s="146" customFormat="1" hidden="1" x14ac:dyDescent="0.3">
      <c r="A860" s="84" t="s">
        <v>897</v>
      </c>
      <c r="B860" s="147" t="s">
        <v>1668</v>
      </c>
      <c r="C860" s="147" t="s">
        <v>423</v>
      </c>
      <c r="D860" s="340" t="s">
        <v>3477</v>
      </c>
      <c r="E860" s="183" t="s">
        <v>1085</v>
      </c>
      <c r="F860" s="183" t="s">
        <v>775</v>
      </c>
      <c r="G860" s="183" t="s">
        <v>309</v>
      </c>
      <c r="H860" s="183" t="s">
        <v>424</v>
      </c>
      <c r="I860" s="183" t="s">
        <v>425</v>
      </c>
      <c r="J860" s="183" t="s">
        <v>1280</v>
      </c>
      <c r="K860" s="183" t="s">
        <v>1849</v>
      </c>
      <c r="L860" s="147" t="s">
        <v>304</v>
      </c>
      <c r="M860" s="147" t="s">
        <v>305</v>
      </c>
      <c r="N860" s="147">
        <v>11</v>
      </c>
      <c r="O860" s="147" t="s">
        <v>423</v>
      </c>
      <c r="P860" s="147" t="s">
        <v>423</v>
      </c>
      <c r="Q860" s="147" t="s">
        <v>1668</v>
      </c>
      <c r="R860" s="84" t="s">
        <v>897</v>
      </c>
      <c r="S860" s="160">
        <v>2897329</v>
      </c>
      <c r="T860" s="148">
        <v>385832.58</v>
      </c>
      <c r="U860" s="148">
        <v>613696.31999999995</v>
      </c>
      <c r="V860" s="148">
        <v>741699.59</v>
      </c>
      <c r="W860" s="148">
        <v>2155629.41</v>
      </c>
      <c r="X860" s="184">
        <v>643606.86999999988</v>
      </c>
      <c r="Y860" s="148"/>
      <c r="Z860" s="84">
        <v>25.59</v>
      </c>
      <c r="AA860" s="185">
        <v>1355395.91</v>
      </c>
      <c r="AB860" s="185">
        <v>338848.97749999998</v>
      </c>
      <c r="AC860" s="185">
        <v>4066187.7299999995</v>
      </c>
      <c r="AD860" s="148">
        <v>1168858.7299999995</v>
      </c>
      <c r="AE860" s="145">
        <v>4066187.7299999995</v>
      </c>
      <c r="AF860" s="186">
        <v>1.0469999999999999</v>
      </c>
      <c r="AG860" s="187">
        <v>1.046</v>
      </c>
      <c r="AH860" s="187">
        <v>1.046</v>
      </c>
      <c r="AI860" s="187">
        <v>4066187.7299999995</v>
      </c>
      <c r="AJ860" s="164">
        <f t="shared" si="122"/>
        <v>0</v>
      </c>
      <c r="AK860" s="165">
        <v>2900000</v>
      </c>
      <c r="AL860" s="165">
        <f>AK860</f>
        <v>2900000</v>
      </c>
      <c r="AM860" s="165">
        <f t="shared" si="116"/>
        <v>3033400</v>
      </c>
      <c r="AN860" s="165">
        <f t="shared" si="117"/>
        <v>3172936.4</v>
      </c>
      <c r="AO860" s="149" t="s">
        <v>2107</v>
      </c>
      <c r="AP860" s="231">
        <f t="shared" si="123"/>
        <v>0</v>
      </c>
      <c r="AQ860" s="182"/>
      <c r="AR860" s="231"/>
      <c r="AS860" s="231"/>
      <c r="AT860"/>
      <c r="AU860" s="230">
        <v>2897329</v>
      </c>
      <c r="AV860" s="233">
        <v>4066187.7299999995</v>
      </c>
      <c r="AW860" s="230">
        <f t="shared" si="121"/>
        <v>0</v>
      </c>
    </row>
    <row r="861" spans="1:49" hidden="1" x14ac:dyDescent="0.3">
      <c r="A861" s="16" t="s">
        <v>537</v>
      </c>
      <c r="B861" s="39" t="s">
        <v>1669</v>
      </c>
      <c r="C861" s="39" t="s">
        <v>423</v>
      </c>
      <c r="D861" s="340" t="s">
        <v>3477</v>
      </c>
      <c r="E861" s="159" t="s">
        <v>1085</v>
      </c>
      <c r="F861" s="159" t="s">
        <v>775</v>
      </c>
      <c r="G861" s="159" t="s">
        <v>309</v>
      </c>
      <c r="H861" s="159" t="s">
        <v>424</v>
      </c>
      <c r="I861" s="159" t="s">
        <v>425</v>
      </c>
      <c r="J861" s="159" t="s">
        <v>538</v>
      </c>
      <c r="K861" s="159" t="s">
        <v>1849</v>
      </c>
      <c r="L861" s="39" t="s">
        <v>304</v>
      </c>
      <c r="M861" s="39" t="s">
        <v>305</v>
      </c>
      <c r="N861" s="39">
        <v>11</v>
      </c>
      <c r="O861" s="39" t="s">
        <v>423</v>
      </c>
      <c r="P861" s="39" t="s">
        <v>423</v>
      </c>
      <c r="Q861" s="39" t="s">
        <v>1669</v>
      </c>
      <c r="R861" s="16" t="s">
        <v>537</v>
      </c>
      <c r="S861" s="160">
        <v>5000</v>
      </c>
      <c r="T861" s="160">
        <v>0</v>
      </c>
      <c r="U861" s="160">
        <v>0</v>
      </c>
      <c r="V861" s="160">
        <v>281.98</v>
      </c>
      <c r="W861" s="160">
        <v>4718.0200000000004</v>
      </c>
      <c r="X861" s="161">
        <v>0</v>
      </c>
      <c r="Y861" s="160"/>
      <c r="Z861" s="16">
        <v>5.63</v>
      </c>
      <c r="AA861" s="162">
        <v>281.98</v>
      </c>
      <c r="AB861" s="162">
        <v>70.495000000000005</v>
      </c>
      <c r="AC861" s="162">
        <v>845.94</v>
      </c>
      <c r="AD861" s="160">
        <v>0</v>
      </c>
      <c r="AE861" s="145">
        <v>5000</v>
      </c>
      <c r="AF861" s="163">
        <v>1.0469999999999999</v>
      </c>
      <c r="AG861" s="164">
        <v>1.046</v>
      </c>
      <c r="AH861" s="164">
        <v>1.046</v>
      </c>
      <c r="AI861" s="164">
        <v>5000</v>
      </c>
      <c r="AJ861" s="164">
        <f t="shared" si="122"/>
        <v>0</v>
      </c>
      <c r="AK861" s="165">
        <v>5000</v>
      </c>
      <c r="AL861" s="165">
        <v>5235</v>
      </c>
      <c r="AM861" s="165">
        <f t="shared" si="116"/>
        <v>5475.81</v>
      </c>
      <c r="AN861" s="165">
        <f t="shared" si="117"/>
        <v>5727.6972600000008</v>
      </c>
      <c r="AO861" s="16"/>
      <c r="AP861" s="231">
        <f t="shared" si="123"/>
        <v>-235</v>
      </c>
      <c r="AR861" s="231"/>
      <c r="AS861" s="231"/>
      <c r="AU861" s="230">
        <v>5000</v>
      </c>
      <c r="AV861" s="233">
        <v>5000</v>
      </c>
      <c r="AW861" s="230">
        <f t="shared" si="121"/>
        <v>0</v>
      </c>
    </row>
    <row r="862" spans="1:49" hidden="1" x14ac:dyDescent="0.3">
      <c r="A862" s="16" t="s">
        <v>499</v>
      </c>
      <c r="B862" s="39" t="s">
        <v>1670</v>
      </c>
      <c r="C862" s="39" t="s">
        <v>95</v>
      </c>
      <c r="D862" s="340" t="s">
        <v>3477</v>
      </c>
      <c r="E862" s="159" t="s">
        <v>1085</v>
      </c>
      <c r="F862" s="159" t="s">
        <v>775</v>
      </c>
      <c r="G862" s="159" t="s">
        <v>309</v>
      </c>
      <c r="H862" s="159" t="s">
        <v>501</v>
      </c>
      <c r="I862" s="159" t="s">
        <v>502</v>
      </c>
      <c r="J862" s="159" t="s">
        <v>312</v>
      </c>
      <c r="K862" s="159" t="s">
        <v>1849</v>
      </c>
      <c r="L862" s="39" t="s">
        <v>304</v>
      </c>
      <c r="M862" s="39" t="s">
        <v>305</v>
      </c>
      <c r="N862" s="39">
        <v>11</v>
      </c>
      <c r="O862" s="39" t="s">
        <v>95</v>
      </c>
      <c r="P862" s="39" t="s">
        <v>95</v>
      </c>
      <c r="Q862" s="39" t="s">
        <v>1670</v>
      </c>
      <c r="R862" s="16" t="s">
        <v>499</v>
      </c>
      <c r="S862" s="160">
        <v>0</v>
      </c>
      <c r="T862" s="160">
        <v>0</v>
      </c>
      <c r="U862" s="160">
        <v>0</v>
      </c>
      <c r="V862" s="160">
        <v>0</v>
      </c>
      <c r="W862" s="160">
        <v>0</v>
      </c>
      <c r="X862" s="161">
        <v>0</v>
      </c>
      <c r="Y862" s="160"/>
      <c r="Z862" s="16">
        <v>0</v>
      </c>
      <c r="AA862" s="162">
        <v>0</v>
      </c>
      <c r="AB862" s="162">
        <v>0</v>
      </c>
      <c r="AC862" s="162">
        <v>0</v>
      </c>
      <c r="AD862" s="160">
        <v>0</v>
      </c>
      <c r="AE862" s="145">
        <v>0</v>
      </c>
      <c r="AF862" s="163">
        <v>1.0469999999999999</v>
      </c>
      <c r="AG862" s="164">
        <v>1.046</v>
      </c>
      <c r="AH862" s="164">
        <v>1.046</v>
      </c>
      <c r="AI862" s="164">
        <v>0</v>
      </c>
      <c r="AJ862" s="164">
        <f t="shared" si="122"/>
        <v>0</v>
      </c>
      <c r="AK862" s="165">
        <v>0</v>
      </c>
      <c r="AL862" s="165">
        <v>0</v>
      </c>
      <c r="AM862" s="165">
        <f t="shared" ref="AM862:AM925" si="124">AL862*AG862</f>
        <v>0</v>
      </c>
      <c r="AN862" s="165">
        <f t="shared" ref="AN862:AN925" si="125">AM862*AH862</f>
        <v>0</v>
      </c>
      <c r="AO862" s="16"/>
      <c r="AP862" s="231">
        <f t="shared" si="123"/>
        <v>0</v>
      </c>
      <c r="AR862" s="231"/>
      <c r="AS862" s="231"/>
      <c r="AU862" s="230">
        <v>0</v>
      </c>
      <c r="AV862" s="233">
        <v>0</v>
      </c>
      <c r="AW862" s="230">
        <f t="shared" si="121"/>
        <v>0</v>
      </c>
    </row>
    <row r="863" spans="1:49" hidden="1" x14ac:dyDescent="0.3">
      <c r="A863" s="16" t="s">
        <v>931</v>
      </c>
      <c r="B863" s="39" t="s">
        <v>1671</v>
      </c>
      <c r="C863" s="39" t="s">
        <v>95</v>
      </c>
      <c r="D863" s="340" t="s">
        <v>3477</v>
      </c>
      <c r="E863" s="159" t="s">
        <v>1085</v>
      </c>
      <c r="F863" s="159" t="s">
        <v>775</v>
      </c>
      <c r="G863" s="159" t="s">
        <v>309</v>
      </c>
      <c r="H863" s="159" t="s">
        <v>501</v>
      </c>
      <c r="I863" s="159" t="s">
        <v>573</v>
      </c>
      <c r="J863" s="159" t="s">
        <v>312</v>
      </c>
      <c r="K863" s="159" t="s">
        <v>1849</v>
      </c>
      <c r="L863" s="39" t="s">
        <v>304</v>
      </c>
      <c r="M863" s="39" t="s">
        <v>305</v>
      </c>
      <c r="N863" s="39">
        <v>11</v>
      </c>
      <c r="O863" s="39" t="s">
        <v>95</v>
      </c>
      <c r="P863" s="39" t="s">
        <v>932</v>
      </c>
      <c r="Q863" s="39" t="s">
        <v>1671</v>
      </c>
      <c r="R863" s="16" t="s">
        <v>931</v>
      </c>
      <c r="S863" s="160">
        <v>0</v>
      </c>
      <c r="T863" s="160">
        <v>0</v>
      </c>
      <c r="U863" s="160">
        <v>0</v>
      </c>
      <c r="V863" s="160">
        <v>0</v>
      </c>
      <c r="W863" s="160">
        <v>0</v>
      </c>
      <c r="X863" s="161">
        <v>0</v>
      </c>
      <c r="Y863" s="160"/>
      <c r="Z863" s="16">
        <v>0</v>
      </c>
      <c r="AA863" s="162">
        <v>0</v>
      </c>
      <c r="AB863" s="162">
        <v>0</v>
      </c>
      <c r="AC863" s="162">
        <v>0</v>
      </c>
      <c r="AD863" s="160">
        <v>0</v>
      </c>
      <c r="AE863" s="145">
        <v>0</v>
      </c>
      <c r="AF863" s="163">
        <v>1.0469999999999999</v>
      </c>
      <c r="AG863" s="164">
        <v>1.046</v>
      </c>
      <c r="AH863" s="164">
        <v>1.046</v>
      </c>
      <c r="AI863" s="164">
        <v>0</v>
      </c>
      <c r="AJ863" s="164">
        <f t="shared" si="122"/>
        <v>0</v>
      </c>
      <c r="AK863" s="165">
        <v>0</v>
      </c>
      <c r="AL863" s="165">
        <v>0</v>
      </c>
      <c r="AM863" s="165">
        <f t="shared" si="124"/>
        <v>0</v>
      </c>
      <c r="AN863" s="165">
        <f t="shared" si="125"/>
        <v>0</v>
      </c>
      <c r="AO863" s="16"/>
      <c r="AP863" s="231">
        <f t="shared" si="123"/>
        <v>0</v>
      </c>
      <c r="AR863" s="231"/>
      <c r="AS863" s="231"/>
      <c r="AU863" s="230">
        <v>0</v>
      </c>
      <c r="AV863" s="233">
        <v>0</v>
      </c>
      <c r="AW863" s="230">
        <f t="shared" si="121"/>
        <v>0</v>
      </c>
    </row>
    <row r="864" spans="1:49" hidden="1" x14ac:dyDescent="0.3">
      <c r="A864" s="16" t="s">
        <v>240</v>
      </c>
      <c r="B864" s="39" t="s">
        <v>1672</v>
      </c>
      <c r="C864" s="39" t="s">
        <v>1673</v>
      </c>
      <c r="D864" s="340" t="s">
        <v>3477</v>
      </c>
      <c r="E864" s="159" t="s">
        <v>1085</v>
      </c>
      <c r="F864" s="159" t="s">
        <v>775</v>
      </c>
      <c r="G864" s="159" t="s">
        <v>1078</v>
      </c>
      <c r="H864" s="159" t="s">
        <v>1194</v>
      </c>
      <c r="I864" s="159" t="s">
        <v>1199</v>
      </c>
      <c r="J864" s="159" t="s">
        <v>312</v>
      </c>
      <c r="K864" s="159" t="s">
        <v>1997</v>
      </c>
      <c r="L864" s="39" t="s">
        <v>1674</v>
      </c>
      <c r="M864" s="39" t="s">
        <v>305</v>
      </c>
      <c r="N864" s="39">
        <v>11</v>
      </c>
      <c r="O864" s="39" t="s">
        <v>1673</v>
      </c>
      <c r="P864" s="39">
        <v>0</v>
      </c>
      <c r="Q864" s="39" t="s">
        <v>1672</v>
      </c>
      <c r="R864" s="16" t="s">
        <v>240</v>
      </c>
      <c r="S864" s="160">
        <v>0</v>
      </c>
      <c r="T864" s="160">
        <v>0</v>
      </c>
      <c r="U864" s="160">
        <v>0</v>
      </c>
      <c r="V864" s="160">
        <v>0</v>
      </c>
      <c r="W864" s="160">
        <v>0</v>
      </c>
      <c r="X864" s="161">
        <v>0</v>
      </c>
      <c r="Y864" s="160"/>
      <c r="Z864" s="16">
        <v>0</v>
      </c>
      <c r="AA864" s="162">
        <v>0</v>
      </c>
      <c r="AB864" s="162">
        <v>0</v>
      </c>
      <c r="AC864" s="162">
        <v>0</v>
      </c>
      <c r="AD864" s="160">
        <v>0</v>
      </c>
      <c r="AE864" s="145">
        <v>0</v>
      </c>
      <c r="AF864" s="163">
        <v>1.0469999999999999</v>
      </c>
      <c r="AG864" s="164">
        <v>1.046</v>
      </c>
      <c r="AH864" s="164">
        <v>1.046</v>
      </c>
      <c r="AI864" s="164">
        <v>0</v>
      </c>
      <c r="AJ864" s="164">
        <f t="shared" si="122"/>
        <v>0</v>
      </c>
      <c r="AK864" s="165">
        <v>0</v>
      </c>
      <c r="AL864" s="165">
        <v>0</v>
      </c>
      <c r="AM864" s="165">
        <f t="shared" si="124"/>
        <v>0</v>
      </c>
      <c r="AN864" s="165">
        <f t="shared" si="125"/>
        <v>0</v>
      </c>
      <c r="AO864" s="16"/>
      <c r="AP864" s="231">
        <f t="shared" si="123"/>
        <v>0</v>
      </c>
      <c r="AR864" s="231"/>
      <c r="AS864" s="231"/>
      <c r="AU864" s="230">
        <v>0</v>
      </c>
      <c r="AV864" s="233">
        <v>0</v>
      </c>
      <c r="AW864" s="230">
        <f t="shared" si="121"/>
        <v>0</v>
      </c>
    </row>
    <row r="865" spans="1:49" s="250" customFormat="1" hidden="1" x14ac:dyDescent="0.3">
      <c r="A865" s="241" t="s">
        <v>240</v>
      </c>
      <c r="B865" s="242" t="s">
        <v>1675</v>
      </c>
      <c r="C865" s="242" t="s">
        <v>1673</v>
      </c>
      <c r="D865" s="340" t="s">
        <v>3477</v>
      </c>
      <c r="E865" s="243" t="s">
        <v>1085</v>
      </c>
      <c r="F865" s="243" t="s">
        <v>775</v>
      </c>
      <c r="G865" s="243" t="s">
        <v>1078</v>
      </c>
      <c r="H865" s="243" t="s">
        <v>1194</v>
      </c>
      <c r="I865" s="243" t="s">
        <v>1199</v>
      </c>
      <c r="J865" s="243" t="s">
        <v>312</v>
      </c>
      <c r="K865" s="243" t="s">
        <v>1081</v>
      </c>
      <c r="L865" s="242" t="s">
        <v>1674</v>
      </c>
      <c r="M865" s="242" t="s">
        <v>305</v>
      </c>
      <c r="N865" s="242">
        <v>11</v>
      </c>
      <c r="O865" s="242" t="s">
        <v>1673</v>
      </c>
      <c r="P865" s="242" t="s">
        <v>1673</v>
      </c>
      <c r="Q865" s="242" t="s">
        <v>1675</v>
      </c>
      <c r="R865" s="241" t="s">
        <v>240</v>
      </c>
      <c r="S865" s="223">
        <v>2176900</v>
      </c>
      <c r="T865" s="160">
        <v>157797.54</v>
      </c>
      <c r="U865" s="160">
        <v>0</v>
      </c>
      <c r="V865" s="160">
        <v>956392.71</v>
      </c>
      <c r="W865" s="160">
        <v>1220507.29</v>
      </c>
      <c r="X865" s="161">
        <v>0</v>
      </c>
      <c r="Y865" s="160"/>
      <c r="Z865" s="16">
        <v>43.93</v>
      </c>
      <c r="AA865" s="162">
        <v>956392.71</v>
      </c>
      <c r="AB865" s="224">
        <v>239098.17749999999</v>
      </c>
      <c r="AC865" s="224">
        <v>2869178.13</v>
      </c>
      <c r="AD865" s="223">
        <v>2000000</v>
      </c>
      <c r="AE865" s="244">
        <v>2176900</v>
      </c>
      <c r="AF865" s="220">
        <v>1.0469999999999999</v>
      </c>
      <c r="AG865" s="221">
        <v>1.046</v>
      </c>
      <c r="AH865" s="221">
        <v>1.046</v>
      </c>
      <c r="AI865" s="245">
        <v>4176900</v>
      </c>
      <c r="AJ865" s="164">
        <f t="shared" si="122"/>
        <v>-2000000</v>
      </c>
      <c r="AK865" s="246">
        <f>AE865</f>
        <v>2176900</v>
      </c>
      <c r="AL865" s="246">
        <f t="shared" ref="AL865" si="126">AK865</f>
        <v>2176900</v>
      </c>
      <c r="AM865" s="246">
        <f t="shared" si="124"/>
        <v>2277037.4</v>
      </c>
      <c r="AN865" s="246">
        <f t="shared" si="125"/>
        <v>2381781.1203999999</v>
      </c>
      <c r="AO865" s="244" t="s">
        <v>2107</v>
      </c>
      <c r="AP865" s="247">
        <f t="shared" si="123"/>
        <v>0</v>
      </c>
      <c r="AR865" s="231"/>
      <c r="AS865" s="231"/>
      <c r="AU865" s="248">
        <v>2176900</v>
      </c>
      <c r="AV865" s="249">
        <v>4176900</v>
      </c>
      <c r="AW865" s="248">
        <f t="shared" si="121"/>
        <v>0</v>
      </c>
    </row>
    <row r="866" spans="1:49" s="172" customFormat="1" x14ac:dyDescent="0.3">
      <c r="A866" s="166" t="s">
        <v>50</v>
      </c>
      <c r="B866" s="167" t="s">
        <v>1676</v>
      </c>
      <c r="C866" s="167" t="s">
        <v>302</v>
      </c>
      <c r="D866" s="412" t="s">
        <v>3478</v>
      </c>
      <c r="E866" s="168" t="s">
        <v>1085</v>
      </c>
      <c r="F866" s="168" t="s">
        <v>1179</v>
      </c>
      <c r="G866" s="168" t="s">
        <v>309</v>
      </c>
      <c r="H866" s="168" t="s">
        <v>373</v>
      </c>
      <c r="I866" s="168" t="s">
        <v>374</v>
      </c>
      <c r="J866" s="168" t="s">
        <v>312</v>
      </c>
      <c r="K866" s="168" t="s">
        <v>1849</v>
      </c>
      <c r="L866" s="167" t="s">
        <v>304</v>
      </c>
      <c r="M866" s="167" t="s">
        <v>305</v>
      </c>
      <c r="N866" s="167">
        <v>11</v>
      </c>
      <c r="O866" s="167" t="s">
        <v>302</v>
      </c>
      <c r="P866" s="167" t="s">
        <v>302</v>
      </c>
      <c r="Q866" s="167" t="s">
        <v>1676</v>
      </c>
      <c r="R866" s="166" t="s">
        <v>50</v>
      </c>
      <c r="S866" s="169">
        <v>26575285</v>
      </c>
      <c r="T866" s="160">
        <v>2435236.62</v>
      </c>
      <c r="U866" s="160">
        <v>0</v>
      </c>
      <c r="V866" s="160">
        <v>9163706.25</v>
      </c>
      <c r="W866" s="160">
        <v>17411578.75</v>
      </c>
      <c r="X866" s="161">
        <v>0</v>
      </c>
      <c r="Y866" s="160"/>
      <c r="Z866" s="16">
        <v>34.479999999999997</v>
      </c>
      <c r="AA866" s="162">
        <v>9163706.25</v>
      </c>
      <c r="AB866" s="162">
        <v>2290926.5625</v>
      </c>
      <c r="AC866" s="162">
        <v>27491118.75</v>
      </c>
      <c r="AD866" s="160">
        <v>0</v>
      </c>
      <c r="AE866" s="145">
        <v>26575285</v>
      </c>
      <c r="AF866" s="163">
        <v>1.0529999999999999</v>
      </c>
      <c r="AG866" s="163">
        <v>1.0489999999999999</v>
      </c>
      <c r="AH866" s="163">
        <v>1.0469999999999999</v>
      </c>
      <c r="AI866" s="164">
        <v>26575285</v>
      </c>
      <c r="AJ866" s="164">
        <f t="shared" si="122"/>
        <v>0</v>
      </c>
      <c r="AK866" s="229">
        <v>26575285</v>
      </c>
      <c r="AL866" s="229">
        <f ca="1">SUMIF('MS &amp; Vacancies combined'!A:J,D866,'MS &amp; Vacancies combined'!J:J)*105.3/100</f>
        <v>26212597.098791536</v>
      </c>
      <c r="AM866" s="229">
        <f t="shared" ca="1" si="124"/>
        <v>27497014.356632318</v>
      </c>
      <c r="AN866" s="229">
        <f t="shared" ca="1" si="125"/>
        <v>28789374.031394035</v>
      </c>
      <c r="AO866" s="166"/>
      <c r="AP866" s="413">
        <f t="shared" ca="1" si="123"/>
        <v>362687.90120846406</v>
      </c>
      <c r="AR866" s="231"/>
      <c r="AS866" s="231"/>
      <c r="AU866" s="414">
        <v>26575285</v>
      </c>
      <c r="AV866" s="415">
        <v>26575285</v>
      </c>
      <c r="AW866" s="414">
        <f t="shared" si="121"/>
        <v>0</v>
      </c>
    </row>
    <row r="867" spans="1:49" s="172" customFormat="1" x14ac:dyDescent="0.3">
      <c r="A867" s="166" t="s">
        <v>52</v>
      </c>
      <c r="B867" s="167" t="s">
        <v>1677</v>
      </c>
      <c r="C867" s="167" t="s">
        <v>376</v>
      </c>
      <c r="D867" s="412" t="s">
        <v>3478</v>
      </c>
      <c r="E867" s="168" t="s">
        <v>1085</v>
      </c>
      <c r="F867" s="168" t="s">
        <v>1179</v>
      </c>
      <c r="G867" s="168" t="s">
        <v>309</v>
      </c>
      <c r="H867" s="168" t="s">
        <v>373</v>
      </c>
      <c r="I867" s="168" t="s">
        <v>377</v>
      </c>
      <c r="J867" s="168" t="s">
        <v>312</v>
      </c>
      <c r="K867" s="168" t="s">
        <v>1849</v>
      </c>
      <c r="L867" s="167" t="s">
        <v>304</v>
      </c>
      <c r="M867" s="167" t="s">
        <v>305</v>
      </c>
      <c r="N867" s="167">
        <v>11</v>
      </c>
      <c r="O867" s="167" t="s">
        <v>376</v>
      </c>
      <c r="P867" s="167" t="s">
        <v>376</v>
      </c>
      <c r="Q867" s="167" t="s">
        <v>1677</v>
      </c>
      <c r="R867" s="166" t="s">
        <v>52</v>
      </c>
      <c r="S867" s="169">
        <v>72312</v>
      </c>
      <c r="T867" s="160">
        <v>4750</v>
      </c>
      <c r="U867" s="160">
        <v>0</v>
      </c>
      <c r="V867" s="160">
        <v>19000</v>
      </c>
      <c r="W867" s="160">
        <v>53312</v>
      </c>
      <c r="X867" s="161">
        <v>0</v>
      </c>
      <c r="Y867" s="160"/>
      <c r="Z867" s="16">
        <v>26.27</v>
      </c>
      <c r="AA867" s="162">
        <v>19000</v>
      </c>
      <c r="AB867" s="162">
        <v>4750</v>
      </c>
      <c r="AC867" s="162">
        <v>57000</v>
      </c>
      <c r="AD867" s="160">
        <v>0</v>
      </c>
      <c r="AE867" s="145">
        <v>72312</v>
      </c>
      <c r="AF867" s="163">
        <v>1.0529999999999999</v>
      </c>
      <c r="AG867" s="163">
        <v>1.0489999999999999</v>
      </c>
      <c r="AH867" s="163">
        <v>1.0469999999999999</v>
      </c>
      <c r="AI867" s="164">
        <v>72312</v>
      </c>
      <c r="AJ867" s="164">
        <f t="shared" si="122"/>
        <v>0</v>
      </c>
      <c r="AK867" s="229">
        <v>72312</v>
      </c>
      <c r="AL867" s="229">
        <f ca="1">SUMIF('MS &amp; Vacancies combined'!A:M,D867,'MS &amp; Vacancies combined'!M:M)*105.3/100</f>
        <v>47331.990459481589</v>
      </c>
      <c r="AM867" s="229">
        <f t="shared" ca="1" si="124"/>
        <v>49651.257991996186</v>
      </c>
      <c r="AN867" s="229">
        <f t="shared" ca="1" si="125"/>
        <v>51984.86711762</v>
      </c>
      <c r="AO867" s="166"/>
      <c r="AP867" s="413">
        <f t="shared" ca="1" si="123"/>
        <v>24980.009540518411</v>
      </c>
      <c r="AR867" s="231"/>
      <c r="AS867" s="231"/>
      <c r="AU867" s="414">
        <v>72312</v>
      </c>
      <c r="AV867" s="415">
        <v>72312</v>
      </c>
      <c r="AW867" s="414">
        <f t="shared" si="121"/>
        <v>0</v>
      </c>
    </row>
    <row r="868" spans="1:49" s="172" customFormat="1" x14ac:dyDescent="0.3">
      <c r="A868" s="166" t="s">
        <v>54</v>
      </c>
      <c r="B868" s="167" t="s">
        <v>1678</v>
      </c>
      <c r="C868" s="167" t="s">
        <v>379</v>
      </c>
      <c r="D868" s="412" t="s">
        <v>3478</v>
      </c>
      <c r="E868" s="168" t="s">
        <v>1085</v>
      </c>
      <c r="F868" s="168" t="s">
        <v>1179</v>
      </c>
      <c r="G868" s="168" t="s">
        <v>309</v>
      </c>
      <c r="H868" s="168" t="s">
        <v>373</v>
      </c>
      <c r="I868" s="168" t="s">
        <v>380</v>
      </c>
      <c r="J868" s="168" t="s">
        <v>312</v>
      </c>
      <c r="K868" s="168" t="s">
        <v>1849</v>
      </c>
      <c r="L868" s="167" t="s">
        <v>304</v>
      </c>
      <c r="M868" s="167" t="s">
        <v>305</v>
      </c>
      <c r="N868" s="167">
        <v>11</v>
      </c>
      <c r="O868" s="167" t="s">
        <v>379</v>
      </c>
      <c r="P868" s="167" t="s">
        <v>379</v>
      </c>
      <c r="Q868" s="167" t="s">
        <v>1678</v>
      </c>
      <c r="R868" s="166" t="s">
        <v>54</v>
      </c>
      <c r="S868" s="169">
        <v>873337</v>
      </c>
      <c r="T868" s="160">
        <v>22258.94</v>
      </c>
      <c r="U868" s="160">
        <v>0</v>
      </c>
      <c r="V868" s="160">
        <v>88023.99</v>
      </c>
      <c r="W868" s="160">
        <v>785313.01</v>
      </c>
      <c r="X868" s="161">
        <v>0</v>
      </c>
      <c r="Y868" s="160"/>
      <c r="Z868" s="16">
        <v>10.07</v>
      </c>
      <c r="AA868" s="162">
        <v>88023.99</v>
      </c>
      <c r="AB868" s="162">
        <v>22005.997500000001</v>
      </c>
      <c r="AC868" s="162">
        <v>264071.97000000003</v>
      </c>
      <c r="AD868" s="160"/>
      <c r="AE868" s="145">
        <v>873337</v>
      </c>
      <c r="AF868" s="163">
        <v>1.0529999999999999</v>
      </c>
      <c r="AG868" s="163">
        <v>1.0489999999999999</v>
      </c>
      <c r="AH868" s="163">
        <v>1.0469999999999999</v>
      </c>
      <c r="AI868" s="164">
        <v>873337</v>
      </c>
      <c r="AJ868" s="164">
        <f t="shared" si="122"/>
        <v>0</v>
      </c>
      <c r="AK868" s="229">
        <v>873337</v>
      </c>
      <c r="AL868" s="229">
        <f ca="1">SUMIF('MS &amp; Vacancies combined'!A:L,D868,'MS &amp; Vacancies combined'!L:L)*105.3/100</f>
        <v>860530.07336980896</v>
      </c>
      <c r="AM868" s="229">
        <f t="shared" ca="1" si="124"/>
        <v>902696.04696492956</v>
      </c>
      <c r="AN868" s="229">
        <f t="shared" ca="1" si="125"/>
        <v>945122.76117228123</v>
      </c>
      <c r="AO868" s="166"/>
      <c r="AP868" s="413">
        <f t="shared" ca="1" si="123"/>
        <v>12806.926630191039</v>
      </c>
      <c r="AR868" s="231"/>
      <c r="AS868" s="231"/>
      <c r="AU868" s="414">
        <v>873337</v>
      </c>
      <c r="AV868" s="415">
        <v>873337</v>
      </c>
      <c r="AW868" s="414">
        <f t="shared" si="121"/>
        <v>0</v>
      </c>
    </row>
    <row r="869" spans="1:49" x14ac:dyDescent="0.3">
      <c r="A869" s="16" t="s">
        <v>55</v>
      </c>
      <c r="B869" s="39" t="s">
        <v>1679</v>
      </c>
      <c r="C869" s="39" t="s">
        <v>382</v>
      </c>
      <c r="D869" s="340" t="s">
        <v>3478</v>
      </c>
      <c r="E869" s="159" t="s">
        <v>1085</v>
      </c>
      <c r="F869" s="159" t="s">
        <v>1179</v>
      </c>
      <c r="G869" s="159" t="s">
        <v>309</v>
      </c>
      <c r="H869" s="159" t="s">
        <v>373</v>
      </c>
      <c r="I869" s="159" t="s">
        <v>383</v>
      </c>
      <c r="J869" s="159" t="s">
        <v>312</v>
      </c>
      <c r="K869" s="159" t="s">
        <v>1849</v>
      </c>
      <c r="L869" s="39" t="s">
        <v>304</v>
      </c>
      <c r="M869" s="39" t="s">
        <v>305</v>
      </c>
      <c r="N869" s="39">
        <v>11</v>
      </c>
      <c r="O869" s="39" t="s">
        <v>382</v>
      </c>
      <c r="P869" s="39" t="s">
        <v>382</v>
      </c>
      <c r="Q869" s="39" t="s">
        <v>1679</v>
      </c>
      <c r="R869" s="16" t="s">
        <v>55</v>
      </c>
      <c r="S869" s="169">
        <v>0</v>
      </c>
      <c r="T869" s="160">
        <v>0</v>
      </c>
      <c r="U869" s="160">
        <v>0</v>
      </c>
      <c r="V869" s="160">
        <v>0</v>
      </c>
      <c r="W869" s="160">
        <v>0</v>
      </c>
      <c r="X869" s="161">
        <v>0</v>
      </c>
      <c r="Y869" s="160"/>
      <c r="Z869" s="16">
        <v>0</v>
      </c>
      <c r="AA869" s="162">
        <v>0</v>
      </c>
      <c r="AB869" s="162">
        <v>0</v>
      </c>
      <c r="AC869" s="162">
        <v>0</v>
      </c>
      <c r="AD869" s="160"/>
      <c r="AE869" s="145">
        <v>0</v>
      </c>
      <c r="AF869" s="163">
        <v>1.0469999999999999</v>
      </c>
      <c r="AG869" s="164">
        <v>1.046</v>
      </c>
      <c r="AH869" s="164">
        <v>1.046</v>
      </c>
      <c r="AI869" s="164">
        <v>0</v>
      </c>
      <c r="AJ869" s="164">
        <f t="shared" si="122"/>
        <v>0</v>
      </c>
      <c r="AK869" s="165">
        <v>0</v>
      </c>
      <c r="AL869" s="165">
        <v>0</v>
      </c>
      <c r="AM869" s="165">
        <f t="shared" si="124"/>
        <v>0</v>
      </c>
      <c r="AN869" s="165">
        <f t="shared" si="125"/>
        <v>0</v>
      </c>
      <c r="AO869" s="16"/>
      <c r="AP869" s="231">
        <f t="shared" si="123"/>
        <v>0</v>
      </c>
      <c r="AR869" s="231"/>
      <c r="AS869" s="231"/>
      <c r="AU869" s="230">
        <v>0</v>
      </c>
      <c r="AV869" s="233">
        <v>0</v>
      </c>
      <c r="AW869" s="230">
        <f t="shared" si="121"/>
        <v>0</v>
      </c>
    </row>
    <row r="870" spans="1:49" x14ac:dyDescent="0.3">
      <c r="A870" s="16" t="s">
        <v>508</v>
      </c>
      <c r="B870" s="39" t="s">
        <v>1680</v>
      </c>
      <c r="C870" s="39" t="s">
        <v>385</v>
      </c>
      <c r="D870" s="340" t="s">
        <v>3478</v>
      </c>
      <c r="E870" s="159" t="s">
        <v>1085</v>
      </c>
      <c r="F870" s="159" t="s">
        <v>1179</v>
      </c>
      <c r="G870" s="159" t="s">
        <v>309</v>
      </c>
      <c r="H870" s="159" t="s">
        <v>373</v>
      </c>
      <c r="I870" s="159" t="s">
        <v>386</v>
      </c>
      <c r="J870" s="159" t="s">
        <v>312</v>
      </c>
      <c r="K870" s="159" t="s">
        <v>1849</v>
      </c>
      <c r="L870" s="39" t="s">
        <v>304</v>
      </c>
      <c r="M870" s="39" t="s">
        <v>305</v>
      </c>
      <c r="N870" s="39">
        <v>11</v>
      </c>
      <c r="O870" s="39" t="s">
        <v>385</v>
      </c>
      <c r="P870" s="39" t="s">
        <v>385</v>
      </c>
      <c r="Q870" s="39" t="s">
        <v>1680</v>
      </c>
      <c r="R870" s="16" t="s">
        <v>508</v>
      </c>
      <c r="S870" s="169">
        <v>0</v>
      </c>
      <c r="T870" s="160">
        <v>0</v>
      </c>
      <c r="U870" s="160">
        <v>0</v>
      </c>
      <c r="V870" s="160">
        <v>0</v>
      </c>
      <c r="W870" s="160">
        <v>0</v>
      </c>
      <c r="X870" s="161">
        <v>0</v>
      </c>
      <c r="Y870" s="160"/>
      <c r="Z870" s="16">
        <v>0</v>
      </c>
      <c r="AA870" s="162">
        <v>0</v>
      </c>
      <c r="AB870" s="162">
        <v>0</v>
      </c>
      <c r="AC870" s="162">
        <v>0</v>
      </c>
      <c r="AD870" s="160"/>
      <c r="AE870" s="145">
        <v>0</v>
      </c>
      <c r="AF870" s="163">
        <v>1.0469999999999999</v>
      </c>
      <c r="AG870" s="164">
        <v>1.046</v>
      </c>
      <c r="AH870" s="164">
        <v>1.046</v>
      </c>
      <c r="AI870" s="164">
        <v>0</v>
      </c>
      <c r="AJ870" s="164">
        <f t="shared" si="122"/>
        <v>0</v>
      </c>
      <c r="AK870" s="165">
        <v>0</v>
      </c>
      <c r="AL870" s="165">
        <v>0</v>
      </c>
      <c r="AM870" s="165">
        <f t="shared" si="124"/>
        <v>0</v>
      </c>
      <c r="AN870" s="165">
        <f t="shared" si="125"/>
        <v>0</v>
      </c>
      <c r="AO870" s="16"/>
      <c r="AP870" s="231">
        <f t="shared" si="123"/>
        <v>0</v>
      </c>
      <c r="AR870" s="231"/>
      <c r="AS870" s="231"/>
      <c r="AU870" s="230">
        <v>0</v>
      </c>
      <c r="AV870" s="233">
        <v>0</v>
      </c>
      <c r="AW870" s="230">
        <f t="shared" si="121"/>
        <v>0</v>
      </c>
    </row>
    <row r="871" spans="1:49" s="172" customFormat="1" x14ac:dyDescent="0.3">
      <c r="A871" s="166" t="s">
        <v>56</v>
      </c>
      <c r="B871" s="167" t="s">
        <v>1681</v>
      </c>
      <c r="C871" s="167" t="s">
        <v>385</v>
      </c>
      <c r="D871" s="412" t="s">
        <v>3478</v>
      </c>
      <c r="E871" s="168" t="s">
        <v>1085</v>
      </c>
      <c r="F871" s="168" t="s">
        <v>1179</v>
      </c>
      <c r="G871" s="168" t="s">
        <v>309</v>
      </c>
      <c r="H871" s="168" t="s">
        <v>373</v>
      </c>
      <c r="I871" s="168" t="s">
        <v>386</v>
      </c>
      <c r="J871" s="168" t="s">
        <v>387</v>
      </c>
      <c r="K871" s="168" t="s">
        <v>1849</v>
      </c>
      <c r="L871" s="167" t="s">
        <v>304</v>
      </c>
      <c r="M871" s="167" t="s">
        <v>305</v>
      </c>
      <c r="N871" s="167">
        <v>11</v>
      </c>
      <c r="O871" s="167" t="s">
        <v>385</v>
      </c>
      <c r="P871" s="167" t="s">
        <v>385</v>
      </c>
      <c r="Q871" s="167" t="s">
        <v>1681</v>
      </c>
      <c r="R871" s="166" t="s">
        <v>56</v>
      </c>
      <c r="S871" s="169">
        <v>223451</v>
      </c>
      <c r="T871" s="160">
        <v>364370.47</v>
      </c>
      <c r="U871" s="160">
        <v>0</v>
      </c>
      <c r="V871" s="160">
        <v>1449418.9</v>
      </c>
      <c r="W871" s="160">
        <v>-1225967.8999999999</v>
      </c>
      <c r="X871" s="161">
        <v>0</v>
      </c>
      <c r="Y871" s="160"/>
      <c r="Z871" s="16">
        <v>648.65</v>
      </c>
      <c r="AA871" s="162">
        <v>1449418.9</v>
      </c>
      <c r="AB871" s="162">
        <v>362354.72499999998</v>
      </c>
      <c r="AC871" s="162">
        <v>4348256.6999999993</v>
      </c>
      <c r="AD871" s="160"/>
      <c r="AE871" s="145">
        <v>223451</v>
      </c>
      <c r="AF871" s="163">
        <v>1.0529999999999999</v>
      </c>
      <c r="AG871" s="163">
        <v>1.0489999999999999</v>
      </c>
      <c r="AH871" s="163">
        <v>1.0469999999999999</v>
      </c>
      <c r="AI871" s="164">
        <v>223451</v>
      </c>
      <c r="AJ871" s="164">
        <f t="shared" si="122"/>
        <v>0</v>
      </c>
      <c r="AK871" s="229">
        <v>223451</v>
      </c>
      <c r="AL871" s="229">
        <f ca="1">SUMIF('MS &amp; Vacancies combined'!A:O,D871,'MS &amp; Vacancies combined'!O:O)*105.3/100</f>
        <v>2446848.3641524897</v>
      </c>
      <c r="AM871" s="229">
        <f ca="1">AL871*AG871</f>
        <v>2566743.9339959617</v>
      </c>
      <c r="AN871" s="229">
        <f ca="1">AM871*AH871</f>
        <v>2687380.8988937717</v>
      </c>
      <c r="AO871" s="166"/>
      <c r="AP871" s="413">
        <f t="shared" ca="1" si="123"/>
        <v>-2223397.3641524897</v>
      </c>
      <c r="AR871" s="231"/>
      <c r="AS871" s="231"/>
      <c r="AU871" s="414">
        <v>223451</v>
      </c>
      <c r="AV871" s="415">
        <v>223451</v>
      </c>
      <c r="AW871" s="414">
        <f t="shared" si="121"/>
        <v>0</v>
      </c>
    </row>
    <row r="872" spans="1:49" x14ac:dyDescent="0.3">
      <c r="A872" s="16" t="s">
        <v>58</v>
      </c>
      <c r="B872" s="39" t="s">
        <v>1682</v>
      </c>
      <c r="C872" s="39" t="s">
        <v>594</v>
      </c>
      <c r="D872" s="340" t="s">
        <v>3478</v>
      </c>
      <c r="E872" s="159" t="s">
        <v>1085</v>
      </c>
      <c r="F872" s="159" t="s">
        <v>1179</v>
      </c>
      <c r="G872" s="159" t="s">
        <v>309</v>
      </c>
      <c r="H872" s="159" t="s">
        <v>373</v>
      </c>
      <c r="I872" s="159" t="s">
        <v>595</v>
      </c>
      <c r="J872" s="159" t="s">
        <v>312</v>
      </c>
      <c r="K872" s="159" t="s">
        <v>1849</v>
      </c>
      <c r="L872" s="39" t="s">
        <v>304</v>
      </c>
      <c r="M872" s="39" t="s">
        <v>305</v>
      </c>
      <c r="N872" s="39">
        <v>11</v>
      </c>
      <c r="O872" s="39" t="s">
        <v>594</v>
      </c>
      <c r="P872" s="39" t="s">
        <v>594</v>
      </c>
      <c r="Q872" s="39" t="s">
        <v>1682</v>
      </c>
      <c r="R872" s="16" t="s">
        <v>58</v>
      </c>
      <c r="S872" s="169">
        <v>0</v>
      </c>
      <c r="T872" s="160">
        <v>0</v>
      </c>
      <c r="U872" s="160">
        <v>0</v>
      </c>
      <c r="V872" s="160">
        <v>0</v>
      </c>
      <c r="W872" s="160">
        <v>0</v>
      </c>
      <c r="X872" s="161">
        <v>0</v>
      </c>
      <c r="Y872" s="160"/>
      <c r="Z872" s="16">
        <v>0</v>
      </c>
      <c r="AA872" s="162">
        <v>0</v>
      </c>
      <c r="AB872" s="162">
        <v>0</v>
      </c>
      <c r="AC872" s="162">
        <v>0</v>
      </c>
      <c r="AD872" s="160"/>
      <c r="AE872" s="145">
        <v>0</v>
      </c>
      <c r="AF872" s="163">
        <v>1.0469999999999999</v>
      </c>
      <c r="AG872" s="164">
        <v>1.046</v>
      </c>
      <c r="AH872" s="164">
        <v>1.046</v>
      </c>
      <c r="AI872" s="164">
        <v>0</v>
      </c>
      <c r="AJ872" s="164">
        <f t="shared" si="122"/>
        <v>0</v>
      </c>
      <c r="AK872" s="165">
        <v>0</v>
      </c>
      <c r="AL872" s="165">
        <v>0</v>
      </c>
      <c r="AM872" s="165">
        <f t="shared" si="124"/>
        <v>0</v>
      </c>
      <c r="AN872" s="165">
        <f t="shared" si="125"/>
        <v>0</v>
      </c>
      <c r="AO872" s="16"/>
      <c r="AP872" s="231">
        <f t="shared" si="123"/>
        <v>0</v>
      </c>
      <c r="AR872" s="231"/>
      <c r="AS872" s="231"/>
      <c r="AU872" s="230">
        <v>0</v>
      </c>
      <c r="AV872" s="233">
        <v>0</v>
      </c>
      <c r="AW872" s="230">
        <f t="shared" si="121"/>
        <v>0</v>
      </c>
    </row>
    <row r="873" spans="1:49" x14ac:dyDescent="0.3">
      <c r="A873" s="16" t="s">
        <v>57</v>
      </c>
      <c r="B873" s="39" t="s">
        <v>1683</v>
      </c>
      <c r="C873" s="39" t="s">
        <v>389</v>
      </c>
      <c r="D873" s="340" t="s">
        <v>3478</v>
      </c>
      <c r="E873" s="159" t="s">
        <v>1085</v>
      </c>
      <c r="F873" s="159" t="s">
        <v>1179</v>
      </c>
      <c r="G873" s="159" t="s">
        <v>309</v>
      </c>
      <c r="H873" s="159" t="s">
        <v>373</v>
      </c>
      <c r="I873" s="159" t="s">
        <v>390</v>
      </c>
      <c r="J873" s="159" t="s">
        <v>312</v>
      </c>
      <c r="K873" s="159" t="s">
        <v>1849</v>
      </c>
      <c r="L873" s="39" t="s">
        <v>304</v>
      </c>
      <c r="M873" s="39" t="s">
        <v>305</v>
      </c>
      <c r="N873" s="39">
        <v>11</v>
      </c>
      <c r="O873" s="39" t="s">
        <v>389</v>
      </c>
      <c r="P873" s="39" t="s">
        <v>389</v>
      </c>
      <c r="Q873" s="39" t="s">
        <v>1683</v>
      </c>
      <c r="R873" s="16" t="s">
        <v>57</v>
      </c>
      <c r="S873" s="169">
        <v>3396279</v>
      </c>
      <c r="T873" s="160">
        <v>506565.13</v>
      </c>
      <c r="U873" s="160">
        <v>0</v>
      </c>
      <c r="V873" s="160">
        <v>1564339.67</v>
      </c>
      <c r="W873" s="160">
        <v>1831939.33</v>
      </c>
      <c r="X873" s="161">
        <v>0</v>
      </c>
      <c r="Y873" s="160"/>
      <c r="Z873" s="16">
        <v>46.06</v>
      </c>
      <c r="AA873" s="162">
        <v>1564339.67</v>
      </c>
      <c r="AB873" s="162">
        <v>391084.91749999998</v>
      </c>
      <c r="AC873" s="162">
        <v>4693019.01</v>
      </c>
      <c r="AD873" s="160"/>
      <c r="AE873" s="145">
        <v>3396279</v>
      </c>
      <c r="AF873" s="421">
        <v>1.0529999999999999</v>
      </c>
      <c r="AG873" s="421">
        <v>1.0489999999999999</v>
      </c>
      <c r="AH873" s="421">
        <v>1.0469999999999999</v>
      </c>
      <c r="AI873" s="164">
        <v>3396279</v>
      </c>
      <c r="AJ873" s="164">
        <f t="shared" si="122"/>
        <v>0</v>
      </c>
      <c r="AK873" s="165">
        <v>3396279</v>
      </c>
      <c r="AL873" s="165">
        <f>AK873*80%</f>
        <v>2717023.2</v>
      </c>
      <c r="AM873" s="165">
        <f t="shared" si="124"/>
        <v>2850157.3368000002</v>
      </c>
      <c r="AN873" s="165">
        <f t="shared" si="125"/>
        <v>2984114.7316295998</v>
      </c>
      <c r="AO873" s="16"/>
      <c r="AP873" s="231">
        <f t="shared" si="123"/>
        <v>679255.79999999981</v>
      </c>
      <c r="AR873" s="231"/>
      <c r="AS873" s="231"/>
      <c r="AU873" s="230">
        <v>3396279</v>
      </c>
      <c r="AV873" s="233">
        <v>3396279</v>
      </c>
      <c r="AW873" s="230">
        <f t="shared" si="121"/>
        <v>0</v>
      </c>
    </row>
    <row r="874" spans="1:49" x14ac:dyDescent="0.3">
      <c r="A874" s="16" t="s">
        <v>59</v>
      </c>
      <c r="B874" s="39" t="s">
        <v>1684</v>
      </c>
      <c r="C874" s="39" t="s">
        <v>855</v>
      </c>
      <c r="D874" s="340" t="s">
        <v>3478</v>
      </c>
      <c r="E874" s="159" t="s">
        <v>1085</v>
      </c>
      <c r="F874" s="159" t="s">
        <v>1179</v>
      </c>
      <c r="G874" s="159" t="s">
        <v>309</v>
      </c>
      <c r="H874" s="159" t="s">
        <v>373</v>
      </c>
      <c r="I874" s="159" t="s">
        <v>311</v>
      </c>
      <c r="J874" s="159" t="s">
        <v>312</v>
      </c>
      <c r="K874" s="159" t="s">
        <v>1849</v>
      </c>
      <c r="L874" s="39" t="s">
        <v>304</v>
      </c>
      <c r="M874" s="39" t="s">
        <v>305</v>
      </c>
      <c r="N874" s="39">
        <v>11</v>
      </c>
      <c r="O874" s="39" t="s">
        <v>855</v>
      </c>
      <c r="P874" s="39" t="s">
        <v>855</v>
      </c>
      <c r="Q874" s="39" t="s">
        <v>1684</v>
      </c>
      <c r="R874" s="16" t="s">
        <v>59</v>
      </c>
      <c r="S874" s="169">
        <v>1234905</v>
      </c>
      <c r="T874" s="160">
        <v>188475.93</v>
      </c>
      <c r="U874" s="160">
        <v>0</v>
      </c>
      <c r="V874" s="160">
        <v>753903.72</v>
      </c>
      <c r="W874" s="160">
        <v>481001.28</v>
      </c>
      <c r="X874" s="161">
        <v>0</v>
      </c>
      <c r="Y874" s="160"/>
      <c r="Z874" s="16">
        <v>61.04</v>
      </c>
      <c r="AA874" s="162">
        <v>753903.72</v>
      </c>
      <c r="AB874" s="162">
        <v>188475.93</v>
      </c>
      <c r="AC874" s="162">
        <v>2261711.16</v>
      </c>
      <c r="AD874" s="160"/>
      <c r="AE874" s="145">
        <v>1234905</v>
      </c>
      <c r="AF874" s="421">
        <v>1.0529999999999999</v>
      </c>
      <c r="AG874" s="421">
        <v>1.0489999999999999</v>
      </c>
      <c r="AH874" s="421">
        <v>1.0469999999999999</v>
      </c>
      <c r="AI874" s="164">
        <v>1234905</v>
      </c>
      <c r="AJ874" s="164">
        <f t="shared" si="122"/>
        <v>0</v>
      </c>
      <c r="AK874" s="165">
        <v>1234905</v>
      </c>
      <c r="AL874" s="165">
        <f>AK874*AF874</f>
        <v>1300354.9649999999</v>
      </c>
      <c r="AM874" s="165">
        <f t="shared" si="124"/>
        <v>1364072.3582849998</v>
      </c>
      <c r="AN874" s="165">
        <f t="shared" si="125"/>
        <v>1428183.7591243947</v>
      </c>
      <c r="AO874" s="16"/>
      <c r="AP874" s="231">
        <f t="shared" si="123"/>
        <v>-65449.964999999851</v>
      </c>
      <c r="AR874" s="231"/>
      <c r="AS874" s="231"/>
      <c r="AU874" s="230">
        <v>1234905</v>
      </c>
      <c r="AV874" s="233">
        <v>1234905</v>
      </c>
      <c r="AW874" s="230">
        <f t="shared" si="121"/>
        <v>0</v>
      </c>
    </row>
    <row r="875" spans="1:49" x14ac:dyDescent="0.3">
      <c r="A875" s="16" t="s">
        <v>60</v>
      </c>
      <c r="B875" s="39" t="s">
        <v>1685</v>
      </c>
      <c r="C875" s="39" t="s">
        <v>392</v>
      </c>
      <c r="D875" s="340" t="s">
        <v>3478</v>
      </c>
      <c r="E875" s="159" t="s">
        <v>1085</v>
      </c>
      <c r="F875" s="159" t="s">
        <v>1179</v>
      </c>
      <c r="G875" s="159" t="s">
        <v>309</v>
      </c>
      <c r="H875" s="159" t="s">
        <v>373</v>
      </c>
      <c r="I875" s="159" t="s">
        <v>393</v>
      </c>
      <c r="J875" s="159" t="s">
        <v>312</v>
      </c>
      <c r="K875" s="159" t="s">
        <v>1849</v>
      </c>
      <c r="L875" s="39" t="s">
        <v>304</v>
      </c>
      <c r="M875" s="39" t="s">
        <v>305</v>
      </c>
      <c r="N875" s="39">
        <v>11</v>
      </c>
      <c r="O875" s="39" t="s">
        <v>392</v>
      </c>
      <c r="P875" s="39" t="s">
        <v>392</v>
      </c>
      <c r="Q875" s="39" t="s">
        <v>1685</v>
      </c>
      <c r="R875" s="16" t="s">
        <v>60</v>
      </c>
      <c r="S875" s="169">
        <v>173687</v>
      </c>
      <c r="T875" s="160">
        <v>24231.52</v>
      </c>
      <c r="U875" s="160">
        <v>0</v>
      </c>
      <c r="V875" s="160">
        <v>77209.03</v>
      </c>
      <c r="W875" s="160">
        <v>96477.97</v>
      </c>
      <c r="X875" s="161">
        <v>0</v>
      </c>
      <c r="Y875" s="160"/>
      <c r="Z875" s="16">
        <v>44.45</v>
      </c>
      <c r="AA875" s="162">
        <v>77209.03</v>
      </c>
      <c r="AB875" s="162">
        <v>19302.2575</v>
      </c>
      <c r="AC875" s="162">
        <v>231627.09</v>
      </c>
      <c r="AD875" s="160"/>
      <c r="AE875" s="145">
        <v>173687</v>
      </c>
      <c r="AF875" s="421">
        <v>1.0529999999999999</v>
      </c>
      <c r="AG875" s="421">
        <v>1.0489999999999999</v>
      </c>
      <c r="AH875" s="421">
        <v>1.0469999999999999</v>
      </c>
      <c r="AI875" s="164">
        <v>173687</v>
      </c>
      <c r="AJ875" s="164">
        <f t="shared" si="122"/>
        <v>0</v>
      </c>
      <c r="AK875" s="165">
        <v>173687</v>
      </c>
      <c r="AL875" s="165">
        <f>AK875*AF875</f>
        <v>182892.41099999999</v>
      </c>
      <c r="AM875" s="165">
        <f t="shared" si="124"/>
        <v>191854.13913899998</v>
      </c>
      <c r="AN875" s="165">
        <f t="shared" si="125"/>
        <v>200871.28367853296</v>
      </c>
      <c r="AO875" s="16"/>
      <c r="AP875" s="231">
        <f t="shared" si="123"/>
        <v>-9205.4109999999928</v>
      </c>
      <c r="AR875" s="231"/>
      <c r="AS875" s="231"/>
      <c r="AU875" s="230">
        <v>173687</v>
      </c>
      <c r="AV875" s="233">
        <v>173687</v>
      </c>
      <c r="AW875" s="230">
        <f t="shared" si="121"/>
        <v>0</v>
      </c>
    </row>
    <row r="876" spans="1:49" x14ac:dyDescent="0.3">
      <c r="A876" s="16" t="s">
        <v>61</v>
      </c>
      <c r="B876" s="39" t="s">
        <v>1686</v>
      </c>
      <c r="C876" s="39" t="s">
        <v>460</v>
      </c>
      <c r="D876" s="340" t="s">
        <v>3478</v>
      </c>
      <c r="E876" s="159" t="s">
        <v>1085</v>
      </c>
      <c r="F876" s="159" t="s">
        <v>1179</v>
      </c>
      <c r="G876" s="159" t="s">
        <v>309</v>
      </c>
      <c r="H876" s="159" t="s">
        <v>373</v>
      </c>
      <c r="I876" s="159" t="s">
        <v>461</v>
      </c>
      <c r="J876" s="159" t="s">
        <v>312</v>
      </c>
      <c r="K876" s="159" t="s">
        <v>1849</v>
      </c>
      <c r="L876" s="39" t="s">
        <v>304</v>
      </c>
      <c r="M876" s="39" t="s">
        <v>305</v>
      </c>
      <c r="N876" s="39">
        <v>11</v>
      </c>
      <c r="O876" s="39" t="s">
        <v>460</v>
      </c>
      <c r="P876" s="39" t="s">
        <v>460</v>
      </c>
      <c r="Q876" s="39" t="s">
        <v>1686</v>
      </c>
      <c r="R876" s="16" t="s">
        <v>61</v>
      </c>
      <c r="S876" s="169">
        <v>0</v>
      </c>
      <c r="T876" s="160">
        <v>0</v>
      </c>
      <c r="U876" s="160">
        <v>0</v>
      </c>
      <c r="V876" s="160">
        <v>29466</v>
      </c>
      <c r="W876" s="160">
        <v>-29466</v>
      </c>
      <c r="X876" s="161">
        <v>0</v>
      </c>
      <c r="Y876" s="160"/>
      <c r="Z876" s="16">
        <v>0</v>
      </c>
      <c r="AA876" s="162">
        <v>29466</v>
      </c>
      <c r="AB876" s="162">
        <v>7366.5</v>
      </c>
      <c r="AC876" s="162">
        <v>88398</v>
      </c>
      <c r="AD876" s="160"/>
      <c r="AE876" s="145">
        <v>0</v>
      </c>
      <c r="AF876" s="163">
        <v>1.0469999999999999</v>
      </c>
      <c r="AG876" s="164">
        <v>1.046</v>
      </c>
      <c r="AH876" s="164">
        <v>1.046</v>
      </c>
      <c r="AI876" s="164">
        <v>0</v>
      </c>
      <c r="AJ876" s="164">
        <f t="shared" si="122"/>
        <v>0</v>
      </c>
      <c r="AK876" s="165">
        <v>0</v>
      </c>
      <c r="AL876" s="165">
        <v>0</v>
      </c>
      <c r="AM876" s="165">
        <f t="shared" si="124"/>
        <v>0</v>
      </c>
      <c r="AN876" s="165">
        <f t="shared" si="125"/>
        <v>0</v>
      </c>
      <c r="AO876" s="16"/>
      <c r="AP876" s="231">
        <f t="shared" si="123"/>
        <v>0</v>
      </c>
      <c r="AR876" s="231"/>
      <c r="AS876" s="231"/>
      <c r="AU876" s="230">
        <v>0</v>
      </c>
      <c r="AV876" s="233">
        <v>0</v>
      </c>
      <c r="AW876" s="230">
        <f t="shared" si="121"/>
        <v>0</v>
      </c>
    </row>
    <row r="877" spans="1:49" s="172" customFormat="1" x14ac:dyDescent="0.3">
      <c r="A877" s="166" t="s">
        <v>62</v>
      </c>
      <c r="B877" s="167" t="s">
        <v>1687</v>
      </c>
      <c r="C877" s="167" t="s">
        <v>395</v>
      </c>
      <c r="D877" s="412" t="s">
        <v>3478</v>
      </c>
      <c r="E877" s="168" t="s">
        <v>1085</v>
      </c>
      <c r="F877" s="168" t="s">
        <v>1179</v>
      </c>
      <c r="G877" s="168" t="s">
        <v>309</v>
      </c>
      <c r="H877" s="168" t="s">
        <v>373</v>
      </c>
      <c r="I877" s="168" t="s">
        <v>396</v>
      </c>
      <c r="J877" s="168" t="s">
        <v>312</v>
      </c>
      <c r="K877" s="168" t="s">
        <v>1849</v>
      </c>
      <c r="L877" s="167" t="s">
        <v>304</v>
      </c>
      <c r="M877" s="167" t="s">
        <v>305</v>
      </c>
      <c r="N877" s="167">
        <v>11</v>
      </c>
      <c r="O877" s="167" t="s">
        <v>395</v>
      </c>
      <c r="P877" s="167" t="s">
        <v>395</v>
      </c>
      <c r="Q877" s="167" t="s">
        <v>1687</v>
      </c>
      <c r="R877" s="166" t="s">
        <v>62</v>
      </c>
      <c r="S877" s="169">
        <v>2083423</v>
      </c>
      <c r="T877" s="160">
        <v>49945</v>
      </c>
      <c r="U877" s="160">
        <v>0</v>
      </c>
      <c r="V877" s="160">
        <v>471522</v>
      </c>
      <c r="W877" s="160">
        <v>1611901</v>
      </c>
      <c r="X877" s="161">
        <v>0</v>
      </c>
      <c r="Y877" s="160"/>
      <c r="Z877" s="16">
        <v>22.63</v>
      </c>
      <c r="AA877" s="162">
        <v>471522</v>
      </c>
      <c r="AB877" s="162">
        <v>117880.5</v>
      </c>
      <c r="AC877" s="162">
        <v>1414566</v>
      </c>
      <c r="AD877" s="160"/>
      <c r="AE877" s="145">
        <v>2083423</v>
      </c>
      <c r="AF877" s="163">
        <v>1.0529999999999999</v>
      </c>
      <c r="AG877" s="163">
        <v>1.0489999999999999</v>
      </c>
      <c r="AH877" s="163">
        <v>1.0469999999999999</v>
      </c>
      <c r="AI877" s="164">
        <v>2083423</v>
      </c>
      <c r="AJ877" s="164">
        <f t="shared" si="122"/>
        <v>0</v>
      </c>
      <c r="AK877" s="229">
        <v>2083423</v>
      </c>
      <c r="AL877" s="229">
        <f ca="1">SUMIF('MS &amp; Vacancies combined'!A:K,D877,'MS &amp; Vacancies combined'!K:K)*105.3/100</f>
        <v>2029055.9234831729</v>
      </c>
      <c r="AM877" s="229">
        <f ca="1">AL877*AG877</f>
        <v>2128479.6637338484</v>
      </c>
      <c r="AN877" s="229">
        <f ca="1">AM877*AH877</f>
        <v>2228518.2079293393</v>
      </c>
      <c r="AO877" s="166"/>
      <c r="AP877" s="413">
        <f t="shared" ca="1" si="123"/>
        <v>54367.076516827103</v>
      </c>
      <c r="AR877" s="231"/>
      <c r="AS877" s="231"/>
      <c r="AU877" s="414">
        <v>2083423</v>
      </c>
      <c r="AV877" s="415">
        <v>2083423</v>
      </c>
      <c r="AW877" s="414">
        <f t="shared" si="121"/>
        <v>0</v>
      </c>
    </row>
    <row r="878" spans="1:49" x14ac:dyDescent="0.3">
      <c r="A878" s="16" t="s">
        <v>64</v>
      </c>
      <c r="B878" s="39" t="s">
        <v>1688</v>
      </c>
      <c r="C878" s="39" t="s">
        <v>464</v>
      </c>
      <c r="D878" s="340" t="s">
        <v>3478</v>
      </c>
      <c r="E878" s="159" t="s">
        <v>1085</v>
      </c>
      <c r="F878" s="159" t="s">
        <v>1179</v>
      </c>
      <c r="G878" s="159" t="s">
        <v>309</v>
      </c>
      <c r="H878" s="159" t="s">
        <v>373</v>
      </c>
      <c r="I878" s="159" t="s">
        <v>465</v>
      </c>
      <c r="J878" s="159" t="s">
        <v>312</v>
      </c>
      <c r="K878" s="159" t="s">
        <v>1849</v>
      </c>
      <c r="L878" s="39" t="s">
        <v>304</v>
      </c>
      <c r="M878" s="39" t="s">
        <v>305</v>
      </c>
      <c r="N878" s="39">
        <v>11</v>
      </c>
      <c r="O878" s="39" t="s">
        <v>464</v>
      </c>
      <c r="P878" s="39" t="s">
        <v>464</v>
      </c>
      <c r="Q878" s="39" t="s">
        <v>1688</v>
      </c>
      <c r="R878" s="16" t="s">
        <v>64</v>
      </c>
      <c r="S878" s="169">
        <v>1238333</v>
      </c>
      <c r="T878" s="160">
        <v>144319</v>
      </c>
      <c r="U878" s="160">
        <v>0</v>
      </c>
      <c r="V878" s="160">
        <v>528300.61</v>
      </c>
      <c r="W878" s="160">
        <v>710032.39</v>
      </c>
      <c r="X878" s="161">
        <v>0</v>
      </c>
      <c r="Y878" s="160"/>
      <c r="Z878" s="16">
        <v>42.66</v>
      </c>
      <c r="AA878" s="162">
        <v>528300.61</v>
      </c>
      <c r="AB878" s="162">
        <v>132075.1525</v>
      </c>
      <c r="AC878" s="162">
        <v>1584901.83</v>
      </c>
      <c r="AD878" s="160"/>
      <c r="AE878" s="145">
        <v>1238333</v>
      </c>
      <c r="AF878" s="421">
        <v>1.0529999999999999</v>
      </c>
      <c r="AG878" s="421">
        <v>1.0489999999999999</v>
      </c>
      <c r="AH878" s="421">
        <v>1.0469999999999999</v>
      </c>
      <c r="AI878" s="164">
        <v>1238333</v>
      </c>
      <c r="AJ878" s="164">
        <f t="shared" si="122"/>
        <v>0</v>
      </c>
      <c r="AK878" s="165">
        <v>1238333</v>
      </c>
      <c r="AL878" s="165">
        <f>AK878*AF878</f>
        <v>1303964.649</v>
      </c>
      <c r="AM878" s="165">
        <f t="shared" si="124"/>
        <v>1367858.9168009998</v>
      </c>
      <c r="AN878" s="165">
        <f t="shared" si="125"/>
        <v>1432148.2858906467</v>
      </c>
      <c r="AO878" s="16"/>
      <c r="AP878" s="231">
        <f t="shared" si="123"/>
        <v>-65631.648999999976</v>
      </c>
      <c r="AR878" s="231"/>
      <c r="AS878" s="231"/>
      <c r="AU878" s="230">
        <v>1238333</v>
      </c>
      <c r="AV878" s="233">
        <v>1238333</v>
      </c>
      <c r="AW878" s="230">
        <f t="shared" si="121"/>
        <v>0</v>
      </c>
    </row>
    <row r="879" spans="1:49" s="172" customFormat="1" x14ac:dyDescent="0.3">
      <c r="A879" s="166" t="s">
        <v>69</v>
      </c>
      <c r="B879" s="167" t="s">
        <v>1689</v>
      </c>
      <c r="C879" s="167" t="s">
        <v>398</v>
      </c>
      <c r="D879" s="412" t="s">
        <v>3478</v>
      </c>
      <c r="E879" s="168" t="s">
        <v>1085</v>
      </c>
      <c r="F879" s="168" t="s">
        <v>1179</v>
      </c>
      <c r="G879" s="168" t="s">
        <v>309</v>
      </c>
      <c r="H879" s="168" t="s">
        <v>310</v>
      </c>
      <c r="I879" s="168" t="s">
        <v>374</v>
      </c>
      <c r="J879" s="168" t="s">
        <v>312</v>
      </c>
      <c r="K879" s="168" t="s">
        <v>1849</v>
      </c>
      <c r="L879" s="167" t="s">
        <v>304</v>
      </c>
      <c r="M879" s="167" t="s">
        <v>305</v>
      </c>
      <c r="N879" s="167">
        <v>11</v>
      </c>
      <c r="O879" s="167" t="s">
        <v>398</v>
      </c>
      <c r="P879" s="167" t="s">
        <v>398</v>
      </c>
      <c r="Q879" s="167" t="s">
        <v>1689</v>
      </c>
      <c r="R879" s="166" t="s">
        <v>69</v>
      </c>
      <c r="S879" s="169">
        <v>9326</v>
      </c>
      <c r="T879" s="160">
        <v>788.4</v>
      </c>
      <c r="U879" s="160">
        <v>0</v>
      </c>
      <c r="V879" s="160">
        <v>3013.2</v>
      </c>
      <c r="W879" s="160">
        <v>6312.8</v>
      </c>
      <c r="X879" s="161">
        <v>0</v>
      </c>
      <c r="Y879" s="160"/>
      <c r="Z879" s="16">
        <v>32.299999999999997</v>
      </c>
      <c r="AA879" s="162">
        <v>3013.2</v>
      </c>
      <c r="AB879" s="162">
        <v>753.3</v>
      </c>
      <c r="AC879" s="162">
        <v>9039.5999999999985</v>
      </c>
      <c r="AD879" s="160"/>
      <c r="AE879" s="145">
        <v>9326</v>
      </c>
      <c r="AF879" s="163">
        <v>1.0529999999999999</v>
      </c>
      <c r="AG879" s="163">
        <v>1.0489999999999999</v>
      </c>
      <c r="AH879" s="163">
        <v>1.0469999999999999</v>
      </c>
      <c r="AI879" s="164">
        <v>9326</v>
      </c>
      <c r="AJ879" s="164">
        <f t="shared" si="122"/>
        <v>0</v>
      </c>
      <c r="AK879" s="229">
        <v>9326</v>
      </c>
      <c r="AL879" s="229">
        <f ca="1">SUMIF('MS &amp; Vacancies combined'!A:N,D879,'MS &amp; Vacancies combined'!N:N)*105.3/100</f>
        <v>9185.9985258512334</v>
      </c>
      <c r="AM879" s="229">
        <f t="shared" ca="1" si="124"/>
        <v>9636.1124536179432</v>
      </c>
      <c r="AN879" s="229">
        <f t="shared" ca="1" si="125"/>
        <v>10089.009738937986</v>
      </c>
      <c r="AO879" s="166"/>
      <c r="AP879" s="413">
        <f t="shared" ca="1" si="123"/>
        <v>140.00147414876665</v>
      </c>
      <c r="AR879" s="231"/>
      <c r="AS879" s="231"/>
      <c r="AU879" s="414">
        <v>9326</v>
      </c>
      <c r="AV879" s="415">
        <v>9326</v>
      </c>
      <c r="AW879" s="414">
        <f t="shared" si="121"/>
        <v>0</v>
      </c>
    </row>
    <row r="880" spans="1:49" s="172" customFormat="1" x14ac:dyDescent="0.3">
      <c r="A880" s="166" t="s">
        <v>70</v>
      </c>
      <c r="B880" s="167" t="s">
        <v>1690</v>
      </c>
      <c r="C880" s="167" t="s">
        <v>400</v>
      </c>
      <c r="D880" s="412" t="s">
        <v>3478</v>
      </c>
      <c r="E880" s="168" t="s">
        <v>1085</v>
      </c>
      <c r="F880" s="168" t="s">
        <v>1179</v>
      </c>
      <c r="G880" s="168" t="s">
        <v>309</v>
      </c>
      <c r="H880" s="168" t="s">
        <v>310</v>
      </c>
      <c r="I880" s="168" t="s">
        <v>401</v>
      </c>
      <c r="J880" s="168" t="s">
        <v>312</v>
      </c>
      <c r="K880" s="168" t="s">
        <v>1849</v>
      </c>
      <c r="L880" s="167" t="s">
        <v>304</v>
      </c>
      <c r="M880" s="167" t="s">
        <v>305</v>
      </c>
      <c r="N880" s="167">
        <v>11</v>
      </c>
      <c r="O880" s="167" t="s">
        <v>400</v>
      </c>
      <c r="P880" s="167" t="s">
        <v>400</v>
      </c>
      <c r="Q880" s="167" t="s">
        <v>1690</v>
      </c>
      <c r="R880" s="166" t="s">
        <v>70</v>
      </c>
      <c r="S880" s="169">
        <v>451780</v>
      </c>
      <c r="T880" s="160">
        <v>22956.5</v>
      </c>
      <c r="U880" s="160">
        <v>0</v>
      </c>
      <c r="V880" s="160">
        <v>88407.27</v>
      </c>
      <c r="W880" s="160">
        <v>363372.73</v>
      </c>
      <c r="X880" s="161">
        <v>0</v>
      </c>
      <c r="Y880" s="160"/>
      <c r="Z880" s="16">
        <v>19.559999999999999</v>
      </c>
      <c r="AA880" s="162">
        <v>88407.27</v>
      </c>
      <c r="AB880" s="162">
        <v>22101.817500000001</v>
      </c>
      <c r="AC880" s="162">
        <v>265221.81</v>
      </c>
      <c r="AD880" s="160"/>
      <c r="AE880" s="145">
        <v>451780</v>
      </c>
      <c r="AF880" s="163">
        <v>1.0529999999999999</v>
      </c>
      <c r="AG880" s="163">
        <v>1.0489999999999999</v>
      </c>
      <c r="AH880" s="163">
        <v>1.0469999999999999</v>
      </c>
      <c r="AI880" s="164">
        <v>451780</v>
      </c>
      <c r="AJ880" s="164">
        <f t="shared" si="122"/>
        <v>0</v>
      </c>
      <c r="AK880" s="229">
        <v>451780</v>
      </c>
      <c r="AL880" s="229">
        <f ca="1">SUMIF('MS &amp; Vacancies combined'!A:P,D880,'MS &amp; Vacancies combined'!P:P)*105.3/100</f>
        <v>1010699.8862809918</v>
      </c>
      <c r="AM880" s="229">
        <f t="shared" ca="1" si="124"/>
        <v>1060224.1807087604</v>
      </c>
      <c r="AN880" s="229">
        <f t="shared" ca="1" si="125"/>
        <v>1110054.717202072</v>
      </c>
      <c r="AO880" s="166"/>
      <c r="AP880" s="413">
        <f t="shared" ca="1" si="123"/>
        <v>-558919.88628099184</v>
      </c>
      <c r="AR880" s="231"/>
      <c r="AS880" s="231"/>
      <c r="AU880" s="414">
        <v>451780</v>
      </c>
      <c r="AV880" s="415">
        <v>451780</v>
      </c>
      <c r="AW880" s="414">
        <f t="shared" si="121"/>
        <v>0</v>
      </c>
    </row>
    <row r="881" spans="1:49" s="172" customFormat="1" x14ac:dyDescent="0.3">
      <c r="A881" s="166" t="s">
        <v>71</v>
      </c>
      <c r="B881" s="167" t="s">
        <v>1691</v>
      </c>
      <c r="C881" s="167" t="s">
        <v>403</v>
      </c>
      <c r="D881" s="412" t="s">
        <v>3478</v>
      </c>
      <c r="E881" s="168" t="s">
        <v>1085</v>
      </c>
      <c r="F881" s="168" t="s">
        <v>1179</v>
      </c>
      <c r="G881" s="168" t="s">
        <v>309</v>
      </c>
      <c r="H881" s="168" t="s">
        <v>310</v>
      </c>
      <c r="I881" s="168" t="s">
        <v>404</v>
      </c>
      <c r="J881" s="168" t="s">
        <v>312</v>
      </c>
      <c r="K881" s="168" t="s">
        <v>1849</v>
      </c>
      <c r="L881" s="167" t="s">
        <v>304</v>
      </c>
      <c r="M881" s="167" t="s">
        <v>305</v>
      </c>
      <c r="N881" s="167">
        <v>11</v>
      </c>
      <c r="O881" s="167" t="s">
        <v>403</v>
      </c>
      <c r="P881" s="167" t="s">
        <v>403</v>
      </c>
      <c r="Q881" s="167" t="s">
        <v>1691</v>
      </c>
      <c r="R881" s="166" t="s">
        <v>71</v>
      </c>
      <c r="S881" s="169">
        <v>4381953</v>
      </c>
      <c r="T881" s="160">
        <v>256550.39999999999</v>
      </c>
      <c r="U881" s="160">
        <v>0</v>
      </c>
      <c r="V881" s="160">
        <v>982740.72</v>
      </c>
      <c r="W881" s="160">
        <v>3399212.28</v>
      </c>
      <c r="X881" s="161">
        <v>0</v>
      </c>
      <c r="Y881" s="160"/>
      <c r="Z881" s="16">
        <v>22.42</v>
      </c>
      <c r="AA881" s="162">
        <v>982740.72</v>
      </c>
      <c r="AB881" s="162">
        <v>245685.18</v>
      </c>
      <c r="AC881" s="162">
        <v>2948222.16</v>
      </c>
      <c r="AD881" s="160"/>
      <c r="AE881" s="145">
        <v>4381953</v>
      </c>
      <c r="AF881" s="163">
        <v>1.0529999999999999</v>
      </c>
      <c r="AG881" s="163">
        <v>1.0489999999999999</v>
      </c>
      <c r="AH881" s="163">
        <v>1.0469999999999999</v>
      </c>
      <c r="AI881" s="164">
        <v>4381953</v>
      </c>
      <c r="AJ881" s="164">
        <f t="shared" si="122"/>
        <v>0</v>
      </c>
      <c r="AK881" s="229">
        <v>4381953</v>
      </c>
      <c r="AL881" s="229">
        <f ca="1">SUMIF('MS &amp; Vacancies combined'!A:Q,D881,'MS &amp; Vacancies combined'!Q:Q)*105.3/100</f>
        <v>4258550.932882607</v>
      </c>
      <c r="AM881" s="229">
        <f t="shared" ca="1" si="124"/>
        <v>4467219.9285938544</v>
      </c>
      <c r="AN881" s="229">
        <f t="shared" ca="1" si="125"/>
        <v>4677179.2652377654</v>
      </c>
      <c r="AO881" s="166"/>
      <c r="AP881" s="413">
        <f t="shared" ca="1" si="123"/>
        <v>123402.06711739302</v>
      </c>
      <c r="AR881" s="231"/>
      <c r="AS881" s="231"/>
      <c r="AU881" s="414">
        <v>4381953</v>
      </c>
      <c r="AV881" s="415">
        <v>4381953</v>
      </c>
      <c r="AW881" s="414">
        <f t="shared" si="121"/>
        <v>0</v>
      </c>
    </row>
    <row r="882" spans="1:49" s="172" customFormat="1" x14ac:dyDescent="0.3">
      <c r="A882" s="166" t="s">
        <v>72</v>
      </c>
      <c r="B882" s="167" t="s">
        <v>1692</v>
      </c>
      <c r="C882" s="167" t="s">
        <v>406</v>
      </c>
      <c r="D882" s="412" t="s">
        <v>3478</v>
      </c>
      <c r="E882" s="168" t="s">
        <v>1085</v>
      </c>
      <c r="F882" s="168" t="s">
        <v>1179</v>
      </c>
      <c r="G882" s="168" t="s">
        <v>309</v>
      </c>
      <c r="H882" s="168" t="s">
        <v>310</v>
      </c>
      <c r="I882" s="168" t="s">
        <v>407</v>
      </c>
      <c r="J882" s="168" t="s">
        <v>312</v>
      </c>
      <c r="K882" s="168" t="s">
        <v>1849</v>
      </c>
      <c r="L882" s="167" t="s">
        <v>304</v>
      </c>
      <c r="M882" s="167" t="s">
        <v>305</v>
      </c>
      <c r="N882" s="167">
        <v>11</v>
      </c>
      <c r="O882" s="167" t="s">
        <v>406</v>
      </c>
      <c r="P882" s="167" t="s">
        <v>406</v>
      </c>
      <c r="Q882" s="167" t="s">
        <v>1692</v>
      </c>
      <c r="R882" s="166" t="s">
        <v>72</v>
      </c>
      <c r="S882" s="169">
        <v>4802154</v>
      </c>
      <c r="T882" s="160">
        <v>416807.83</v>
      </c>
      <c r="U882" s="160">
        <v>0</v>
      </c>
      <c r="V882" s="160">
        <v>1578316.94</v>
      </c>
      <c r="W882" s="160">
        <v>3223837.06</v>
      </c>
      <c r="X882" s="161">
        <v>0</v>
      </c>
      <c r="Y882" s="160"/>
      <c r="Z882" s="16">
        <v>32.86</v>
      </c>
      <c r="AA882" s="162">
        <v>1578316.94</v>
      </c>
      <c r="AB882" s="162">
        <v>394579.23499999999</v>
      </c>
      <c r="AC882" s="162">
        <v>4734950.82</v>
      </c>
      <c r="AD882" s="160"/>
      <c r="AE882" s="145">
        <v>4802154</v>
      </c>
      <c r="AF882" s="163">
        <v>1.0529999999999999</v>
      </c>
      <c r="AG882" s="163">
        <v>1.0489999999999999</v>
      </c>
      <c r="AH882" s="163">
        <v>1.0469999999999999</v>
      </c>
      <c r="AI882" s="164">
        <v>4802154</v>
      </c>
      <c r="AJ882" s="164">
        <f t="shared" si="122"/>
        <v>0</v>
      </c>
      <c r="AK882" s="229">
        <v>4802154</v>
      </c>
      <c r="AL882" s="229">
        <f ca="1">SUMIF('MS &amp; Vacancies combined'!A:R,D882,'MS &amp; Vacancies combined'!R:R)*105.3/100</f>
        <v>4460168.7983795283</v>
      </c>
      <c r="AM882" s="229">
        <f t="shared" ca="1" si="124"/>
        <v>4678717.069500125</v>
      </c>
      <c r="AN882" s="229">
        <f t="shared" ca="1" si="125"/>
        <v>4898616.7717666309</v>
      </c>
      <c r="AO882" s="166"/>
      <c r="AP882" s="413">
        <f t="shared" ca="1" si="123"/>
        <v>341985.20162047166</v>
      </c>
      <c r="AR882" s="231"/>
      <c r="AS882" s="231"/>
      <c r="AU882" s="414">
        <v>4802154</v>
      </c>
      <c r="AV882" s="415">
        <v>4802154</v>
      </c>
      <c r="AW882" s="414">
        <f t="shared" si="121"/>
        <v>0</v>
      </c>
    </row>
    <row r="883" spans="1:49" s="172" customFormat="1" x14ac:dyDescent="0.3">
      <c r="A883" s="166" t="s">
        <v>73</v>
      </c>
      <c r="B883" s="167" t="s">
        <v>1693</v>
      </c>
      <c r="C883" s="167" t="s">
        <v>307</v>
      </c>
      <c r="D883" s="412" t="s">
        <v>3478</v>
      </c>
      <c r="E883" s="168" t="s">
        <v>1085</v>
      </c>
      <c r="F883" s="168" t="s">
        <v>1179</v>
      </c>
      <c r="G883" s="168" t="s">
        <v>309</v>
      </c>
      <c r="H883" s="168" t="s">
        <v>310</v>
      </c>
      <c r="I883" s="168" t="s">
        <v>311</v>
      </c>
      <c r="J883" s="168" t="s">
        <v>312</v>
      </c>
      <c r="K883" s="168" t="s">
        <v>1849</v>
      </c>
      <c r="L883" s="167" t="s">
        <v>304</v>
      </c>
      <c r="M883" s="167" t="s">
        <v>305</v>
      </c>
      <c r="N883" s="167">
        <v>11</v>
      </c>
      <c r="O883" s="167" t="s">
        <v>307</v>
      </c>
      <c r="P883" s="167" t="s">
        <v>307</v>
      </c>
      <c r="Q883" s="167" t="s">
        <v>1693</v>
      </c>
      <c r="R883" s="166" t="s">
        <v>73</v>
      </c>
      <c r="S883" s="169">
        <v>162605</v>
      </c>
      <c r="T883" s="160">
        <v>12929.76</v>
      </c>
      <c r="U883" s="160">
        <v>0</v>
      </c>
      <c r="V883" s="160">
        <v>49416.480000000003</v>
      </c>
      <c r="W883" s="160">
        <v>113188.52</v>
      </c>
      <c r="X883" s="161">
        <v>0</v>
      </c>
      <c r="Y883" s="160"/>
      <c r="Z883" s="16">
        <v>30.39</v>
      </c>
      <c r="AA883" s="162">
        <v>49416.480000000003</v>
      </c>
      <c r="AB883" s="162">
        <v>12354.12</v>
      </c>
      <c r="AC883" s="162">
        <v>148249.44</v>
      </c>
      <c r="AD883" s="160"/>
      <c r="AE883" s="145">
        <v>162605</v>
      </c>
      <c r="AF883" s="163">
        <v>1.0529999999999999</v>
      </c>
      <c r="AG883" s="163">
        <v>1.0489999999999999</v>
      </c>
      <c r="AH883" s="163">
        <v>1.0469999999999999</v>
      </c>
      <c r="AI883" s="164">
        <v>162605</v>
      </c>
      <c r="AJ883" s="164">
        <f t="shared" si="122"/>
        <v>0</v>
      </c>
      <c r="AK883" s="229">
        <v>162605</v>
      </c>
      <c r="AL883" s="229">
        <f ca="1">SUMIF('MS &amp; Vacancies combined'!A:S,D883,'MS &amp; Vacancies combined'!S:S)*105.3/100</f>
        <v>150644.00663714155</v>
      </c>
      <c r="AM883" s="229">
        <f t="shared" ca="1" si="124"/>
        <v>158025.56296236147</v>
      </c>
      <c r="AN883" s="229">
        <f t="shared" ca="1" si="125"/>
        <v>165452.76442159244</v>
      </c>
      <c r="AO883" s="166"/>
      <c r="AP883" s="413">
        <f t="shared" ca="1" si="123"/>
        <v>11960.993362858455</v>
      </c>
      <c r="AR883" s="231"/>
      <c r="AS883" s="231"/>
      <c r="AU883" s="414">
        <v>162605</v>
      </c>
      <c r="AV883" s="415">
        <v>162605</v>
      </c>
      <c r="AW883" s="414">
        <f t="shared" si="121"/>
        <v>0</v>
      </c>
    </row>
    <row r="884" spans="1:49" hidden="1" x14ac:dyDescent="0.3">
      <c r="A884" s="16" t="s">
        <v>324</v>
      </c>
      <c r="B884" s="39" t="s">
        <v>1694</v>
      </c>
      <c r="C884" s="39" t="s">
        <v>76</v>
      </c>
      <c r="D884" s="340" t="s">
        <v>3478</v>
      </c>
      <c r="E884" s="159" t="s">
        <v>1085</v>
      </c>
      <c r="F884" s="159" t="s">
        <v>1179</v>
      </c>
      <c r="G884" s="159" t="s">
        <v>309</v>
      </c>
      <c r="H884" s="159" t="s">
        <v>325</v>
      </c>
      <c r="I884" s="159" t="s">
        <v>326</v>
      </c>
      <c r="J884" s="159" t="s">
        <v>327</v>
      </c>
      <c r="K884" s="159" t="s">
        <v>1849</v>
      </c>
      <c r="L884" s="39" t="s">
        <v>304</v>
      </c>
      <c r="M884" s="39" t="s">
        <v>305</v>
      </c>
      <c r="N884" s="39">
        <v>11</v>
      </c>
      <c r="O884" s="39" t="s">
        <v>76</v>
      </c>
      <c r="P884" s="39" t="s">
        <v>76</v>
      </c>
      <c r="Q884" s="39" t="s">
        <v>1694</v>
      </c>
      <c r="R884" s="16" t="s">
        <v>324</v>
      </c>
      <c r="S884" s="160">
        <v>0</v>
      </c>
      <c r="T884" s="160">
        <v>0</v>
      </c>
      <c r="U884" s="160">
        <v>0</v>
      </c>
      <c r="V884" s="160">
        <v>0</v>
      </c>
      <c r="W884" s="160">
        <v>0</v>
      </c>
      <c r="X884" s="161">
        <v>0</v>
      </c>
      <c r="Y884" s="160"/>
      <c r="Z884" s="16">
        <v>0</v>
      </c>
      <c r="AA884" s="162">
        <v>0</v>
      </c>
      <c r="AB884" s="162">
        <v>0</v>
      </c>
      <c r="AC884" s="162">
        <v>0</v>
      </c>
      <c r="AD884" s="160"/>
      <c r="AE884" s="145">
        <v>0</v>
      </c>
      <c r="AF884" s="163">
        <v>1.0469999999999999</v>
      </c>
      <c r="AG884" s="164">
        <v>1.046</v>
      </c>
      <c r="AH884" s="164">
        <v>1.046</v>
      </c>
      <c r="AI884" s="164">
        <v>0</v>
      </c>
      <c r="AJ884" s="164">
        <f t="shared" si="122"/>
        <v>0</v>
      </c>
      <c r="AK884" s="165">
        <v>0</v>
      </c>
      <c r="AL884" s="165">
        <v>0</v>
      </c>
      <c r="AM884" s="165">
        <f t="shared" si="124"/>
        <v>0</v>
      </c>
      <c r="AN884" s="165">
        <f t="shared" si="125"/>
        <v>0</v>
      </c>
      <c r="AO884" s="16"/>
      <c r="AP884" s="231">
        <f t="shared" si="123"/>
        <v>0</v>
      </c>
      <c r="AR884" s="231"/>
      <c r="AS884" s="231"/>
      <c r="AU884" s="230">
        <v>0</v>
      </c>
      <c r="AV884" s="233">
        <v>0</v>
      </c>
      <c r="AW884" s="230">
        <f t="shared" si="121"/>
        <v>0</v>
      </c>
    </row>
    <row r="885" spans="1:49" hidden="1" x14ac:dyDescent="0.3">
      <c r="A885" s="16" t="s">
        <v>477</v>
      </c>
      <c r="B885" s="39" t="s">
        <v>1695</v>
      </c>
      <c r="C885" s="39" t="s">
        <v>78</v>
      </c>
      <c r="D885" s="340" t="s">
        <v>3478</v>
      </c>
      <c r="E885" s="159" t="s">
        <v>1085</v>
      </c>
      <c r="F885" s="159" t="s">
        <v>1179</v>
      </c>
      <c r="G885" s="159" t="s">
        <v>309</v>
      </c>
      <c r="H885" s="159" t="s">
        <v>330</v>
      </c>
      <c r="I885" s="159" t="s">
        <v>479</v>
      </c>
      <c r="J885" s="159" t="s">
        <v>312</v>
      </c>
      <c r="K885" s="159" t="s">
        <v>1849</v>
      </c>
      <c r="L885" s="39" t="s">
        <v>304</v>
      </c>
      <c r="M885" s="39" t="s">
        <v>305</v>
      </c>
      <c r="N885" s="39">
        <v>11</v>
      </c>
      <c r="O885" s="39" t="s">
        <v>78</v>
      </c>
      <c r="P885" s="39" t="s">
        <v>699</v>
      </c>
      <c r="Q885" s="39" t="s">
        <v>1695</v>
      </c>
      <c r="R885" s="16" t="s">
        <v>477</v>
      </c>
      <c r="S885" s="160">
        <v>0</v>
      </c>
      <c r="T885" s="160">
        <v>0</v>
      </c>
      <c r="U885" s="160">
        <v>0</v>
      </c>
      <c r="V885" s="160">
        <v>0</v>
      </c>
      <c r="W885" s="160">
        <v>0</v>
      </c>
      <c r="X885" s="161">
        <v>0</v>
      </c>
      <c r="Y885" s="160"/>
      <c r="Z885" s="16">
        <v>0</v>
      </c>
      <c r="AA885" s="162">
        <v>0</v>
      </c>
      <c r="AB885" s="162">
        <v>0</v>
      </c>
      <c r="AC885" s="162">
        <v>0</v>
      </c>
      <c r="AD885" s="160"/>
      <c r="AE885" s="145">
        <v>0</v>
      </c>
      <c r="AF885" s="163">
        <v>1.0469999999999999</v>
      </c>
      <c r="AG885" s="164">
        <v>1.046</v>
      </c>
      <c r="AH885" s="164">
        <v>1.046</v>
      </c>
      <c r="AI885" s="164">
        <v>0</v>
      </c>
      <c r="AJ885" s="164">
        <f t="shared" si="122"/>
        <v>0</v>
      </c>
      <c r="AK885" s="165">
        <v>0</v>
      </c>
      <c r="AL885" s="165">
        <v>0</v>
      </c>
      <c r="AM885" s="165">
        <f t="shared" si="124"/>
        <v>0</v>
      </c>
      <c r="AN885" s="165">
        <f t="shared" si="125"/>
        <v>0</v>
      </c>
      <c r="AO885" s="16"/>
      <c r="AP885" s="231">
        <f t="shared" si="123"/>
        <v>0</v>
      </c>
      <c r="AR885" s="231"/>
      <c r="AS885" s="231"/>
      <c r="AU885" s="230">
        <v>0</v>
      </c>
      <c r="AV885" s="233">
        <v>0</v>
      </c>
      <c r="AW885" s="230">
        <f t="shared" si="121"/>
        <v>0</v>
      </c>
    </row>
    <row r="886" spans="1:49" hidden="1" x14ac:dyDescent="0.3">
      <c r="A886" s="16" t="s">
        <v>1697</v>
      </c>
      <c r="B886" s="39" t="s">
        <v>1696</v>
      </c>
      <c r="C886" s="39" t="s">
        <v>80</v>
      </c>
      <c r="D886" s="340" t="s">
        <v>3478</v>
      </c>
      <c r="E886" s="159" t="s">
        <v>1085</v>
      </c>
      <c r="F886" s="159" t="s">
        <v>1179</v>
      </c>
      <c r="G886" s="159" t="s">
        <v>309</v>
      </c>
      <c r="H886" s="159" t="s">
        <v>413</v>
      </c>
      <c r="I886" s="159" t="s">
        <v>414</v>
      </c>
      <c r="J886" s="159" t="s">
        <v>1698</v>
      </c>
      <c r="K886" s="159" t="s">
        <v>1849</v>
      </c>
      <c r="L886" s="39" t="s">
        <v>1699</v>
      </c>
      <c r="M886" s="39" t="s">
        <v>305</v>
      </c>
      <c r="N886" s="39">
        <v>11</v>
      </c>
      <c r="O886" s="39" t="s">
        <v>80</v>
      </c>
      <c r="P886" s="39" t="s">
        <v>80</v>
      </c>
      <c r="Q886" s="39" t="s">
        <v>1696</v>
      </c>
      <c r="R886" s="16" t="s">
        <v>1697</v>
      </c>
      <c r="S886" s="223">
        <v>262000</v>
      </c>
      <c r="T886" s="160">
        <v>0</v>
      </c>
      <c r="U886" s="160">
        <v>0</v>
      </c>
      <c r="V886" s="160">
        <v>0</v>
      </c>
      <c r="W886" s="160">
        <v>262000</v>
      </c>
      <c r="X886" s="161">
        <v>0</v>
      </c>
      <c r="Y886" s="160"/>
      <c r="Z886" s="16">
        <v>0</v>
      </c>
      <c r="AA886" s="162">
        <v>0</v>
      </c>
      <c r="AB886" s="224">
        <v>0</v>
      </c>
      <c r="AC886" s="224">
        <v>0</v>
      </c>
      <c r="AD886" s="223">
        <v>0</v>
      </c>
      <c r="AE886" s="145">
        <v>162000</v>
      </c>
      <c r="AF886" s="163">
        <v>1.0469999999999999</v>
      </c>
      <c r="AG886" s="164">
        <v>1.046</v>
      </c>
      <c r="AH886" s="164">
        <v>1.046</v>
      </c>
      <c r="AI886" s="164">
        <v>262000</v>
      </c>
      <c r="AJ886" s="164">
        <f t="shared" si="122"/>
        <v>-100000</v>
      </c>
      <c r="AK886" s="165">
        <f>AE886</f>
        <v>162000</v>
      </c>
      <c r="AL886" s="165">
        <f>AK886</f>
        <v>162000</v>
      </c>
      <c r="AM886" s="165">
        <f t="shared" si="124"/>
        <v>169452</v>
      </c>
      <c r="AN886" s="165">
        <f t="shared" si="125"/>
        <v>177246.79200000002</v>
      </c>
      <c r="AO886" s="16"/>
      <c r="AP886" s="231">
        <f t="shared" si="123"/>
        <v>0</v>
      </c>
      <c r="AR886" s="231"/>
      <c r="AS886" s="231"/>
      <c r="AU886" s="230">
        <v>262000</v>
      </c>
      <c r="AV886" s="233">
        <v>262000</v>
      </c>
      <c r="AW886" s="230">
        <f t="shared" si="121"/>
        <v>0</v>
      </c>
    </row>
    <row r="887" spans="1:49" hidden="1" x14ac:dyDescent="0.3">
      <c r="A887" s="16" t="s">
        <v>2108</v>
      </c>
      <c r="B887" s="39" t="s">
        <v>1714</v>
      </c>
      <c r="C887" s="39" t="s">
        <v>76</v>
      </c>
      <c r="D887" s="340" t="s">
        <v>3478</v>
      </c>
      <c r="E887" s="159" t="s">
        <v>1085</v>
      </c>
      <c r="F887" s="159" t="s">
        <v>1179</v>
      </c>
      <c r="G887" s="159" t="s">
        <v>309</v>
      </c>
      <c r="H887" s="159" t="s">
        <v>413</v>
      </c>
      <c r="I887" s="159" t="s">
        <v>875</v>
      </c>
      <c r="J887" s="159" t="s">
        <v>312</v>
      </c>
      <c r="K887" s="159" t="s">
        <v>1849</v>
      </c>
      <c r="L887" s="39">
        <v>727</v>
      </c>
      <c r="M887" s="39" t="s">
        <v>305</v>
      </c>
      <c r="N887" s="39">
        <v>11</v>
      </c>
      <c r="O887" s="39" t="s">
        <v>76</v>
      </c>
      <c r="P887" s="39" t="s">
        <v>2109</v>
      </c>
      <c r="Q887" s="39" t="s">
        <v>1714</v>
      </c>
      <c r="R887" s="16" t="s">
        <v>2108</v>
      </c>
      <c r="S887" s="160">
        <v>5992000</v>
      </c>
      <c r="T887" s="160">
        <v>0</v>
      </c>
      <c r="U887" s="160">
        <v>0</v>
      </c>
      <c r="V887" s="160">
        <v>0</v>
      </c>
      <c r="W887" s="160">
        <v>5992000</v>
      </c>
      <c r="X887" s="161">
        <v>0</v>
      </c>
      <c r="Y887" s="160"/>
      <c r="Z887" s="16">
        <v>0</v>
      </c>
      <c r="AA887" s="162">
        <v>0</v>
      </c>
      <c r="AB887" s="162">
        <v>0</v>
      </c>
      <c r="AC887" s="162">
        <v>0</v>
      </c>
      <c r="AD887" s="160">
        <v>0</v>
      </c>
      <c r="AE887" s="145">
        <v>5992000</v>
      </c>
      <c r="AF887" s="163">
        <v>1.0469999999999999</v>
      </c>
      <c r="AG887" s="164">
        <v>1.046</v>
      </c>
      <c r="AH887" s="164">
        <v>1.046</v>
      </c>
      <c r="AI887" s="164">
        <v>5992000</v>
      </c>
      <c r="AJ887" s="164">
        <f t="shared" si="122"/>
        <v>0</v>
      </c>
      <c r="AK887" s="165">
        <v>2500000</v>
      </c>
      <c r="AL887" s="165">
        <f>AK887</f>
        <v>2500000</v>
      </c>
      <c r="AM887" s="165">
        <f t="shared" si="124"/>
        <v>2615000</v>
      </c>
      <c r="AN887" s="165">
        <f t="shared" si="125"/>
        <v>2735290</v>
      </c>
      <c r="AO887" s="16"/>
      <c r="AP887" s="231">
        <f t="shared" si="123"/>
        <v>0</v>
      </c>
      <c r="AR887" s="231"/>
      <c r="AS887" s="231"/>
      <c r="AU887" s="230">
        <v>5992000</v>
      </c>
      <c r="AV887" s="233">
        <v>5992000</v>
      </c>
      <c r="AW887" s="230">
        <f t="shared" si="121"/>
        <v>0</v>
      </c>
    </row>
    <row r="888" spans="1:49" hidden="1" x14ac:dyDescent="0.3">
      <c r="A888" s="16" t="s">
        <v>883</v>
      </c>
      <c r="B888" s="39" t="s">
        <v>1700</v>
      </c>
      <c r="C888" s="39" t="s">
        <v>82</v>
      </c>
      <c r="D888" s="340" t="s">
        <v>3478</v>
      </c>
      <c r="E888" s="159" t="s">
        <v>1085</v>
      </c>
      <c r="F888" s="159" t="s">
        <v>1179</v>
      </c>
      <c r="G888" s="159" t="s">
        <v>309</v>
      </c>
      <c r="H888" s="159" t="s">
        <v>334</v>
      </c>
      <c r="I888" s="159" t="s">
        <v>885</v>
      </c>
      <c r="J888" s="159" t="s">
        <v>309</v>
      </c>
      <c r="K888" s="159" t="s">
        <v>1849</v>
      </c>
      <c r="L888" s="39" t="s">
        <v>304</v>
      </c>
      <c r="M888" s="39" t="s">
        <v>305</v>
      </c>
      <c r="N888" s="39">
        <v>11</v>
      </c>
      <c r="O888" s="39" t="s">
        <v>82</v>
      </c>
      <c r="P888" s="39" t="s">
        <v>884</v>
      </c>
      <c r="Q888" s="39" t="s">
        <v>1700</v>
      </c>
      <c r="R888" s="16" t="s">
        <v>883</v>
      </c>
      <c r="S888" s="223">
        <v>300000</v>
      </c>
      <c r="T888" s="160">
        <v>0</v>
      </c>
      <c r="U888" s="160">
        <v>0</v>
      </c>
      <c r="V888" s="160">
        <v>0</v>
      </c>
      <c r="W888" s="160">
        <v>300000</v>
      </c>
      <c r="X888" s="161">
        <v>0</v>
      </c>
      <c r="Y888" s="160"/>
      <c r="Z888" s="16">
        <v>0</v>
      </c>
      <c r="AA888" s="162">
        <v>0</v>
      </c>
      <c r="AB888" s="224">
        <v>0</v>
      </c>
      <c r="AC888" s="224">
        <v>0</v>
      </c>
      <c r="AD888" s="223">
        <v>1200000</v>
      </c>
      <c r="AE888" s="145">
        <v>1300000</v>
      </c>
      <c r="AF888" s="163">
        <v>1.0469999999999999</v>
      </c>
      <c r="AG888" s="164">
        <v>1.046</v>
      </c>
      <c r="AH888" s="164">
        <v>1.046</v>
      </c>
      <c r="AI888" s="164">
        <v>1500000</v>
      </c>
      <c r="AJ888" s="164">
        <f t="shared" si="122"/>
        <v>-200000</v>
      </c>
      <c r="AK888" s="165">
        <v>500000</v>
      </c>
      <c r="AL888" s="165">
        <f>AK888</f>
        <v>500000</v>
      </c>
      <c r="AM888" s="165">
        <f t="shared" si="124"/>
        <v>523000</v>
      </c>
      <c r="AN888" s="165">
        <f t="shared" si="125"/>
        <v>547058</v>
      </c>
      <c r="AO888" s="145"/>
      <c r="AP888" s="231">
        <f t="shared" si="123"/>
        <v>0</v>
      </c>
      <c r="AR888" s="231"/>
      <c r="AS888" s="231"/>
      <c r="AU888" s="230">
        <v>300000</v>
      </c>
      <c r="AV888" s="233">
        <v>1500000</v>
      </c>
      <c r="AW888" s="230">
        <f t="shared" si="121"/>
        <v>0</v>
      </c>
    </row>
    <row r="889" spans="1:49" hidden="1" x14ac:dyDescent="0.3">
      <c r="A889" s="16" t="s">
        <v>1702</v>
      </c>
      <c r="B889" s="39" t="s">
        <v>1701</v>
      </c>
      <c r="C889" s="39" t="s">
        <v>82</v>
      </c>
      <c r="D889" s="340" t="s">
        <v>3478</v>
      </c>
      <c r="E889" s="159" t="s">
        <v>1085</v>
      </c>
      <c r="F889" s="159" t="s">
        <v>1179</v>
      </c>
      <c r="G889" s="159" t="s">
        <v>309</v>
      </c>
      <c r="H889" s="159" t="s">
        <v>334</v>
      </c>
      <c r="I889" s="159" t="s">
        <v>1075</v>
      </c>
      <c r="J889" s="159" t="s">
        <v>312</v>
      </c>
      <c r="K889" s="159" t="s">
        <v>1849</v>
      </c>
      <c r="L889" s="39" t="s">
        <v>304</v>
      </c>
      <c r="M889" s="39" t="s">
        <v>305</v>
      </c>
      <c r="N889" s="39">
        <v>11</v>
      </c>
      <c r="O889" s="39" t="s">
        <v>82</v>
      </c>
      <c r="P889" s="39" t="s">
        <v>1703</v>
      </c>
      <c r="Q889" s="39" t="s">
        <v>1701</v>
      </c>
      <c r="R889" s="16" t="s">
        <v>1702</v>
      </c>
      <c r="S889" s="160">
        <v>0</v>
      </c>
      <c r="T889" s="160">
        <v>0</v>
      </c>
      <c r="U889" s="160">
        <v>0</v>
      </c>
      <c r="V889" s="160">
        <v>0</v>
      </c>
      <c r="W889" s="160">
        <v>0</v>
      </c>
      <c r="X889" s="161">
        <v>0</v>
      </c>
      <c r="Y889" s="160"/>
      <c r="Z889" s="16">
        <v>0</v>
      </c>
      <c r="AA889" s="162">
        <v>0</v>
      </c>
      <c r="AB889" s="162">
        <v>0</v>
      </c>
      <c r="AC889" s="162">
        <v>0</v>
      </c>
      <c r="AD889" s="160">
        <v>0</v>
      </c>
      <c r="AE889" s="145">
        <v>0</v>
      </c>
      <c r="AF889" s="163">
        <v>1.0469999999999999</v>
      </c>
      <c r="AG889" s="164">
        <v>1.046</v>
      </c>
      <c r="AH889" s="164">
        <v>1.046</v>
      </c>
      <c r="AI889" s="164">
        <v>0</v>
      </c>
      <c r="AJ889" s="164">
        <f t="shared" si="122"/>
        <v>0</v>
      </c>
      <c r="AK889" s="165">
        <v>0</v>
      </c>
      <c r="AL889" s="165">
        <v>0</v>
      </c>
      <c r="AM889" s="165">
        <f t="shared" si="124"/>
        <v>0</v>
      </c>
      <c r="AN889" s="165">
        <f t="shared" si="125"/>
        <v>0</v>
      </c>
      <c r="AO889" s="16"/>
      <c r="AP889" s="231">
        <f t="shared" si="123"/>
        <v>0</v>
      </c>
      <c r="AR889" s="231"/>
      <c r="AS889" s="231"/>
      <c r="AU889" s="230">
        <v>0</v>
      </c>
      <c r="AV889" s="233">
        <v>0</v>
      </c>
      <c r="AW889" s="230">
        <f t="shared" si="121"/>
        <v>0</v>
      </c>
    </row>
    <row r="890" spans="1:49" hidden="1" x14ac:dyDescent="0.3">
      <c r="A890" s="16" t="s">
        <v>341</v>
      </c>
      <c r="B890" s="39" t="s">
        <v>1704</v>
      </c>
      <c r="C890" s="39" t="s">
        <v>82</v>
      </c>
      <c r="D890" s="340" t="s">
        <v>3478</v>
      </c>
      <c r="E890" s="159" t="s">
        <v>1085</v>
      </c>
      <c r="F890" s="159" t="s">
        <v>1179</v>
      </c>
      <c r="G890" s="159" t="s">
        <v>309</v>
      </c>
      <c r="H890" s="159" t="s">
        <v>334</v>
      </c>
      <c r="I890" s="159" t="s">
        <v>343</v>
      </c>
      <c r="J890" s="159" t="s">
        <v>312</v>
      </c>
      <c r="K890" s="159" t="s">
        <v>1849</v>
      </c>
      <c r="L890" s="39" t="s">
        <v>304</v>
      </c>
      <c r="M890" s="39" t="s">
        <v>305</v>
      </c>
      <c r="N890" s="39">
        <v>11</v>
      </c>
      <c r="O890" s="39" t="s">
        <v>82</v>
      </c>
      <c r="P890" s="39" t="s">
        <v>342</v>
      </c>
      <c r="Q890" s="39" t="s">
        <v>1704</v>
      </c>
      <c r="R890" s="16" t="s">
        <v>341</v>
      </c>
      <c r="S890" s="160">
        <v>0</v>
      </c>
      <c r="T890" s="160">
        <v>0</v>
      </c>
      <c r="U890" s="160">
        <v>0</v>
      </c>
      <c r="V890" s="160">
        <v>0</v>
      </c>
      <c r="W890" s="160">
        <v>0</v>
      </c>
      <c r="X890" s="161">
        <v>0</v>
      </c>
      <c r="Y890" s="160"/>
      <c r="Z890" s="16">
        <v>0</v>
      </c>
      <c r="AA890" s="162">
        <v>0</v>
      </c>
      <c r="AB890" s="162">
        <v>0</v>
      </c>
      <c r="AC890" s="162">
        <v>0</v>
      </c>
      <c r="AD890" s="160">
        <v>0</v>
      </c>
      <c r="AE890" s="145">
        <v>0</v>
      </c>
      <c r="AF890" s="163">
        <v>1.0469999999999999</v>
      </c>
      <c r="AG890" s="164">
        <v>1.046</v>
      </c>
      <c r="AH890" s="164">
        <v>1.046</v>
      </c>
      <c r="AI890" s="164">
        <v>0</v>
      </c>
      <c r="AJ890" s="164">
        <f t="shared" si="122"/>
        <v>0</v>
      </c>
      <c r="AK890" s="165">
        <v>0</v>
      </c>
      <c r="AL890" s="165">
        <v>0</v>
      </c>
      <c r="AM890" s="165">
        <f t="shared" si="124"/>
        <v>0</v>
      </c>
      <c r="AN890" s="165">
        <f t="shared" si="125"/>
        <v>0</v>
      </c>
      <c r="AO890" s="16"/>
      <c r="AP890" s="231">
        <f t="shared" si="123"/>
        <v>0</v>
      </c>
      <c r="AR890" s="231"/>
      <c r="AS890" s="231"/>
      <c r="AU890" s="230">
        <v>0</v>
      </c>
      <c r="AV890" s="233">
        <v>0</v>
      </c>
      <c r="AW890" s="230">
        <f t="shared" si="121"/>
        <v>0</v>
      </c>
    </row>
    <row r="891" spans="1:49" hidden="1" x14ac:dyDescent="0.3">
      <c r="A891" s="16" t="s">
        <v>345</v>
      </c>
      <c r="B891" s="39" t="s">
        <v>1705</v>
      </c>
      <c r="C891" s="39" t="s">
        <v>82</v>
      </c>
      <c r="D891" s="340" t="s">
        <v>3478</v>
      </c>
      <c r="E891" s="159" t="s">
        <v>1085</v>
      </c>
      <c r="F891" s="159" t="s">
        <v>1179</v>
      </c>
      <c r="G891" s="159" t="s">
        <v>309</v>
      </c>
      <c r="H891" s="159" t="s">
        <v>334</v>
      </c>
      <c r="I891" s="159" t="s">
        <v>347</v>
      </c>
      <c r="J891" s="159" t="s">
        <v>312</v>
      </c>
      <c r="K891" s="159" t="s">
        <v>1849</v>
      </c>
      <c r="L891" s="39" t="s">
        <v>304</v>
      </c>
      <c r="M891" s="39" t="s">
        <v>305</v>
      </c>
      <c r="N891" s="39">
        <v>11</v>
      </c>
      <c r="O891" s="39" t="s">
        <v>82</v>
      </c>
      <c r="P891" s="39" t="s">
        <v>346</v>
      </c>
      <c r="Q891" s="39" t="s">
        <v>1705</v>
      </c>
      <c r="R891" s="16" t="s">
        <v>345</v>
      </c>
      <c r="S891" s="160">
        <v>200000</v>
      </c>
      <c r="T891" s="160">
        <v>0</v>
      </c>
      <c r="U891" s="160">
        <v>0</v>
      </c>
      <c r="V891" s="160">
        <v>0</v>
      </c>
      <c r="W891" s="160">
        <v>200000</v>
      </c>
      <c r="X891" s="161">
        <v>0</v>
      </c>
      <c r="Y891" s="160"/>
      <c r="Z891" s="16">
        <v>0</v>
      </c>
      <c r="AA891" s="162">
        <v>0</v>
      </c>
      <c r="AB891" s="162">
        <v>0</v>
      </c>
      <c r="AC891" s="162">
        <v>0</v>
      </c>
      <c r="AD891" s="160">
        <v>0</v>
      </c>
      <c r="AE891" s="145">
        <v>200000</v>
      </c>
      <c r="AF891" s="163">
        <v>1.0469999999999999</v>
      </c>
      <c r="AG891" s="164">
        <v>1.046</v>
      </c>
      <c r="AH891" s="164">
        <v>1.046</v>
      </c>
      <c r="AI891" s="164">
        <v>200000</v>
      </c>
      <c r="AJ891" s="164">
        <f t="shared" si="122"/>
        <v>0</v>
      </c>
      <c r="AK891" s="165">
        <v>200000</v>
      </c>
      <c r="AL891" s="165">
        <f>AK891</f>
        <v>200000</v>
      </c>
      <c r="AM891" s="165">
        <f t="shared" si="124"/>
        <v>209200</v>
      </c>
      <c r="AN891" s="165">
        <f t="shared" si="125"/>
        <v>218823.2</v>
      </c>
      <c r="AO891" s="16"/>
      <c r="AP891" s="231">
        <f t="shared" si="123"/>
        <v>0</v>
      </c>
      <c r="AR891" s="231"/>
      <c r="AS891" s="231"/>
      <c r="AU891" s="230">
        <v>200000</v>
      </c>
      <c r="AV891" s="233">
        <v>200000</v>
      </c>
      <c r="AW891" s="230">
        <f t="shared" si="121"/>
        <v>0</v>
      </c>
    </row>
    <row r="892" spans="1:49" hidden="1" x14ac:dyDescent="0.3">
      <c r="A892" s="16" t="s">
        <v>349</v>
      </c>
      <c r="B892" s="39" t="s">
        <v>1706</v>
      </c>
      <c r="C892" s="39" t="s">
        <v>82</v>
      </c>
      <c r="D892" s="340" t="s">
        <v>3478</v>
      </c>
      <c r="E892" s="159" t="s">
        <v>1085</v>
      </c>
      <c r="F892" s="159" t="s">
        <v>1179</v>
      </c>
      <c r="G892" s="159" t="s">
        <v>309</v>
      </c>
      <c r="H892" s="159" t="s">
        <v>334</v>
      </c>
      <c r="I892" s="159" t="s">
        <v>351</v>
      </c>
      <c r="J892" s="159" t="s">
        <v>312</v>
      </c>
      <c r="K892" s="159" t="s">
        <v>1849</v>
      </c>
      <c r="L892" s="39" t="s">
        <v>304</v>
      </c>
      <c r="M892" s="39" t="s">
        <v>305</v>
      </c>
      <c r="N892" s="39">
        <v>11</v>
      </c>
      <c r="O892" s="39" t="s">
        <v>82</v>
      </c>
      <c r="P892" s="39" t="s">
        <v>350</v>
      </c>
      <c r="Q892" s="39" t="s">
        <v>1706</v>
      </c>
      <c r="R892" s="16" t="s">
        <v>349</v>
      </c>
      <c r="S892" s="160">
        <v>0</v>
      </c>
      <c r="T892" s="160">
        <v>0</v>
      </c>
      <c r="U892" s="160">
        <v>0</v>
      </c>
      <c r="V892" s="160">
        <v>0</v>
      </c>
      <c r="W892" s="160">
        <v>0</v>
      </c>
      <c r="X892" s="161">
        <v>0</v>
      </c>
      <c r="Y892" s="160"/>
      <c r="Z892" s="16">
        <v>0</v>
      </c>
      <c r="AA892" s="162">
        <v>0</v>
      </c>
      <c r="AB892" s="162">
        <v>0</v>
      </c>
      <c r="AC892" s="162">
        <v>0</v>
      </c>
      <c r="AD892" s="160">
        <v>0</v>
      </c>
      <c r="AE892" s="145">
        <v>0</v>
      </c>
      <c r="AF892" s="163">
        <v>1.0469999999999999</v>
      </c>
      <c r="AG892" s="164">
        <v>1.046</v>
      </c>
      <c r="AH892" s="164">
        <v>1.046</v>
      </c>
      <c r="AI892" s="164">
        <v>0</v>
      </c>
      <c r="AJ892" s="164">
        <f t="shared" si="122"/>
        <v>0</v>
      </c>
      <c r="AK892" s="165">
        <v>0</v>
      </c>
      <c r="AL892" s="165">
        <v>0</v>
      </c>
      <c r="AM892" s="165">
        <f t="shared" si="124"/>
        <v>0</v>
      </c>
      <c r="AN892" s="165">
        <f t="shared" si="125"/>
        <v>0</v>
      </c>
      <c r="AO892" s="16"/>
      <c r="AP892" s="231">
        <f t="shared" si="123"/>
        <v>0</v>
      </c>
      <c r="AR892" s="231"/>
      <c r="AS892" s="231"/>
      <c r="AU892" s="230">
        <v>0</v>
      </c>
      <c r="AV892" s="233">
        <v>0</v>
      </c>
      <c r="AW892" s="230">
        <f t="shared" si="121"/>
        <v>0</v>
      </c>
    </row>
    <row r="893" spans="1:49" hidden="1" x14ac:dyDescent="0.3">
      <c r="A893" s="16" t="s">
        <v>357</v>
      </c>
      <c r="B893" s="39" t="s">
        <v>1707</v>
      </c>
      <c r="C893" s="39" t="s">
        <v>82</v>
      </c>
      <c r="D893" s="340" t="s">
        <v>3478</v>
      </c>
      <c r="E893" s="159" t="s">
        <v>1085</v>
      </c>
      <c r="F893" s="159" t="s">
        <v>1179</v>
      </c>
      <c r="G893" s="159" t="s">
        <v>309</v>
      </c>
      <c r="H893" s="159" t="s">
        <v>334</v>
      </c>
      <c r="I893" s="159" t="s">
        <v>359</v>
      </c>
      <c r="J893" s="159" t="s">
        <v>312</v>
      </c>
      <c r="K893" s="159" t="s">
        <v>1849</v>
      </c>
      <c r="L893" s="39" t="s">
        <v>304</v>
      </c>
      <c r="M893" s="39" t="s">
        <v>305</v>
      </c>
      <c r="N893" s="39">
        <v>11</v>
      </c>
      <c r="O893" s="39" t="s">
        <v>82</v>
      </c>
      <c r="P893" s="39" t="s">
        <v>358</v>
      </c>
      <c r="Q893" s="39" t="s">
        <v>1707</v>
      </c>
      <c r="R893" s="16" t="s">
        <v>357</v>
      </c>
      <c r="S893" s="160">
        <v>0</v>
      </c>
      <c r="T893" s="160">
        <v>0</v>
      </c>
      <c r="U893" s="160">
        <v>0</v>
      </c>
      <c r="V893" s="160">
        <v>0</v>
      </c>
      <c r="W893" s="160">
        <v>0</v>
      </c>
      <c r="X893" s="161">
        <v>0</v>
      </c>
      <c r="Y893" s="160"/>
      <c r="Z893" s="16">
        <v>0</v>
      </c>
      <c r="AA893" s="162">
        <v>0</v>
      </c>
      <c r="AB893" s="162">
        <v>0</v>
      </c>
      <c r="AC893" s="162">
        <v>0</v>
      </c>
      <c r="AD893" s="160">
        <v>0</v>
      </c>
      <c r="AE893" s="145">
        <v>0</v>
      </c>
      <c r="AF893" s="163">
        <v>1.0469999999999999</v>
      </c>
      <c r="AG893" s="164">
        <v>1.046</v>
      </c>
      <c r="AH893" s="164">
        <v>1.046</v>
      </c>
      <c r="AI893" s="164">
        <v>0</v>
      </c>
      <c r="AJ893" s="164">
        <f t="shared" si="122"/>
        <v>0</v>
      </c>
      <c r="AK893" s="165">
        <v>0</v>
      </c>
      <c r="AL893" s="165">
        <v>0</v>
      </c>
      <c r="AM893" s="165">
        <f t="shared" si="124"/>
        <v>0</v>
      </c>
      <c r="AN893" s="165">
        <f t="shared" si="125"/>
        <v>0</v>
      </c>
      <c r="AO893" s="16"/>
      <c r="AP893" s="231">
        <f t="shared" si="123"/>
        <v>0</v>
      </c>
      <c r="AR893" s="231"/>
      <c r="AS893" s="231"/>
      <c r="AU893" s="230">
        <v>0</v>
      </c>
      <c r="AV893" s="233">
        <v>0</v>
      </c>
      <c r="AW893" s="230">
        <f t="shared" si="121"/>
        <v>0</v>
      </c>
    </row>
    <row r="894" spans="1:49" hidden="1" x14ac:dyDescent="0.3">
      <c r="A894" s="16" t="s">
        <v>527</v>
      </c>
      <c r="B894" s="39" t="s">
        <v>1708</v>
      </c>
      <c r="C894" s="39" t="s">
        <v>82</v>
      </c>
      <c r="D894" s="340" t="s">
        <v>3478</v>
      </c>
      <c r="E894" s="159" t="s">
        <v>1085</v>
      </c>
      <c r="F894" s="159" t="s">
        <v>1179</v>
      </c>
      <c r="G894" s="159" t="s">
        <v>309</v>
      </c>
      <c r="H894" s="159" t="s">
        <v>334</v>
      </c>
      <c r="I894" s="159" t="s">
        <v>529</v>
      </c>
      <c r="J894" s="159" t="s">
        <v>312</v>
      </c>
      <c r="K894" s="159" t="s">
        <v>1849</v>
      </c>
      <c r="L894" s="39" t="s">
        <v>304</v>
      </c>
      <c r="M894" s="39" t="s">
        <v>305</v>
      </c>
      <c r="N894" s="39">
        <v>11</v>
      </c>
      <c r="O894" s="39" t="s">
        <v>82</v>
      </c>
      <c r="P894" s="39" t="s">
        <v>585</v>
      </c>
      <c r="Q894" s="39" t="s">
        <v>1708</v>
      </c>
      <c r="R894" s="16" t="s">
        <v>527</v>
      </c>
      <c r="S894" s="223">
        <v>51899</v>
      </c>
      <c r="T894" s="160">
        <v>0</v>
      </c>
      <c r="U894" s="160">
        <v>0</v>
      </c>
      <c r="V894" s="160">
        <v>7096.06</v>
      </c>
      <c r="W894" s="160">
        <v>44802.94</v>
      </c>
      <c r="X894" s="161">
        <v>0</v>
      </c>
      <c r="Y894" s="160"/>
      <c r="Z894" s="16">
        <v>13.67</v>
      </c>
      <c r="AA894" s="162">
        <v>7096.06</v>
      </c>
      <c r="AB894" s="224">
        <v>1774.0150000000001</v>
      </c>
      <c r="AC894" s="224">
        <v>21288.18</v>
      </c>
      <c r="AD894" s="223">
        <v>2000000</v>
      </c>
      <c r="AE894" s="145">
        <v>1551899</v>
      </c>
      <c r="AF894" s="163">
        <v>1.0469999999999999</v>
      </c>
      <c r="AG894" s="164">
        <v>1.046</v>
      </c>
      <c r="AH894" s="164">
        <v>1.046</v>
      </c>
      <c r="AI894" s="164">
        <v>2051899</v>
      </c>
      <c r="AJ894" s="164">
        <f t="shared" si="122"/>
        <v>-500000</v>
      </c>
      <c r="AK894" s="165">
        <v>1000000</v>
      </c>
      <c r="AL894" s="165">
        <f>AK894</f>
        <v>1000000</v>
      </c>
      <c r="AM894" s="165">
        <f t="shared" si="124"/>
        <v>1046000</v>
      </c>
      <c r="AN894" s="165">
        <f t="shared" si="125"/>
        <v>1094116</v>
      </c>
      <c r="AO894" s="145" t="s">
        <v>2110</v>
      </c>
      <c r="AP894" s="231">
        <f t="shared" si="123"/>
        <v>0</v>
      </c>
      <c r="AR894" s="231"/>
      <c r="AS894" s="231"/>
      <c r="AU894" s="230">
        <v>51899</v>
      </c>
      <c r="AV894" s="233">
        <v>2051899</v>
      </c>
      <c r="AW894" s="230">
        <f t="shared" si="121"/>
        <v>0</v>
      </c>
    </row>
    <row r="895" spans="1:49" hidden="1" x14ac:dyDescent="0.3">
      <c r="A895" s="16" t="s">
        <v>83</v>
      </c>
      <c r="B895" s="39" t="s">
        <v>1709</v>
      </c>
      <c r="C895" s="39" t="s">
        <v>423</v>
      </c>
      <c r="D895" s="340" t="s">
        <v>3478</v>
      </c>
      <c r="E895" s="159" t="s">
        <v>1085</v>
      </c>
      <c r="F895" s="159" t="s">
        <v>1179</v>
      </c>
      <c r="G895" s="159" t="s">
        <v>309</v>
      </c>
      <c r="H895" s="159" t="s">
        <v>424</v>
      </c>
      <c r="I895" s="159" t="s">
        <v>425</v>
      </c>
      <c r="J895" s="159" t="s">
        <v>426</v>
      </c>
      <c r="K895" s="159" t="s">
        <v>1849</v>
      </c>
      <c r="L895" s="39" t="s">
        <v>304</v>
      </c>
      <c r="M895" s="39" t="s">
        <v>305</v>
      </c>
      <c r="N895" s="39">
        <v>11</v>
      </c>
      <c r="O895" s="39" t="s">
        <v>423</v>
      </c>
      <c r="P895" s="39" t="s">
        <v>423</v>
      </c>
      <c r="Q895" s="39" t="s">
        <v>1709</v>
      </c>
      <c r="R895" s="16" t="s">
        <v>83</v>
      </c>
      <c r="S895" s="160">
        <v>17000</v>
      </c>
      <c r="T895" s="160">
        <v>2340</v>
      </c>
      <c r="U895" s="160">
        <v>0</v>
      </c>
      <c r="V895" s="160">
        <v>2785</v>
      </c>
      <c r="W895" s="160">
        <v>14215</v>
      </c>
      <c r="X895" s="161">
        <v>0</v>
      </c>
      <c r="Y895" s="160"/>
      <c r="Z895" s="16">
        <v>16.38</v>
      </c>
      <c r="AA895" s="162">
        <v>2785</v>
      </c>
      <c r="AB895" s="162">
        <v>696.25</v>
      </c>
      <c r="AC895" s="162">
        <v>8355</v>
      </c>
      <c r="AD895" s="160">
        <v>-8645</v>
      </c>
      <c r="AE895" s="145">
        <v>8355</v>
      </c>
      <c r="AF895" s="163">
        <v>1.0469999999999999</v>
      </c>
      <c r="AG895" s="164">
        <v>1.046</v>
      </c>
      <c r="AH895" s="164">
        <v>1.046</v>
      </c>
      <c r="AI895" s="164">
        <v>8355</v>
      </c>
      <c r="AJ895" s="164">
        <f t="shared" si="122"/>
        <v>0</v>
      </c>
      <c r="AK895" s="165">
        <v>8355</v>
      </c>
      <c r="AL895" s="165">
        <v>8747.6849999999995</v>
      </c>
      <c r="AM895" s="165">
        <f t="shared" si="124"/>
        <v>9150.0785099999994</v>
      </c>
      <c r="AN895" s="165">
        <f t="shared" si="125"/>
        <v>9570.9821214599997</v>
      </c>
      <c r="AO895" s="145"/>
      <c r="AP895" s="231">
        <f t="shared" si="123"/>
        <v>-392.68499999999949</v>
      </c>
      <c r="AR895" s="231"/>
      <c r="AS895" s="231"/>
      <c r="AU895" s="230">
        <v>17000</v>
      </c>
      <c r="AV895" s="233">
        <v>8355</v>
      </c>
      <c r="AW895" s="230">
        <f t="shared" si="121"/>
        <v>0</v>
      </c>
    </row>
    <row r="896" spans="1:49" hidden="1" x14ac:dyDescent="0.3">
      <c r="A896" s="16" t="s">
        <v>1615</v>
      </c>
      <c r="B896" s="39" t="s">
        <v>1710</v>
      </c>
      <c r="C896" s="39" t="s">
        <v>423</v>
      </c>
      <c r="D896" s="340" t="s">
        <v>3478</v>
      </c>
      <c r="E896" s="159" t="s">
        <v>1085</v>
      </c>
      <c r="F896" s="159" t="s">
        <v>1179</v>
      </c>
      <c r="G896" s="159" t="s">
        <v>309</v>
      </c>
      <c r="H896" s="159" t="s">
        <v>424</v>
      </c>
      <c r="I896" s="159" t="s">
        <v>425</v>
      </c>
      <c r="J896" s="159" t="s">
        <v>327</v>
      </c>
      <c r="K896" s="159" t="s">
        <v>1849</v>
      </c>
      <c r="L896" s="39" t="s">
        <v>304</v>
      </c>
      <c r="M896" s="39" t="s">
        <v>305</v>
      </c>
      <c r="N896" s="39">
        <v>11</v>
      </c>
      <c r="O896" s="39" t="s">
        <v>423</v>
      </c>
      <c r="P896" s="39" t="s">
        <v>423</v>
      </c>
      <c r="Q896" s="39" t="s">
        <v>1710</v>
      </c>
      <c r="R896" s="16" t="s">
        <v>1615</v>
      </c>
      <c r="S896" s="160">
        <v>16590267</v>
      </c>
      <c r="T896" s="160">
        <v>1599772.3</v>
      </c>
      <c r="U896" s="160">
        <v>2328468.86</v>
      </c>
      <c r="V896" s="160">
        <v>2094088.07</v>
      </c>
      <c r="W896" s="160">
        <v>14496178.93</v>
      </c>
      <c r="X896" s="161">
        <v>4469781.67</v>
      </c>
      <c r="Y896" s="160"/>
      <c r="Z896" s="16">
        <v>12.62</v>
      </c>
      <c r="AA896" s="162">
        <v>4422556.93</v>
      </c>
      <c r="AB896" s="162">
        <v>1105639.2324999999</v>
      </c>
      <c r="AC896" s="162">
        <v>13267670.789999999</v>
      </c>
      <c r="AD896" s="160">
        <v>0</v>
      </c>
      <c r="AE896" s="145">
        <v>16590267</v>
      </c>
      <c r="AF896" s="163">
        <v>1.0469999999999999</v>
      </c>
      <c r="AG896" s="164">
        <v>1.046</v>
      </c>
      <c r="AH896" s="164">
        <v>1.046</v>
      </c>
      <c r="AI896" s="164">
        <v>16590267</v>
      </c>
      <c r="AJ896" s="164">
        <f t="shared" si="122"/>
        <v>0</v>
      </c>
      <c r="AK896" s="165">
        <v>10000000</v>
      </c>
      <c r="AL896" s="165">
        <f>AK896</f>
        <v>10000000</v>
      </c>
      <c r="AM896" s="165">
        <f t="shared" si="124"/>
        <v>10460000</v>
      </c>
      <c r="AN896" s="165">
        <f t="shared" si="125"/>
        <v>10941160</v>
      </c>
      <c r="AO896" s="145"/>
      <c r="AP896" s="231">
        <f t="shared" si="123"/>
        <v>0</v>
      </c>
      <c r="AR896" s="231"/>
      <c r="AS896" s="231"/>
      <c r="AU896" s="230">
        <v>16590267</v>
      </c>
      <c r="AV896" s="233">
        <v>16590267</v>
      </c>
      <c r="AW896" s="230">
        <f t="shared" si="121"/>
        <v>0</v>
      </c>
    </row>
    <row r="897" spans="1:49" hidden="1" x14ac:dyDescent="0.3">
      <c r="A897" s="16" t="s">
        <v>537</v>
      </c>
      <c r="B897" s="39" t="s">
        <v>1711</v>
      </c>
      <c r="C897" s="39" t="s">
        <v>423</v>
      </c>
      <c r="D897" s="340" t="s">
        <v>3478</v>
      </c>
      <c r="E897" s="159" t="s">
        <v>1085</v>
      </c>
      <c r="F897" s="159" t="s">
        <v>1179</v>
      </c>
      <c r="G897" s="159" t="s">
        <v>309</v>
      </c>
      <c r="H897" s="159" t="s">
        <v>424</v>
      </c>
      <c r="I897" s="159" t="s">
        <v>425</v>
      </c>
      <c r="J897" s="159" t="s">
        <v>538</v>
      </c>
      <c r="K897" s="159" t="s">
        <v>1849</v>
      </c>
      <c r="L897" s="39" t="s">
        <v>304</v>
      </c>
      <c r="M897" s="39" t="s">
        <v>305</v>
      </c>
      <c r="N897" s="39">
        <v>11</v>
      </c>
      <c r="O897" s="39" t="s">
        <v>423</v>
      </c>
      <c r="P897" s="39" t="s">
        <v>423</v>
      </c>
      <c r="Q897" s="39" t="s">
        <v>1711</v>
      </c>
      <c r="R897" s="16" t="s">
        <v>537</v>
      </c>
      <c r="S897" s="160">
        <v>46861</v>
      </c>
      <c r="T897" s="160">
        <v>2555.06</v>
      </c>
      <c r="U897" s="160">
        <v>0</v>
      </c>
      <c r="V897" s="160">
        <v>4443.3500000000004</v>
      </c>
      <c r="W897" s="160">
        <v>42417.65</v>
      </c>
      <c r="X897" s="161">
        <v>0</v>
      </c>
      <c r="Y897" s="160"/>
      <c r="Z897" s="16">
        <v>9.48</v>
      </c>
      <c r="AA897" s="162">
        <v>4443.3500000000004</v>
      </c>
      <c r="AB897" s="162">
        <v>1110.8375000000001</v>
      </c>
      <c r="AC897" s="162">
        <v>13330.050000000001</v>
      </c>
      <c r="AD897" s="160">
        <v>-33530.949999999997</v>
      </c>
      <c r="AE897" s="145">
        <v>13330.050000000003</v>
      </c>
      <c r="AF897" s="163">
        <v>1.0469999999999999</v>
      </c>
      <c r="AG897" s="164">
        <v>1.046</v>
      </c>
      <c r="AH897" s="164">
        <v>1.046</v>
      </c>
      <c r="AI897" s="164">
        <v>13330.050000000003</v>
      </c>
      <c r="AJ897" s="164">
        <f t="shared" si="122"/>
        <v>0</v>
      </c>
      <c r="AK897" s="165">
        <v>13330.050000000003</v>
      </c>
      <c r="AL897" s="165">
        <v>13956.562350000002</v>
      </c>
      <c r="AM897" s="165">
        <f t="shared" si="124"/>
        <v>14598.564218100002</v>
      </c>
      <c r="AN897" s="165">
        <f t="shared" si="125"/>
        <v>15270.098172132602</v>
      </c>
      <c r="AO897" s="145"/>
      <c r="AP897" s="231">
        <f t="shared" si="123"/>
        <v>-626.51234999999906</v>
      </c>
      <c r="AR897" s="231"/>
      <c r="AS897" s="231"/>
      <c r="AU897" s="230">
        <v>46861</v>
      </c>
      <c r="AV897" s="233">
        <v>13330.050000000003</v>
      </c>
      <c r="AW897" s="230">
        <f t="shared" si="121"/>
        <v>0</v>
      </c>
    </row>
    <row r="898" spans="1:49" hidden="1" x14ac:dyDescent="0.3">
      <c r="A898" s="16" t="s">
        <v>499</v>
      </c>
      <c r="B898" s="39" t="s">
        <v>1712</v>
      </c>
      <c r="C898" s="39" t="s">
        <v>95</v>
      </c>
      <c r="D898" s="340" t="s">
        <v>3478</v>
      </c>
      <c r="E898" s="159" t="s">
        <v>1085</v>
      </c>
      <c r="F898" s="159" t="s">
        <v>1179</v>
      </c>
      <c r="G898" s="159" t="s">
        <v>309</v>
      </c>
      <c r="H898" s="159" t="s">
        <v>501</v>
      </c>
      <c r="I898" s="159" t="s">
        <v>502</v>
      </c>
      <c r="J898" s="159" t="s">
        <v>312</v>
      </c>
      <c r="K898" s="159" t="s">
        <v>1849</v>
      </c>
      <c r="L898" s="39" t="s">
        <v>304</v>
      </c>
      <c r="M898" s="39" t="s">
        <v>305</v>
      </c>
      <c r="N898" s="39">
        <v>11</v>
      </c>
      <c r="O898" s="39" t="s">
        <v>95</v>
      </c>
      <c r="P898" s="39" t="s">
        <v>95</v>
      </c>
      <c r="Q898" s="39" t="s">
        <v>1712</v>
      </c>
      <c r="R898" s="16" t="s">
        <v>499</v>
      </c>
      <c r="S898" s="160">
        <v>0</v>
      </c>
      <c r="T898" s="160">
        <v>0</v>
      </c>
      <c r="U898" s="160">
        <v>0</v>
      </c>
      <c r="V898" s="160">
        <v>0</v>
      </c>
      <c r="W898" s="160">
        <v>0</v>
      </c>
      <c r="X898" s="161">
        <v>0</v>
      </c>
      <c r="Y898" s="160"/>
      <c r="Z898" s="16">
        <v>0</v>
      </c>
      <c r="AA898" s="162">
        <v>0</v>
      </c>
      <c r="AB898" s="162">
        <v>0</v>
      </c>
      <c r="AC898" s="162">
        <v>0</v>
      </c>
      <c r="AD898" s="160">
        <v>0</v>
      </c>
      <c r="AE898" s="145">
        <v>0</v>
      </c>
      <c r="AF898" s="163">
        <v>1.0469999999999999</v>
      </c>
      <c r="AG898" s="164">
        <v>1.046</v>
      </c>
      <c r="AH898" s="164">
        <v>1.046</v>
      </c>
      <c r="AI898" s="164">
        <v>0</v>
      </c>
      <c r="AJ898" s="164">
        <f t="shared" si="122"/>
        <v>0</v>
      </c>
      <c r="AK898" s="165">
        <v>0</v>
      </c>
      <c r="AL898" s="165">
        <v>0</v>
      </c>
      <c r="AM898" s="165">
        <f t="shared" si="124"/>
        <v>0</v>
      </c>
      <c r="AN898" s="165">
        <f t="shared" si="125"/>
        <v>0</v>
      </c>
      <c r="AO898" s="16"/>
      <c r="AP898" s="231">
        <f t="shared" si="123"/>
        <v>0</v>
      </c>
      <c r="AR898" s="231"/>
      <c r="AS898" s="231"/>
      <c r="AU898" s="230">
        <v>0</v>
      </c>
      <c r="AV898" s="233">
        <v>0</v>
      </c>
      <c r="AW898" s="230">
        <f t="shared" ref="AW898:AW961" si="127">AU898-S898</f>
        <v>0</v>
      </c>
    </row>
    <row r="899" spans="1:49" hidden="1" x14ac:dyDescent="0.3">
      <c r="A899" s="16" t="s">
        <v>1473</v>
      </c>
      <c r="B899" s="39" t="s">
        <v>2111</v>
      </c>
      <c r="C899" s="39" t="s">
        <v>95</v>
      </c>
      <c r="D899" s="340" t="s">
        <v>3478</v>
      </c>
      <c r="E899" s="159" t="s">
        <v>1085</v>
      </c>
      <c r="F899" s="159" t="s">
        <v>1179</v>
      </c>
      <c r="G899" s="159" t="s">
        <v>309</v>
      </c>
      <c r="H899" s="159" t="s">
        <v>501</v>
      </c>
      <c r="I899" s="159" t="s">
        <v>1475</v>
      </c>
      <c r="J899" s="159" t="s">
        <v>312</v>
      </c>
      <c r="K899" s="159" t="s">
        <v>1849</v>
      </c>
      <c r="L899" s="39" t="s">
        <v>304</v>
      </c>
      <c r="M899" s="39" t="s">
        <v>305</v>
      </c>
      <c r="N899" s="39">
        <v>11</v>
      </c>
      <c r="O899" s="39" t="s">
        <v>95</v>
      </c>
      <c r="P899" s="39" t="s">
        <v>2112</v>
      </c>
      <c r="Q899" s="39" t="s">
        <v>2111</v>
      </c>
      <c r="R899" s="16" t="s">
        <v>1473</v>
      </c>
      <c r="S899" s="160">
        <v>0</v>
      </c>
      <c r="T899" s="160">
        <v>0</v>
      </c>
      <c r="U899" s="160">
        <v>0</v>
      </c>
      <c r="V899" s="160">
        <v>0</v>
      </c>
      <c r="W899" s="160">
        <v>0</v>
      </c>
      <c r="X899" s="161">
        <v>0</v>
      </c>
      <c r="Y899" s="160"/>
      <c r="Z899" s="16">
        <v>0</v>
      </c>
      <c r="AA899" s="162">
        <v>0</v>
      </c>
      <c r="AB899" s="162">
        <v>0</v>
      </c>
      <c r="AC899" s="162">
        <v>0</v>
      </c>
      <c r="AD899" s="160">
        <v>0</v>
      </c>
      <c r="AE899" s="145">
        <v>0</v>
      </c>
      <c r="AF899" s="163">
        <v>1.0469999999999999</v>
      </c>
      <c r="AG899" s="164">
        <v>1.046</v>
      </c>
      <c r="AH899" s="164">
        <v>1.046</v>
      </c>
      <c r="AI899" s="164">
        <v>0</v>
      </c>
      <c r="AJ899" s="164">
        <f t="shared" si="122"/>
        <v>0</v>
      </c>
      <c r="AK899" s="165">
        <v>0</v>
      </c>
      <c r="AL899" s="165">
        <v>0</v>
      </c>
      <c r="AM899" s="165">
        <f t="shared" si="124"/>
        <v>0</v>
      </c>
      <c r="AN899" s="165">
        <f t="shared" si="125"/>
        <v>0</v>
      </c>
      <c r="AO899" s="16"/>
      <c r="AP899" s="231">
        <f t="shared" si="123"/>
        <v>0</v>
      </c>
      <c r="AR899" s="231"/>
      <c r="AS899" s="231"/>
      <c r="AU899" s="230">
        <v>0</v>
      </c>
      <c r="AV899" s="233">
        <v>0</v>
      </c>
      <c r="AW899" s="230">
        <f t="shared" si="127"/>
        <v>0</v>
      </c>
    </row>
    <row r="900" spans="1:49" hidden="1" x14ac:dyDescent="0.3">
      <c r="A900" s="16" t="s">
        <v>931</v>
      </c>
      <c r="B900" s="39" t="s">
        <v>1713</v>
      </c>
      <c r="C900" s="39" t="s">
        <v>95</v>
      </c>
      <c r="D900" s="340" t="s">
        <v>3478</v>
      </c>
      <c r="E900" s="159" t="s">
        <v>1085</v>
      </c>
      <c r="F900" s="159" t="s">
        <v>1179</v>
      </c>
      <c r="G900" s="159" t="s">
        <v>309</v>
      </c>
      <c r="H900" s="159" t="s">
        <v>501</v>
      </c>
      <c r="I900" s="159" t="s">
        <v>573</v>
      </c>
      <c r="J900" s="159" t="s">
        <v>312</v>
      </c>
      <c r="K900" s="159" t="s">
        <v>1849</v>
      </c>
      <c r="L900" s="39" t="s">
        <v>304</v>
      </c>
      <c r="M900" s="39" t="s">
        <v>305</v>
      </c>
      <c r="N900" s="39">
        <v>11</v>
      </c>
      <c r="O900" s="39" t="s">
        <v>95</v>
      </c>
      <c r="P900" s="39" t="s">
        <v>932</v>
      </c>
      <c r="Q900" s="39" t="s">
        <v>1713</v>
      </c>
      <c r="R900" s="16" t="s">
        <v>931</v>
      </c>
      <c r="S900" s="160">
        <v>0</v>
      </c>
      <c r="T900" s="160">
        <v>0</v>
      </c>
      <c r="U900" s="160">
        <v>0</v>
      </c>
      <c r="V900" s="160">
        <v>0</v>
      </c>
      <c r="W900" s="160">
        <v>0</v>
      </c>
      <c r="X900" s="161">
        <v>0</v>
      </c>
      <c r="Y900" s="160"/>
      <c r="Z900" s="16">
        <v>0</v>
      </c>
      <c r="AA900" s="162">
        <v>0</v>
      </c>
      <c r="AB900" s="162">
        <v>0</v>
      </c>
      <c r="AC900" s="162">
        <v>0</v>
      </c>
      <c r="AD900" s="160">
        <v>0</v>
      </c>
      <c r="AE900" s="145">
        <v>0</v>
      </c>
      <c r="AF900" s="163">
        <v>1.0469999999999999</v>
      </c>
      <c r="AG900" s="164">
        <v>1.046</v>
      </c>
      <c r="AH900" s="164">
        <v>1.046</v>
      </c>
      <c r="AI900" s="164">
        <v>0</v>
      </c>
      <c r="AJ900" s="164">
        <f t="shared" si="122"/>
        <v>0</v>
      </c>
      <c r="AK900" s="165">
        <v>0</v>
      </c>
      <c r="AL900" s="165">
        <v>0</v>
      </c>
      <c r="AM900" s="165">
        <f t="shared" si="124"/>
        <v>0</v>
      </c>
      <c r="AN900" s="165">
        <f t="shared" si="125"/>
        <v>0</v>
      </c>
      <c r="AO900" s="16"/>
      <c r="AP900" s="231">
        <f t="shared" si="123"/>
        <v>0</v>
      </c>
      <c r="AR900" s="231"/>
      <c r="AS900" s="231"/>
      <c r="AU900" s="230">
        <v>0</v>
      </c>
      <c r="AV900" s="233">
        <v>0</v>
      </c>
      <c r="AW900" s="230">
        <f t="shared" si="127"/>
        <v>0</v>
      </c>
    </row>
    <row r="901" spans="1:49" hidden="1" x14ac:dyDescent="0.3">
      <c r="A901" s="16" t="s">
        <v>1512</v>
      </c>
      <c r="B901" s="39" t="s">
        <v>2113</v>
      </c>
      <c r="C901" s="39" t="s">
        <v>184</v>
      </c>
      <c r="D901" s="340" t="s">
        <v>3478</v>
      </c>
      <c r="E901" s="159" t="s">
        <v>1085</v>
      </c>
      <c r="F901" s="159" t="s">
        <v>1179</v>
      </c>
      <c r="G901" s="159" t="s">
        <v>582</v>
      </c>
      <c r="H901" s="159" t="s">
        <v>805</v>
      </c>
      <c r="I901" s="159" t="s">
        <v>322</v>
      </c>
      <c r="J901" s="159" t="s">
        <v>312</v>
      </c>
      <c r="K901" s="159" t="s">
        <v>1849</v>
      </c>
      <c r="L901" s="39" t="s">
        <v>304</v>
      </c>
      <c r="M901" s="39" t="s">
        <v>305</v>
      </c>
      <c r="N901" s="39">
        <v>11</v>
      </c>
      <c r="O901" s="39" t="s">
        <v>184</v>
      </c>
      <c r="P901" s="39" t="s">
        <v>2114</v>
      </c>
      <c r="Q901" s="39" t="s">
        <v>2113</v>
      </c>
      <c r="R901" s="16" t="s">
        <v>1512</v>
      </c>
      <c r="S901" s="160">
        <v>0</v>
      </c>
      <c r="T901" s="160">
        <v>0</v>
      </c>
      <c r="U901" s="160">
        <v>0</v>
      </c>
      <c r="V901" s="160">
        <v>0</v>
      </c>
      <c r="W901" s="160">
        <v>0</v>
      </c>
      <c r="X901" s="161">
        <v>0</v>
      </c>
      <c r="Y901" s="160"/>
      <c r="Z901" s="16">
        <v>0</v>
      </c>
      <c r="AA901" s="162">
        <v>0</v>
      </c>
      <c r="AB901" s="162">
        <v>0</v>
      </c>
      <c r="AC901" s="162">
        <v>0</v>
      </c>
      <c r="AD901" s="160">
        <v>0</v>
      </c>
      <c r="AE901" s="145">
        <v>0</v>
      </c>
      <c r="AF901" s="163">
        <v>1.0469999999999999</v>
      </c>
      <c r="AG901" s="164">
        <v>1.046</v>
      </c>
      <c r="AH901" s="164">
        <v>1.046</v>
      </c>
      <c r="AI901" s="164">
        <v>0</v>
      </c>
      <c r="AJ901" s="164">
        <f t="shared" si="122"/>
        <v>0</v>
      </c>
      <c r="AK901" s="165">
        <v>0</v>
      </c>
      <c r="AL901" s="165">
        <v>0</v>
      </c>
      <c r="AM901" s="165">
        <f t="shared" si="124"/>
        <v>0</v>
      </c>
      <c r="AN901" s="165">
        <f t="shared" si="125"/>
        <v>0</v>
      </c>
      <c r="AO901" s="16"/>
      <c r="AP901" s="231">
        <f t="shared" si="123"/>
        <v>0</v>
      </c>
      <c r="AR901" s="231"/>
      <c r="AS901" s="231"/>
      <c r="AU901" s="230">
        <v>0</v>
      </c>
      <c r="AV901" s="233">
        <v>0</v>
      </c>
      <c r="AW901" s="230">
        <f t="shared" si="127"/>
        <v>0</v>
      </c>
    </row>
    <row r="902" spans="1:49" hidden="1" x14ac:dyDescent="0.3">
      <c r="A902" s="16" t="s">
        <v>1515</v>
      </c>
      <c r="B902" s="39" t="s">
        <v>2115</v>
      </c>
      <c r="C902" s="39" t="s">
        <v>184</v>
      </c>
      <c r="D902" s="340" t="s">
        <v>3478</v>
      </c>
      <c r="E902" s="159" t="s">
        <v>1085</v>
      </c>
      <c r="F902" s="159" t="s">
        <v>1179</v>
      </c>
      <c r="G902" s="159" t="s">
        <v>582</v>
      </c>
      <c r="H902" s="159" t="s">
        <v>805</v>
      </c>
      <c r="I902" s="159" t="s">
        <v>846</v>
      </c>
      <c r="J902" s="159" t="s">
        <v>312</v>
      </c>
      <c r="K902" s="159" t="s">
        <v>1849</v>
      </c>
      <c r="L902" s="39" t="s">
        <v>304</v>
      </c>
      <c r="M902" s="39" t="s">
        <v>305</v>
      </c>
      <c r="N902" s="39">
        <v>11</v>
      </c>
      <c r="O902" s="39" t="s">
        <v>184</v>
      </c>
      <c r="P902" s="39" t="s">
        <v>2116</v>
      </c>
      <c r="Q902" s="39" t="s">
        <v>2115</v>
      </c>
      <c r="R902" s="16" t="s">
        <v>1515</v>
      </c>
      <c r="S902" s="160">
        <v>0</v>
      </c>
      <c r="T902" s="160">
        <v>0</v>
      </c>
      <c r="U902" s="160">
        <v>0</v>
      </c>
      <c r="V902" s="160">
        <v>0</v>
      </c>
      <c r="W902" s="160">
        <v>0</v>
      </c>
      <c r="X902" s="161">
        <v>0</v>
      </c>
      <c r="Y902" s="160"/>
      <c r="Z902" s="16">
        <v>0</v>
      </c>
      <c r="AA902" s="162">
        <v>0</v>
      </c>
      <c r="AB902" s="162">
        <v>0</v>
      </c>
      <c r="AC902" s="162">
        <v>0</v>
      </c>
      <c r="AD902" s="160">
        <v>0</v>
      </c>
      <c r="AE902" s="145">
        <v>0</v>
      </c>
      <c r="AF902" s="163">
        <v>1.0469999999999999</v>
      </c>
      <c r="AG902" s="164">
        <v>1.046</v>
      </c>
      <c r="AH902" s="164">
        <v>1.046</v>
      </c>
      <c r="AI902" s="164">
        <v>0</v>
      </c>
      <c r="AJ902" s="164">
        <f t="shared" si="122"/>
        <v>0</v>
      </c>
      <c r="AK902" s="165">
        <v>0</v>
      </c>
      <c r="AL902" s="165">
        <v>0</v>
      </c>
      <c r="AM902" s="165">
        <f t="shared" si="124"/>
        <v>0</v>
      </c>
      <c r="AN902" s="165">
        <f t="shared" si="125"/>
        <v>0</v>
      </c>
      <c r="AO902" s="16"/>
      <c r="AP902" s="231">
        <f t="shared" si="123"/>
        <v>0</v>
      </c>
      <c r="AR902" s="231"/>
      <c r="AS902" s="231"/>
      <c r="AU902" s="230">
        <v>0</v>
      </c>
      <c r="AV902" s="233">
        <v>0</v>
      </c>
      <c r="AW902" s="230">
        <f t="shared" si="127"/>
        <v>0</v>
      </c>
    </row>
    <row r="903" spans="1:49" hidden="1" x14ac:dyDescent="0.3">
      <c r="A903" s="16" t="s">
        <v>2117</v>
      </c>
      <c r="B903" s="39" t="s">
        <v>1847</v>
      </c>
      <c r="C903" s="39" t="s">
        <v>184</v>
      </c>
      <c r="D903" s="340" t="s">
        <v>3478</v>
      </c>
      <c r="E903" s="159" t="s">
        <v>1085</v>
      </c>
      <c r="F903" s="159" t="s">
        <v>1179</v>
      </c>
      <c r="G903" s="159" t="s">
        <v>582</v>
      </c>
      <c r="H903" s="159" t="s">
        <v>805</v>
      </c>
      <c r="I903" s="159" t="s">
        <v>1848</v>
      </c>
      <c r="J903" s="159" t="s">
        <v>312</v>
      </c>
      <c r="K903" s="159" t="s">
        <v>1849</v>
      </c>
      <c r="L903" s="39" t="s">
        <v>304</v>
      </c>
      <c r="M903" s="39" t="s">
        <v>305</v>
      </c>
      <c r="N903" s="39">
        <v>11</v>
      </c>
      <c r="O903" s="39" t="s">
        <v>803</v>
      </c>
      <c r="P903" s="39" t="s">
        <v>2118</v>
      </c>
      <c r="Q903" s="39" t="s">
        <v>1847</v>
      </c>
      <c r="R903" s="16" t="s">
        <v>2117</v>
      </c>
      <c r="S903" s="160">
        <v>-2300000</v>
      </c>
      <c r="T903" s="160">
        <v>0</v>
      </c>
      <c r="U903" s="160">
        <v>0</v>
      </c>
      <c r="V903" s="160">
        <v>0</v>
      </c>
      <c r="W903" s="160">
        <v>-2300000</v>
      </c>
      <c r="X903" s="161">
        <v>0</v>
      </c>
      <c r="Y903" s="160"/>
      <c r="Z903" s="16">
        <v>0</v>
      </c>
      <c r="AA903" s="162">
        <v>0</v>
      </c>
      <c r="AB903" s="162">
        <v>0</v>
      </c>
      <c r="AC903" s="162">
        <v>0</v>
      </c>
      <c r="AD903" s="160">
        <v>0</v>
      </c>
      <c r="AE903" s="145">
        <v>-2300000</v>
      </c>
      <c r="AF903" s="163">
        <v>1.0469999999999999</v>
      </c>
      <c r="AG903" s="164">
        <v>1.046</v>
      </c>
      <c r="AH903" s="164">
        <v>1.046</v>
      </c>
      <c r="AI903" s="164">
        <v>-2300000</v>
      </c>
      <c r="AJ903" s="164">
        <f t="shared" ref="AJ903:AJ966" si="128">AE903-AI903</f>
        <v>0</v>
      </c>
      <c r="AK903" s="165">
        <v>-2300000</v>
      </c>
      <c r="AL903" s="165">
        <v>-2408100</v>
      </c>
      <c r="AM903" s="165">
        <f t="shared" si="124"/>
        <v>-2518872.6</v>
      </c>
      <c r="AN903" s="165">
        <f t="shared" si="125"/>
        <v>-2634740.7396</v>
      </c>
      <c r="AO903" s="16"/>
      <c r="AP903" s="231">
        <f t="shared" ref="AP903:AP966" si="129">AK903-AL903</f>
        <v>108100</v>
      </c>
      <c r="AR903" s="231"/>
      <c r="AS903" s="231"/>
      <c r="AU903" s="230">
        <v>-2300000</v>
      </c>
      <c r="AV903" s="233">
        <v>-2300000</v>
      </c>
      <c r="AW903" s="230">
        <f t="shared" si="127"/>
        <v>0</v>
      </c>
    </row>
    <row r="904" spans="1:49" hidden="1" x14ac:dyDescent="0.3">
      <c r="A904" s="16" t="s">
        <v>1852</v>
      </c>
      <c r="B904" s="39" t="s">
        <v>2119</v>
      </c>
      <c r="C904" s="39" t="s">
        <v>2120</v>
      </c>
      <c r="D904" s="340" t="s">
        <v>3478</v>
      </c>
      <c r="E904" s="159" t="s">
        <v>1085</v>
      </c>
      <c r="F904" s="159" t="s">
        <v>1179</v>
      </c>
      <c r="G904" s="159" t="s">
        <v>582</v>
      </c>
      <c r="H904" s="159" t="s">
        <v>805</v>
      </c>
      <c r="I904" s="159" t="s">
        <v>1853</v>
      </c>
      <c r="J904" s="159" t="s">
        <v>312</v>
      </c>
      <c r="K904" s="159" t="s">
        <v>1849</v>
      </c>
      <c r="L904" s="39" t="s">
        <v>304</v>
      </c>
      <c r="M904" s="39" t="s">
        <v>305</v>
      </c>
      <c r="N904" s="39">
        <v>11</v>
      </c>
      <c r="O904" s="39" t="s">
        <v>2120</v>
      </c>
      <c r="P904" s="39" t="s">
        <v>2121</v>
      </c>
      <c r="Q904" s="39" t="s">
        <v>2119</v>
      </c>
      <c r="R904" s="16" t="s">
        <v>1852</v>
      </c>
      <c r="S904" s="160">
        <v>0</v>
      </c>
      <c r="T904" s="160">
        <v>0</v>
      </c>
      <c r="U904" s="160">
        <v>0</v>
      </c>
      <c r="V904" s="160">
        <v>0</v>
      </c>
      <c r="W904" s="160">
        <v>0</v>
      </c>
      <c r="X904" s="161">
        <v>0</v>
      </c>
      <c r="Y904" s="160"/>
      <c r="Z904" s="16">
        <v>0</v>
      </c>
      <c r="AA904" s="162">
        <v>0</v>
      </c>
      <c r="AB904" s="162">
        <v>0</v>
      </c>
      <c r="AC904" s="162">
        <v>0</v>
      </c>
      <c r="AD904" s="160">
        <v>0</v>
      </c>
      <c r="AE904" s="145">
        <v>0</v>
      </c>
      <c r="AF904" s="163">
        <v>1.0469999999999999</v>
      </c>
      <c r="AG904" s="164">
        <v>1.046</v>
      </c>
      <c r="AH904" s="164">
        <v>1.046</v>
      </c>
      <c r="AI904" s="164">
        <v>0</v>
      </c>
      <c r="AJ904" s="164">
        <f t="shared" si="128"/>
        <v>0</v>
      </c>
      <c r="AK904" s="165">
        <v>0</v>
      </c>
      <c r="AL904" s="165">
        <v>0</v>
      </c>
      <c r="AM904" s="165">
        <f t="shared" si="124"/>
        <v>0</v>
      </c>
      <c r="AN904" s="165">
        <f t="shared" si="125"/>
        <v>0</v>
      </c>
      <c r="AO904" s="16"/>
      <c r="AP904" s="231">
        <f t="shared" si="129"/>
        <v>0</v>
      </c>
      <c r="AR904" s="231"/>
      <c r="AS904" s="231"/>
      <c r="AU904" s="230">
        <v>0</v>
      </c>
      <c r="AV904" s="233">
        <v>0</v>
      </c>
      <c r="AW904" s="230">
        <f t="shared" si="127"/>
        <v>0</v>
      </c>
    </row>
    <row r="905" spans="1:49" hidden="1" x14ac:dyDescent="0.3">
      <c r="A905" s="16" t="s">
        <v>1065</v>
      </c>
      <c r="B905" s="39" t="s">
        <v>1715</v>
      </c>
      <c r="C905" s="39" t="s">
        <v>1064</v>
      </c>
      <c r="D905" s="340" t="s">
        <v>3478</v>
      </c>
      <c r="E905" s="159" t="s">
        <v>1085</v>
      </c>
      <c r="F905" s="159" t="s">
        <v>1179</v>
      </c>
      <c r="G905" s="159" t="s">
        <v>582</v>
      </c>
      <c r="H905" s="159" t="s">
        <v>805</v>
      </c>
      <c r="I905" s="159" t="s">
        <v>1066</v>
      </c>
      <c r="J905" s="159" t="s">
        <v>312</v>
      </c>
      <c r="K905" s="159" t="s">
        <v>1849</v>
      </c>
      <c r="L905" s="39" t="s">
        <v>304</v>
      </c>
      <c r="M905" s="39" t="s">
        <v>305</v>
      </c>
      <c r="N905" s="39">
        <v>11</v>
      </c>
      <c r="O905" s="39" t="s">
        <v>184</v>
      </c>
      <c r="P905" s="39" t="s">
        <v>1064</v>
      </c>
      <c r="Q905" s="39" t="s">
        <v>1715</v>
      </c>
      <c r="R905" s="16" t="s">
        <v>1065</v>
      </c>
      <c r="S905" s="160">
        <v>0</v>
      </c>
      <c r="T905" s="160">
        <v>0</v>
      </c>
      <c r="U905" s="160">
        <v>0</v>
      </c>
      <c r="V905" s="160">
        <v>0</v>
      </c>
      <c r="W905" s="160">
        <v>0</v>
      </c>
      <c r="X905" s="161">
        <v>0</v>
      </c>
      <c r="Y905" s="160"/>
      <c r="Z905" s="16">
        <v>0</v>
      </c>
      <c r="AA905" s="162">
        <v>0</v>
      </c>
      <c r="AB905" s="162">
        <v>0</v>
      </c>
      <c r="AC905" s="162">
        <v>0</v>
      </c>
      <c r="AD905" s="160">
        <v>0</v>
      </c>
      <c r="AE905" s="145">
        <v>0</v>
      </c>
      <c r="AF905" s="163">
        <v>1.0469999999999999</v>
      </c>
      <c r="AG905" s="164">
        <v>1.046</v>
      </c>
      <c r="AH905" s="164">
        <v>1.046</v>
      </c>
      <c r="AI905" s="164">
        <v>0</v>
      </c>
      <c r="AJ905" s="164">
        <f t="shared" si="128"/>
        <v>0</v>
      </c>
      <c r="AK905" s="165">
        <v>0</v>
      </c>
      <c r="AL905" s="165">
        <v>0</v>
      </c>
      <c r="AM905" s="165">
        <f t="shared" si="124"/>
        <v>0</v>
      </c>
      <c r="AN905" s="165">
        <f t="shared" si="125"/>
        <v>0</v>
      </c>
      <c r="AO905" s="16"/>
      <c r="AP905" s="231">
        <f t="shared" si="129"/>
        <v>0</v>
      </c>
      <c r="AR905" s="231"/>
      <c r="AS905" s="231"/>
      <c r="AU905" s="230">
        <v>0</v>
      </c>
      <c r="AV905" s="233">
        <v>0</v>
      </c>
      <c r="AW905" s="230">
        <f t="shared" si="127"/>
        <v>0</v>
      </c>
    </row>
    <row r="906" spans="1:49" hidden="1" x14ac:dyDescent="0.3">
      <c r="A906" s="16" t="s">
        <v>1518</v>
      </c>
      <c r="B906" s="39" t="s">
        <v>2122</v>
      </c>
      <c r="C906" s="39" t="s">
        <v>2123</v>
      </c>
      <c r="D906" s="340" t="s">
        <v>3478</v>
      </c>
      <c r="E906" s="159" t="s">
        <v>1085</v>
      </c>
      <c r="F906" s="159" t="s">
        <v>1179</v>
      </c>
      <c r="G906" s="159" t="s">
        <v>582</v>
      </c>
      <c r="H906" s="159" t="s">
        <v>1074</v>
      </c>
      <c r="I906" s="159" t="s">
        <v>319</v>
      </c>
      <c r="J906" s="159" t="s">
        <v>312</v>
      </c>
      <c r="K906" s="159" t="s">
        <v>1849</v>
      </c>
      <c r="L906" s="39" t="s">
        <v>304</v>
      </c>
      <c r="M906" s="39" t="s">
        <v>305</v>
      </c>
      <c r="N906" s="39">
        <v>11</v>
      </c>
      <c r="O906" s="39" t="s">
        <v>2123</v>
      </c>
      <c r="P906" s="39" t="s">
        <v>2124</v>
      </c>
      <c r="Q906" s="39" t="s">
        <v>2122</v>
      </c>
      <c r="R906" s="16" t="s">
        <v>1518</v>
      </c>
      <c r="S906" s="160">
        <v>0</v>
      </c>
      <c r="T906" s="160">
        <v>0</v>
      </c>
      <c r="U906" s="160">
        <v>0</v>
      </c>
      <c r="V906" s="160">
        <v>0</v>
      </c>
      <c r="W906" s="160">
        <v>0</v>
      </c>
      <c r="X906" s="161">
        <v>0</v>
      </c>
      <c r="Y906" s="160"/>
      <c r="Z906" s="16">
        <v>0</v>
      </c>
      <c r="AA906" s="162">
        <v>0</v>
      </c>
      <c r="AB906" s="162">
        <v>0</v>
      </c>
      <c r="AC906" s="162">
        <v>0</v>
      </c>
      <c r="AD906" s="160">
        <v>0</v>
      </c>
      <c r="AE906" s="145">
        <v>0</v>
      </c>
      <c r="AF906" s="163">
        <v>1.0469999999999999</v>
      </c>
      <c r="AG906" s="164">
        <v>1.046</v>
      </c>
      <c r="AH906" s="164">
        <v>1.046</v>
      </c>
      <c r="AI906" s="164">
        <v>0</v>
      </c>
      <c r="AJ906" s="164">
        <f t="shared" si="128"/>
        <v>0</v>
      </c>
      <c r="AK906" s="165">
        <v>0</v>
      </c>
      <c r="AL906" s="165">
        <v>0</v>
      </c>
      <c r="AM906" s="165">
        <f t="shared" si="124"/>
        <v>0</v>
      </c>
      <c r="AN906" s="165">
        <f t="shared" si="125"/>
        <v>0</v>
      </c>
      <c r="AO906" s="16"/>
      <c r="AP906" s="231">
        <f t="shared" si="129"/>
        <v>0</v>
      </c>
      <c r="AR906" s="231"/>
      <c r="AS906" s="231"/>
      <c r="AU906" s="230">
        <v>0</v>
      </c>
      <c r="AV906" s="233">
        <v>0</v>
      </c>
      <c r="AW906" s="230">
        <f t="shared" si="127"/>
        <v>0</v>
      </c>
    </row>
    <row r="907" spans="1:49" hidden="1" x14ac:dyDescent="0.3">
      <c r="A907" s="16" t="s">
        <v>1856</v>
      </c>
      <c r="B907" s="39" t="s">
        <v>2125</v>
      </c>
      <c r="C907" s="39" t="s">
        <v>2123</v>
      </c>
      <c r="D907" s="340" t="s">
        <v>3478</v>
      </c>
      <c r="E907" s="159" t="s">
        <v>1085</v>
      </c>
      <c r="F907" s="159" t="s">
        <v>1179</v>
      </c>
      <c r="G907" s="159" t="s">
        <v>582</v>
      </c>
      <c r="H907" s="159" t="s">
        <v>1074</v>
      </c>
      <c r="I907" s="159" t="s">
        <v>846</v>
      </c>
      <c r="J907" s="159" t="s">
        <v>312</v>
      </c>
      <c r="K907" s="159" t="s">
        <v>1849</v>
      </c>
      <c r="L907" s="39" t="s">
        <v>304</v>
      </c>
      <c r="M907" s="39" t="s">
        <v>305</v>
      </c>
      <c r="N907" s="39">
        <v>11</v>
      </c>
      <c r="O907" s="39" t="s">
        <v>2123</v>
      </c>
      <c r="P907" s="39" t="s">
        <v>2126</v>
      </c>
      <c r="Q907" s="39" t="s">
        <v>2125</v>
      </c>
      <c r="R907" s="16" t="s">
        <v>1856</v>
      </c>
      <c r="S907" s="160">
        <v>0</v>
      </c>
      <c r="T907" s="160">
        <v>0</v>
      </c>
      <c r="U907" s="160">
        <v>0</v>
      </c>
      <c r="V907" s="160">
        <v>0</v>
      </c>
      <c r="W907" s="160">
        <v>0</v>
      </c>
      <c r="X907" s="161">
        <v>0</v>
      </c>
      <c r="Y907" s="160"/>
      <c r="Z907" s="16">
        <v>0</v>
      </c>
      <c r="AA907" s="162">
        <v>0</v>
      </c>
      <c r="AB907" s="162">
        <v>0</v>
      </c>
      <c r="AC907" s="162">
        <v>0</v>
      </c>
      <c r="AD907" s="160">
        <v>0</v>
      </c>
      <c r="AE907" s="145">
        <v>0</v>
      </c>
      <c r="AF907" s="163">
        <v>1.0469999999999999</v>
      </c>
      <c r="AG907" s="164">
        <v>1.046</v>
      </c>
      <c r="AH907" s="164">
        <v>1.046</v>
      </c>
      <c r="AI907" s="164">
        <v>0</v>
      </c>
      <c r="AJ907" s="164">
        <f t="shared" si="128"/>
        <v>0</v>
      </c>
      <c r="AK907" s="165">
        <v>0</v>
      </c>
      <c r="AL907" s="165">
        <v>0</v>
      </c>
      <c r="AM907" s="165">
        <f t="shared" si="124"/>
        <v>0</v>
      </c>
      <c r="AN907" s="165">
        <f t="shared" si="125"/>
        <v>0</v>
      </c>
      <c r="AO907" s="16"/>
      <c r="AP907" s="231">
        <f t="shared" si="129"/>
        <v>0</v>
      </c>
      <c r="AR907" s="231"/>
      <c r="AS907" s="231"/>
      <c r="AU907" s="230">
        <v>0</v>
      </c>
      <c r="AV907" s="233">
        <v>0</v>
      </c>
      <c r="AW907" s="230">
        <f t="shared" si="127"/>
        <v>0</v>
      </c>
    </row>
    <row r="908" spans="1:49" hidden="1" x14ac:dyDescent="0.3">
      <c r="A908" s="16" t="s">
        <v>1521</v>
      </c>
      <c r="B908" s="39" t="s">
        <v>2127</v>
      </c>
      <c r="C908" s="39" t="s">
        <v>2128</v>
      </c>
      <c r="D908" s="340" t="s">
        <v>3478</v>
      </c>
      <c r="E908" s="159" t="s">
        <v>1085</v>
      </c>
      <c r="F908" s="159" t="s">
        <v>1179</v>
      </c>
      <c r="G908" s="159" t="s">
        <v>582</v>
      </c>
      <c r="H908" s="159" t="s">
        <v>1176</v>
      </c>
      <c r="I908" s="159" t="s">
        <v>319</v>
      </c>
      <c r="J908" s="159" t="s">
        <v>312</v>
      </c>
      <c r="K908" s="159" t="s">
        <v>1849</v>
      </c>
      <c r="L908" s="39" t="s">
        <v>304</v>
      </c>
      <c r="M908" s="39" t="s">
        <v>305</v>
      </c>
      <c r="N908" s="39">
        <v>11</v>
      </c>
      <c r="O908" s="39" t="s">
        <v>2128</v>
      </c>
      <c r="P908" s="39" t="s">
        <v>2129</v>
      </c>
      <c r="Q908" s="39" t="s">
        <v>2127</v>
      </c>
      <c r="R908" s="16" t="s">
        <v>1521</v>
      </c>
      <c r="S908" s="160">
        <v>0</v>
      </c>
      <c r="T908" s="160">
        <v>0</v>
      </c>
      <c r="U908" s="160">
        <v>0</v>
      </c>
      <c r="V908" s="160">
        <v>0</v>
      </c>
      <c r="W908" s="160">
        <v>0</v>
      </c>
      <c r="X908" s="161">
        <v>0</v>
      </c>
      <c r="Y908" s="160"/>
      <c r="Z908" s="16">
        <v>0</v>
      </c>
      <c r="AA908" s="162">
        <v>0</v>
      </c>
      <c r="AB908" s="162">
        <v>0</v>
      </c>
      <c r="AC908" s="162">
        <v>0</v>
      </c>
      <c r="AD908" s="160">
        <v>0</v>
      </c>
      <c r="AE908" s="145">
        <v>0</v>
      </c>
      <c r="AF908" s="163">
        <v>1.0469999999999999</v>
      </c>
      <c r="AG908" s="164">
        <v>1.046</v>
      </c>
      <c r="AH908" s="164">
        <v>1.046</v>
      </c>
      <c r="AI908" s="164">
        <v>0</v>
      </c>
      <c r="AJ908" s="164">
        <f t="shared" si="128"/>
        <v>0</v>
      </c>
      <c r="AK908" s="165">
        <v>0</v>
      </c>
      <c r="AL908" s="165">
        <v>0</v>
      </c>
      <c r="AM908" s="165">
        <f t="shared" si="124"/>
        <v>0</v>
      </c>
      <c r="AN908" s="165">
        <f t="shared" si="125"/>
        <v>0</v>
      </c>
      <c r="AO908" s="16"/>
      <c r="AP908" s="231">
        <f t="shared" si="129"/>
        <v>0</v>
      </c>
      <c r="AR908" s="231"/>
      <c r="AS908" s="231"/>
      <c r="AU908" s="230">
        <v>0</v>
      </c>
      <c r="AV908" s="233">
        <v>0</v>
      </c>
      <c r="AW908" s="230">
        <f t="shared" si="127"/>
        <v>0</v>
      </c>
    </row>
    <row r="909" spans="1:49" hidden="1" x14ac:dyDescent="0.3">
      <c r="A909" s="16" t="s">
        <v>2130</v>
      </c>
      <c r="B909" s="39" t="s">
        <v>2131</v>
      </c>
      <c r="C909" s="39" t="s">
        <v>2128</v>
      </c>
      <c r="D909" s="340" t="s">
        <v>3478</v>
      </c>
      <c r="E909" s="159" t="s">
        <v>1085</v>
      </c>
      <c r="F909" s="159" t="s">
        <v>1179</v>
      </c>
      <c r="G909" s="159" t="s">
        <v>582</v>
      </c>
      <c r="H909" s="159" t="s">
        <v>1176</v>
      </c>
      <c r="I909" s="159" t="s">
        <v>846</v>
      </c>
      <c r="J909" s="159" t="s">
        <v>312</v>
      </c>
      <c r="K909" s="159" t="s">
        <v>1849</v>
      </c>
      <c r="L909" s="39" t="s">
        <v>304</v>
      </c>
      <c r="M909" s="39" t="s">
        <v>305</v>
      </c>
      <c r="N909" s="39">
        <v>11</v>
      </c>
      <c r="O909" s="39" t="s">
        <v>2128</v>
      </c>
      <c r="P909" s="39" t="s">
        <v>2132</v>
      </c>
      <c r="Q909" s="39" t="s">
        <v>2131</v>
      </c>
      <c r="R909" s="16" t="s">
        <v>2130</v>
      </c>
      <c r="S909" s="160">
        <v>0</v>
      </c>
      <c r="T909" s="160">
        <v>0</v>
      </c>
      <c r="U909" s="160">
        <v>0</v>
      </c>
      <c r="V909" s="160">
        <v>0</v>
      </c>
      <c r="W909" s="160">
        <v>0</v>
      </c>
      <c r="X909" s="161">
        <v>0</v>
      </c>
      <c r="Y909" s="160"/>
      <c r="Z909" s="16">
        <v>0</v>
      </c>
      <c r="AA909" s="162">
        <v>0</v>
      </c>
      <c r="AB909" s="162">
        <v>0</v>
      </c>
      <c r="AC909" s="162">
        <v>0</v>
      </c>
      <c r="AD909" s="160">
        <v>0</v>
      </c>
      <c r="AE909" s="145">
        <v>0</v>
      </c>
      <c r="AF909" s="163">
        <v>1.0469999999999999</v>
      </c>
      <c r="AG909" s="164">
        <v>1.046</v>
      </c>
      <c r="AH909" s="164">
        <v>1.046</v>
      </c>
      <c r="AI909" s="164">
        <v>0</v>
      </c>
      <c r="AJ909" s="164">
        <f t="shared" si="128"/>
        <v>0</v>
      </c>
      <c r="AK909" s="165">
        <v>0</v>
      </c>
      <c r="AL909" s="165">
        <v>0</v>
      </c>
      <c r="AM909" s="165">
        <f t="shared" si="124"/>
        <v>0</v>
      </c>
      <c r="AN909" s="165">
        <f t="shared" si="125"/>
        <v>0</v>
      </c>
      <c r="AO909" s="16"/>
      <c r="AP909" s="231">
        <f t="shared" si="129"/>
        <v>0</v>
      </c>
      <c r="AR909" s="231"/>
      <c r="AS909" s="231"/>
      <c r="AU909" s="230">
        <v>0</v>
      </c>
      <c r="AV909" s="233">
        <v>0</v>
      </c>
      <c r="AW909" s="230">
        <f t="shared" si="127"/>
        <v>0</v>
      </c>
    </row>
    <row r="910" spans="1:49" s="250" customFormat="1" hidden="1" x14ac:dyDescent="0.3">
      <c r="A910" s="241" t="s">
        <v>2133</v>
      </c>
      <c r="B910" s="242" t="s">
        <v>1716</v>
      </c>
      <c r="C910" s="242" t="s">
        <v>2134</v>
      </c>
      <c r="D910" s="340" t="s">
        <v>3478</v>
      </c>
      <c r="E910" s="243" t="s">
        <v>1085</v>
      </c>
      <c r="F910" s="243" t="s">
        <v>1179</v>
      </c>
      <c r="G910" s="243" t="s">
        <v>1078</v>
      </c>
      <c r="H910" s="243" t="s">
        <v>554</v>
      </c>
      <c r="I910" s="243" t="s">
        <v>393</v>
      </c>
      <c r="J910" s="243" t="s">
        <v>312</v>
      </c>
      <c r="K910" s="243" t="s">
        <v>1081</v>
      </c>
      <c r="L910" s="242" t="s">
        <v>2135</v>
      </c>
      <c r="M910" s="242" t="s">
        <v>305</v>
      </c>
      <c r="N910" s="242">
        <v>11</v>
      </c>
      <c r="O910" s="242" t="s">
        <v>2134</v>
      </c>
      <c r="P910" s="242" t="s">
        <v>2136</v>
      </c>
      <c r="Q910" s="242" t="s">
        <v>1716</v>
      </c>
      <c r="R910" s="241" t="s">
        <v>2133</v>
      </c>
      <c r="S910" s="223">
        <v>2000000</v>
      </c>
      <c r="T910" s="160">
        <v>0</v>
      </c>
      <c r="U910" s="160">
        <v>0</v>
      </c>
      <c r="V910" s="160">
        <v>0</v>
      </c>
      <c r="W910" s="160">
        <v>2000000</v>
      </c>
      <c r="X910" s="161">
        <v>0</v>
      </c>
      <c r="Y910" s="160"/>
      <c r="Z910" s="16">
        <v>0</v>
      </c>
      <c r="AA910" s="162">
        <v>0</v>
      </c>
      <c r="AB910" s="224">
        <v>0</v>
      </c>
      <c r="AC910" s="224">
        <v>0</v>
      </c>
      <c r="AD910" s="223">
        <v>0</v>
      </c>
      <c r="AE910" s="244">
        <v>0</v>
      </c>
      <c r="AF910" s="220">
        <v>1.0469999999999999</v>
      </c>
      <c r="AG910" s="221">
        <v>1.046</v>
      </c>
      <c r="AH910" s="221">
        <v>1.046</v>
      </c>
      <c r="AI910" s="245">
        <v>2000000</v>
      </c>
      <c r="AJ910" s="164">
        <f t="shared" si="128"/>
        <v>-2000000</v>
      </c>
      <c r="AK910" s="246">
        <v>2000000</v>
      </c>
      <c r="AL910" s="246">
        <f t="shared" ref="AL910" si="130">AK910</f>
        <v>2000000</v>
      </c>
      <c r="AM910" s="246">
        <f t="shared" si="124"/>
        <v>2092000</v>
      </c>
      <c r="AN910" s="246">
        <f t="shared" si="125"/>
        <v>2188232</v>
      </c>
      <c r="AO910" s="241"/>
      <c r="AP910" s="247">
        <f t="shared" si="129"/>
        <v>0</v>
      </c>
      <c r="AR910" s="231"/>
      <c r="AS910" s="231"/>
      <c r="AU910" s="248">
        <v>2000000</v>
      </c>
      <c r="AV910" s="249">
        <v>2000000</v>
      </c>
      <c r="AW910" s="248">
        <f t="shared" si="127"/>
        <v>0</v>
      </c>
    </row>
    <row r="911" spans="1:49" hidden="1" x14ac:dyDescent="0.3">
      <c r="A911" s="16" t="s">
        <v>2137</v>
      </c>
      <c r="B911" s="39" t="s">
        <v>2138</v>
      </c>
      <c r="C911" s="39" t="s">
        <v>218</v>
      </c>
      <c r="D911" s="340" t="s">
        <v>3478</v>
      </c>
      <c r="E911" s="159" t="s">
        <v>1085</v>
      </c>
      <c r="F911" s="159" t="s">
        <v>1179</v>
      </c>
      <c r="G911" s="159" t="s">
        <v>1078</v>
      </c>
      <c r="H911" s="159" t="s">
        <v>554</v>
      </c>
      <c r="I911" s="159" t="s">
        <v>1717</v>
      </c>
      <c r="J911" s="159" t="s">
        <v>312</v>
      </c>
      <c r="K911" s="159" t="s">
        <v>1081</v>
      </c>
      <c r="L911" s="39" t="s">
        <v>1718</v>
      </c>
      <c r="M911" s="39" t="s">
        <v>305</v>
      </c>
      <c r="N911" s="39">
        <v>11</v>
      </c>
      <c r="O911" s="39" t="s">
        <v>218</v>
      </c>
      <c r="P911" s="39" t="s">
        <v>218</v>
      </c>
      <c r="Q911" s="39" t="s">
        <v>2138</v>
      </c>
      <c r="R911" s="16" t="s">
        <v>2137</v>
      </c>
      <c r="S911" s="160">
        <v>0</v>
      </c>
      <c r="T911" s="160">
        <v>0</v>
      </c>
      <c r="U911" s="160">
        <v>0</v>
      </c>
      <c r="V911" s="160">
        <v>0</v>
      </c>
      <c r="W911" s="160">
        <v>0</v>
      </c>
      <c r="X911" s="161">
        <v>0</v>
      </c>
      <c r="Y911" s="160"/>
      <c r="Z911" s="16">
        <v>0</v>
      </c>
      <c r="AA911" s="162">
        <v>0</v>
      </c>
      <c r="AB911" s="162">
        <v>0</v>
      </c>
      <c r="AC911" s="162">
        <v>0</v>
      </c>
      <c r="AD911" s="160">
        <v>0</v>
      </c>
      <c r="AE911" s="145">
        <v>0</v>
      </c>
      <c r="AF911" s="163">
        <v>1.0469999999999999</v>
      </c>
      <c r="AG911" s="164">
        <v>1.046</v>
      </c>
      <c r="AH911" s="164">
        <v>1.046</v>
      </c>
      <c r="AI911" s="164">
        <v>0</v>
      </c>
      <c r="AJ911" s="164">
        <f t="shared" si="128"/>
        <v>0</v>
      </c>
      <c r="AK911" s="165">
        <v>0</v>
      </c>
      <c r="AL911" s="165">
        <v>0</v>
      </c>
      <c r="AM911" s="165">
        <f t="shared" si="124"/>
        <v>0</v>
      </c>
      <c r="AN911" s="165">
        <f t="shared" si="125"/>
        <v>0</v>
      </c>
      <c r="AO911" s="16"/>
      <c r="AP911" s="231">
        <f t="shared" si="129"/>
        <v>0</v>
      </c>
      <c r="AR911" s="231"/>
      <c r="AS911" s="231"/>
      <c r="AU911" s="230">
        <v>0</v>
      </c>
      <c r="AV911" s="233">
        <v>0</v>
      </c>
      <c r="AW911" s="230">
        <f t="shared" si="127"/>
        <v>0</v>
      </c>
    </row>
    <row r="912" spans="1:49" hidden="1" x14ac:dyDescent="0.3">
      <c r="A912" s="16" t="s">
        <v>241</v>
      </c>
      <c r="B912" s="39" t="s">
        <v>1719</v>
      </c>
      <c r="C912" s="39" t="s">
        <v>1720</v>
      </c>
      <c r="D912" s="340" t="s">
        <v>3478</v>
      </c>
      <c r="E912" s="159" t="s">
        <v>1085</v>
      </c>
      <c r="F912" s="159" t="s">
        <v>1179</v>
      </c>
      <c r="G912" s="159" t="s">
        <v>1078</v>
      </c>
      <c r="H912" s="159" t="s">
        <v>1194</v>
      </c>
      <c r="I912" s="159" t="s">
        <v>393</v>
      </c>
      <c r="J912" s="159" t="s">
        <v>312</v>
      </c>
      <c r="K912" s="159" t="s">
        <v>1997</v>
      </c>
      <c r="L912" s="39" t="s">
        <v>1721</v>
      </c>
      <c r="M912" s="39" t="s">
        <v>305</v>
      </c>
      <c r="N912" s="39">
        <v>11</v>
      </c>
      <c r="O912" s="39" t="s">
        <v>1720</v>
      </c>
      <c r="P912" s="39">
        <v>0</v>
      </c>
      <c r="Q912" s="39" t="s">
        <v>1719</v>
      </c>
      <c r="R912" s="16" t="s">
        <v>241</v>
      </c>
      <c r="S912" s="160">
        <v>0</v>
      </c>
      <c r="T912" s="160">
        <v>0</v>
      </c>
      <c r="U912" s="160">
        <v>0</v>
      </c>
      <c r="V912" s="160">
        <v>0</v>
      </c>
      <c r="W912" s="160">
        <v>0</v>
      </c>
      <c r="X912" s="161">
        <v>0</v>
      </c>
      <c r="Y912" s="160"/>
      <c r="Z912" s="16">
        <v>0</v>
      </c>
      <c r="AA912" s="162">
        <v>0</v>
      </c>
      <c r="AB912" s="162">
        <v>0</v>
      </c>
      <c r="AC912" s="162">
        <v>0</v>
      </c>
      <c r="AD912" s="160">
        <v>0</v>
      </c>
      <c r="AE912" s="145">
        <v>0</v>
      </c>
      <c r="AF912" s="163">
        <v>1.0469999999999999</v>
      </c>
      <c r="AG912" s="164">
        <v>1.046</v>
      </c>
      <c r="AH912" s="164">
        <v>1.046</v>
      </c>
      <c r="AI912" s="164">
        <v>0</v>
      </c>
      <c r="AJ912" s="164">
        <f t="shared" si="128"/>
        <v>0</v>
      </c>
      <c r="AK912" s="165">
        <v>0</v>
      </c>
      <c r="AL912" s="165">
        <v>0</v>
      </c>
      <c r="AM912" s="165">
        <f t="shared" si="124"/>
        <v>0</v>
      </c>
      <c r="AN912" s="165">
        <f t="shared" si="125"/>
        <v>0</v>
      </c>
      <c r="AO912" s="16"/>
      <c r="AP912" s="231">
        <f t="shared" si="129"/>
        <v>0</v>
      </c>
      <c r="AR912" s="231"/>
      <c r="AS912" s="231"/>
      <c r="AU912" s="230">
        <v>0</v>
      </c>
      <c r="AV912" s="233">
        <v>0</v>
      </c>
      <c r="AW912" s="230">
        <f t="shared" si="127"/>
        <v>0</v>
      </c>
    </row>
    <row r="913" spans="1:49" s="222" customFormat="1" hidden="1" x14ac:dyDescent="0.3">
      <c r="A913" s="215" t="s">
        <v>241</v>
      </c>
      <c r="B913" s="216" t="s">
        <v>1722</v>
      </c>
      <c r="C913" s="216" t="s">
        <v>1720</v>
      </c>
      <c r="D913" s="340" t="s">
        <v>3478</v>
      </c>
      <c r="E913" s="217" t="s">
        <v>1085</v>
      </c>
      <c r="F913" s="217" t="s">
        <v>1179</v>
      </c>
      <c r="G913" s="217" t="s">
        <v>1078</v>
      </c>
      <c r="H913" s="217" t="s">
        <v>1194</v>
      </c>
      <c r="I913" s="217" t="s">
        <v>393</v>
      </c>
      <c r="J913" s="217" t="s">
        <v>312</v>
      </c>
      <c r="K913" s="217" t="s">
        <v>1081</v>
      </c>
      <c r="L913" s="216" t="s">
        <v>1721</v>
      </c>
      <c r="M913" s="216" t="s">
        <v>305</v>
      </c>
      <c r="N913" s="216">
        <v>11</v>
      </c>
      <c r="O913" s="216" t="s">
        <v>1720</v>
      </c>
      <c r="P913" s="216" t="s">
        <v>1720</v>
      </c>
      <c r="Q913" s="216" t="s">
        <v>1722</v>
      </c>
      <c r="R913" s="215" t="s">
        <v>241</v>
      </c>
      <c r="S913" s="218">
        <v>2750000</v>
      </c>
      <c r="T913" s="160">
        <v>165349</v>
      </c>
      <c r="U913" s="160">
        <v>330698</v>
      </c>
      <c r="V913" s="160">
        <v>330698</v>
      </c>
      <c r="W913" s="160">
        <v>2419302</v>
      </c>
      <c r="X913" s="161">
        <v>0</v>
      </c>
      <c r="Y913" s="160"/>
      <c r="Z913" s="16">
        <v>12.02</v>
      </c>
      <c r="AA913" s="162">
        <v>661396</v>
      </c>
      <c r="AB913" s="162">
        <v>165349</v>
      </c>
      <c r="AC913" s="162">
        <v>1984188</v>
      </c>
      <c r="AD913" s="160">
        <v>0</v>
      </c>
      <c r="AE913" s="219">
        <v>2750000</v>
      </c>
      <c r="AF913" s="220">
        <v>1.0469999999999999</v>
      </c>
      <c r="AG913" s="221">
        <v>1.046</v>
      </c>
      <c r="AH913" s="221">
        <v>1.046</v>
      </c>
      <c r="AI913" s="221">
        <v>2750000</v>
      </c>
      <c r="AJ913" s="164">
        <f t="shared" si="128"/>
        <v>0</v>
      </c>
      <c r="AK913" s="214">
        <v>2750000</v>
      </c>
      <c r="AL913" s="214">
        <f t="shared" ref="AL913" si="131">AK913</f>
        <v>2750000</v>
      </c>
      <c r="AM913" s="214">
        <f t="shared" si="124"/>
        <v>2876500</v>
      </c>
      <c r="AN913" s="214">
        <f t="shared" si="125"/>
        <v>3008819</v>
      </c>
      <c r="AO913" s="16"/>
      <c r="AP913" s="231">
        <f t="shared" si="129"/>
        <v>0</v>
      </c>
      <c r="AQ913"/>
      <c r="AR913" s="231"/>
      <c r="AS913" s="231"/>
      <c r="AT913"/>
      <c r="AU913" s="230">
        <v>2750000</v>
      </c>
      <c r="AV913" s="233">
        <v>2750000</v>
      </c>
      <c r="AW913" s="230">
        <f t="shared" si="127"/>
        <v>0</v>
      </c>
    </row>
    <row r="914" spans="1:49" hidden="1" x14ac:dyDescent="0.3">
      <c r="A914" s="16" t="s">
        <v>242</v>
      </c>
      <c r="B914" s="39" t="s">
        <v>1723</v>
      </c>
      <c r="C914" s="39" t="s">
        <v>1724</v>
      </c>
      <c r="D914" s="340" t="s">
        <v>3478</v>
      </c>
      <c r="E914" s="159" t="s">
        <v>1085</v>
      </c>
      <c r="F914" s="159" t="s">
        <v>1179</v>
      </c>
      <c r="G914" s="159" t="s">
        <v>1078</v>
      </c>
      <c r="H914" s="159" t="s">
        <v>1194</v>
      </c>
      <c r="I914" s="159" t="s">
        <v>1717</v>
      </c>
      <c r="J914" s="159" t="s">
        <v>312</v>
      </c>
      <c r="K914" s="159" t="s">
        <v>1997</v>
      </c>
      <c r="L914" s="39" t="s">
        <v>1725</v>
      </c>
      <c r="M914" s="39" t="s">
        <v>305</v>
      </c>
      <c r="N914" s="39">
        <v>11</v>
      </c>
      <c r="O914" s="39" t="s">
        <v>1724</v>
      </c>
      <c r="P914" s="39">
        <v>0</v>
      </c>
      <c r="Q914" s="39" t="s">
        <v>1723</v>
      </c>
      <c r="R914" s="16" t="s">
        <v>242</v>
      </c>
      <c r="S914" s="160">
        <v>0</v>
      </c>
      <c r="T914" s="160">
        <v>0</v>
      </c>
      <c r="U914" s="160">
        <v>0</v>
      </c>
      <c r="V914" s="160">
        <v>0</v>
      </c>
      <c r="W914" s="160">
        <v>0</v>
      </c>
      <c r="X914" s="161">
        <v>0</v>
      </c>
      <c r="Y914" s="160"/>
      <c r="Z914" s="16">
        <v>0</v>
      </c>
      <c r="AA914" s="162">
        <v>0</v>
      </c>
      <c r="AB914" s="162">
        <v>0</v>
      </c>
      <c r="AC914" s="162">
        <v>0</v>
      </c>
      <c r="AD914" s="160">
        <v>0</v>
      </c>
      <c r="AE914" s="145">
        <v>0</v>
      </c>
      <c r="AF914" s="163">
        <v>1.0469999999999999</v>
      </c>
      <c r="AG914" s="164">
        <v>1.046</v>
      </c>
      <c r="AH914" s="164">
        <v>1.046</v>
      </c>
      <c r="AI914" s="164">
        <v>0</v>
      </c>
      <c r="AJ914" s="164">
        <f t="shared" si="128"/>
        <v>0</v>
      </c>
      <c r="AK914" s="165">
        <v>0</v>
      </c>
      <c r="AL914" s="165">
        <v>0</v>
      </c>
      <c r="AM914" s="165">
        <f t="shared" si="124"/>
        <v>0</v>
      </c>
      <c r="AN914" s="165">
        <f t="shared" si="125"/>
        <v>0</v>
      </c>
      <c r="AO914" s="16"/>
      <c r="AP914" s="231">
        <f t="shared" si="129"/>
        <v>0</v>
      </c>
      <c r="AR914" s="231"/>
      <c r="AS914" s="231"/>
      <c r="AU914" s="230">
        <v>0</v>
      </c>
      <c r="AV914" s="233">
        <v>0</v>
      </c>
      <c r="AW914" s="230">
        <f t="shared" si="127"/>
        <v>0</v>
      </c>
    </row>
    <row r="915" spans="1:49" ht="20.25" hidden="1" customHeight="1" x14ac:dyDescent="0.3">
      <c r="A915" s="16" t="s">
        <v>244</v>
      </c>
      <c r="B915" s="39" t="s">
        <v>1726</v>
      </c>
      <c r="C915" s="39" t="s">
        <v>245</v>
      </c>
      <c r="D915" s="340" t="s">
        <v>3478</v>
      </c>
      <c r="E915" s="159" t="s">
        <v>1085</v>
      </c>
      <c r="F915" s="159" t="s">
        <v>1179</v>
      </c>
      <c r="G915" s="159" t="s">
        <v>1078</v>
      </c>
      <c r="H915" s="159" t="s">
        <v>1194</v>
      </c>
      <c r="I915" s="159" t="s">
        <v>1717</v>
      </c>
      <c r="J915" s="159" t="s">
        <v>312</v>
      </c>
      <c r="K915" s="159" t="s">
        <v>1997</v>
      </c>
      <c r="L915" s="39" t="s">
        <v>1727</v>
      </c>
      <c r="M915" s="39" t="s">
        <v>305</v>
      </c>
      <c r="N915" s="39">
        <v>11</v>
      </c>
      <c r="O915" s="39">
        <v>0</v>
      </c>
      <c r="P915" s="39">
        <v>0</v>
      </c>
      <c r="Q915" s="39" t="s">
        <v>1726</v>
      </c>
      <c r="R915" s="16" t="s">
        <v>244</v>
      </c>
      <c r="S915" s="160">
        <v>0</v>
      </c>
      <c r="T915" s="162" t="s">
        <v>245</v>
      </c>
      <c r="U915" s="162" t="s">
        <v>245</v>
      </c>
      <c r="V915" s="162" t="s">
        <v>245</v>
      </c>
      <c r="W915" s="162" t="s">
        <v>245</v>
      </c>
      <c r="X915" s="162" t="s">
        <v>245</v>
      </c>
      <c r="Y915" s="162" t="s">
        <v>245</v>
      </c>
      <c r="Z915" s="162" t="s">
        <v>245</v>
      </c>
      <c r="AA915" s="162" t="s">
        <v>245</v>
      </c>
      <c r="AB915" s="162">
        <v>0</v>
      </c>
      <c r="AC915" s="162">
        <v>0</v>
      </c>
      <c r="AD915" s="160">
        <v>0</v>
      </c>
      <c r="AE915" s="145">
        <v>0</v>
      </c>
      <c r="AF915" s="163">
        <v>1.0469999999999999</v>
      </c>
      <c r="AG915" s="164">
        <v>1.046</v>
      </c>
      <c r="AH915" s="164">
        <v>1.046</v>
      </c>
      <c r="AI915" s="164">
        <v>0</v>
      </c>
      <c r="AJ915" s="164">
        <f t="shared" si="128"/>
        <v>0</v>
      </c>
      <c r="AK915" s="165">
        <v>0</v>
      </c>
      <c r="AL915" s="165">
        <v>0</v>
      </c>
      <c r="AM915" s="165">
        <f t="shared" si="124"/>
        <v>0</v>
      </c>
      <c r="AN915" s="165">
        <f t="shared" si="125"/>
        <v>0</v>
      </c>
      <c r="AO915" s="16"/>
      <c r="AP915" s="231">
        <f t="shared" si="129"/>
        <v>0</v>
      </c>
      <c r="AR915" s="231"/>
      <c r="AS915" s="231"/>
      <c r="AU915" s="230">
        <v>0</v>
      </c>
      <c r="AV915" s="233">
        <v>0</v>
      </c>
      <c r="AW915" s="230">
        <f t="shared" si="127"/>
        <v>0</v>
      </c>
    </row>
    <row r="916" spans="1:49" s="222" customFormat="1" hidden="1" x14ac:dyDescent="0.3">
      <c r="A916" s="215" t="s">
        <v>242</v>
      </c>
      <c r="B916" s="216" t="s">
        <v>1728</v>
      </c>
      <c r="C916" s="216" t="s">
        <v>1724</v>
      </c>
      <c r="D916" s="340" t="s">
        <v>3478</v>
      </c>
      <c r="E916" s="217" t="s">
        <v>1085</v>
      </c>
      <c r="F916" s="217" t="s">
        <v>1179</v>
      </c>
      <c r="G916" s="217" t="s">
        <v>1078</v>
      </c>
      <c r="H916" s="217" t="s">
        <v>1194</v>
      </c>
      <c r="I916" s="217" t="s">
        <v>1717</v>
      </c>
      <c r="J916" s="217" t="s">
        <v>312</v>
      </c>
      <c r="K916" s="217" t="s">
        <v>1081</v>
      </c>
      <c r="L916" s="216" t="s">
        <v>1725</v>
      </c>
      <c r="M916" s="216" t="s">
        <v>305</v>
      </c>
      <c r="N916" s="216">
        <v>11</v>
      </c>
      <c r="O916" s="216" t="s">
        <v>1724</v>
      </c>
      <c r="P916" s="216" t="s">
        <v>1724</v>
      </c>
      <c r="Q916" s="216" t="s">
        <v>1728</v>
      </c>
      <c r="R916" s="215" t="s">
        <v>242</v>
      </c>
      <c r="S916" s="218">
        <v>2250000</v>
      </c>
      <c r="T916" s="160">
        <v>0</v>
      </c>
      <c r="U916" s="160">
        <v>0</v>
      </c>
      <c r="V916" s="160">
        <v>46468.480000000003</v>
      </c>
      <c r="W916" s="160">
        <v>2203531.52</v>
      </c>
      <c r="X916" s="161">
        <v>0</v>
      </c>
      <c r="Y916" s="160"/>
      <c r="Z916" s="16">
        <v>2.06</v>
      </c>
      <c r="AA916" s="162">
        <v>46468.480000000003</v>
      </c>
      <c r="AB916" s="162">
        <v>11617.12</v>
      </c>
      <c r="AC916" s="162">
        <v>139405.44</v>
      </c>
      <c r="AD916" s="160">
        <v>0</v>
      </c>
      <c r="AE916" s="219">
        <v>2250000</v>
      </c>
      <c r="AF916" s="220">
        <v>1.0469999999999999</v>
      </c>
      <c r="AG916" s="221">
        <v>1.046</v>
      </c>
      <c r="AH916" s="221">
        <v>1.046</v>
      </c>
      <c r="AI916" s="221">
        <v>2250000</v>
      </c>
      <c r="AJ916" s="164">
        <f t="shared" si="128"/>
        <v>0</v>
      </c>
      <c r="AK916" s="214">
        <v>2250000</v>
      </c>
      <c r="AL916" s="214">
        <f t="shared" ref="AL916:AL917" si="132">AK916</f>
        <v>2250000</v>
      </c>
      <c r="AM916" s="214">
        <f t="shared" si="124"/>
        <v>2353500</v>
      </c>
      <c r="AN916" s="214">
        <f t="shared" si="125"/>
        <v>2461761</v>
      </c>
      <c r="AO916" s="16"/>
      <c r="AP916" s="231">
        <f t="shared" si="129"/>
        <v>0</v>
      </c>
      <c r="AQ916"/>
      <c r="AR916" s="231"/>
      <c r="AS916" s="231"/>
      <c r="AT916"/>
      <c r="AU916" s="230">
        <v>2250000</v>
      </c>
      <c r="AV916" s="233">
        <v>2250000</v>
      </c>
      <c r="AW916" s="230">
        <f t="shared" si="127"/>
        <v>0</v>
      </c>
    </row>
    <row r="917" spans="1:49" s="222" customFormat="1" hidden="1" x14ac:dyDescent="0.3">
      <c r="A917" s="215" t="s">
        <v>244</v>
      </c>
      <c r="B917" s="216" t="s">
        <v>1729</v>
      </c>
      <c r="C917" s="216" t="s">
        <v>245</v>
      </c>
      <c r="D917" s="340" t="s">
        <v>3478</v>
      </c>
      <c r="E917" s="217" t="s">
        <v>1085</v>
      </c>
      <c r="F917" s="217" t="s">
        <v>1179</v>
      </c>
      <c r="G917" s="217" t="s">
        <v>1078</v>
      </c>
      <c r="H917" s="217" t="s">
        <v>1194</v>
      </c>
      <c r="I917" s="217" t="s">
        <v>1717</v>
      </c>
      <c r="J917" s="217" t="s">
        <v>312</v>
      </c>
      <c r="K917" s="217" t="s">
        <v>1081</v>
      </c>
      <c r="L917" s="216" t="s">
        <v>1727</v>
      </c>
      <c r="M917" s="216" t="s">
        <v>305</v>
      </c>
      <c r="N917" s="216">
        <v>11</v>
      </c>
      <c r="O917" s="216" t="s">
        <v>245</v>
      </c>
      <c r="P917" s="216" t="s">
        <v>245</v>
      </c>
      <c r="Q917" s="216" t="s">
        <v>1729</v>
      </c>
      <c r="R917" s="215" t="s">
        <v>244</v>
      </c>
      <c r="S917" s="218">
        <v>2500000</v>
      </c>
      <c r="T917" s="160">
        <v>0</v>
      </c>
      <c r="U917" s="160">
        <v>0</v>
      </c>
      <c r="V917" s="160">
        <v>1829070</v>
      </c>
      <c r="W917" s="160">
        <v>670930</v>
      </c>
      <c r="X917" s="161">
        <v>0</v>
      </c>
      <c r="Y917" s="160"/>
      <c r="Z917" s="16">
        <v>73.16</v>
      </c>
      <c r="AA917" s="162">
        <v>1829070</v>
      </c>
      <c r="AB917" s="162">
        <v>457267.5</v>
      </c>
      <c r="AC917" s="162">
        <v>5487210</v>
      </c>
      <c r="AD917" s="160">
        <v>0</v>
      </c>
      <c r="AE917" s="219">
        <v>2500000</v>
      </c>
      <c r="AF917" s="220">
        <v>1.0469999999999999</v>
      </c>
      <c r="AG917" s="221">
        <v>1.046</v>
      </c>
      <c r="AH917" s="221">
        <v>1.046</v>
      </c>
      <c r="AI917" s="221">
        <v>2500000</v>
      </c>
      <c r="AJ917" s="164">
        <f t="shared" si="128"/>
        <v>0</v>
      </c>
      <c r="AK917" s="214">
        <v>2500000</v>
      </c>
      <c r="AL917" s="214">
        <f t="shared" si="132"/>
        <v>2500000</v>
      </c>
      <c r="AM917" s="214">
        <f t="shared" si="124"/>
        <v>2615000</v>
      </c>
      <c r="AN917" s="214">
        <f t="shared" si="125"/>
        <v>2735290</v>
      </c>
      <c r="AO917" s="16"/>
      <c r="AP917" s="231">
        <f t="shared" si="129"/>
        <v>0</v>
      </c>
      <c r="AQ917"/>
      <c r="AR917" s="231"/>
      <c r="AS917" s="231"/>
      <c r="AT917"/>
      <c r="AU917" s="230">
        <v>2500000</v>
      </c>
      <c r="AV917" s="233">
        <v>2500000</v>
      </c>
      <c r="AW917" s="230">
        <f t="shared" si="127"/>
        <v>0</v>
      </c>
    </row>
    <row r="918" spans="1:49" hidden="1" x14ac:dyDescent="0.3">
      <c r="A918" s="16" t="s">
        <v>246</v>
      </c>
      <c r="B918" s="39" t="s">
        <v>1730</v>
      </c>
      <c r="C918" s="39" t="s">
        <v>1731</v>
      </c>
      <c r="D918" s="340" t="s">
        <v>3478</v>
      </c>
      <c r="E918" s="159" t="s">
        <v>1085</v>
      </c>
      <c r="F918" s="159" t="s">
        <v>1179</v>
      </c>
      <c r="G918" s="159" t="s">
        <v>1078</v>
      </c>
      <c r="H918" s="159" t="s">
        <v>1194</v>
      </c>
      <c r="I918" s="159" t="s">
        <v>1195</v>
      </c>
      <c r="J918" s="159" t="s">
        <v>312</v>
      </c>
      <c r="K918" s="159" t="s">
        <v>1997</v>
      </c>
      <c r="L918" s="39" t="s">
        <v>1732</v>
      </c>
      <c r="M918" s="39" t="s">
        <v>305</v>
      </c>
      <c r="N918" s="39">
        <v>11</v>
      </c>
      <c r="O918" s="39" t="s">
        <v>1731</v>
      </c>
      <c r="P918" s="39">
        <v>0</v>
      </c>
      <c r="Q918" s="39" t="s">
        <v>1730</v>
      </c>
      <c r="R918" s="16" t="s">
        <v>246</v>
      </c>
      <c r="S918" s="160">
        <v>0</v>
      </c>
      <c r="T918" s="160">
        <v>0</v>
      </c>
      <c r="U918" s="160">
        <v>0</v>
      </c>
      <c r="V918" s="160">
        <v>0</v>
      </c>
      <c r="W918" s="160">
        <v>0</v>
      </c>
      <c r="X918" s="161">
        <v>0</v>
      </c>
      <c r="Y918" s="160"/>
      <c r="Z918" s="16">
        <v>0</v>
      </c>
      <c r="AA918" s="162">
        <v>0</v>
      </c>
      <c r="AB918" s="162">
        <v>0</v>
      </c>
      <c r="AC918" s="162">
        <v>0</v>
      </c>
      <c r="AD918" s="160">
        <v>0</v>
      </c>
      <c r="AE918" s="145">
        <v>0</v>
      </c>
      <c r="AF918" s="163">
        <v>1.0469999999999999</v>
      </c>
      <c r="AG918" s="164">
        <v>1.046</v>
      </c>
      <c r="AH918" s="164">
        <v>1.046</v>
      </c>
      <c r="AI918" s="164">
        <v>0</v>
      </c>
      <c r="AJ918" s="164">
        <f t="shared" si="128"/>
        <v>0</v>
      </c>
      <c r="AK918" s="165">
        <v>0</v>
      </c>
      <c r="AL918" s="165">
        <v>0</v>
      </c>
      <c r="AM918" s="165">
        <f t="shared" si="124"/>
        <v>0</v>
      </c>
      <c r="AN918" s="165">
        <f t="shared" si="125"/>
        <v>0</v>
      </c>
      <c r="AO918" s="16"/>
      <c r="AP918" s="231">
        <f t="shared" si="129"/>
        <v>0</v>
      </c>
      <c r="AR918" s="231"/>
      <c r="AS918" s="231"/>
      <c r="AU918" s="230">
        <v>0</v>
      </c>
      <c r="AV918" s="233">
        <v>0</v>
      </c>
      <c r="AW918" s="230">
        <f t="shared" si="127"/>
        <v>0</v>
      </c>
    </row>
    <row r="919" spans="1:49" hidden="1" x14ac:dyDescent="0.3">
      <c r="A919" s="16" t="s">
        <v>236</v>
      </c>
      <c r="B919" s="39" t="s">
        <v>1733</v>
      </c>
      <c r="C919" s="39" t="s">
        <v>1734</v>
      </c>
      <c r="D919" s="340" t="s">
        <v>3478</v>
      </c>
      <c r="E919" s="159" t="s">
        <v>1085</v>
      </c>
      <c r="F919" s="159" t="s">
        <v>1179</v>
      </c>
      <c r="G919" s="159" t="s">
        <v>1078</v>
      </c>
      <c r="H919" s="159" t="s">
        <v>1194</v>
      </c>
      <c r="I919" s="159" t="s">
        <v>1195</v>
      </c>
      <c r="J919" s="159" t="s">
        <v>312</v>
      </c>
      <c r="K919" s="159" t="s">
        <v>1997</v>
      </c>
      <c r="L919" s="39" t="s">
        <v>1735</v>
      </c>
      <c r="M919" s="39" t="s">
        <v>305</v>
      </c>
      <c r="N919" s="39">
        <v>11</v>
      </c>
      <c r="O919" s="39" t="s">
        <v>1734</v>
      </c>
      <c r="P919" s="39">
        <v>0</v>
      </c>
      <c r="Q919" s="39" t="s">
        <v>1733</v>
      </c>
      <c r="R919" s="16" t="s">
        <v>236</v>
      </c>
      <c r="S919" s="160">
        <v>0</v>
      </c>
      <c r="T919" s="160">
        <v>0</v>
      </c>
      <c r="U919" s="160">
        <v>0</v>
      </c>
      <c r="V919" s="160">
        <v>0</v>
      </c>
      <c r="W919" s="160">
        <v>0</v>
      </c>
      <c r="X919" s="161">
        <v>0</v>
      </c>
      <c r="Y919" s="160"/>
      <c r="Z919" s="16">
        <v>0</v>
      </c>
      <c r="AA919" s="162">
        <v>0</v>
      </c>
      <c r="AB919" s="162">
        <v>0</v>
      </c>
      <c r="AC919" s="162">
        <v>0</v>
      </c>
      <c r="AD919" s="160">
        <v>0</v>
      </c>
      <c r="AE919" s="145">
        <v>0</v>
      </c>
      <c r="AF919" s="163">
        <v>1.0469999999999999</v>
      </c>
      <c r="AG919" s="164">
        <v>1.046</v>
      </c>
      <c r="AH919" s="164">
        <v>1.046</v>
      </c>
      <c r="AI919" s="164">
        <v>0</v>
      </c>
      <c r="AJ919" s="164">
        <f t="shared" si="128"/>
        <v>0</v>
      </c>
      <c r="AK919" s="165">
        <v>0</v>
      </c>
      <c r="AL919" s="165">
        <v>0</v>
      </c>
      <c r="AM919" s="165">
        <f t="shared" si="124"/>
        <v>0</v>
      </c>
      <c r="AN919" s="165">
        <f t="shared" si="125"/>
        <v>0</v>
      </c>
      <c r="AO919" s="16"/>
      <c r="AP919" s="231">
        <f t="shared" si="129"/>
        <v>0</v>
      </c>
      <c r="AR919" s="231"/>
      <c r="AS919" s="231"/>
      <c r="AU919" s="230">
        <v>0</v>
      </c>
      <c r="AV919" s="233">
        <v>0</v>
      </c>
      <c r="AW919" s="230">
        <f t="shared" si="127"/>
        <v>0</v>
      </c>
    </row>
    <row r="920" spans="1:49" s="222" customFormat="1" hidden="1" x14ac:dyDescent="0.3">
      <c r="A920" s="215" t="s">
        <v>246</v>
      </c>
      <c r="B920" s="216" t="s">
        <v>1736</v>
      </c>
      <c r="C920" s="216" t="s">
        <v>1731</v>
      </c>
      <c r="D920" s="340" t="s">
        <v>3478</v>
      </c>
      <c r="E920" s="217" t="s">
        <v>1085</v>
      </c>
      <c r="F920" s="217" t="s">
        <v>1179</v>
      </c>
      <c r="G920" s="217" t="s">
        <v>1078</v>
      </c>
      <c r="H920" s="217" t="s">
        <v>1194</v>
      </c>
      <c r="I920" s="217" t="s">
        <v>1195</v>
      </c>
      <c r="J920" s="217" t="s">
        <v>312</v>
      </c>
      <c r="K920" s="217" t="s">
        <v>1081</v>
      </c>
      <c r="L920" s="216" t="s">
        <v>1732</v>
      </c>
      <c r="M920" s="216" t="s">
        <v>305</v>
      </c>
      <c r="N920" s="216">
        <v>11</v>
      </c>
      <c r="O920" s="216" t="s">
        <v>1731</v>
      </c>
      <c r="P920" s="216" t="s">
        <v>1731</v>
      </c>
      <c r="Q920" s="216" t="s">
        <v>1736</v>
      </c>
      <c r="R920" s="215" t="s">
        <v>246</v>
      </c>
      <c r="S920" s="218">
        <v>1000000</v>
      </c>
      <c r="T920" s="160">
        <v>0</v>
      </c>
      <c r="U920" s="160">
        <v>160121.43</v>
      </c>
      <c r="V920" s="160">
        <v>0</v>
      </c>
      <c r="W920" s="160">
        <v>1000000</v>
      </c>
      <c r="X920" s="161">
        <v>154018.82999999999</v>
      </c>
      <c r="Y920" s="160"/>
      <c r="Z920" s="16">
        <v>0</v>
      </c>
      <c r="AA920" s="162">
        <v>160121.43</v>
      </c>
      <c r="AB920" s="162">
        <v>40030.357499999998</v>
      </c>
      <c r="AC920" s="162">
        <v>480364.29</v>
      </c>
      <c r="AD920" s="160">
        <v>0</v>
      </c>
      <c r="AE920" s="219">
        <v>1000000</v>
      </c>
      <c r="AF920" s="220">
        <v>1.0469999999999999</v>
      </c>
      <c r="AG920" s="221">
        <v>1.046</v>
      </c>
      <c r="AH920" s="221">
        <v>1.046</v>
      </c>
      <c r="AI920" s="221">
        <v>1000000</v>
      </c>
      <c r="AJ920" s="164">
        <f t="shared" si="128"/>
        <v>0</v>
      </c>
      <c r="AK920" s="214">
        <v>1000000</v>
      </c>
      <c r="AL920" s="214">
        <f t="shared" ref="AL920" si="133">AK920</f>
        <v>1000000</v>
      </c>
      <c r="AM920" s="214">
        <f t="shared" si="124"/>
        <v>1046000</v>
      </c>
      <c r="AN920" s="214">
        <f t="shared" si="125"/>
        <v>1094116</v>
      </c>
      <c r="AO920" s="16"/>
      <c r="AP920" s="231">
        <f t="shared" si="129"/>
        <v>0</v>
      </c>
      <c r="AQ920"/>
      <c r="AR920" s="231"/>
      <c r="AS920" s="231"/>
      <c r="AT920"/>
      <c r="AU920" s="230">
        <v>1000000</v>
      </c>
      <c r="AV920" s="233">
        <v>1000000</v>
      </c>
      <c r="AW920" s="230">
        <f t="shared" si="127"/>
        <v>0</v>
      </c>
    </row>
    <row r="921" spans="1:49" hidden="1" x14ac:dyDescent="0.3">
      <c r="A921" s="16" t="s">
        <v>1739</v>
      </c>
      <c r="B921" s="39" t="s">
        <v>1737</v>
      </c>
      <c r="C921" s="39" t="s">
        <v>1738</v>
      </c>
      <c r="D921" s="340" t="s">
        <v>3478</v>
      </c>
      <c r="E921" s="159" t="s">
        <v>1085</v>
      </c>
      <c r="F921" s="159" t="s">
        <v>1179</v>
      </c>
      <c r="G921" s="159" t="s">
        <v>1078</v>
      </c>
      <c r="H921" s="159" t="s">
        <v>1194</v>
      </c>
      <c r="I921" s="159" t="s">
        <v>1195</v>
      </c>
      <c r="J921" s="159" t="s">
        <v>312</v>
      </c>
      <c r="K921" s="159" t="s">
        <v>1081</v>
      </c>
      <c r="L921" s="39" t="s">
        <v>1740</v>
      </c>
      <c r="M921" s="39" t="s">
        <v>305</v>
      </c>
      <c r="N921" s="39">
        <v>11</v>
      </c>
      <c r="O921" s="39" t="s">
        <v>1738</v>
      </c>
      <c r="P921" s="39" t="s">
        <v>1738</v>
      </c>
      <c r="Q921" s="39" t="s">
        <v>1737</v>
      </c>
      <c r="R921" s="16" t="s">
        <v>1739</v>
      </c>
      <c r="S921" s="160">
        <v>0</v>
      </c>
      <c r="T921" s="160">
        <v>0</v>
      </c>
      <c r="U921" s="160">
        <v>0</v>
      </c>
      <c r="V921" s="160">
        <v>0</v>
      </c>
      <c r="W921" s="160">
        <v>0</v>
      </c>
      <c r="X921" s="161">
        <v>0</v>
      </c>
      <c r="Y921" s="160"/>
      <c r="Z921" s="16">
        <v>0</v>
      </c>
      <c r="AA921" s="162">
        <v>0</v>
      </c>
      <c r="AB921" s="162">
        <v>0</v>
      </c>
      <c r="AC921" s="162">
        <v>0</v>
      </c>
      <c r="AD921" s="160">
        <v>0</v>
      </c>
      <c r="AE921" s="145">
        <v>0</v>
      </c>
      <c r="AF921" s="163">
        <v>1.0469999999999999</v>
      </c>
      <c r="AG921" s="164">
        <v>1.046</v>
      </c>
      <c r="AH921" s="164">
        <v>1.046</v>
      </c>
      <c r="AI921" s="164">
        <v>0</v>
      </c>
      <c r="AJ921" s="164">
        <f t="shared" si="128"/>
        <v>0</v>
      </c>
      <c r="AK921" s="165">
        <v>0</v>
      </c>
      <c r="AL921" s="165">
        <v>0</v>
      </c>
      <c r="AM921" s="165">
        <f t="shared" si="124"/>
        <v>0</v>
      </c>
      <c r="AN921" s="165">
        <f t="shared" si="125"/>
        <v>0</v>
      </c>
      <c r="AO921" s="16"/>
      <c r="AP921" s="231">
        <f t="shared" si="129"/>
        <v>0</v>
      </c>
      <c r="AR921" s="231"/>
      <c r="AS921" s="231"/>
      <c r="AU921" s="230">
        <v>0</v>
      </c>
      <c r="AV921" s="233">
        <v>0</v>
      </c>
      <c r="AW921" s="230">
        <f t="shared" si="127"/>
        <v>0</v>
      </c>
    </row>
    <row r="922" spans="1:49" s="146" customFormat="1" hidden="1" x14ac:dyDescent="0.3">
      <c r="A922" s="84" t="s">
        <v>236</v>
      </c>
      <c r="B922" s="147" t="s">
        <v>1741</v>
      </c>
      <c r="C922" s="147" t="s">
        <v>1734</v>
      </c>
      <c r="D922" s="340" t="s">
        <v>3478</v>
      </c>
      <c r="E922" s="183" t="s">
        <v>1085</v>
      </c>
      <c r="F922" s="183" t="s">
        <v>1179</v>
      </c>
      <c r="G922" s="183" t="s">
        <v>1078</v>
      </c>
      <c r="H922" s="183" t="s">
        <v>1194</v>
      </c>
      <c r="I922" s="183" t="s">
        <v>1195</v>
      </c>
      <c r="J922" s="183" t="s">
        <v>312</v>
      </c>
      <c r="K922" s="183" t="s">
        <v>1081</v>
      </c>
      <c r="L922" s="147" t="s">
        <v>1735</v>
      </c>
      <c r="M922" s="147" t="s">
        <v>305</v>
      </c>
      <c r="N922" s="147">
        <v>11</v>
      </c>
      <c r="O922" s="147" t="s">
        <v>1734</v>
      </c>
      <c r="P922" s="147" t="s">
        <v>1734</v>
      </c>
      <c r="Q922" s="147" t="s">
        <v>1741</v>
      </c>
      <c r="R922" s="84" t="s">
        <v>236</v>
      </c>
      <c r="S922" s="148">
        <v>12000000</v>
      </c>
      <c r="T922" s="160">
        <v>430322.07</v>
      </c>
      <c r="U922" s="160">
        <v>0</v>
      </c>
      <c r="V922" s="160">
        <v>1347283.87</v>
      </c>
      <c r="W922" s="160">
        <v>10652716.130000001</v>
      </c>
      <c r="X922" s="161">
        <v>0</v>
      </c>
      <c r="Y922" s="160"/>
      <c r="Z922" s="16">
        <v>11.22</v>
      </c>
      <c r="AA922" s="162">
        <v>1347283.87</v>
      </c>
      <c r="AB922" s="162">
        <v>336820.96750000003</v>
      </c>
      <c r="AC922" s="162">
        <v>4041851.6100000003</v>
      </c>
      <c r="AD922" s="160">
        <v>0</v>
      </c>
      <c r="AE922" s="149">
        <v>12000000</v>
      </c>
      <c r="AF922" s="220">
        <v>1.0469999999999999</v>
      </c>
      <c r="AG922" s="221">
        <v>1.046</v>
      </c>
      <c r="AH922" s="221">
        <v>1.046</v>
      </c>
      <c r="AI922" s="221">
        <v>12000000</v>
      </c>
      <c r="AJ922" s="164">
        <f t="shared" si="128"/>
        <v>0</v>
      </c>
      <c r="AK922" s="203">
        <f>12000000-3000000</f>
        <v>9000000</v>
      </c>
      <c r="AL922" s="203">
        <f t="shared" ref="AL922" si="134">AK922</f>
        <v>9000000</v>
      </c>
      <c r="AM922" s="203">
        <f t="shared" si="124"/>
        <v>9414000</v>
      </c>
      <c r="AN922" s="203">
        <f t="shared" si="125"/>
        <v>9847044</v>
      </c>
      <c r="AO922" s="16"/>
      <c r="AP922" s="231">
        <f t="shared" si="129"/>
        <v>0</v>
      </c>
      <c r="AQ922"/>
      <c r="AR922" s="231"/>
      <c r="AS922" s="231"/>
      <c r="AT922"/>
      <c r="AU922" s="230">
        <v>12000000</v>
      </c>
      <c r="AV922" s="233">
        <v>12000000</v>
      </c>
      <c r="AW922" s="230">
        <f t="shared" si="127"/>
        <v>0</v>
      </c>
    </row>
    <row r="923" spans="1:49" hidden="1" x14ac:dyDescent="0.3">
      <c r="A923" s="16" t="s">
        <v>1743</v>
      </c>
      <c r="B923" s="39" t="s">
        <v>1742</v>
      </c>
      <c r="C923" s="39">
        <v>0</v>
      </c>
      <c r="D923" s="340" t="s">
        <v>3478</v>
      </c>
      <c r="E923" s="159" t="s">
        <v>1085</v>
      </c>
      <c r="F923" s="159" t="s">
        <v>1179</v>
      </c>
      <c r="G923" s="159" t="s">
        <v>1078</v>
      </c>
      <c r="H923" s="159" t="s">
        <v>1194</v>
      </c>
      <c r="I923" s="159" t="s">
        <v>1199</v>
      </c>
      <c r="J923" s="159" t="s">
        <v>312</v>
      </c>
      <c r="K923" s="159" t="s">
        <v>1997</v>
      </c>
      <c r="L923" s="39" t="s">
        <v>1744</v>
      </c>
      <c r="M923" s="39" t="s">
        <v>305</v>
      </c>
      <c r="N923" s="39">
        <v>11</v>
      </c>
      <c r="O923" s="39">
        <v>0</v>
      </c>
      <c r="P923" s="39">
        <v>0</v>
      </c>
      <c r="Q923" s="39" t="s">
        <v>1742</v>
      </c>
      <c r="R923" s="16" t="s">
        <v>1743</v>
      </c>
      <c r="S923" s="160">
        <v>0</v>
      </c>
      <c r="T923" s="160">
        <v>0</v>
      </c>
      <c r="U923" s="160">
        <v>0</v>
      </c>
      <c r="V923" s="160">
        <v>0</v>
      </c>
      <c r="W923" s="160">
        <v>0</v>
      </c>
      <c r="X923" s="161">
        <v>0</v>
      </c>
      <c r="Y923" s="160"/>
      <c r="Z923" s="16">
        <v>0</v>
      </c>
      <c r="AA923" s="162">
        <v>0</v>
      </c>
      <c r="AB923" s="162">
        <v>0</v>
      </c>
      <c r="AC923" s="162">
        <v>0</v>
      </c>
      <c r="AD923" s="160">
        <v>0</v>
      </c>
      <c r="AE923" s="145">
        <v>0</v>
      </c>
      <c r="AF923" s="163">
        <v>1.0469999999999999</v>
      </c>
      <c r="AG923" s="164">
        <v>1.046</v>
      </c>
      <c r="AH923" s="164">
        <v>1.046</v>
      </c>
      <c r="AI923" s="164">
        <v>0</v>
      </c>
      <c r="AJ923" s="164">
        <f t="shared" si="128"/>
        <v>0</v>
      </c>
      <c r="AK923" s="165">
        <v>0</v>
      </c>
      <c r="AL923" s="165">
        <v>0</v>
      </c>
      <c r="AM923" s="165">
        <f t="shared" si="124"/>
        <v>0</v>
      </c>
      <c r="AN923" s="165">
        <f t="shared" si="125"/>
        <v>0</v>
      </c>
      <c r="AO923" s="16"/>
      <c r="AP923" s="231">
        <f t="shared" si="129"/>
        <v>0</v>
      </c>
      <c r="AR923" s="231"/>
      <c r="AS923" s="231"/>
      <c r="AU923" s="230">
        <v>0</v>
      </c>
      <c r="AV923" s="233">
        <v>0</v>
      </c>
      <c r="AW923" s="230">
        <f t="shared" si="127"/>
        <v>0</v>
      </c>
    </row>
    <row r="924" spans="1:49" s="222" customFormat="1" hidden="1" x14ac:dyDescent="0.3">
      <c r="A924" s="215" t="s">
        <v>2139</v>
      </c>
      <c r="B924" s="216" t="s">
        <v>1745</v>
      </c>
      <c r="C924" s="216" t="s">
        <v>2140</v>
      </c>
      <c r="D924" s="340" t="s">
        <v>3478</v>
      </c>
      <c r="E924" s="217" t="s">
        <v>1085</v>
      </c>
      <c r="F924" s="217" t="s">
        <v>1179</v>
      </c>
      <c r="G924" s="217" t="s">
        <v>1078</v>
      </c>
      <c r="H924" s="217" t="s">
        <v>1194</v>
      </c>
      <c r="I924" s="217" t="s">
        <v>1199</v>
      </c>
      <c r="J924" s="217" t="s">
        <v>312</v>
      </c>
      <c r="K924" s="217" t="s">
        <v>1081</v>
      </c>
      <c r="L924" s="216" t="s">
        <v>2141</v>
      </c>
      <c r="M924" s="216" t="s">
        <v>305</v>
      </c>
      <c r="N924" s="216">
        <v>11</v>
      </c>
      <c r="O924" s="216" t="s">
        <v>2140</v>
      </c>
      <c r="P924" s="216" t="s">
        <v>2142</v>
      </c>
      <c r="Q924" s="216" t="s">
        <v>1745</v>
      </c>
      <c r="R924" s="215" t="s">
        <v>2139</v>
      </c>
      <c r="S924" s="218">
        <v>2500000</v>
      </c>
      <c r="T924" s="160">
        <v>0</v>
      </c>
      <c r="U924" s="160">
        <v>0</v>
      </c>
      <c r="V924" s="160">
        <v>0</v>
      </c>
      <c r="W924" s="160">
        <v>2500000</v>
      </c>
      <c r="X924" s="161">
        <v>0</v>
      </c>
      <c r="Y924" s="160"/>
      <c r="Z924" s="16">
        <v>0</v>
      </c>
      <c r="AA924" s="162">
        <v>0</v>
      </c>
      <c r="AB924" s="162">
        <v>0</v>
      </c>
      <c r="AC924" s="162">
        <v>0</v>
      </c>
      <c r="AD924" s="160">
        <v>0</v>
      </c>
      <c r="AE924" s="219">
        <v>2500000</v>
      </c>
      <c r="AF924" s="220">
        <v>1.0469999999999999</v>
      </c>
      <c r="AG924" s="221">
        <v>1.046</v>
      </c>
      <c r="AH924" s="221">
        <v>1.046</v>
      </c>
      <c r="AI924" s="221">
        <v>2500000</v>
      </c>
      <c r="AJ924" s="164">
        <f t="shared" si="128"/>
        <v>0</v>
      </c>
      <c r="AK924" s="214">
        <v>2500000</v>
      </c>
      <c r="AL924" s="214">
        <f t="shared" ref="AL924" si="135">AK924</f>
        <v>2500000</v>
      </c>
      <c r="AM924" s="214">
        <f t="shared" si="124"/>
        <v>2615000</v>
      </c>
      <c r="AN924" s="214">
        <f t="shared" si="125"/>
        <v>2735290</v>
      </c>
      <c r="AO924" s="16" t="s">
        <v>2143</v>
      </c>
      <c r="AP924" s="231">
        <f t="shared" si="129"/>
        <v>0</v>
      </c>
      <c r="AQ924"/>
      <c r="AR924" s="231"/>
      <c r="AS924" s="231"/>
      <c r="AT924"/>
      <c r="AU924" s="230">
        <v>2500000</v>
      </c>
      <c r="AV924" s="233">
        <v>2500000</v>
      </c>
      <c r="AW924" s="230">
        <f t="shared" si="127"/>
        <v>0</v>
      </c>
    </row>
    <row r="925" spans="1:49" hidden="1" x14ac:dyDescent="0.3">
      <c r="A925" s="16" t="s">
        <v>1743</v>
      </c>
      <c r="B925" s="39" t="s">
        <v>2144</v>
      </c>
      <c r="C925" s="39" t="s">
        <v>1746</v>
      </c>
      <c r="D925" s="340" t="s">
        <v>3478</v>
      </c>
      <c r="E925" s="159" t="s">
        <v>1085</v>
      </c>
      <c r="F925" s="159" t="s">
        <v>1179</v>
      </c>
      <c r="G925" s="159" t="s">
        <v>1078</v>
      </c>
      <c r="H925" s="159" t="s">
        <v>1194</v>
      </c>
      <c r="I925" s="159" t="s">
        <v>1199</v>
      </c>
      <c r="J925" s="159" t="s">
        <v>312</v>
      </c>
      <c r="K925" s="159" t="s">
        <v>1081</v>
      </c>
      <c r="L925" s="39" t="s">
        <v>1744</v>
      </c>
      <c r="M925" s="39" t="s">
        <v>305</v>
      </c>
      <c r="N925" s="39">
        <v>11</v>
      </c>
      <c r="O925" s="39" t="s">
        <v>1746</v>
      </c>
      <c r="P925" s="39" t="s">
        <v>1746</v>
      </c>
      <c r="Q925" s="39" t="s">
        <v>2144</v>
      </c>
      <c r="R925" s="16" t="s">
        <v>1743</v>
      </c>
      <c r="S925" s="160">
        <v>0</v>
      </c>
      <c r="T925" s="160">
        <v>0</v>
      </c>
      <c r="U925" s="160">
        <v>0</v>
      </c>
      <c r="V925" s="160">
        <v>0</v>
      </c>
      <c r="W925" s="160">
        <v>0</v>
      </c>
      <c r="X925" s="161">
        <v>0</v>
      </c>
      <c r="Y925" s="160"/>
      <c r="Z925" s="16">
        <v>0</v>
      </c>
      <c r="AA925" s="162">
        <v>0</v>
      </c>
      <c r="AB925" s="162">
        <v>0</v>
      </c>
      <c r="AC925" s="162">
        <v>0</v>
      </c>
      <c r="AD925" s="160">
        <v>0</v>
      </c>
      <c r="AE925" s="145">
        <v>0</v>
      </c>
      <c r="AF925" s="163">
        <v>1.0469999999999999</v>
      </c>
      <c r="AG925" s="164">
        <v>1.046</v>
      </c>
      <c r="AH925" s="164">
        <v>1.046</v>
      </c>
      <c r="AI925" s="164">
        <v>0</v>
      </c>
      <c r="AJ925" s="164">
        <f t="shared" si="128"/>
        <v>0</v>
      </c>
      <c r="AK925" s="165">
        <v>0</v>
      </c>
      <c r="AL925" s="165">
        <v>0</v>
      </c>
      <c r="AM925" s="165">
        <f t="shared" si="124"/>
        <v>0</v>
      </c>
      <c r="AN925" s="165">
        <f t="shared" si="125"/>
        <v>0</v>
      </c>
      <c r="AO925" s="16"/>
      <c r="AP925" s="231">
        <f t="shared" si="129"/>
        <v>0</v>
      </c>
      <c r="AR925" s="231"/>
      <c r="AS925" s="231"/>
      <c r="AU925" s="230">
        <v>0</v>
      </c>
      <c r="AV925" s="233">
        <v>0</v>
      </c>
      <c r="AW925" s="230">
        <f t="shared" si="127"/>
        <v>0</v>
      </c>
    </row>
    <row r="926" spans="1:49" s="250" customFormat="1" hidden="1" x14ac:dyDescent="0.3">
      <c r="A926" s="241" t="s">
        <v>243</v>
      </c>
      <c r="B926" s="242" t="s">
        <v>1747</v>
      </c>
      <c r="C926" s="242" t="s">
        <v>1748</v>
      </c>
      <c r="D926" s="340" t="s">
        <v>3478</v>
      </c>
      <c r="E926" s="243" t="s">
        <v>1085</v>
      </c>
      <c r="F926" s="243" t="s">
        <v>1179</v>
      </c>
      <c r="G926" s="243" t="s">
        <v>1078</v>
      </c>
      <c r="H926" s="243" t="s">
        <v>1194</v>
      </c>
      <c r="I926" s="243" t="s">
        <v>1749</v>
      </c>
      <c r="J926" s="243" t="s">
        <v>312</v>
      </c>
      <c r="K926" s="243" t="s">
        <v>1081</v>
      </c>
      <c r="L926" s="242" t="s">
        <v>1750</v>
      </c>
      <c r="M926" s="242" t="s">
        <v>305</v>
      </c>
      <c r="N926" s="242">
        <v>11</v>
      </c>
      <c r="O926" s="242" t="s">
        <v>1748</v>
      </c>
      <c r="P926" s="242" t="s">
        <v>1748</v>
      </c>
      <c r="Q926" s="242" t="s">
        <v>1747</v>
      </c>
      <c r="R926" s="241" t="s">
        <v>243</v>
      </c>
      <c r="S926" s="223">
        <v>500000</v>
      </c>
      <c r="T926" s="160">
        <v>0</v>
      </c>
      <c r="U926" s="160">
        <v>0</v>
      </c>
      <c r="V926" s="160">
        <v>0</v>
      </c>
      <c r="W926" s="160">
        <v>500000</v>
      </c>
      <c r="X926" s="161">
        <v>0</v>
      </c>
      <c r="Y926" s="160"/>
      <c r="Z926" s="16">
        <v>0</v>
      </c>
      <c r="AA926" s="162">
        <v>0</v>
      </c>
      <c r="AB926" s="224">
        <v>0</v>
      </c>
      <c r="AC926" s="224">
        <v>0</v>
      </c>
      <c r="AD926" s="223">
        <v>0</v>
      </c>
      <c r="AE926" s="244">
        <v>0</v>
      </c>
      <c r="AF926" s="220">
        <v>1.0469999999999999</v>
      </c>
      <c r="AG926" s="221">
        <v>1.046</v>
      </c>
      <c r="AH926" s="221">
        <v>1.046</v>
      </c>
      <c r="AI926" s="245">
        <v>500000</v>
      </c>
      <c r="AJ926" s="164">
        <f t="shared" si="128"/>
        <v>-500000</v>
      </c>
      <c r="AK926" s="246">
        <v>500000</v>
      </c>
      <c r="AL926" s="246">
        <f t="shared" ref="AL926" si="136">AK926</f>
        <v>500000</v>
      </c>
      <c r="AM926" s="246">
        <f t="shared" ref="AM926:AM989" si="137">AL926*AG926</f>
        <v>523000</v>
      </c>
      <c r="AN926" s="246">
        <f t="shared" ref="AN926:AN989" si="138">AM926*AH926</f>
        <v>547058</v>
      </c>
      <c r="AO926" s="241" t="s">
        <v>2143</v>
      </c>
      <c r="AP926" s="247">
        <f t="shared" si="129"/>
        <v>0</v>
      </c>
      <c r="AR926" s="231"/>
      <c r="AS926" s="231"/>
      <c r="AU926" s="248">
        <v>500000</v>
      </c>
      <c r="AV926" s="249">
        <v>500000</v>
      </c>
      <c r="AW926" s="248">
        <f t="shared" si="127"/>
        <v>0</v>
      </c>
    </row>
    <row r="927" spans="1:49" hidden="1" x14ac:dyDescent="0.3">
      <c r="A927" s="16" t="s">
        <v>248</v>
      </c>
      <c r="B927" s="39" t="s">
        <v>1751</v>
      </c>
      <c r="C927" s="39" t="s">
        <v>1752</v>
      </c>
      <c r="D927" s="340" t="s">
        <v>3478</v>
      </c>
      <c r="E927" s="159" t="s">
        <v>1085</v>
      </c>
      <c r="F927" s="159" t="s">
        <v>1179</v>
      </c>
      <c r="G927" s="159" t="s">
        <v>1078</v>
      </c>
      <c r="H927" s="159" t="s">
        <v>1753</v>
      </c>
      <c r="I927" s="159" t="s">
        <v>1080</v>
      </c>
      <c r="J927" s="159" t="s">
        <v>312</v>
      </c>
      <c r="K927" s="159" t="s">
        <v>1997</v>
      </c>
      <c r="L927" s="39" t="s">
        <v>1754</v>
      </c>
      <c r="M927" s="39" t="s">
        <v>305</v>
      </c>
      <c r="N927" s="39">
        <v>11</v>
      </c>
      <c r="O927" s="39" t="s">
        <v>1752</v>
      </c>
      <c r="P927" s="39" t="s">
        <v>1752</v>
      </c>
      <c r="Q927" s="39" t="s">
        <v>1751</v>
      </c>
      <c r="R927" s="16" t="s">
        <v>248</v>
      </c>
      <c r="S927" s="160">
        <v>0</v>
      </c>
      <c r="T927" s="160">
        <v>0</v>
      </c>
      <c r="U927" s="160">
        <v>0</v>
      </c>
      <c r="V927" s="160">
        <v>0</v>
      </c>
      <c r="W927" s="160">
        <v>0</v>
      </c>
      <c r="X927" s="161">
        <v>0</v>
      </c>
      <c r="Y927" s="160"/>
      <c r="Z927" s="16">
        <v>0</v>
      </c>
      <c r="AA927" s="162">
        <v>0</v>
      </c>
      <c r="AB927" s="162">
        <v>0</v>
      </c>
      <c r="AC927" s="162">
        <v>0</v>
      </c>
      <c r="AD927" s="160">
        <v>0</v>
      </c>
      <c r="AE927" s="145">
        <v>0</v>
      </c>
      <c r="AF927" s="163">
        <v>1.0469999999999999</v>
      </c>
      <c r="AG927" s="164">
        <v>1.046</v>
      </c>
      <c r="AH927" s="164">
        <v>1.046</v>
      </c>
      <c r="AI927" s="164">
        <v>0</v>
      </c>
      <c r="AJ927" s="164">
        <f t="shared" si="128"/>
        <v>0</v>
      </c>
      <c r="AK927" s="165">
        <v>0</v>
      </c>
      <c r="AL927" s="165">
        <v>0</v>
      </c>
      <c r="AM927" s="165">
        <f t="shared" si="137"/>
        <v>0</v>
      </c>
      <c r="AN927" s="165">
        <f t="shared" si="138"/>
        <v>0</v>
      </c>
      <c r="AO927" s="16"/>
      <c r="AP927" s="231">
        <f t="shared" si="129"/>
        <v>0</v>
      </c>
      <c r="AR927" s="231"/>
      <c r="AS927" s="231"/>
      <c r="AU927" s="230">
        <v>0</v>
      </c>
      <c r="AV927" s="233">
        <v>0</v>
      </c>
      <c r="AW927" s="230">
        <f t="shared" si="127"/>
        <v>0</v>
      </c>
    </row>
    <row r="928" spans="1:49" hidden="1" x14ac:dyDescent="0.3">
      <c r="A928" s="16" t="s">
        <v>247</v>
      </c>
      <c r="B928" s="39" t="s">
        <v>1755</v>
      </c>
      <c r="C928" s="39" t="s">
        <v>1756</v>
      </c>
      <c r="D928" s="340" t="s">
        <v>3478</v>
      </c>
      <c r="E928" s="159" t="s">
        <v>1085</v>
      </c>
      <c r="F928" s="159" t="s">
        <v>1179</v>
      </c>
      <c r="G928" s="159" t="s">
        <v>1078</v>
      </c>
      <c r="H928" s="159" t="s">
        <v>1753</v>
      </c>
      <c r="I928" s="159" t="s">
        <v>1080</v>
      </c>
      <c r="J928" s="159" t="s">
        <v>312</v>
      </c>
      <c r="K928" s="159" t="s">
        <v>1081</v>
      </c>
      <c r="L928" s="39" t="s">
        <v>1757</v>
      </c>
      <c r="M928" s="39" t="s">
        <v>305</v>
      </c>
      <c r="N928" s="39">
        <v>11</v>
      </c>
      <c r="O928" s="39" t="s">
        <v>1756</v>
      </c>
      <c r="P928" s="39" t="s">
        <v>1756</v>
      </c>
      <c r="Q928" s="39" t="s">
        <v>1755</v>
      </c>
      <c r="R928" s="16" t="s">
        <v>247</v>
      </c>
      <c r="S928" s="223">
        <v>12247311</v>
      </c>
      <c r="T928" s="160">
        <v>0</v>
      </c>
      <c r="U928" s="160">
        <v>0</v>
      </c>
      <c r="V928" s="160">
        <v>837950</v>
      </c>
      <c r="W928" s="160">
        <v>11409361</v>
      </c>
      <c r="X928" s="161">
        <v>0</v>
      </c>
      <c r="Y928" s="160"/>
      <c r="Z928" s="16">
        <v>6.84</v>
      </c>
      <c r="AA928" s="162">
        <v>837950</v>
      </c>
      <c r="AB928" s="224">
        <v>209487.5</v>
      </c>
      <c r="AC928" s="224">
        <v>2513850</v>
      </c>
      <c r="AD928" s="223">
        <v>0</v>
      </c>
      <c r="AE928" s="145">
        <v>2837950</v>
      </c>
      <c r="AF928" s="220">
        <v>1.0469999999999999</v>
      </c>
      <c r="AG928" s="221">
        <v>1.046</v>
      </c>
      <c r="AH928" s="221">
        <v>1.046</v>
      </c>
      <c r="AI928" s="164">
        <v>12247311</v>
      </c>
      <c r="AJ928" s="164">
        <f t="shared" si="128"/>
        <v>-9409361</v>
      </c>
      <c r="AK928" s="165">
        <f>AE928</f>
        <v>2837950</v>
      </c>
      <c r="AL928" s="165">
        <f t="shared" ref="AL928:AL929" si="139">AK928</f>
        <v>2837950</v>
      </c>
      <c r="AM928" s="165">
        <f t="shared" si="137"/>
        <v>2968495.7</v>
      </c>
      <c r="AN928" s="165">
        <f t="shared" si="138"/>
        <v>3105046.5022000005</v>
      </c>
      <c r="AO928" s="16"/>
      <c r="AP928" s="231">
        <f t="shared" si="129"/>
        <v>0</v>
      </c>
      <c r="AR928" s="231"/>
      <c r="AS928" s="231"/>
      <c r="AU928" s="230">
        <v>12247311</v>
      </c>
      <c r="AV928" s="233">
        <v>12247311</v>
      </c>
      <c r="AW928" s="230">
        <f t="shared" si="127"/>
        <v>0</v>
      </c>
    </row>
    <row r="929" spans="1:49" hidden="1" x14ac:dyDescent="0.3">
      <c r="A929" s="16" t="s">
        <v>248</v>
      </c>
      <c r="B929" s="39" t="s">
        <v>1758</v>
      </c>
      <c r="C929" s="39" t="s">
        <v>1752</v>
      </c>
      <c r="D929" s="340" t="s">
        <v>3478</v>
      </c>
      <c r="E929" s="159" t="s">
        <v>1085</v>
      </c>
      <c r="F929" s="159" t="s">
        <v>1179</v>
      </c>
      <c r="G929" s="159" t="s">
        <v>1078</v>
      </c>
      <c r="H929" s="159" t="s">
        <v>1753</v>
      </c>
      <c r="I929" s="159" t="s">
        <v>1080</v>
      </c>
      <c r="J929" s="159" t="s">
        <v>312</v>
      </c>
      <c r="K929" s="159" t="s">
        <v>1081</v>
      </c>
      <c r="L929" s="39" t="s">
        <v>1754</v>
      </c>
      <c r="M929" s="39" t="s">
        <v>305</v>
      </c>
      <c r="N929" s="39">
        <v>11</v>
      </c>
      <c r="O929" s="39" t="s">
        <v>1752</v>
      </c>
      <c r="P929" s="39" t="s">
        <v>1752</v>
      </c>
      <c r="Q929" s="39" t="s">
        <v>1758</v>
      </c>
      <c r="R929" s="16" t="s">
        <v>248</v>
      </c>
      <c r="S929" s="223">
        <v>30163644</v>
      </c>
      <c r="T929" s="160">
        <v>0</v>
      </c>
      <c r="U929" s="160">
        <v>10000</v>
      </c>
      <c r="V929" s="160">
        <v>0</v>
      </c>
      <c r="W929" s="160">
        <v>30163644</v>
      </c>
      <c r="X929" s="161">
        <v>0</v>
      </c>
      <c r="Y929" s="160"/>
      <c r="Z929" s="16">
        <v>0</v>
      </c>
      <c r="AA929" s="162">
        <v>10000</v>
      </c>
      <c r="AB929" s="224">
        <v>2500</v>
      </c>
      <c r="AC929" s="224">
        <v>30000</v>
      </c>
      <c r="AD929" s="223">
        <v>0</v>
      </c>
      <c r="AE929" s="145">
        <v>10412309</v>
      </c>
      <c r="AF929" s="220">
        <v>1.0469999999999999</v>
      </c>
      <c r="AG929" s="221">
        <v>1.046</v>
      </c>
      <c r="AH929" s="221">
        <v>1.046</v>
      </c>
      <c r="AI929" s="164">
        <v>30163644</v>
      </c>
      <c r="AJ929" s="164">
        <f t="shared" si="128"/>
        <v>-19751335</v>
      </c>
      <c r="AK929" s="165">
        <f>AE929</f>
        <v>10412309</v>
      </c>
      <c r="AL929" s="165">
        <f t="shared" si="139"/>
        <v>10412309</v>
      </c>
      <c r="AM929" s="165">
        <f t="shared" si="137"/>
        <v>10891275.214</v>
      </c>
      <c r="AN929" s="165">
        <f t="shared" si="138"/>
        <v>11392273.873844</v>
      </c>
      <c r="AO929" s="16"/>
      <c r="AP929" s="231">
        <f t="shared" si="129"/>
        <v>0</v>
      </c>
      <c r="AR929" s="231"/>
      <c r="AS929" s="231"/>
      <c r="AU929" s="230">
        <v>30163644</v>
      </c>
      <c r="AV929" s="233">
        <v>30163644</v>
      </c>
      <c r="AW929" s="230">
        <f t="shared" si="127"/>
        <v>0</v>
      </c>
    </row>
    <row r="930" spans="1:49" s="172" customFormat="1" x14ac:dyDescent="0.3">
      <c r="A930" s="166" t="s">
        <v>41</v>
      </c>
      <c r="B930" s="167" t="s">
        <v>1759</v>
      </c>
      <c r="C930" s="167" t="s">
        <v>1760</v>
      </c>
      <c r="D930" s="412" t="s">
        <v>3479</v>
      </c>
      <c r="E930" s="168" t="s">
        <v>1761</v>
      </c>
      <c r="F930" s="168" t="s">
        <v>303</v>
      </c>
      <c r="G930" s="168" t="s">
        <v>309</v>
      </c>
      <c r="H930" s="168" t="s">
        <v>363</v>
      </c>
      <c r="I930" s="168" t="s">
        <v>1762</v>
      </c>
      <c r="J930" s="168" t="s">
        <v>312</v>
      </c>
      <c r="K930" s="168" t="s">
        <v>1849</v>
      </c>
      <c r="L930" s="167" t="s">
        <v>304</v>
      </c>
      <c r="M930" s="167" t="s">
        <v>305</v>
      </c>
      <c r="N930" s="167">
        <v>11</v>
      </c>
      <c r="O930" s="167" t="s">
        <v>1760</v>
      </c>
      <c r="P930" s="167" t="s">
        <v>1760</v>
      </c>
      <c r="Q930" s="167" t="s">
        <v>1759</v>
      </c>
      <c r="R930" s="166" t="s">
        <v>41</v>
      </c>
      <c r="S930" s="169">
        <v>1341534</v>
      </c>
      <c r="T930" s="169">
        <v>81756</v>
      </c>
      <c r="U930" s="169">
        <v>0</v>
      </c>
      <c r="V930" s="169">
        <v>327024</v>
      </c>
      <c r="W930" s="169">
        <v>1014510</v>
      </c>
      <c r="X930" s="170">
        <v>0</v>
      </c>
      <c r="Y930" s="169"/>
      <c r="Z930" s="166">
        <v>24.37</v>
      </c>
      <c r="AA930" s="171">
        <v>327024</v>
      </c>
      <c r="AB930" s="171">
        <v>81756</v>
      </c>
      <c r="AC930" s="171">
        <v>981072</v>
      </c>
      <c r="AD930" s="169">
        <v>0</v>
      </c>
      <c r="AE930" s="228">
        <v>1341534</v>
      </c>
      <c r="AF930" s="163">
        <v>1.0529999999999999</v>
      </c>
      <c r="AG930" s="163">
        <v>1.0489999999999999</v>
      </c>
      <c r="AH930" s="163">
        <v>1.0469999999999999</v>
      </c>
      <c r="AI930" s="164">
        <v>1341534</v>
      </c>
      <c r="AJ930" s="164">
        <f t="shared" si="128"/>
        <v>0</v>
      </c>
      <c r="AK930" s="229">
        <v>1341534</v>
      </c>
      <c r="AL930" s="229">
        <f ca="1">SUMIF('SM &amp; Vacancies'!A:K,D930,'SM &amp; Vacancies'!J:J)*105.3/100</f>
        <v>1288163.331</v>
      </c>
      <c r="AM930" s="229">
        <f t="shared" ca="1" si="137"/>
        <v>1351283.3342189998</v>
      </c>
      <c r="AN930" s="229">
        <f t="shared" ca="1" si="138"/>
        <v>1414793.6509272926</v>
      </c>
      <c r="AO930" s="166"/>
      <c r="AP930" s="413">
        <f t="shared" ca="1" si="129"/>
        <v>53370.668999999994</v>
      </c>
      <c r="AR930" s="231"/>
      <c r="AS930" s="231"/>
      <c r="AU930" s="414">
        <v>1341534</v>
      </c>
      <c r="AV930" s="415">
        <v>1341534</v>
      </c>
      <c r="AW930" s="414">
        <f t="shared" si="127"/>
        <v>0</v>
      </c>
    </row>
    <row r="931" spans="1:49" s="172" customFormat="1" x14ac:dyDescent="0.3">
      <c r="A931" s="166" t="s">
        <v>42</v>
      </c>
      <c r="B931" s="167" t="s">
        <v>1763</v>
      </c>
      <c r="C931" s="167" t="s">
        <v>1764</v>
      </c>
      <c r="D931" s="412" t="s">
        <v>3479</v>
      </c>
      <c r="E931" s="168" t="s">
        <v>1761</v>
      </c>
      <c r="F931" s="168" t="s">
        <v>303</v>
      </c>
      <c r="G931" s="168" t="s">
        <v>309</v>
      </c>
      <c r="H931" s="168" t="s">
        <v>363</v>
      </c>
      <c r="I931" s="168" t="s">
        <v>1765</v>
      </c>
      <c r="J931" s="168" t="s">
        <v>312</v>
      </c>
      <c r="K931" s="168" t="s">
        <v>1849</v>
      </c>
      <c r="L931" s="167" t="s">
        <v>304</v>
      </c>
      <c r="M931" s="167" t="s">
        <v>305</v>
      </c>
      <c r="N931" s="167">
        <v>11</v>
      </c>
      <c r="O931" s="167" t="s">
        <v>1764</v>
      </c>
      <c r="P931" s="167" t="s">
        <v>1764</v>
      </c>
      <c r="Q931" s="167" t="s">
        <v>1763</v>
      </c>
      <c r="R931" s="166" t="s">
        <v>42</v>
      </c>
      <c r="S931" s="169">
        <v>15091</v>
      </c>
      <c r="T931" s="160">
        <v>1200</v>
      </c>
      <c r="U931" s="160">
        <v>0</v>
      </c>
      <c r="V931" s="160">
        <v>4800</v>
      </c>
      <c r="W931" s="160">
        <v>10291</v>
      </c>
      <c r="X931" s="161">
        <v>0</v>
      </c>
      <c r="Y931" s="160"/>
      <c r="Z931" s="16">
        <v>31.8</v>
      </c>
      <c r="AA931" s="162">
        <v>4800</v>
      </c>
      <c r="AB931" s="162">
        <v>1200</v>
      </c>
      <c r="AC931" s="162">
        <v>14400</v>
      </c>
      <c r="AD931" s="160"/>
      <c r="AE931" s="228">
        <v>15091</v>
      </c>
      <c r="AF931" s="163">
        <v>1.0529999999999999</v>
      </c>
      <c r="AG931" s="163">
        <v>1.0489999999999999</v>
      </c>
      <c r="AH931" s="163">
        <v>1.0469999999999999</v>
      </c>
      <c r="AI931" s="164">
        <v>15091</v>
      </c>
      <c r="AJ931" s="164">
        <f t="shared" si="128"/>
        <v>0</v>
      </c>
      <c r="AK931" s="229">
        <v>15091</v>
      </c>
      <c r="AL931" s="229">
        <f ca="1">SUMIF('SM &amp; Vacancies'!A:N,D931,'SM &amp; Vacancies'!N:N)*105.3/100</f>
        <v>15163.2</v>
      </c>
      <c r="AM931" s="229">
        <f t="shared" ca="1" si="137"/>
        <v>15906.1968</v>
      </c>
      <c r="AN931" s="229">
        <f t="shared" ca="1" si="138"/>
        <v>16653.7880496</v>
      </c>
      <c r="AO931" s="166"/>
      <c r="AP931" s="413">
        <f t="shared" ca="1" si="129"/>
        <v>-72.200000000000728</v>
      </c>
      <c r="AR931" s="231"/>
      <c r="AS931" s="231"/>
      <c r="AU931" s="414">
        <v>15091</v>
      </c>
      <c r="AV931" s="415">
        <v>15091</v>
      </c>
      <c r="AW931" s="414">
        <f t="shared" si="127"/>
        <v>0</v>
      </c>
    </row>
    <row r="932" spans="1:49" s="172" customFormat="1" x14ac:dyDescent="0.3">
      <c r="A932" s="166" t="s">
        <v>43</v>
      </c>
      <c r="B932" s="167" t="s">
        <v>1766</v>
      </c>
      <c r="C932" s="167" t="s">
        <v>1767</v>
      </c>
      <c r="D932" s="412" t="s">
        <v>3479</v>
      </c>
      <c r="E932" s="168" t="s">
        <v>1761</v>
      </c>
      <c r="F932" s="168" t="s">
        <v>303</v>
      </c>
      <c r="G932" s="168" t="s">
        <v>309</v>
      </c>
      <c r="H932" s="168" t="s">
        <v>363</v>
      </c>
      <c r="I932" s="168" t="s">
        <v>1768</v>
      </c>
      <c r="J932" s="168" t="s">
        <v>312</v>
      </c>
      <c r="K932" s="168" t="s">
        <v>1849</v>
      </c>
      <c r="L932" s="167" t="s">
        <v>304</v>
      </c>
      <c r="M932" s="167" t="s">
        <v>305</v>
      </c>
      <c r="N932" s="167">
        <v>11</v>
      </c>
      <c r="O932" s="167" t="s">
        <v>1767</v>
      </c>
      <c r="P932" s="167" t="s">
        <v>1767</v>
      </c>
      <c r="Q932" s="167" t="s">
        <v>1766</v>
      </c>
      <c r="R932" s="166" t="s">
        <v>43</v>
      </c>
      <c r="S932" s="169">
        <v>0</v>
      </c>
      <c r="T932" s="160">
        <v>20000</v>
      </c>
      <c r="U932" s="160">
        <v>0</v>
      </c>
      <c r="V932" s="160">
        <v>80000</v>
      </c>
      <c r="W932" s="160">
        <v>-80000</v>
      </c>
      <c r="X932" s="161">
        <v>0</v>
      </c>
      <c r="Y932" s="160"/>
      <c r="Z932" s="16">
        <v>0</v>
      </c>
      <c r="AA932" s="162">
        <v>80000</v>
      </c>
      <c r="AB932" s="162">
        <v>20000</v>
      </c>
      <c r="AC932" s="162">
        <v>240000</v>
      </c>
      <c r="AD932" s="160"/>
      <c r="AE932" s="228">
        <v>0</v>
      </c>
      <c r="AF932" s="163">
        <v>1.0529999999999999</v>
      </c>
      <c r="AG932" s="163">
        <v>1.0489999999999999</v>
      </c>
      <c r="AH932" s="163">
        <v>1.0469999999999999</v>
      </c>
      <c r="AI932" s="164">
        <v>0</v>
      </c>
      <c r="AJ932" s="164">
        <f t="shared" si="128"/>
        <v>0</v>
      </c>
      <c r="AK932" s="229">
        <v>0</v>
      </c>
      <c r="AL932" s="229">
        <f ca="1">SUMIF('SM &amp; Vacancies'!A:P,D932,'SM &amp; Vacancies'!P:P)*105.3/100</f>
        <v>252720</v>
      </c>
      <c r="AM932" s="229">
        <f t="shared" ca="1" si="137"/>
        <v>265103.27999999997</v>
      </c>
      <c r="AN932" s="229">
        <f t="shared" ca="1" si="138"/>
        <v>277563.13415999996</v>
      </c>
      <c r="AO932" s="166"/>
      <c r="AP932" s="413">
        <f t="shared" ca="1" si="129"/>
        <v>-252720</v>
      </c>
      <c r="AR932" s="231"/>
      <c r="AS932" s="231"/>
      <c r="AU932" s="414">
        <v>0</v>
      </c>
      <c r="AV932" s="415">
        <v>0</v>
      </c>
      <c r="AW932" s="414">
        <f t="shared" si="127"/>
        <v>0</v>
      </c>
    </row>
    <row r="933" spans="1:49" s="172" customFormat="1" x14ac:dyDescent="0.3">
      <c r="A933" s="166" t="s">
        <v>44</v>
      </c>
      <c r="B933" s="167" t="s">
        <v>1769</v>
      </c>
      <c r="C933" s="167" t="s">
        <v>1770</v>
      </c>
      <c r="D933" s="412" t="s">
        <v>3479</v>
      </c>
      <c r="E933" s="168" t="s">
        <v>1761</v>
      </c>
      <c r="F933" s="168" t="s">
        <v>303</v>
      </c>
      <c r="G933" s="168" t="s">
        <v>309</v>
      </c>
      <c r="H933" s="168" t="s">
        <v>370</v>
      </c>
      <c r="I933" s="168" t="s">
        <v>1771</v>
      </c>
      <c r="J933" s="168" t="s">
        <v>312</v>
      </c>
      <c r="K933" s="168" t="s">
        <v>1849</v>
      </c>
      <c r="L933" s="167" t="s">
        <v>304</v>
      </c>
      <c r="M933" s="167" t="s">
        <v>305</v>
      </c>
      <c r="N933" s="167">
        <v>11</v>
      </c>
      <c r="O933" s="167" t="s">
        <v>1770</v>
      </c>
      <c r="P933" s="167" t="s">
        <v>1770</v>
      </c>
      <c r="Q933" s="167" t="s">
        <v>1769</v>
      </c>
      <c r="R933" s="166" t="s">
        <v>44</v>
      </c>
      <c r="S933" s="169">
        <v>0</v>
      </c>
      <c r="T933" s="160">
        <v>177.12</v>
      </c>
      <c r="U933" s="160">
        <v>0</v>
      </c>
      <c r="V933" s="160">
        <v>708.48</v>
      </c>
      <c r="W933" s="160">
        <v>-708.48</v>
      </c>
      <c r="X933" s="161">
        <v>0</v>
      </c>
      <c r="Y933" s="160"/>
      <c r="Z933" s="16">
        <v>0</v>
      </c>
      <c r="AA933" s="162">
        <v>708.48</v>
      </c>
      <c r="AB933" s="162">
        <v>177.12</v>
      </c>
      <c r="AC933" s="162">
        <v>2125.44</v>
      </c>
      <c r="AD933" s="160"/>
      <c r="AE933" s="228">
        <v>0</v>
      </c>
      <c r="AF933" s="163">
        <v>1.0529999999999999</v>
      </c>
      <c r="AG933" s="163">
        <v>1.0489999999999999</v>
      </c>
      <c r="AH933" s="163">
        <v>1.0469999999999999</v>
      </c>
      <c r="AI933" s="164">
        <v>0</v>
      </c>
      <c r="AJ933" s="164">
        <f t="shared" si="128"/>
        <v>0</v>
      </c>
      <c r="AK933" s="229">
        <v>0</v>
      </c>
      <c r="AL933" s="229">
        <f ca="1">SUMIF('SM &amp; Vacancies'!A:T,D933,'SM &amp; Vacancies'!T:T)*105.3/100</f>
        <v>2238.0883199999998</v>
      </c>
      <c r="AM933" s="229">
        <f t="shared" ca="1" si="137"/>
        <v>2347.7546476799998</v>
      </c>
      <c r="AN933" s="229">
        <f t="shared" ca="1" si="138"/>
        <v>2458.0991161209595</v>
      </c>
      <c r="AO933" s="166"/>
      <c r="AP933" s="413">
        <f t="shared" ca="1" si="129"/>
        <v>-2238.0883199999998</v>
      </c>
      <c r="AR933" s="231"/>
      <c r="AS933" s="231"/>
      <c r="AU933" s="414">
        <v>0</v>
      </c>
      <c r="AV933" s="415">
        <v>0</v>
      </c>
      <c r="AW933" s="414">
        <f t="shared" si="127"/>
        <v>0</v>
      </c>
    </row>
    <row r="934" spans="1:49" s="172" customFormat="1" x14ac:dyDescent="0.3">
      <c r="A934" s="166" t="s">
        <v>50</v>
      </c>
      <c r="B934" s="167" t="s">
        <v>1772</v>
      </c>
      <c r="C934" s="167" t="s">
        <v>302</v>
      </c>
      <c r="D934" s="412" t="s">
        <v>3479</v>
      </c>
      <c r="E934" s="168" t="s">
        <v>1761</v>
      </c>
      <c r="F934" s="168" t="s">
        <v>303</v>
      </c>
      <c r="G934" s="168" t="s">
        <v>309</v>
      </c>
      <c r="H934" s="168" t="s">
        <v>373</v>
      </c>
      <c r="I934" s="168" t="s">
        <v>374</v>
      </c>
      <c r="J934" s="168" t="s">
        <v>312</v>
      </c>
      <c r="K934" s="168" t="s">
        <v>1849</v>
      </c>
      <c r="L934" s="167" t="s">
        <v>304</v>
      </c>
      <c r="M934" s="167" t="s">
        <v>305</v>
      </c>
      <c r="N934" s="167">
        <v>11</v>
      </c>
      <c r="O934" s="167" t="s">
        <v>302</v>
      </c>
      <c r="P934" s="167" t="s">
        <v>302</v>
      </c>
      <c r="Q934" s="167" t="s">
        <v>1772</v>
      </c>
      <c r="R934" s="166" t="s">
        <v>50</v>
      </c>
      <c r="S934" s="169">
        <v>1078043</v>
      </c>
      <c r="T934" s="160">
        <v>54327.68</v>
      </c>
      <c r="U934" s="160">
        <v>0</v>
      </c>
      <c r="V934" s="160">
        <v>217196.79</v>
      </c>
      <c r="W934" s="160">
        <v>860846.21</v>
      </c>
      <c r="X934" s="161">
        <v>0</v>
      </c>
      <c r="Y934" s="160"/>
      <c r="Z934" s="16">
        <v>20.14</v>
      </c>
      <c r="AA934" s="162">
        <v>217196.79</v>
      </c>
      <c r="AB934" s="162">
        <v>54299.197500000002</v>
      </c>
      <c r="AC934" s="162">
        <v>651590.37</v>
      </c>
      <c r="AD934" s="160"/>
      <c r="AE934" s="145">
        <v>1078043</v>
      </c>
      <c r="AF934" s="163">
        <v>1.0529999999999999</v>
      </c>
      <c r="AG934" s="163">
        <v>1.0489999999999999</v>
      </c>
      <c r="AH934" s="163">
        <v>1.0469999999999999</v>
      </c>
      <c r="AI934" s="164">
        <v>1078043</v>
      </c>
      <c r="AJ934" s="164">
        <f t="shared" si="128"/>
        <v>0</v>
      </c>
      <c r="AK934" s="229">
        <v>1078043</v>
      </c>
      <c r="AL934" s="229">
        <f ca="1">SUMIF('MS &amp; Vacancies combined'!A:J,D934,'MS &amp; Vacancies combined'!J:J)*105.3/100</f>
        <v>1047692.3951798438</v>
      </c>
      <c r="AM934" s="229">
        <f t="shared" ca="1" si="137"/>
        <v>1099029.322543656</v>
      </c>
      <c r="AN934" s="229">
        <f t="shared" ca="1" si="138"/>
        <v>1150683.7007032076</v>
      </c>
      <c r="AO934" s="166"/>
      <c r="AP934" s="413">
        <f t="shared" ca="1" si="129"/>
        <v>30350.604820156237</v>
      </c>
      <c r="AR934" s="231"/>
      <c r="AS934" s="231"/>
      <c r="AU934" s="414">
        <v>1078043</v>
      </c>
      <c r="AV934" s="415">
        <v>1078043</v>
      </c>
      <c r="AW934" s="414">
        <f t="shared" si="127"/>
        <v>0</v>
      </c>
    </row>
    <row r="935" spans="1:49" s="172" customFormat="1" x14ac:dyDescent="0.3">
      <c r="A935" s="166" t="s">
        <v>52</v>
      </c>
      <c r="B935" s="167" t="s">
        <v>1773</v>
      </c>
      <c r="C935" s="167" t="s">
        <v>376</v>
      </c>
      <c r="D935" s="412" t="s">
        <v>3479</v>
      </c>
      <c r="E935" s="168" t="s">
        <v>1761</v>
      </c>
      <c r="F935" s="168" t="s">
        <v>303</v>
      </c>
      <c r="G935" s="168" t="s">
        <v>309</v>
      </c>
      <c r="H935" s="168" t="s">
        <v>373</v>
      </c>
      <c r="I935" s="168" t="s">
        <v>377</v>
      </c>
      <c r="J935" s="168" t="s">
        <v>312</v>
      </c>
      <c r="K935" s="168" t="s">
        <v>1849</v>
      </c>
      <c r="L935" s="167" t="s">
        <v>304</v>
      </c>
      <c r="M935" s="167" t="s">
        <v>305</v>
      </c>
      <c r="N935" s="167">
        <v>11</v>
      </c>
      <c r="O935" s="167" t="s">
        <v>376</v>
      </c>
      <c r="P935" s="167" t="s">
        <v>376</v>
      </c>
      <c r="Q935" s="167" t="s">
        <v>1773</v>
      </c>
      <c r="R935" s="166" t="s">
        <v>52</v>
      </c>
      <c r="S935" s="169">
        <v>4033</v>
      </c>
      <c r="T935" s="160">
        <v>320.7</v>
      </c>
      <c r="U935" s="160">
        <v>0</v>
      </c>
      <c r="V935" s="160">
        <v>1282.8</v>
      </c>
      <c r="W935" s="160">
        <v>2750.2</v>
      </c>
      <c r="X935" s="161">
        <v>0</v>
      </c>
      <c r="Y935" s="160"/>
      <c r="Z935" s="16">
        <v>31.8</v>
      </c>
      <c r="AA935" s="162">
        <v>1282.8</v>
      </c>
      <c r="AB935" s="162">
        <v>320.7</v>
      </c>
      <c r="AC935" s="162">
        <v>3848.3999999999996</v>
      </c>
      <c r="AD935" s="160"/>
      <c r="AE935" s="145">
        <v>4033</v>
      </c>
      <c r="AF935" s="163">
        <v>1.0529999999999999</v>
      </c>
      <c r="AG935" s="163">
        <v>1.0489999999999999</v>
      </c>
      <c r="AH935" s="163">
        <v>1.0469999999999999</v>
      </c>
      <c r="AI935" s="164">
        <v>4033</v>
      </c>
      <c r="AJ935" s="164">
        <f t="shared" si="128"/>
        <v>0</v>
      </c>
      <c r="AK935" s="229">
        <v>4033</v>
      </c>
      <c r="AL935" s="229">
        <f ca="1">SUMIF('MS &amp; Vacancies combined'!A:M,D935,'MS &amp; Vacancies combined'!M:M)*105.3/100</f>
        <v>3736.4601453183363</v>
      </c>
      <c r="AM935" s="229">
        <f t="shared" ca="1" si="137"/>
        <v>3919.5466924389348</v>
      </c>
      <c r="AN935" s="229">
        <f t="shared" ca="1" si="138"/>
        <v>4103.765386983564</v>
      </c>
      <c r="AO935" s="166"/>
      <c r="AP935" s="413">
        <f t="shared" ca="1" si="129"/>
        <v>296.53985468166366</v>
      </c>
      <c r="AR935" s="231"/>
      <c r="AS935" s="231"/>
      <c r="AU935" s="414">
        <v>4033</v>
      </c>
      <c r="AV935" s="415">
        <v>4033</v>
      </c>
      <c r="AW935" s="414">
        <f t="shared" si="127"/>
        <v>0</v>
      </c>
    </row>
    <row r="936" spans="1:49" s="172" customFormat="1" x14ac:dyDescent="0.3">
      <c r="A936" s="166" t="s">
        <v>54</v>
      </c>
      <c r="B936" s="167" t="s">
        <v>1774</v>
      </c>
      <c r="C936" s="167" t="s">
        <v>379</v>
      </c>
      <c r="D936" s="412" t="s">
        <v>3479</v>
      </c>
      <c r="E936" s="168" t="s">
        <v>1761</v>
      </c>
      <c r="F936" s="168" t="s">
        <v>303</v>
      </c>
      <c r="G936" s="168" t="s">
        <v>309</v>
      </c>
      <c r="H936" s="168" t="s">
        <v>373</v>
      </c>
      <c r="I936" s="168" t="s">
        <v>380</v>
      </c>
      <c r="J936" s="168" t="s">
        <v>312</v>
      </c>
      <c r="K936" s="168" t="s">
        <v>1849</v>
      </c>
      <c r="L936" s="167" t="s">
        <v>304</v>
      </c>
      <c r="M936" s="167" t="s">
        <v>305</v>
      </c>
      <c r="N936" s="167">
        <v>11</v>
      </c>
      <c r="O936" s="167" t="s">
        <v>379</v>
      </c>
      <c r="P936" s="167" t="s">
        <v>379</v>
      </c>
      <c r="Q936" s="167" t="s">
        <v>1774</v>
      </c>
      <c r="R936" s="166" t="s">
        <v>54</v>
      </c>
      <c r="S936" s="169">
        <v>24259</v>
      </c>
      <c r="T936" s="160">
        <v>0</v>
      </c>
      <c r="U936" s="160">
        <v>0</v>
      </c>
      <c r="V936" s="160">
        <v>0</v>
      </c>
      <c r="W936" s="160">
        <v>24259</v>
      </c>
      <c r="X936" s="161">
        <v>0</v>
      </c>
      <c r="Y936" s="160"/>
      <c r="Z936" s="16">
        <v>0</v>
      </c>
      <c r="AA936" s="162">
        <v>0</v>
      </c>
      <c r="AB936" s="162">
        <v>0</v>
      </c>
      <c r="AC936" s="162">
        <v>0</v>
      </c>
      <c r="AD936" s="160"/>
      <c r="AE936" s="145">
        <v>24259</v>
      </c>
      <c r="AF936" s="163">
        <v>1.0529999999999999</v>
      </c>
      <c r="AG936" s="163">
        <v>1.0489999999999999</v>
      </c>
      <c r="AH936" s="163">
        <v>1.0469999999999999</v>
      </c>
      <c r="AI936" s="164">
        <v>24259</v>
      </c>
      <c r="AJ936" s="164">
        <f t="shared" si="128"/>
        <v>0</v>
      </c>
      <c r="AK936" s="229">
        <v>24259</v>
      </c>
      <c r="AL936" s="229">
        <f ca="1">SUMIF('MS &amp; Vacancies combined'!A:L,D936,'MS &amp; Vacancies combined'!L:L)*105.3/100</f>
        <v>11788.083196846688</v>
      </c>
      <c r="AM936" s="229">
        <f t="shared" ca="1" si="137"/>
        <v>12365.699273492175</v>
      </c>
      <c r="AN936" s="229">
        <f t="shared" ca="1" si="138"/>
        <v>12946.887139346307</v>
      </c>
      <c r="AO936" s="166"/>
      <c r="AP936" s="413">
        <f t="shared" ca="1" si="129"/>
        <v>12470.916803153312</v>
      </c>
      <c r="AR936" s="231"/>
      <c r="AS936" s="231"/>
      <c r="AU936" s="414">
        <v>24259</v>
      </c>
      <c r="AV936" s="415">
        <v>24259</v>
      </c>
      <c r="AW936" s="414">
        <f t="shared" si="127"/>
        <v>0</v>
      </c>
    </row>
    <row r="937" spans="1:49" x14ac:dyDescent="0.3">
      <c r="A937" s="16" t="s">
        <v>508</v>
      </c>
      <c r="B937" s="39" t="s">
        <v>1775</v>
      </c>
      <c r="C937" s="39" t="s">
        <v>385</v>
      </c>
      <c r="D937" s="340" t="s">
        <v>3479</v>
      </c>
      <c r="E937" s="159" t="s">
        <v>1761</v>
      </c>
      <c r="F937" s="159" t="s">
        <v>303</v>
      </c>
      <c r="G937" s="159" t="s">
        <v>309</v>
      </c>
      <c r="H937" s="159" t="s">
        <v>373</v>
      </c>
      <c r="I937" s="159" t="s">
        <v>386</v>
      </c>
      <c r="J937" s="159" t="s">
        <v>312</v>
      </c>
      <c r="K937" s="159" t="s">
        <v>1849</v>
      </c>
      <c r="L937" s="39" t="s">
        <v>304</v>
      </c>
      <c r="M937" s="39" t="s">
        <v>305</v>
      </c>
      <c r="N937" s="39">
        <v>11</v>
      </c>
      <c r="O937" s="39" t="s">
        <v>385</v>
      </c>
      <c r="P937" s="39" t="s">
        <v>385</v>
      </c>
      <c r="Q937" s="39" t="s">
        <v>1775</v>
      </c>
      <c r="R937" s="16" t="s">
        <v>508</v>
      </c>
      <c r="S937" s="169">
        <v>0</v>
      </c>
      <c r="T937" s="160">
        <v>0</v>
      </c>
      <c r="U937" s="160">
        <v>0</v>
      </c>
      <c r="V937" s="160">
        <v>0</v>
      </c>
      <c r="W937" s="160">
        <v>0</v>
      </c>
      <c r="X937" s="161">
        <v>0</v>
      </c>
      <c r="Y937" s="160"/>
      <c r="Z937" s="16">
        <v>0</v>
      </c>
      <c r="AA937" s="162">
        <v>0</v>
      </c>
      <c r="AB937" s="162">
        <v>0</v>
      </c>
      <c r="AC937" s="162">
        <v>0</v>
      </c>
      <c r="AD937" s="160"/>
      <c r="AE937" s="145">
        <v>0</v>
      </c>
      <c r="AF937" s="163">
        <v>1.0469999999999999</v>
      </c>
      <c r="AG937" s="164">
        <v>1.046</v>
      </c>
      <c r="AH937" s="164">
        <v>1.046</v>
      </c>
      <c r="AI937" s="164">
        <v>0</v>
      </c>
      <c r="AJ937" s="164">
        <f t="shared" si="128"/>
        <v>0</v>
      </c>
      <c r="AK937" s="165">
        <v>0</v>
      </c>
      <c r="AL937" s="165">
        <v>0</v>
      </c>
      <c r="AM937" s="165">
        <f t="shared" si="137"/>
        <v>0</v>
      </c>
      <c r="AN937" s="165">
        <f t="shared" si="138"/>
        <v>0</v>
      </c>
      <c r="AO937" s="16"/>
      <c r="AP937" s="231">
        <f t="shared" si="129"/>
        <v>0</v>
      </c>
      <c r="AR937" s="231"/>
      <c r="AS937" s="231"/>
      <c r="AU937" s="230">
        <v>0</v>
      </c>
      <c r="AV937" s="233">
        <v>0</v>
      </c>
      <c r="AW937" s="230">
        <f t="shared" si="127"/>
        <v>0</v>
      </c>
    </row>
    <row r="938" spans="1:49" s="172" customFormat="1" x14ac:dyDescent="0.3">
      <c r="A938" s="166" t="s">
        <v>56</v>
      </c>
      <c r="B938" s="167" t="s">
        <v>1776</v>
      </c>
      <c r="C938" s="167" t="s">
        <v>385</v>
      </c>
      <c r="D938" s="412" t="s">
        <v>3479</v>
      </c>
      <c r="E938" s="168" t="s">
        <v>1761</v>
      </c>
      <c r="F938" s="168" t="s">
        <v>303</v>
      </c>
      <c r="G938" s="168" t="s">
        <v>309</v>
      </c>
      <c r="H938" s="168" t="s">
        <v>373</v>
      </c>
      <c r="I938" s="168" t="s">
        <v>386</v>
      </c>
      <c r="J938" s="168" t="s">
        <v>387</v>
      </c>
      <c r="K938" s="168" t="s">
        <v>1849</v>
      </c>
      <c r="L938" s="167" t="s">
        <v>304</v>
      </c>
      <c r="M938" s="167" t="s">
        <v>305</v>
      </c>
      <c r="N938" s="167">
        <v>11</v>
      </c>
      <c r="O938" s="167" t="s">
        <v>385</v>
      </c>
      <c r="P938" s="167" t="s">
        <v>385</v>
      </c>
      <c r="Q938" s="167" t="s">
        <v>1776</v>
      </c>
      <c r="R938" s="166" t="s">
        <v>56</v>
      </c>
      <c r="S938" s="169">
        <v>0</v>
      </c>
      <c r="T938" s="160">
        <v>0</v>
      </c>
      <c r="U938" s="160">
        <v>0</v>
      </c>
      <c r="V938" s="160">
        <v>0</v>
      </c>
      <c r="W938" s="160">
        <v>0</v>
      </c>
      <c r="X938" s="161">
        <v>0</v>
      </c>
      <c r="Y938" s="160"/>
      <c r="Z938" s="16">
        <v>0</v>
      </c>
      <c r="AA938" s="162">
        <v>0</v>
      </c>
      <c r="AB938" s="162">
        <v>0</v>
      </c>
      <c r="AC938" s="162">
        <v>0</v>
      </c>
      <c r="AD938" s="160"/>
      <c r="AE938" s="145">
        <v>0</v>
      </c>
      <c r="AF938" s="163">
        <v>1.0529999999999999</v>
      </c>
      <c r="AG938" s="163">
        <v>1.0489999999999999</v>
      </c>
      <c r="AH938" s="163">
        <v>1.0469999999999999</v>
      </c>
      <c r="AI938" s="164">
        <v>0</v>
      </c>
      <c r="AJ938" s="164">
        <f t="shared" si="128"/>
        <v>0</v>
      </c>
      <c r="AK938" s="229">
        <v>0</v>
      </c>
      <c r="AL938" s="229">
        <f ca="1">SUMIF('MS &amp; Vacancies combined'!A:O,D938,'MS &amp; Vacancies combined'!O:O)*105.3/100</f>
        <v>0</v>
      </c>
      <c r="AM938" s="229">
        <f ca="1">AL938*AG938</f>
        <v>0</v>
      </c>
      <c r="AN938" s="229">
        <f ca="1">AM938*AH938</f>
        <v>0</v>
      </c>
      <c r="AO938" s="166"/>
      <c r="AP938" s="413">
        <f t="shared" ca="1" si="129"/>
        <v>0</v>
      </c>
      <c r="AR938" s="231"/>
      <c r="AS938" s="231"/>
      <c r="AU938" s="414">
        <v>0</v>
      </c>
      <c r="AV938" s="415">
        <v>0</v>
      </c>
      <c r="AW938" s="414">
        <f t="shared" si="127"/>
        <v>0</v>
      </c>
    </row>
    <row r="939" spans="1:49" x14ac:dyDescent="0.3">
      <c r="A939" s="16" t="s">
        <v>57</v>
      </c>
      <c r="B939" s="39" t="s">
        <v>1777</v>
      </c>
      <c r="C939" s="39" t="s">
        <v>389</v>
      </c>
      <c r="D939" s="340" t="s">
        <v>3479</v>
      </c>
      <c r="E939" s="159" t="s">
        <v>1761</v>
      </c>
      <c r="F939" s="159" t="s">
        <v>303</v>
      </c>
      <c r="G939" s="159" t="s">
        <v>309</v>
      </c>
      <c r="H939" s="159" t="s">
        <v>373</v>
      </c>
      <c r="I939" s="159" t="s">
        <v>390</v>
      </c>
      <c r="J939" s="159" t="s">
        <v>312</v>
      </c>
      <c r="K939" s="159" t="s">
        <v>1849</v>
      </c>
      <c r="L939" s="39" t="s">
        <v>304</v>
      </c>
      <c r="M939" s="39" t="s">
        <v>305</v>
      </c>
      <c r="N939" s="39">
        <v>11</v>
      </c>
      <c r="O939" s="39" t="s">
        <v>389</v>
      </c>
      <c r="P939" s="39" t="s">
        <v>389</v>
      </c>
      <c r="Q939" s="39" t="s">
        <v>1777</v>
      </c>
      <c r="R939" s="16" t="s">
        <v>57</v>
      </c>
      <c r="S939" s="169">
        <v>80392</v>
      </c>
      <c r="T939" s="160">
        <v>8880.3700000000008</v>
      </c>
      <c r="U939" s="160">
        <v>0</v>
      </c>
      <c r="V939" s="160">
        <v>25317.06</v>
      </c>
      <c r="W939" s="160">
        <v>55074.94</v>
      </c>
      <c r="X939" s="161">
        <v>0</v>
      </c>
      <c r="Y939" s="160"/>
      <c r="Z939" s="16">
        <v>31.49</v>
      </c>
      <c r="AA939" s="162">
        <v>25317.06</v>
      </c>
      <c r="AB939" s="162">
        <v>6329.2650000000003</v>
      </c>
      <c r="AC939" s="162">
        <v>75951.180000000008</v>
      </c>
      <c r="AD939" s="160"/>
      <c r="AE939" s="145">
        <v>80392</v>
      </c>
      <c r="AF939" s="421">
        <v>1.0529999999999999</v>
      </c>
      <c r="AG939" s="421">
        <v>1.0489999999999999</v>
      </c>
      <c r="AH939" s="421">
        <v>1.0469999999999999</v>
      </c>
      <c r="AI939" s="164">
        <v>80392</v>
      </c>
      <c r="AJ939" s="164">
        <f t="shared" si="128"/>
        <v>0</v>
      </c>
      <c r="AK939" s="165">
        <v>80392</v>
      </c>
      <c r="AL939" s="165">
        <f>AK939*80%</f>
        <v>64313.600000000006</v>
      </c>
      <c r="AM939" s="165">
        <f t="shared" si="137"/>
        <v>67464.966400000005</v>
      </c>
      <c r="AN939" s="165">
        <f t="shared" si="138"/>
        <v>70635.819820799996</v>
      </c>
      <c r="AO939" s="16"/>
      <c r="AP939" s="231">
        <f t="shared" si="129"/>
        <v>16078.399999999994</v>
      </c>
      <c r="AR939" s="231"/>
      <c r="AS939" s="231"/>
      <c r="AU939" s="230">
        <v>80392</v>
      </c>
      <c r="AV939" s="233">
        <v>80392</v>
      </c>
      <c r="AW939" s="230">
        <f t="shared" si="127"/>
        <v>0</v>
      </c>
    </row>
    <row r="940" spans="1:49" x14ac:dyDescent="0.3">
      <c r="A940" s="16" t="s">
        <v>60</v>
      </c>
      <c r="B940" s="39" t="s">
        <v>1778</v>
      </c>
      <c r="C940" s="39" t="s">
        <v>392</v>
      </c>
      <c r="D940" s="340" t="s">
        <v>3479</v>
      </c>
      <c r="E940" s="159" t="s">
        <v>1761</v>
      </c>
      <c r="F940" s="159" t="s">
        <v>303</v>
      </c>
      <c r="G940" s="159" t="s">
        <v>309</v>
      </c>
      <c r="H940" s="159" t="s">
        <v>373</v>
      </c>
      <c r="I940" s="159" t="s">
        <v>393</v>
      </c>
      <c r="J940" s="159" t="s">
        <v>312</v>
      </c>
      <c r="K940" s="159" t="s">
        <v>1849</v>
      </c>
      <c r="L940" s="39" t="s">
        <v>304</v>
      </c>
      <c r="M940" s="39" t="s">
        <v>305</v>
      </c>
      <c r="N940" s="39">
        <v>11</v>
      </c>
      <c r="O940" s="39" t="s">
        <v>392</v>
      </c>
      <c r="P940" s="39" t="s">
        <v>392</v>
      </c>
      <c r="Q940" s="39" t="s">
        <v>1778</v>
      </c>
      <c r="R940" s="16" t="s">
        <v>60</v>
      </c>
      <c r="S940" s="169">
        <v>6427</v>
      </c>
      <c r="T940" s="160">
        <v>813.75</v>
      </c>
      <c r="U940" s="160">
        <v>0</v>
      </c>
      <c r="V940" s="160">
        <v>2604.0100000000002</v>
      </c>
      <c r="W940" s="160">
        <v>3822.99</v>
      </c>
      <c r="X940" s="161">
        <v>0</v>
      </c>
      <c r="Y940" s="160"/>
      <c r="Z940" s="16">
        <v>40.51</v>
      </c>
      <c r="AA940" s="162">
        <v>2604.0100000000002</v>
      </c>
      <c r="AB940" s="162">
        <v>651.00250000000005</v>
      </c>
      <c r="AC940" s="162">
        <v>7812.0300000000007</v>
      </c>
      <c r="AD940" s="160"/>
      <c r="AE940" s="145">
        <v>6427</v>
      </c>
      <c r="AF940" s="421">
        <v>1.0529999999999999</v>
      </c>
      <c r="AG940" s="421">
        <v>1.0489999999999999</v>
      </c>
      <c r="AH940" s="421">
        <v>1.0469999999999999</v>
      </c>
      <c r="AI940" s="164">
        <v>6427</v>
      </c>
      <c r="AJ940" s="164">
        <f t="shared" si="128"/>
        <v>0</v>
      </c>
      <c r="AK940" s="165">
        <v>6427</v>
      </c>
      <c r="AL940" s="165">
        <f>AK940*AF940</f>
        <v>6767.6309999999994</v>
      </c>
      <c r="AM940" s="165">
        <f t="shared" si="137"/>
        <v>7099.2449189999988</v>
      </c>
      <c r="AN940" s="165">
        <f t="shared" si="138"/>
        <v>7432.9094301929981</v>
      </c>
      <c r="AO940" s="16"/>
      <c r="AP940" s="231">
        <f t="shared" si="129"/>
        <v>-340.6309999999994</v>
      </c>
      <c r="AR940" s="231"/>
      <c r="AS940" s="231"/>
      <c r="AU940" s="230">
        <v>6427</v>
      </c>
      <c r="AV940" s="233">
        <v>6427</v>
      </c>
      <c r="AW940" s="230">
        <f t="shared" si="127"/>
        <v>0</v>
      </c>
    </row>
    <row r="941" spans="1:49" s="172" customFormat="1" x14ac:dyDescent="0.3">
      <c r="A941" s="166" t="s">
        <v>62</v>
      </c>
      <c r="B941" s="167" t="s">
        <v>1779</v>
      </c>
      <c r="C941" s="167" t="s">
        <v>395</v>
      </c>
      <c r="D941" s="412" t="s">
        <v>3479</v>
      </c>
      <c r="E941" s="168" t="s">
        <v>1761</v>
      </c>
      <c r="F941" s="168" t="s">
        <v>303</v>
      </c>
      <c r="G941" s="168" t="s">
        <v>309</v>
      </c>
      <c r="H941" s="168" t="s">
        <v>373</v>
      </c>
      <c r="I941" s="168" t="s">
        <v>396</v>
      </c>
      <c r="J941" s="168" t="s">
        <v>312</v>
      </c>
      <c r="K941" s="168" t="s">
        <v>1849</v>
      </c>
      <c r="L941" s="167" t="s">
        <v>304</v>
      </c>
      <c r="M941" s="167" t="s">
        <v>305</v>
      </c>
      <c r="N941" s="167">
        <v>11</v>
      </c>
      <c r="O941" s="167" t="s">
        <v>395</v>
      </c>
      <c r="P941" s="167" t="s">
        <v>395</v>
      </c>
      <c r="Q941" s="167" t="s">
        <v>1779</v>
      </c>
      <c r="R941" s="166" t="s">
        <v>62</v>
      </c>
      <c r="S941" s="169">
        <v>89837</v>
      </c>
      <c r="T941" s="160">
        <v>0</v>
      </c>
      <c r="U941" s="160">
        <v>0</v>
      </c>
      <c r="V941" s="160">
        <v>0</v>
      </c>
      <c r="W941" s="160">
        <v>89837</v>
      </c>
      <c r="X941" s="161">
        <v>0</v>
      </c>
      <c r="Y941" s="160"/>
      <c r="Z941" s="16">
        <v>0</v>
      </c>
      <c r="AA941" s="162">
        <v>0</v>
      </c>
      <c r="AB941" s="162">
        <v>0</v>
      </c>
      <c r="AC941" s="162">
        <v>0</v>
      </c>
      <c r="AD941" s="160"/>
      <c r="AE941" s="145">
        <v>89837</v>
      </c>
      <c r="AF941" s="163">
        <v>1.0529999999999999</v>
      </c>
      <c r="AG941" s="163">
        <v>1.0489999999999999</v>
      </c>
      <c r="AH941" s="163">
        <v>1.0469999999999999</v>
      </c>
      <c r="AI941" s="164">
        <v>89837</v>
      </c>
      <c r="AJ941" s="164">
        <f t="shared" si="128"/>
        <v>0</v>
      </c>
      <c r="AK941" s="229">
        <v>89837</v>
      </c>
      <c r="AL941" s="229">
        <f ca="1">SUMIF('MS &amp; Vacancies combined'!A:K,D941,'MS &amp; Vacancies combined'!K:K)*105.3/100</f>
        <v>38022.880212804463</v>
      </c>
      <c r="AM941" s="229">
        <f ca="1">AL941*AG941</f>
        <v>39886.001343231881</v>
      </c>
      <c r="AN941" s="229">
        <f ca="1">AM941*AH941</f>
        <v>41760.643406363779</v>
      </c>
      <c r="AO941" s="166"/>
      <c r="AP941" s="413">
        <f t="shared" ca="1" si="129"/>
        <v>51814.119787195537</v>
      </c>
      <c r="AR941" s="231"/>
      <c r="AS941" s="231"/>
      <c r="AU941" s="414">
        <v>89837</v>
      </c>
      <c r="AV941" s="415">
        <v>89837</v>
      </c>
      <c r="AW941" s="414">
        <f t="shared" si="127"/>
        <v>0</v>
      </c>
    </row>
    <row r="942" spans="1:49" x14ac:dyDescent="0.3">
      <c r="A942" s="16" t="s">
        <v>64</v>
      </c>
      <c r="B942" s="39" t="s">
        <v>1780</v>
      </c>
      <c r="C942" s="39" t="s">
        <v>464</v>
      </c>
      <c r="D942" s="340" t="s">
        <v>3479</v>
      </c>
      <c r="E942" s="159" t="s">
        <v>1761</v>
      </c>
      <c r="F942" s="159" t="s">
        <v>303</v>
      </c>
      <c r="G942" s="159" t="s">
        <v>309</v>
      </c>
      <c r="H942" s="159" t="s">
        <v>373</v>
      </c>
      <c r="I942" s="159" t="s">
        <v>465</v>
      </c>
      <c r="J942" s="159" t="s">
        <v>312</v>
      </c>
      <c r="K942" s="159" t="s">
        <v>1849</v>
      </c>
      <c r="L942" s="39" t="s">
        <v>304</v>
      </c>
      <c r="M942" s="39" t="s">
        <v>305</v>
      </c>
      <c r="N942" s="39">
        <v>11</v>
      </c>
      <c r="O942" s="39" t="s">
        <v>464</v>
      </c>
      <c r="P942" s="39" t="s">
        <v>464</v>
      </c>
      <c r="Q942" s="39" t="s">
        <v>1780</v>
      </c>
      <c r="R942" s="16" t="s">
        <v>64</v>
      </c>
      <c r="S942" s="169">
        <v>20761</v>
      </c>
      <c r="T942" s="160">
        <v>1791.12</v>
      </c>
      <c r="U942" s="160">
        <v>0</v>
      </c>
      <c r="V942" s="160">
        <v>6627.15</v>
      </c>
      <c r="W942" s="160">
        <v>14133.85</v>
      </c>
      <c r="X942" s="161">
        <v>0</v>
      </c>
      <c r="Y942" s="160"/>
      <c r="Z942" s="16">
        <v>31.92</v>
      </c>
      <c r="AA942" s="162">
        <v>6627.15</v>
      </c>
      <c r="AB942" s="162">
        <v>1656.7874999999999</v>
      </c>
      <c r="AC942" s="162">
        <v>19881.449999999997</v>
      </c>
      <c r="AD942" s="160"/>
      <c r="AE942" s="145">
        <v>20761</v>
      </c>
      <c r="AF942" s="421">
        <v>1.0529999999999999</v>
      </c>
      <c r="AG942" s="421">
        <v>1.0489999999999999</v>
      </c>
      <c r="AH942" s="421">
        <v>1.0469999999999999</v>
      </c>
      <c r="AI942" s="164">
        <v>20761</v>
      </c>
      <c r="AJ942" s="164">
        <f t="shared" si="128"/>
        <v>0</v>
      </c>
      <c r="AK942" s="165">
        <v>20761</v>
      </c>
      <c r="AL942" s="165">
        <f>AK942*AF942</f>
        <v>21861.332999999999</v>
      </c>
      <c r="AM942" s="165">
        <f t="shared" si="137"/>
        <v>22932.538316999999</v>
      </c>
      <c r="AN942" s="165">
        <f t="shared" si="138"/>
        <v>24010.367617898995</v>
      </c>
      <c r="AO942" s="16"/>
      <c r="AP942" s="231">
        <f t="shared" si="129"/>
        <v>-1100.3329999999987</v>
      </c>
      <c r="AR942" s="231"/>
      <c r="AS942" s="231"/>
      <c r="AU942" s="230">
        <v>20761</v>
      </c>
      <c r="AV942" s="233">
        <v>20761</v>
      </c>
      <c r="AW942" s="230">
        <f t="shared" si="127"/>
        <v>0</v>
      </c>
    </row>
    <row r="943" spans="1:49" x14ac:dyDescent="0.3">
      <c r="A943" s="16" t="s">
        <v>65</v>
      </c>
      <c r="B943" s="39" t="s">
        <v>1781</v>
      </c>
      <c r="C943" s="39" t="s">
        <v>467</v>
      </c>
      <c r="D943" s="340" t="s">
        <v>3479</v>
      </c>
      <c r="E943" s="159" t="s">
        <v>1761</v>
      </c>
      <c r="F943" s="159" t="s">
        <v>303</v>
      </c>
      <c r="G943" s="159" t="s">
        <v>309</v>
      </c>
      <c r="H943" s="159" t="s">
        <v>373</v>
      </c>
      <c r="I943" s="159" t="s">
        <v>468</v>
      </c>
      <c r="J943" s="159" t="s">
        <v>312</v>
      </c>
      <c r="K943" s="159" t="s">
        <v>1849</v>
      </c>
      <c r="L943" s="39" t="s">
        <v>304</v>
      </c>
      <c r="M943" s="39" t="s">
        <v>305</v>
      </c>
      <c r="N943" s="39">
        <v>11</v>
      </c>
      <c r="O943" s="39" t="s">
        <v>467</v>
      </c>
      <c r="P943" s="39" t="s">
        <v>467</v>
      </c>
      <c r="Q943" s="39" t="s">
        <v>1781</v>
      </c>
      <c r="R943" s="16" t="s">
        <v>65</v>
      </c>
      <c r="S943" s="169">
        <v>0</v>
      </c>
      <c r="T943" s="160">
        <v>0</v>
      </c>
      <c r="U943" s="160">
        <v>0</v>
      </c>
      <c r="V943" s="160">
        <v>0</v>
      </c>
      <c r="W943" s="160">
        <v>0</v>
      </c>
      <c r="X943" s="161">
        <v>0</v>
      </c>
      <c r="Y943" s="160"/>
      <c r="Z943" s="16">
        <v>0</v>
      </c>
      <c r="AA943" s="162">
        <v>0</v>
      </c>
      <c r="AB943" s="162">
        <v>0</v>
      </c>
      <c r="AC943" s="162">
        <v>0</v>
      </c>
      <c r="AD943" s="160"/>
      <c r="AE943" s="145">
        <v>0</v>
      </c>
      <c r="AF943" s="163">
        <v>1.0469999999999999</v>
      </c>
      <c r="AG943" s="164">
        <v>1.046</v>
      </c>
      <c r="AH943" s="164">
        <v>1.046</v>
      </c>
      <c r="AI943" s="164">
        <v>0</v>
      </c>
      <c r="AJ943" s="164">
        <f t="shared" si="128"/>
        <v>0</v>
      </c>
      <c r="AK943" s="165">
        <v>0</v>
      </c>
      <c r="AL943" s="165">
        <v>0</v>
      </c>
      <c r="AM943" s="165">
        <f t="shared" si="137"/>
        <v>0</v>
      </c>
      <c r="AN943" s="165">
        <f t="shared" si="138"/>
        <v>0</v>
      </c>
      <c r="AO943" s="16"/>
      <c r="AP943" s="231">
        <f t="shared" si="129"/>
        <v>0</v>
      </c>
      <c r="AR943" s="231"/>
      <c r="AS943" s="231"/>
      <c r="AU943" s="230">
        <v>0</v>
      </c>
      <c r="AV943" s="233">
        <v>0</v>
      </c>
      <c r="AW943" s="230">
        <f t="shared" si="127"/>
        <v>0</v>
      </c>
    </row>
    <row r="944" spans="1:49" s="172" customFormat="1" x14ac:dyDescent="0.3">
      <c r="A944" s="166" t="s">
        <v>69</v>
      </c>
      <c r="B944" s="167" t="s">
        <v>1782</v>
      </c>
      <c r="C944" s="167" t="s">
        <v>398</v>
      </c>
      <c r="D944" s="412" t="s">
        <v>3479</v>
      </c>
      <c r="E944" s="168" t="s">
        <v>1761</v>
      </c>
      <c r="F944" s="168" t="s">
        <v>303</v>
      </c>
      <c r="G944" s="168" t="s">
        <v>309</v>
      </c>
      <c r="H944" s="168" t="s">
        <v>310</v>
      </c>
      <c r="I944" s="168" t="s">
        <v>374</v>
      </c>
      <c r="J944" s="168" t="s">
        <v>312</v>
      </c>
      <c r="K944" s="168" t="s">
        <v>1849</v>
      </c>
      <c r="L944" s="167" t="s">
        <v>304</v>
      </c>
      <c r="M944" s="167" t="s">
        <v>305</v>
      </c>
      <c r="N944" s="167">
        <v>11</v>
      </c>
      <c r="O944" s="167" t="s">
        <v>398</v>
      </c>
      <c r="P944" s="167" t="s">
        <v>398</v>
      </c>
      <c r="Q944" s="167" t="s">
        <v>1782</v>
      </c>
      <c r="R944" s="166" t="s">
        <v>69</v>
      </c>
      <c r="S944" s="169">
        <v>259</v>
      </c>
      <c r="T944" s="160">
        <v>32.4</v>
      </c>
      <c r="U944" s="160">
        <v>0</v>
      </c>
      <c r="V944" s="160">
        <v>129.6</v>
      </c>
      <c r="W944" s="160">
        <v>129.4</v>
      </c>
      <c r="X944" s="161">
        <v>0</v>
      </c>
      <c r="Y944" s="160"/>
      <c r="Z944" s="16">
        <v>50.03</v>
      </c>
      <c r="AA944" s="162">
        <v>129.6</v>
      </c>
      <c r="AB944" s="162">
        <v>32.4</v>
      </c>
      <c r="AC944" s="162">
        <v>388.79999999999995</v>
      </c>
      <c r="AD944" s="160"/>
      <c r="AE944" s="145">
        <v>259</v>
      </c>
      <c r="AF944" s="163">
        <v>1.0529999999999999</v>
      </c>
      <c r="AG944" s="163">
        <v>1.0489999999999999</v>
      </c>
      <c r="AH944" s="163">
        <v>1.0469999999999999</v>
      </c>
      <c r="AI944" s="164">
        <v>259</v>
      </c>
      <c r="AJ944" s="164">
        <f t="shared" si="128"/>
        <v>0</v>
      </c>
      <c r="AK944" s="229">
        <v>259</v>
      </c>
      <c r="AL944" s="229">
        <f ca="1">SUMIF('MS &amp; Vacancies combined'!A:N,D944,'MS &amp; Vacancies combined'!N:N)*105.3/100</f>
        <v>125.83027617536028</v>
      </c>
      <c r="AM944" s="229">
        <f t="shared" ca="1" si="137"/>
        <v>131.99595970795292</v>
      </c>
      <c r="AN944" s="229">
        <f t="shared" ca="1" si="138"/>
        <v>138.1997698142267</v>
      </c>
      <c r="AO944" s="166"/>
      <c r="AP944" s="413">
        <f t="shared" ca="1" si="129"/>
        <v>133.16972382463973</v>
      </c>
      <c r="AR944" s="231"/>
      <c r="AS944" s="231"/>
      <c r="AU944" s="414">
        <v>259</v>
      </c>
      <c r="AV944" s="415">
        <v>259</v>
      </c>
      <c r="AW944" s="414">
        <f t="shared" si="127"/>
        <v>0</v>
      </c>
    </row>
    <row r="945" spans="1:49" s="172" customFormat="1" x14ac:dyDescent="0.3">
      <c r="A945" s="166" t="s">
        <v>70</v>
      </c>
      <c r="B945" s="167" t="s">
        <v>1783</v>
      </c>
      <c r="C945" s="167" t="s">
        <v>400</v>
      </c>
      <c r="D945" s="412" t="s">
        <v>3479</v>
      </c>
      <c r="E945" s="168" t="s">
        <v>1761</v>
      </c>
      <c r="F945" s="168" t="s">
        <v>303</v>
      </c>
      <c r="G945" s="168" t="s">
        <v>309</v>
      </c>
      <c r="H945" s="168" t="s">
        <v>310</v>
      </c>
      <c r="I945" s="168" t="s">
        <v>401</v>
      </c>
      <c r="J945" s="168" t="s">
        <v>312</v>
      </c>
      <c r="K945" s="168" t="s">
        <v>1849</v>
      </c>
      <c r="L945" s="167" t="s">
        <v>304</v>
      </c>
      <c r="M945" s="167" t="s">
        <v>305</v>
      </c>
      <c r="N945" s="167">
        <v>11</v>
      </c>
      <c r="O945" s="167" t="s">
        <v>400</v>
      </c>
      <c r="P945" s="167" t="s">
        <v>400</v>
      </c>
      <c r="Q945" s="167" t="s">
        <v>1783</v>
      </c>
      <c r="R945" s="166" t="s">
        <v>70</v>
      </c>
      <c r="S945" s="169">
        <v>18327</v>
      </c>
      <c r="T945" s="160">
        <v>261.20999999999998</v>
      </c>
      <c r="U945" s="160">
        <v>0</v>
      </c>
      <c r="V945" s="160">
        <v>1044.8399999999999</v>
      </c>
      <c r="W945" s="160">
        <v>17282.16</v>
      </c>
      <c r="X945" s="161">
        <v>0</v>
      </c>
      <c r="Y945" s="160"/>
      <c r="Z945" s="16">
        <v>5.7</v>
      </c>
      <c r="AA945" s="162">
        <v>1044.8399999999999</v>
      </c>
      <c r="AB945" s="162">
        <v>261.20999999999998</v>
      </c>
      <c r="AC945" s="162">
        <v>3134.5199999999995</v>
      </c>
      <c r="AD945" s="160"/>
      <c r="AE945" s="145">
        <v>18327</v>
      </c>
      <c r="AF945" s="163">
        <v>1.0529999999999999</v>
      </c>
      <c r="AG945" s="163">
        <v>1.0489999999999999</v>
      </c>
      <c r="AH945" s="163">
        <v>1.0469999999999999</v>
      </c>
      <c r="AI945" s="164">
        <v>18327</v>
      </c>
      <c r="AJ945" s="164">
        <f t="shared" si="128"/>
        <v>0</v>
      </c>
      <c r="AK945" s="229">
        <v>18327</v>
      </c>
      <c r="AL945" s="229">
        <f ca="1">SUMIF('MS &amp; Vacancies combined'!A:P,D945,'MS &amp; Vacancies combined'!P:P)*105.3/100</f>
        <v>7984.8048446889388</v>
      </c>
      <c r="AM945" s="229">
        <f t="shared" ca="1" si="137"/>
        <v>8376.0602820786971</v>
      </c>
      <c r="AN945" s="229">
        <f t="shared" ca="1" si="138"/>
        <v>8769.7351153363961</v>
      </c>
      <c r="AO945" s="166"/>
      <c r="AP945" s="413">
        <f t="shared" ca="1" si="129"/>
        <v>10342.195155311061</v>
      </c>
      <c r="AR945" s="231"/>
      <c r="AS945" s="231"/>
      <c r="AU945" s="414">
        <v>18327</v>
      </c>
      <c r="AV945" s="415">
        <v>18327</v>
      </c>
      <c r="AW945" s="414">
        <f t="shared" si="127"/>
        <v>0</v>
      </c>
    </row>
    <row r="946" spans="1:49" s="172" customFormat="1" x14ac:dyDescent="0.3">
      <c r="A946" s="166" t="s">
        <v>71</v>
      </c>
      <c r="B946" s="167" t="s">
        <v>1784</v>
      </c>
      <c r="C946" s="167" t="s">
        <v>403</v>
      </c>
      <c r="D946" s="412" t="s">
        <v>3479</v>
      </c>
      <c r="E946" s="168" t="s">
        <v>1761</v>
      </c>
      <c r="F946" s="168" t="s">
        <v>303</v>
      </c>
      <c r="G946" s="168" t="s">
        <v>309</v>
      </c>
      <c r="H946" s="168" t="s">
        <v>310</v>
      </c>
      <c r="I946" s="168" t="s">
        <v>404</v>
      </c>
      <c r="J946" s="168" t="s">
        <v>312</v>
      </c>
      <c r="K946" s="168" t="s">
        <v>1849</v>
      </c>
      <c r="L946" s="167" t="s">
        <v>304</v>
      </c>
      <c r="M946" s="167" t="s">
        <v>305</v>
      </c>
      <c r="N946" s="167">
        <v>11</v>
      </c>
      <c r="O946" s="167" t="s">
        <v>403</v>
      </c>
      <c r="P946" s="167" t="s">
        <v>403</v>
      </c>
      <c r="Q946" s="167" t="s">
        <v>1784</v>
      </c>
      <c r="R946" s="166" t="s">
        <v>71</v>
      </c>
      <c r="S946" s="169">
        <v>120054</v>
      </c>
      <c r="T946" s="160">
        <v>8729.67</v>
      </c>
      <c r="U946" s="160">
        <v>0</v>
      </c>
      <c r="V946" s="160">
        <v>34918.68</v>
      </c>
      <c r="W946" s="160">
        <v>85135.32</v>
      </c>
      <c r="X946" s="161">
        <v>0</v>
      </c>
      <c r="Y946" s="160"/>
      <c r="Z946" s="16">
        <v>29.08</v>
      </c>
      <c r="AA946" s="162">
        <v>34918.68</v>
      </c>
      <c r="AB946" s="162">
        <v>8729.67</v>
      </c>
      <c r="AC946" s="162">
        <v>104756.04000000001</v>
      </c>
      <c r="AD946" s="160"/>
      <c r="AE946" s="145">
        <v>120054</v>
      </c>
      <c r="AF946" s="163">
        <v>1.0529999999999999</v>
      </c>
      <c r="AG946" s="163">
        <v>1.0489999999999999</v>
      </c>
      <c r="AH946" s="163">
        <v>1.0469999999999999</v>
      </c>
      <c r="AI946" s="164">
        <v>120054</v>
      </c>
      <c r="AJ946" s="164">
        <f t="shared" si="128"/>
        <v>0</v>
      </c>
      <c r="AK946" s="229">
        <v>120054</v>
      </c>
      <c r="AL946" s="229">
        <f ca="1">SUMIF('MS &amp; Vacancies combined'!A:Q,D946,'MS &amp; Vacancies combined'!Q:Q)*105.3/100</f>
        <v>58336.314149076752</v>
      </c>
      <c r="AM946" s="229">
        <f t="shared" ca="1" si="137"/>
        <v>61194.793542381507</v>
      </c>
      <c r="AN946" s="229">
        <f t="shared" ca="1" si="138"/>
        <v>64070.948838873432</v>
      </c>
      <c r="AO946" s="166"/>
      <c r="AP946" s="413">
        <f t="shared" ca="1" si="129"/>
        <v>61717.685850923248</v>
      </c>
      <c r="AR946" s="231"/>
      <c r="AS946" s="231"/>
      <c r="AU946" s="414">
        <v>120054</v>
      </c>
      <c r="AV946" s="415">
        <v>120054</v>
      </c>
      <c r="AW946" s="414">
        <f t="shared" si="127"/>
        <v>0</v>
      </c>
    </row>
    <row r="947" spans="1:49" s="172" customFormat="1" x14ac:dyDescent="0.3">
      <c r="A947" s="166" t="s">
        <v>72</v>
      </c>
      <c r="B947" s="167" t="s">
        <v>1785</v>
      </c>
      <c r="C947" s="167" t="s">
        <v>406</v>
      </c>
      <c r="D947" s="412" t="s">
        <v>3479</v>
      </c>
      <c r="E947" s="168" t="s">
        <v>1761</v>
      </c>
      <c r="F947" s="168" t="s">
        <v>303</v>
      </c>
      <c r="G947" s="168" t="s">
        <v>309</v>
      </c>
      <c r="H947" s="168" t="s">
        <v>310</v>
      </c>
      <c r="I947" s="168" t="s">
        <v>407</v>
      </c>
      <c r="J947" s="168" t="s">
        <v>312</v>
      </c>
      <c r="K947" s="168" t="s">
        <v>1849</v>
      </c>
      <c r="L947" s="167" t="s">
        <v>304</v>
      </c>
      <c r="M947" s="167" t="s">
        <v>305</v>
      </c>
      <c r="N947" s="167">
        <v>11</v>
      </c>
      <c r="O947" s="167" t="s">
        <v>406</v>
      </c>
      <c r="P947" s="167" t="s">
        <v>406</v>
      </c>
      <c r="Q947" s="167" t="s">
        <v>1785</v>
      </c>
      <c r="R947" s="166" t="s">
        <v>72</v>
      </c>
      <c r="S947" s="169">
        <v>194802</v>
      </c>
      <c r="T947" s="160">
        <v>9510.9</v>
      </c>
      <c r="U947" s="160">
        <v>0</v>
      </c>
      <c r="V947" s="160">
        <v>38043.599999999999</v>
      </c>
      <c r="W947" s="160">
        <v>156758.39999999999</v>
      </c>
      <c r="X947" s="161">
        <v>0</v>
      </c>
      <c r="Y947" s="160"/>
      <c r="Z947" s="16">
        <v>19.52</v>
      </c>
      <c r="AA947" s="162">
        <v>38043.599999999999</v>
      </c>
      <c r="AB947" s="162">
        <v>9510.9</v>
      </c>
      <c r="AC947" s="162">
        <v>114130.79999999999</v>
      </c>
      <c r="AD947" s="160"/>
      <c r="AE947" s="145">
        <v>194802</v>
      </c>
      <c r="AF947" s="163">
        <v>1.0529999999999999</v>
      </c>
      <c r="AG947" s="163">
        <v>1.0489999999999999</v>
      </c>
      <c r="AH947" s="163">
        <v>1.0469999999999999</v>
      </c>
      <c r="AI947" s="164">
        <v>194802</v>
      </c>
      <c r="AJ947" s="164">
        <f t="shared" si="128"/>
        <v>0</v>
      </c>
      <c r="AK947" s="229">
        <v>194802</v>
      </c>
      <c r="AL947" s="229">
        <f ca="1">SUMIF('MS &amp; Vacancies combined'!A:R,D947,'MS &amp; Vacancies combined'!R:R)*105.3/100</f>
        <v>82448.813453445197</v>
      </c>
      <c r="AM947" s="229">
        <f t="shared" ca="1" si="137"/>
        <v>86488.805312664001</v>
      </c>
      <c r="AN947" s="229">
        <f t="shared" ca="1" si="138"/>
        <v>90553.779162359206</v>
      </c>
      <c r="AO947" s="166"/>
      <c r="AP947" s="413">
        <f t="shared" ca="1" si="129"/>
        <v>112353.1865465548</v>
      </c>
      <c r="AR947" s="231"/>
      <c r="AS947" s="231"/>
      <c r="AU947" s="414">
        <v>194802</v>
      </c>
      <c r="AV947" s="415">
        <v>194802</v>
      </c>
      <c r="AW947" s="414">
        <f t="shared" si="127"/>
        <v>0</v>
      </c>
    </row>
    <row r="948" spans="1:49" s="172" customFormat="1" x14ac:dyDescent="0.3">
      <c r="A948" s="166" t="s">
        <v>73</v>
      </c>
      <c r="B948" s="167" t="s">
        <v>1786</v>
      </c>
      <c r="C948" s="167" t="s">
        <v>307</v>
      </c>
      <c r="D948" s="412" t="s">
        <v>3479</v>
      </c>
      <c r="E948" s="168" t="s">
        <v>1761</v>
      </c>
      <c r="F948" s="168" t="s">
        <v>303</v>
      </c>
      <c r="G948" s="168" t="s">
        <v>309</v>
      </c>
      <c r="H948" s="168" t="s">
        <v>310</v>
      </c>
      <c r="I948" s="168" t="s">
        <v>311</v>
      </c>
      <c r="J948" s="168" t="s">
        <v>312</v>
      </c>
      <c r="K948" s="168" t="s">
        <v>1849</v>
      </c>
      <c r="L948" s="167" t="s">
        <v>304</v>
      </c>
      <c r="M948" s="167" t="s">
        <v>305</v>
      </c>
      <c r="N948" s="167">
        <v>11</v>
      </c>
      <c r="O948" s="167" t="s">
        <v>307</v>
      </c>
      <c r="P948" s="167" t="s">
        <v>307</v>
      </c>
      <c r="Q948" s="167" t="s">
        <v>1786</v>
      </c>
      <c r="R948" s="166" t="s">
        <v>73</v>
      </c>
      <c r="S948" s="169">
        <v>4455</v>
      </c>
      <c r="T948" s="160">
        <v>354.24</v>
      </c>
      <c r="U948" s="160">
        <v>0</v>
      </c>
      <c r="V948" s="160">
        <v>1416.96</v>
      </c>
      <c r="W948" s="160">
        <v>3038.04</v>
      </c>
      <c r="X948" s="161">
        <v>0</v>
      </c>
      <c r="Y948" s="160"/>
      <c r="Z948" s="16">
        <v>31.8</v>
      </c>
      <c r="AA948" s="162">
        <v>1416.96</v>
      </c>
      <c r="AB948" s="162">
        <v>354.24</v>
      </c>
      <c r="AC948" s="162">
        <v>4250.88</v>
      </c>
      <c r="AD948" s="160"/>
      <c r="AE948" s="145">
        <v>4455</v>
      </c>
      <c r="AF948" s="163">
        <v>1.0529999999999999</v>
      </c>
      <c r="AG948" s="163">
        <v>1.0489999999999999</v>
      </c>
      <c r="AH948" s="163">
        <v>1.0469999999999999</v>
      </c>
      <c r="AI948" s="164">
        <v>4455</v>
      </c>
      <c r="AJ948" s="164">
        <f t="shared" si="128"/>
        <v>0</v>
      </c>
      <c r="AK948" s="229">
        <v>4455</v>
      </c>
      <c r="AL948" s="229">
        <f ca="1">SUMIF('MS &amp; Vacancies combined'!A:S,D948,'MS &amp; Vacancies combined'!S:S)*105.3/100</f>
        <v>2063.6165292759088</v>
      </c>
      <c r="AM948" s="229">
        <f t="shared" ca="1" si="137"/>
        <v>2164.7337392104282</v>
      </c>
      <c r="AN948" s="229">
        <f t="shared" ca="1" si="138"/>
        <v>2266.4762249533183</v>
      </c>
      <c r="AO948" s="166"/>
      <c r="AP948" s="413">
        <f t="shared" ca="1" si="129"/>
        <v>2391.3834707240912</v>
      </c>
      <c r="AR948" s="231"/>
      <c r="AS948" s="231"/>
      <c r="AU948" s="414">
        <v>4455</v>
      </c>
      <c r="AV948" s="415">
        <v>4455</v>
      </c>
      <c r="AW948" s="414">
        <f t="shared" si="127"/>
        <v>0</v>
      </c>
    </row>
    <row r="949" spans="1:49" hidden="1" x14ac:dyDescent="0.3">
      <c r="A949" s="16" t="s">
        <v>324</v>
      </c>
      <c r="B949" s="39" t="s">
        <v>1787</v>
      </c>
      <c r="C949" s="39" t="s">
        <v>76</v>
      </c>
      <c r="D949" s="340" t="s">
        <v>3479</v>
      </c>
      <c r="E949" s="159" t="s">
        <v>1761</v>
      </c>
      <c r="F949" s="159" t="s">
        <v>303</v>
      </c>
      <c r="G949" s="159" t="s">
        <v>309</v>
      </c>
      <c r="H949" s="159" t="s">
        <v>325</v>
      </c>
      <c r="I949" s="159" t="s">
        <v>326</v>
      </c>
      <c r="J949" s="159" t="s">
        <v>327</v>
      </c>
      <c r="K949" s="159" t="s">
        <v>1849</v>
      </c>
      <c r="L949" s="39" t="s">
        <v>304</v>
      </c>
      <c r="M949" s="39" t="s">
        <v>305</v>
      </c>
      <c r="N949" s="39">
        <v>11</v>
      </c>
      <c r="O949" s="39" t="s">
        <v>76</v>
      </c>
      <c r="P949" s="39" t="s">
        <v>76</v>
      </c>
      <c r="Q949" s="39" t="s">
        <v>1787</v>
      </c>
      <c r="R949" s="16" t="s">
        <v>324</v>
      </c>
      <c r="S949" s="160">
        <v>20000</v>
      </c>
      <c r="T949" s="160">
        <v>0</v>
      </c>
      <c r="U949" s="160">
        <v>0</v>
      </c>
      <c r="V949" s="160">
        <v>18450</v>
      </c>
      <c r="W949" s="160">
        <v>1550</v>
      </c>
      <c r="X949" s="161">
        <v>0</v>
      </c>
      <c r="Y949" s="160"/>
      <c r="Z949" s="16">
        <v>92.25</v>
      </c>
      <c r="AA949" s="162">
        <v>18450</v>
      </c>
      <c r="AB949" s="162">
        <v>4612.5</v>
      </c>
      <c r="AC949" s="162">
        <v>55350</v>
      </c>
      <c r="AD949" s="160"/>
      <c r="AE949" s="145">
        <v>20000</v>
      </c>
      <c r="AF949" s="163">
        <v>1.0469999999999999</v>
      </c>
      <c r="AG949" s="164">
        <v>1.046</v>
      </c>
      <c r="AH949" s="164">
        <v>1.046</v>
      </c>
      <c r="AI949" s="164">
        <v>20000</v>
      </c>
      <c r="AJ949" s="164">
        <f t="shared" si="128"/>
        <v>0</v>
      </c>
      <c r="AK949" s="165">
        <v>20000</v>
      </c>
      <c r="AL949" s="165">
        <f t="shared" ref="AL949:AL950" si="140">AK949</f>
        <v>20000</v>
      </c>
      <c r="AM949" s="165">
        <f t="shared" si="137"/>
        <v>20920</v>
      </c>
      <c r="AN949" s="165">
        <f t="shared" si="138"/>
        <v>21882.32</v>
      </c>
      <c r="AO949" s="16"/>
      <c r="AP949" s="231">
        <f t="shared" si="129"/>
        <v>0</v>
      </c>
      <c r="AR949" s="231"/>
      <c r="AS949" s="231"/>
      <c r="AU949" s="230">
        <v>20000</v>
      </c>
      <c r="AV949" s="233">
        <v>20000</v>
      </c>
      <c r="AW949" s="230">
        <f t="shared" si="127"/>
        <v>0</v>
      </c>
    </row>
    <row r="950" spans="1:49" hidden="1" x14ac:dyDescent="0.3">
      <c r="A950" s="16" t="s">
        <v>337</v>
      </c>
      <c r="B950" s="39" t="s">
        <v>1788</v>
      </c>
      <c r="C950" s="39" t="s">
        <v>82</v>
      </c>
      <c r="D950" s="340" t="s">
        <v>3479</v>
      </c>
      <c r="E950" s="159" t="s">
        <v>1761</v>
      </c>
      <c r="F950" s="159" t="s">
        <v>303</v>
      </c>
      <c r="G950" s="159" t="s">
        <v>309</v>
      </c>
      <c r="H950" s="159" t="s">
        <v>334</v>
      </c>
      <c r="I950" s="159" t="s">
        <v>339</v>
      </c>
      <c r="J950" s="159" t="s">
        <v>312</v>
      </c>
      <c r="K950" s="159" t="s">
        <v>1849</v>
      </c>
      <c r="L950" s="39" t="s">
        <v>304</v>
      </c>
      <c r="M950" s="39" t="s">
        <v>305</v>
      </c>
      <c r="N950" s="39">
        <v>11</v>
      </c>
      <c r="O950" s="39" t="s">
        <v>82</v>
      </c>
      <c r="P950" s="39" t="s">
        <v>338</v>
      </c>
      <c r="Q950" s="39" t="s">
        <v>1788</v>
      </c>
      <c r="R950" s="16" t="s">
        <v>337</v>
      </c>
      <c r="S950" s="160">
        <v>65000</v>
      </c>
      <c r="T950" s="160">
        <v>0</v>
      </c>
      <c r="U950" s="160">
        <v>0</v>
      </c>
      <c r="V950" s="160">
        <v>0</v>
      </c>
      <c r="W950" s="160">
        <v>65000</v>
      </c>
      <c r="X950" s="161">
        <v>0</v>
      </c>
      <c r="Y950" s="160"/>
      <c r="Z950" s="16">
        <v>0</v>
      </c>
      <c r="AA950" s="162">
        <v>0</v>
      </c>
      <c r="AB950" s="162">
        <v>0</v>
      </c>
      <c r="AC950" s="162">
        <v>0</v>
      </c>
      <c r="AD950" s="160"/>
      <c r="AE950" s="145">
        <v>65000</v>
      </c>
      <c r="AF950" s="163">
        <v>1.0469999999999999</v>
      </c>
      <c r="AG950" s="164">
        <v>1.046</v>
      </c>
      <c r="AH950" s="164">
        <v>1.046</v>
      </c>
      <c r="AI950" s="164">
        <v>65000</v>
      </c>
      <c r="AJ950" s="164">
        <f t="shared" si="128"/>
        <v>0</v>
      </c>
      <c r="AK950" s="165">
        <v>65000</v>
      </c>
      <c r="AL950" s="165">
        <f t="shared" si="140"/>
        <v>65000</v>
      </c>
      <c r="AM950" s="165">
        <f t="shared" si="137"/>
        <v>67990</v>
      </c>
      <c r="AN950" s="165">
        <f t="shared" si="138"/>
        <v>71117.540000000008</v>
      </c>
      <c r="AO950" s="16"/>
      <c r="AP950" s="231">
        <f t="shared" si="129"/>
        <v>0</v>
      </c>
      <c r="AR950" s="231"/>
      <c r="AS950" s="231"/>
      <c r="AU950" s="230">
        <v>65000</v>
      </c>
      <c r="AV950" s="233">
        <v>65000</v>
      </c>
      <c r="AW950" s="230">
        <f t="shared" si="127"/>
        <v>0</v>
      </c>
    </row>
    <row r="951" spans="1:49" hidden="1" x14ac:dyDescent="0.3">
      <c r="A951" s="16" t="s">
        <v>341</v>
      </c>
      <c r="B951" s="39" t="s">
        <v>1789</v>
      </c>
      <c r="C951" s="39" t="s">
        <v>82</v>
      </c>
      <c r="D951" s="340" t="s">
        <v>3479</v>
      </c>
      <c r="E951" s="159" t="s">
        <v>1761</v>
      </c>
      <c r="F951" s="159" t="s">
        <v>303</v>
      </c>
      <c r="G951" s="159" t="s">
        <v>309</v>
      </c>
      <c r="H951" s="159" t="s">
        <v>334</v>
      </c>
      <c r="I951" s="159" t="s">
        <v>343</v>
      </c>
      <c r="J951" s="159" t="s">
        <v>312</v>
      </c>
      <c r="K951" s="159" t="s">
        <v>1849</v>
      </c>
      <c r="L951" s="39" t="s">
        <v>304</v>
      </c>
      <c r="M951" s="39" t="s">
        <v>305</v>
      </c>
      <c r="N951" s="39">
        <v>11</v>
      </c>
      <c r="O951" s="39" t="s">
        <v>82</v>
      </c>
      <c r="P951" s="39" t="s">
        <v>342</v>
      </c>
      <c r="Q951" s="39" t="s">
        <v>1789</v>
      </c>
      <c r="R951" s="16" t="s">
        <v>341</v>
      </c>
      <c r="S951" s="160">
        <v>0</v>
      </c>
      <c r="T951" s="160">
        <v>0</v>
      </c>
      <c r="U951" s="160">
        <v>0</v>
      </c>
      <c r="V951" s="160">
        <v>0</v>
      </c>
      <c r="W951" s="160">
        <v>0</v>
      </c>
      <c r="X951" s="161">
        <v>0</v>
      </c>
      <c r="Y951" s="160"/>
      <c r="Z951" s="16">
        <v>0</v>
      </c>
      <c r="AA951" s="162">
        <v>0</v>
      </c>
      <c r="AB951" s="162">
        <v>0</v>
      </c>
      <c r="AC951" s="162">
        <v>0</v>
      </c>
      <c r="AD951" s="160"/>
      <c r="AE951" s="145">
        <v>0</v>
      </c>
      <c r="AF951" s="163">
        <v>1.0469999999999999</v>
      </c>
      <c r="AG951" s="164">
        <v>1.046</v>
      </c>
      <c r="AH951" s="164">
        <v>1.046</v>
      </c>
      <c r="AI951" s="164">
        <v>0</v>
      </c>
      <c r="AJ951" s="164">
        <f t="shared" si="128"/>
        <v>0</v>
      </c>
      <c r="AK951" s="165">
        <v>0</v>
      </c>
      <c r="AL951" s="165">
        <v>0</v>
      </c>
      <c r="AM951" s="165">
        <f t="shared" si="137"/>
        <v>0</v>
      </c>
      <c r="AN951" s="165">
        <f t="shared" si="138"/>
        <v>0</v>
      </c>
      <c r="AO951" s="16"/>
      <c r="AP951" s="231">
        <f t="shared" si="129"/>
        <v>0</v>
      </c>
      <c r="AR951" s="231"/>
      <c r="AS951" s="231"/>
      <c r="AU951" s="230">
        <v>0</v>
      </c>
      <c r="AV951" s="233">
        <v>0</v>
      </c>
      <c r="AW951" s="230">
        <f t="shared" si="127"/>
        <v>0</v>
      </c>
    </row>
    <row r="952" spans="1:49" hidden="1" x14ac:dyDescent="0.3">
      <c r="A952" s="16" t="s">
        <v>83</v>
      </c>
      <c r="B952" s="39" t="s">
        <v>1790</v>
      </c>
      <c r="C952" s="39" t="s">
        <v>423</v>
      </c>
      <c r="D952" s="340" t="s">
        <v>3479</v>
      </c>
      <c r="E952" s="159" t="s">
        <v>1761</v>
      </c>
      <c r="F952" s="159" t="s">
        <v>303</v>
      </c>
      <c r="G952" s="159" t="s">
        <v>309</v>
      </c>
      <c r="H952" s="159" t="s">
        <v>424</v>
      </c>
      <c r="I952" s="159" t="s">
        <v>425</v>
      </c>
      <c r="J952" s="159" t="s">
        <v>426</v>
      </c>
      <c r="K952" s="159" t="s">
        <v>1849</v>
      </c>
      <c r="L952" s="39" t="s">
        <v>304</v>
      </c>
      <c r="M952" s="39" t="s">
        <v>305</v>
      </c>
      <c r="N952" s="39">
        <v>11</v>
      </c>
      <c r="O952" s="39" t="s">
        <v>423</v>
      </c>
      <c r="P952" s="39" t="s">
        <v>423</v>
      </c>
      <c r="Q952" s="39" t="s">
        <v>1790</v>
      </c>
      <c r="R952" s="16" t="s">
        <v>83</v>
      </c>
      <c r="S952" s="160">
        <v>5000</v>
      </c>
      <c r="T952" s="160">
        <v>0</v>
      </c>
      <c r="U952" s="160">
        <v>0</v>
      </c>
      <c r="V952" s="160">
        <v>0</v>
      </c>
      <c r="W952" s="160">
        <v>5000</v>
      </c>
      <c r="X952" s="161">
        <v>0</v>
      </c>
      <c r="Y952" s="160"/>
      <c r="Z952" s="16">
        <v>0</v>
      </c>
      <c r="AA952" s="162">
        <v>0</v>
      </c>
      <c r="AB952" s="162">
        <v>0</v>
      </c>
      <c r="AC952" s="162">
        <v>0</v>
      </c>
      <c r="AD952" s="160"/>
      <c r="AE952" s="145">
        <v>5000</v>
      </c>
      <c r="AF952" s="163">
        <v>1.0469999999999999</v>
      </c>
      <c r="AG952" s="164">
        <v>1.046</v>
      </c>
      <c r="AH952" s="164">
        <v>1.046</v>
      </c>
      <c r="AI952" s="164">
        <v>5000</v>
      </c>
      <c r="AJ952" s="164">
        <f t="shared" si="128"/>
        <v>0</v>
      </c>
      <c r="AK952" s="165">
        <v>5000</v>
      </c>
      <c r="AL952" s="165">
        <f t="shared" ref="AL952" si="141">AK952</f>
        <v>5000</v>
      </c>
      <c r="AM952" s="165">
        <f t="shared" si="137"/>
        <v>5230</v>
      </c>
      <c r="AN952" s="165">
        <f t="shared" si="138"/>
        <v>5470.58</v>
      </c>
      <c r="AO952" s="16"/>
      <c r="AP952" s="231">
        <f t="shared" si="129"/>
        <v>0</v>
      </c>
      <c r="AR952" s="231"/>
      <c r="AS952" s="231"/>
      <c r="AU952" s="230">
        <v>5000</v>
      </c>
      <c r="AV952" s="233">
        <v>5000</v>
      </c>
      <c r="AW952" s="230">
        <f t="shared" si="127"/>
        <v>0</v>
      </c>
    </row>
    <row r="953" spans="1:49" s="172" customFormat="1" x14ac:dyDescent="0.3">
      <c r="A953" s="166" t="s">
        <v>50</v>
      </c>
      <c r="B953" s="167" t="s">
        <v>1791</v>
      </c>
      <c r="C953" s="167" t="s">
        <v>302</v>
      </c>
      <c r="D953" s="412" t="s">
        <v>3480</v>
      </c>
      <c r="E953" s="168" t="s">
        <v>1761</v>
      </c>
      <c r="F953" s="168" t="s">
        <v>362</v>
      </c>
      <c r="G953" s="168" t="s">
        <v>309</v>
      </c>
      <c r="H953" s="168" t="s">
        <v>373</v>
      </c>
      <c r="I953" s="168" t="s">
        <v>374</v>
      </c>
      <c r="J953" s="168" t="s">
        <v>312</v>
      </c>
      <c r="K953" s="168" t="s">
        <v>1849</v>
      </c>
      <c r="L953" s="167" t="s">
        <v>304</v>
      </c>
      <c r="M953" s="167" t="s">
        <v>305</v>
      </c>
      <c r="N953" s="167">
        <v>11</v>
      </c>
      <c r="O953" s="167" t="s">
        <v>302</v>
      </c>
      <c r="P953" s="167" t="s">
        <v>302</v>
      </c>
      <c r="Q953" s="167" t="s">
        <v>1791</v>
      </c>
      <c r="R953" s="166" t="s">
        <v>50</v>
      </c>
      <c r="S953" s="169">
        <v>5499685</v>
      </c>
      <c r="T953" s="160">
        <v>973294.48</v>
      </c>
      <c r="U953" s="160">
        <v>0</v>
      </c>
      <c r="V953" s="160">
        <v>3986896.78</v>
      </c>
      <c r="W953" s="160">
        <v>1512788.22</v>
      </c>
      <c r="X953" s="161">
        <v>0</v>
      </c>
      <c r="Y953" s="160"/>
      <c r="Z953" s="16">
        <v>72.489999999999995</v>
      </c>
      <c r="AA953" s="162">
        <v>3986896.78</v>
      </c>
      <c r="AB953" s="162">
        <v>996724.19499999995</v>
      </c>
      <c r="AC953" s="162">
        <v>11960690.34</v>
      </c>
      <c r="AD953" s="160"/>
      <c r="AE953" s="145">
        <v>5499685</v>
      </c>
      <c r="AF953" s="163">
        <v>1.0529999999999999</v>
      </c>
      <c r="AG953" s="163">
        <v>1.0489999999999999</v>
      </c>
      <c r="AH953" s="163">
        <v>1.0469999999999999</v>
      </c>
      <c r="AI953" s="164">
        <v>5499685</v>
      </c>
      <c r="AJ953" s="164">
        <f t="shared" si="128"/>
        <v>0</v>
      </c>
      <c r="AK953" s="229">
        <v>5499685</v>
      </c>
      <c r="AL953" s="229">
        <f ca="1">SUMIF('MS &amp; Vacancies combined'!A:J,D953,'MS &amp; Vacancies combined'!J:J)*105.3/100</f>
        <v>6625853.5799177494</v>
      </c>
      <c r="AM953" s="229">
        <f t="shared" ca="1" si="137"/>
        <v>6950520.4053337183</v>
      </c>
      <c r="AN953" s="229">
        <f t="shared" ca="1" si="138"/>
        <v>7277194.8643844025</v>
      </c>
      <c r="AO953" s="166"/>
      <c r="AP953" s="413">
        <f t="shared" ca="1" si="129"/>
        <v>-1126168.5799177494</v>
      </c>
      <c r="AR953" s="231"/>
      <c r="AS953" s="231"/>
      <c r="AU953" s="414">
        <v>5499685</v>
      </c>
      <c r="AV953" s="415">
        <v>5499685</v>
      </c>
      <c r="AW953" s="414">
        <f t="shared" si="127"/>
        <v>0</v>
      </c>
    </row>
    <row r="954" spans="1:49" s="172" customFormat="1" x14ac:dyDescent="0.3">
      <c r="A954" s="166" t="s">
        <v>52</v>
      </c>
      <c r="B954" s="167" t="s">
        <v>1792</v>
      </c>
      <c r="C954" s="167" t="s">
        <v>376</v>
      </c>
      <c r="D954" s="412" t="s">
        <v>3480</v>
      </c>
      <c r="E954" s="168" t="s">
        <v>1761</v>
      </c>
      <c r="F954" s="168" t="s">
        <v>362</v>
      </c>
      <c r="G954" s="168" t="s">
        <v>309</v>
      </c>
      <c r="H954" s="168" t="s">
        <v>373</v>
      </c>
      <c r="I954" s="168" t="s">
        <v>377</v>
      </c>
      <c r="J954" s="168" t="s">
        <v>312</v>
      </c>
      <c r="K954" s="168" t="s">
        <v>1849</v>
      </c>
      <c r="L954" s="167" t="s">
        <v>304</v>
      </c>
      <c r="M954" s="167" t="s">
        <v>305</v>
      </c>
      <c r="N954" s="167">
        <v>11</v>
      </c>
      <c r="O954" s="167" t="s">
        <v>376</v>
      </c>
      <c r="P954" s="167" t="s">
        <v>376</v>
      </c>
      <c r="Q954" s="167" t="s">
        <v>1792</v>
      </c>
      <c r="R954" s="166" t="s">
        <v>52</v>
      </c>
      <c r="S954" s="169">
        <v>30182</v>
      </c>
      <c r="T954" s="160">
        <v>2750</v>
      </c>
      <c r="U954" s="160">
        <v>0</v>
      </c>
      <c r="V954" s="160">
        <v>11743.47</v>
      </c>
      <c r="W954" s="160">
        <v>18438.53</v>
      </c>
      <c r="X954" s="161">
        <v>0</v>
      </c>
      <c r="Y954" s="160"/>
      <c r="Z954" s="16">
        <v>38.9</v>
      </c>
      <c r="AA954" s="162">
        <v>11743.47</v>
      </c>
      <c r="AB954" s="162">
        <v>2935.8674999999998</v>
      </c>
      <c r="AC954" s="162">
        <v>35230.409999999996</v>
      </c>
      <c r="AD954" s="160"/>
      <c r="AE954" s="145">
        <v>30182</v>
      </c>
      <c r="AF954" s="163">
        <v>1.0529999999999999</v>
      </c>
      <c r="AG954" s="163">
        <v>1.0489999999999999</v>
      </c>
      <c r="AH954" s="163">
        <v>1.0469999999999999</v>
      </c>
      <c r="AI954" s="164">
        <v>30182</v>
      </c>
      <c r="AJ954" s="164">
        <f t="shared" si="128"/>
        <v>0</v>
      </c>
      <c r="AK954" s="229">
        <v>30182</v>
      </c>
      <c r="AL954" s="229">
        <f ca="1">SUMIF('MS &amp; Vacancies combined'!A:M,D954,'MS &amp; Vacancies combined'!M:M)*105.3/100</f>
        <v>37283.044792699337</v>
      </c>
      <c r="AM954" s="229">
        <f t="shared" ca="1" si="137"/>
        <v>39109.9139875416</v>
      </c>
      <c r="AN954" s="229">
        <f t="shared" ca="1" si="138"/>
        <v>40948.079944956051</v>
      </c>
      <c r="AO954" s="166"/>
      <c r="AP954" s="413">
        <f t="shared" ca="1" si="129"/>
        <v>-7101.0447926993365</v>
      </c>
      <c r="AR954" s="231"/>
      <c r="AS954" s="231"/>
      <c r="AU954" s="414">
        <v>30182</v>
      </c>
      <c r="AV954" s="415">
        <v>30182</v>
      </c>
      <c r="AW954" s="414">
        <f t="shared" si="127"/>
        <v>0</v>
      </c>
    </row>
    <row r="955" spans="1:49" s="172" customFormat="1" x14ac:dyDescent="0.3">
      <c r="A955" s="166" t="s">
        <v>54</v>
      </c>
      <c r="B955" s="167" t="s">
        <v>1793</v>
      </c>
      <c r="C955" s="167" t="s">
        <v>379</v>
      </c>
      <c r="D955" s="412" t="s">
        <v>3480</v>
      </c>
      <c r="E955" s="168" t="s">
        <v>1761</v>
      </c>
      <c r="F955" s="168" t="s">
        <v>362</v>
      </c>
      <c r="G955" s="168" t="s">
        <v>309</v>
      </c>
      <c r="H955" s="168" t="s">
        <v>373</v>
      </c>
      <c r="I955" s="168" t="s">
        <v>380</v>
      </c>
      <c r="J955" s="168" t="s">
        <v>312</v>
      </c>
      <c r="K955" s="168" t="s">
        <v>1849</v>
      </c>
      <c r="L955" s="167" t="s">
        <v>304</v>
      </c>
      <c r="M955" s="167" t="s">
        <v>305</v>
      </c>
      <c r="N955" s="167">
        <v>11</v>
      </c>
      <c r="O955" s="167" t="s">
        <v>379</v>
      </c>
      <c r="P955" s="167" t="s">
        <v>379</v>
      </c>
      <c r="Q955" s="167" t="s">
        <v>1793</v>
      </c>
      <c r="R955" s="166" t="s">
        <v>54</v>
      </c>
      <c r="S955" s="169">
        <v>109167</v>
      </c>
      <c r="T955" s="160">
        <v>2023.54</v>
      </c>
      <c r="U955" s="160">
        <v>0</v>
      </c>
      <c r="V955" s="160">
        <v>8094.16</v>
      </c>
      <c r="W955" s="160">
        <v>101072.84</v>
      </c>
      <c r="X955" s="161">
        <v>0</v>
      </c>
      <c r="Y955" s="160"/>
      <c r="Z955" s="16">
        <v>7.41</v>
      </c>
      <c r="AA955" s="162">
        <v>8094.16</v>
      </c>
      <c r="AB955" s="162">
        <v>2023.54</v>
      </c>
      <c r="AC955" s="162">
        <v>24282.48</v>
      </c>
      <c r="AD955" s="160"/>
      <c r="AE955" s="145">
        <v>109167</v>
      </c>
      <c r="AF955" s="163">
        <v>1.0529999999999999</v>
      </c>
      <c r="AG955" s="163">
        <v>1.0489999999999999</v>
      </c>
      <c r="AH955" s="163">
        <v>1.0469999999999999</v>
      </c>
      <c r="AI955" s="164">
        <v>109167</v>
      </c>
      <c r="AJ955" s="164">
        <f t="shared" si="128"/>
        <v>0</v>
      </c>
      <c r="AK955" s="229">
        <v>109167</v>
      </c>
      <c r="AL955" s="229">
        <f ca="1">SUMIF('MS &amp; Vacancies combined'!A:L,D955,'MS &amp; Vacancies combined'!L:L)*105.3/100</f>
        <v>129668.91516531359</v>
      </c>
      <c r="AM955" s="229">
        <f t="shared" ca="1" si="137"/>
        <v>136022.69200841396</v>
      </c>
      <c r="AN955" s="229">
        <f t="shared" ca="1" si="138"/>
        <v>142415.75853280941</v>
      </c>
      <c r="AO955" s="166"/>
      <c r="AP955" s="413">
        <f t="shared" ca="1" si="129"/>
        <v>-20501.915165313592</v>
      </c>
      <c r="AR955" s="231"/>
      <c r="AS955" s="231"/>
      <c r="AU955" s="414">
        <v>109167</v>
      </c>
      <c r="AV955" s="415">
        <v>109167</v>
      </c>
      <c r="AW955" s="414">
        <f t="shared" si="127"/>
        <v>0</v>
      </c>
    </row>
    <row r="956" spans="1:49" s="172" customFormat="1" x14ac:dyDescent="0.3">
      <c r="A956" s="166" t="s">
        <v>56</v>
      </c>
      <c r="B956" s="167" t="s">
        <v>1794</v>
      </c>
      <c r="C956" s="167" t="s">
        <v>385</v>
      </c>
      <c r="D956" s="412" t="s">
        <v>3480</v>
      </c>
      <c r="E956" s="168" t="s">
        <v>1761</v>
      </c>
      <c r="F956" s="168" t="s">
        <v>362</v>
      </c>
      <c r="G956" s="168" t="s">
        <v>309</v>
      </c>
      <c r="H956" s="168" t="s">
        <v>373</v>
      </c>
      <c r="I956" s="168" t="s">
        <v>386</v>
      </c>
      <c r="J956" s="168" t="s">
        <v>387</v>
      </c>
      <c r="K956" s="168" t="s">
        <v>1849</v>
      </c>
      <c r="L956" s="167" t="s">
        <v>304</v>
      </c>
      <c r="M956" s="167" t="s">
        <v>305</v>
      </c>
      <c r="N956" s="167">
        <v>11</v>
      </c>
      <c r="O956" s="167" t="s">
        <v>385</v>
      </c>
      <c r="P956" s="167" t="s">
        <v>385</v>
      </c>
      <c r="Q956" s="167" t="s">
        <v>1794</v>
      </c>
      <c r="R956" s="166" t="s">
        <v>56</v>
      </c>
      <c r="S956" s="169">
        <v>34159</v>
      </c>
      <c r="T956" s="160">
        <v>103347.56</v>
      </c>
      <c r="U956" s="160">
        <v>0</v>
      </c>
      <c r="V956" s="160">
        <v>424441.86</v>
      </c>
      <c r="W956" s="160">
        <v>-390282.86</v>
      </c>
      <c r="X956" s="161">
        <v>0</v>
      </c>
      <c r="Y956" s="160"/>
      <c r="Z956" s="16">
        <v>999.99</v>
      </c>
      <c r="AA956" s="162">
        <v>424441.86</v>
      </c>
      <c r="AB956" s="162">
        <v>106110.465</v>
      </c>
      <c r="AC956" s="162">
        <v>1273325.58</v>
      </c>
      <c r="AD956" s="160"/>
      <c r="AE956" s="145">
        <v>34159</v>
      </c>
      <c r="AF956" s="163">
        <v>1.0529999999999999</v>
      </c>
      <c r="AG956" s="163">
        <v>1.0489999999999999</v>
      </c>
      <c r="AH956" s="163">
        <v>1.0469999999999999</v>
      </c>
      <c r="AI956" s="164">
        <v>34159</v>
      </c>
      <c r="AJ956" s="164">
        <f t="shared" si="128"/>
        <v>0</v>
      </c>
      <c r="AK956" s="229">
        <v>34159</v>
      </c>
      <c r="AL956" s="229">
        <f ca="1">SUMIF('MS &amp; Vacancies combined'!A:O,D956,'MS &amp; Vacancies combined'!O:O)*105.3/100</f>
        <v>770512.37539862038</v>
      </c>
      <c r="AM956" s="229">
        <f t="shared" ca="1" si="137"/>
        <v>808267.48179315275</v>
      </c>
      <c r="AN956" s="229">
        <f t="shared" ca="1" si="138"/>
        <v>846256.05343743088</v>
      </c>
      <c r="AO956" s="166"/>
      <c r="AP956" s="413">
        <f t="shared" ca="1" si="129"/>
        <v>-736353.37539862038</v>
      </c>
      <c r="AR956" s="231"/>
      <c r="AS956" s="231"/>
      <c r="AU956" s="414">
        <v>34159</v>
      </c>
      <c r="AV956" s="415">
        <v>34159</v>
      </c>
      <c r="AW956" s="414">
        <f t="shared" si="127"/>
        <v>0</v>
      </c>
    </row>
    <row r="957" spans="1:49" x14ac:dyDescent="0.3">
      <c r="A957" s="16" t="s">
        <v>57</v>
      </c>
      <c r="B957" s="39" t="s">
        <v>2145</v>
      </c>
      <c r="C957" s="39" t="s">
        <v>2146</v>
      </c>
      <c r="D957" s="340" t="s">
        <v>3480</v>
      </c>
      <c r="E957" s="159" t="s">
        <v>1761</v>
      </c>
      <c r="F957" s="159" t="s">
        <v>362</v>
      </c>
      <c r="G957" s="159" t="s">
        <v>309</v>
      </c>
      <c r="H957" s="159" t="s">
        <v>373</v>
      </c>
      <c r="I957" s="159" t="s">
        <v>390</v>
      </c>
      <c r="J957" s="159" t="s">
        <v>312</v>
      </c>
      <c r="K957" s="159" t="s">
        <v>1849</v>
      </c>
      <c r="L957" s="39" t="s">
        <v>304</v>
      </c>
      <c r="M957" s="39" t="s">
        <v>305</v>
      </c>
      <c r="N957" s="39">
        <v>11</v>
      </c>
      <c r="O957" s="39" t="s">
        <v>2146</v>
      </c>
      <c r="P957" s="39" t="s">
        <v>389</v>
      </c>
      <c r="Q957" s="39" t="s">
        <v>2145</v>
      </c>
      <c r="R957" s="16" t="s">
        <v>57</v>
      </c>
      <c r="S957" s="169">
        <v>0</v>
      </c>
      <c r="T957" s="160">
        <v>95738.26</v>
      </c>
      <c r="U957" s="160">
        <v>0</v>
      </c>
      <c r="V957" s="160">
        <v>360441</v>
      </c>
      <c r="W957" s="160">
        <v>-360441</v>
      </c>
      <c r="X957" s="161">
        <v>0</v>
      </c>
      <c r="Y957" s="160"/>
      <c r="Z957" s="16">
        <v>0</v>
      </c>
      <c r="AA957" s="162">
        <v>360441</v>
      </c>
      <c r="AB957" s="162">
        <v>90110.25</v>
      </c>
      <c r="AC957" s="162">
        <v>1081323</v>
      </c>
      <c r="AD957" s="160"/>
      <c r="AE957" s="145">
        <v>0</v>
      </c>
      <c r="AF957" s="421">
        <v>1.0529999999999999</v>
      </c>
      <c r="AG957" s="421">
        <v>1.0489999999999999</v>
      </c>
      <c r="AH957" s="421">
        <v>1.0469999999999999</v>
      </c>
      <c r="AI957" s="164">
        <v>0</v>
      </c>
      <c r="AJ957" s="164">
        <f t="shared" si="128"/>
        <v>0</v>
      </c>
      <c r="AK957" s="165">
        <v>0</v>
      </c>
      <c r="AL957" s="165">
        <f>AK957*80%</f>
        <v>0</v>
      </c>
      <c r="AM957" s="165">
        <f t="shared" si="137"/>
        <v>0</v>
      </c>
      <c r="AN957" s="165">
        <f t="shared" si="138"/>
        <v>0</v>
      </c>
      <c r="AO957" s="16"/>
      <c r="AP957" s="231">
        <f t="shared" si="129"/>
        <v>0</v>
      </c>
      <c r="AR957" s="231"/>
      <c r="AS957" s="231"/>
      <c r="AU957" s="230">
        <v>0</v>
      </c>
      <c r="AV957" s="233">
        <v>0</v>
      </c>
      <c r="AW957" s="230">
        <f t="shared" si="127"/>
        <v>0</v>
      </c>
    </row>
    <row r="958" spans="1:49" s="172" customFormat="1" x14ac:dyDescent="0.3">
      <c r="A958" s="166" t="s">
        <v>62</v>
      </c>
      <c r="B958" s="167" t="s">
        <v>1795</v>
      </c>
      <c r="C958" s="167" t="s">
        <v>395</v>
      </c>
      <c r="D958" s="412" t="s">
        <v>3480</v>
      </c>
      <c r="E958" s="168" t="s">
        <v>1761</v>
      </c>
      <c r="F958" s="168" t="s">
        <v>362</v>
      </c>
      <c r="G958" s="168" t="s">
        <v>309</v>
      </c>
      <c r="H958" s="168" t="s">
        <v>373</v>
      </c>
      <c r="I958" s="168" t="s">
        <v>396</v>
      </c>
      <c r="J958" s="168" t="s">
        <v>312</v>
      </c>
      <c r="K958" s="168" t="s">
        <v>1849</v>
      </c>
      <c r="L958" s="167" t="s">
        <v>304</v>
      </c>
      <c r="M958" s="167" t="s">
        <v>305</v>
      </c>
      <c r="N958" s="167">
        <v>11</v>
      </c>
      <c r="O958" s="167" t="s">
        <v>395</v>
      </c>
      <c r="P958" s="167" t="s">
        <v>395</v>
      </c>
      <c r="Q958" s="167" t="s">
        <v>1795</v>
      </c>
      <c r="R958" s="166" t="s">
        <v>62</v>
      </c>
      <c r="S958" s="169">
        <v>347166</v>
      </c>
      <c r="T958" s="160">
        <v>46044</v>
      </c>
      <c r="U958" s="160">
        <v>0</v>
      </c>
      <c r="V958" s="160">
        <v>410112</v>
      </c>
      <c r="W958" s="160">
        <v>-62946</v>
      </c>
      <c r="X958" s="161">
        <v>0</v>
      </c>
      <c r="Y958" s="160"/>
      <c r="Z958" s="16">
        <v>118.13</v>
      </c>
      <c r="AA958" s="162">
        <v>410112</v>
      </c>
      <c r="AB958" s="162">
        <v>102528</v>
      </c>
      <c r="AC958" s="162">
        <v>1230336</v>
      </c>
      <c r="AD958" s="160"/>
      <c r="AE958" s="145">
        <v>347166</v>
      </c>
      <c r="AF958" s="163">
        <v>1.0529999999999999</v>
      </c>
      <c r="AG958" s="163">
        <v>1.0489999999999999</v>
      </c>
      <c r="AH958" s="163">
        <v>1.0469999999999999</v>
      </c>
      <c r="AI958" s="164">
        <v>347166</v>
      </c>
      <c r="AJ958" s="164">
        <f t="shared" si="128"/>
        <v>0</v>
      </c>
      <c r="AK958" s="229">
        <v>347166</v>
      </c>
      <c r="AL958" s="229">
        <f ca="1">SUMIF('MS &amp; Vacancies combined'!A:K,D958,'MS &amp; Vacancies combined'!K:K)*105.3/100</f>
        <v>444150.7766076526</v>
      </c>
      <c r="AM958" s="229">
        <f t="shared" ca="1" si="137"/>
        <v>465914.16466142755</v>
      </c>
      <c r="AN958" s="229">
        <f t="shared" ca="1" si="138"/>
        <v>487812.13040051464</v>
      </c>
      <c r="AO958" s="166"/>
      <c r="AP958" s="413">
        <f t="shared" ca="1" si="129"/>
        <v>-96984.776607652602</v>
      </c>
      <c r="AR958" s="231"/>
      <c r="AS958" s="231"/>
      <c r="AU958" s="414">
        <v>347166</v>
      </c>
      <c r="AV958" s="415">
        <v>347166</v>
      </c>
      <c r="AW958" s="414">
        <f t="shared" si="127"/>
        <v>0</v>
      </c>
    </row>
    <row r="959" spans="1:49" s="172" customFormat="1" x14ac:dyDescent="0.3">
      <c r="A959" s="166" t="s">
        <v>69</v>
      </c>
      <c r="B959" s="167" t="s">
        <v>1796</v>
      </c>
      <c r="C959" s="167" t="s">
        <v>398</v>
      </c>
      <c r="D959" s="412" t="s">
        <v>3480</v>
      </c>
      <c r="E959" s="168" t="s">
        <v>1761</v>
      </c>
      <c r="F959" s="168" t="s">
        <v>362</v>
      </c>
      <c r="G959" s="168" t="s">
        <v>309</v>
      </c>
      <c r="H959" s="168" t="s">
        <v>310</v>
      </c>
      <c r="I959" s="168" t="s">
        <v>374</v>
      </c>
      <c r="J959" s="168" t="s">
        <v>312</v>
      </c>
      <c r="K959" s="168" t="s">
        <v>1849</v>
      </c>
      <c r="L959" s="167" t="s">
        <v>304</v>
      </c>
      <c r="M959" s="167" t="s">
        <v>305</v>
      </c>
      <c r="N959" s="167">
        <v>11</v>
      </c>
      <c r="O959" s="167" t="s">
        <v>398</v>
      </c>
      <c r="P959" s="167" t="s">
        <v>398</v>
      </c>
      <c r="Q959" s="167" t="s">
        <v>1796</v>
      </c>
      <c r="R959" s="166" t="s">
        <v>69</v>
      </c>
      <c r="S959" s="169">
        <v>1166</v>
      </c>
      <c r="T959" s="160">
        <v>334.8</v>
      </c>
      <c r="U959" s="160">
        <v>0</v>
      </c>
      <c r="V959" s="160">
        <v>1339.2</v>
      </c>
      <c r="W959" s="160">
        <v>-173.2</v>
      </c>
      <c r="X959" s="161">
        <v>0</v>
      </c>
      <c r="Y959" s="160"/>
      <c r="Z959" s="16">
        <v>114.85</v>
      </c>
      <c r="AA959" s="162">
        <v>1339.2</v>
      </c>
      <c r="AB959" s="162">
        <v>334.8</v>
      </c>
      <c r="AC959" s="162">
        <v>4017.6000000000004</v>
      </c>
      <c r="AD959" s="160"/>
      <c r="AE959" s="145">
        <v>1166</v>
      </c>
      <c r="AF959" s="163">
        <v>1.0529999999999999</v>
      </c>
      <c r="AG959" s="163">
        <v>1.0489999999999999</v>
      </c>
      <c r="AH959" s="163">
        <v>1.0469999999999999</v>
      </c>
      <c r="AI959" s="164">
        <v>1166</v>
      </c>
      <c r="AJ959" s="164">
        <f t="shared" si="128"/>
        <v>0</v>
      </c>
      <c r="AK959" s="229">
        <v>1166</v>
      </c>
      <c r="AL959" s="229">
        <f ca="1">SUMIF('MS &amp; Vacancies combined'!A:N,D959,'MS &amp; Vacancies combined'!N:N)*105.3/100</f>
        <v>1384.1330379289629</v>
      </c>
      <c r="AM959" s="229">
        <f t="shared" ca="1" si="137"/>
        <v>1451.955556787482</v>
      </c>
      <c r="AN959" s="229">
        <f t="shared" ca="1" si="138"/>
        <v>1520.1974679564935</v>
      </c>
      <c r="AO959" s="166"/>
      <c r="AP959" s="413">
        <f t="shared" ca="1" si="129"/>
        <v>-218.13303792896295</v>
      </c>
      <c r="AR959" s="231"/>
      <c r="AS959" s="231"/>
      <c r="AU959" s="414">
        <v>1166</v>
      </c>
      <c r="AV959" s="415">
        <v>1166</v>
      </c>
      <c r="AW959" s="414">
        <f t="shared" si="127"/>
        <v>0</v>
      </c>
    </row>
    <row r="960" spans="1:49" s="172" customFormat="1" x14ac:dyDescent="0.3">
      <c r="A960" s="166" t="s">
        <v>70</v>
      </c>
      <c r="B960" s="167" t="s">
        <v>1797</v>
      </c>
      <c r="C960" s="167" t="s">
        <v>400</v>
      </c>
      <c r="D960" s="412" t="s">
        <v>3480</v>
      </c>
      <c r="E960" s="168" t="s">
        <v>1761</v>
      </c>
      <c r="F960" s="168" t="s">
        <v>362</v>
      </c>
      <c r="G960" s="168" t="s">
        <v>309</v>
      </c>
      <c r="H960" s="168" t="s">
        <v>310</v>
      </c>
      <c r="I960" s="168" t="s">
        <v>401</v>
      </c>
      <c r="J960" s="168" t="s">
        <v>312</v>
      </c>
      <c r="K960" s="168" t="s">
        <v>1849</v>
      </c>
      <c r="L960" s="167" t="s">
        <v>304</v>
      </c>
      <c r="M960" s="167" t="s">
        <v>305</v>
      </c>
      <c r="N960" s="167">
        <v>11</v>
      </c>
      <c r="O960" s="167" t="s">
        <v>400</v>
      </c>
      <c r="P960" s="167" t="s">
        <v>400</v>
      </c>
      <c r="Q960" s="167" t="s">
        <v>1797</v>
      </c>
      <c r="R960" s="166" t="s">
        <v>70</v>
      </c>
      <c r="S960" s="169">
        <v>93495</v>
      </c>
      <c r="T960" s="160">
        <v>7329.99</v>
      </c>
      <c r="U960" s="160">
        <v>0</v>
      </c>
      <c r="V960" s="160">
        <v>26890</v>
      </c>
      <c r="W960" s="160">
        <v>66605</v>
      </c>
      <c r="X960" s="161">
        <v>0</v>
      </c>
      <c r="Y960" s="160"/>
      <c r="Z960" s="16">
        <v>28.76</v>
      </c>
      <c r="AA960" s="162">
        <v>26890</v>
      </c>
      <c r="AB960" s="162">
        <v>6722.5</v>
      </c>
      <c r="AC960" s="162">
        <v>80670</v>
      </c>
      <c r="AD960" s="160"/>
      <c r="AE960" s="145">
        <v>93495</v>
      </c>
      <c r="AF960" s="163">
        <v>1.0529999999999999</v>
      </c>
      <c r="AG960" s="163">
        <v>1.0489999999999999</v>
      </c>
      <c r="AH960" s="163">
        <v>1.0469999999999999</v>
      </c>
      <c r="AI960" s="164">
        <v>93495</v>
      </c>
      <c r="AJ960" s="164">
        <f t="shared" si="128"/>
        <v>0</v>
      </c>
      <c r="AK960" s="229">
        <v>93495</v>
      </c>
      <c r="AL960" s="229">
        <f ca="1">SUMIF('MS &amp; Vacancies combined'!A:P,D960,'MS &amp; Vacancies combined'!P:P)*105.3/100</f>
        <v>93271.663087607041</v>
      </c>
      <c r="AM960" s="229">
        <f t="shared" ca="1" si="137"/>
        <v>97841.974578899783</v>
      </c>
      <c r="AN960" s="229">
        <f t="shared" ca="1" si="138"/>
        <v>102440.54738410807</v>
      </c>
      <c r="AO960" s="166"/>
      <c r="AP960" s="413">
        <f t="shared" ca="1" si="129"/>
        <v>223.33691239295877</v>
      </c>
      <c r="AR960" s="231"/>
      <c r="AS960" s="231"/>
      <c r="AU960" s="414">
        <v>93495</v>
      </c>
      <c r="AV960" s="415">
        <v>93495</v>
      </c>
      <c r="AW960" s="414">
        <f t="shared" si="127"/>
        <v>0</v>
      </c>
    </row>
    <row r="961" spans="1:49" s="172" customFormat="1" x14ac:dyDescent="0.3">
      <c r="A961" s="166" t="s">
        <v>71</v>
      </c>
      <c r="B961" s="167" t="s">
        <v>1798</v>
      </c>
      <c r="C961" s="167" t="s">
        <v>403</v>
      </c>
      <c r="D961" s="412" t="s">
        <v>3480</v>
      </c>
      <c r="E961" s="168" t="s">
        <v>1761</v>
      </c>
      <c r="F961" s="168" t="s">
        <v>362</v>
      </c>
      <c r="G961" s="168" t="s">
        <v>309</v>
      </c>
      <c r="H961" s="168" t="s">
        <v>310</v>
      </c>
      <c r="I961" s="168" t="s">
        <v>404</v>
      </c>
      <c r="J961" s="168" t="s">
        <v>312</v>
      </c>
      <c r="K961" s="168" t="s">
        <v>1849</v>
      </c>
      <c r="L961" s="167" t="s">
        <v>304</v>
      </c>
      <c r="M961" s="167" t="s">
        <v>305</v>
      </c>
      <c r="N961" s="167">
        <v>11</v>
      </c>
      <c r="O961" s="167" t="s">
        <v>403</v>
      </c>
      <c r="P961" s="167" t="s">
        <v>403</v>
      </c>
      <c r="Q961" s="167" t="s">
        <v>1798</v>
      </c>
      <c r="R961" s="166" t="s">
        <v>71</v>
      </c>
      <c r="S961" s="169">
        <v>600268</v>
      </c>
      <c r="T961" s="160">
        <v>93885.6</v>
      </c>
      <c r="U961" s="160">
        <v>0</v>
      </c>
      <c r="V961" s="160">
        <v>386133</v>
      </c>
      <c r="W961" s="160">
        <v>214135</v>
      </c>
      <c r="X961" s="161">
        <v>0</v>
      </c>
      <c r="Y961" s="160"/>
      <c r="Z961" s="16">
        <v>64.319999999999993</v>
      </c>
      <c r="AA961" s="162">
        <v>386133</v>
      </c>
      <c r="AB961" s="162">
        <v>96533.25</v>
      </c>
      <c r="AC961" s="162">
        <v>1158399</v>
      </c>
      <c r="AD961" s="160"/>
      <c r="AE961" s="145">
        <v>600268</v>
      </c>
      <c r="AF961" s="163">
        <v>1.0529999999999999</v>
      </c>
      <c r="AG961" s="163">
        <v>1.0489999999999999</v>
      </c>
      <c r="AH961" s="163">
        <v>1.0469999999999999</v>
      </c>
      <c r="AI961" s="164">
        <v>600268</v>
      </c>
      <c r="AJ961" s="164">
        <f t="shared" si="128"/>
        <v>0</v>
      </c>
      <c r="AK961" s="229">
        <v>600268</v>
      </c>
      <c r="AL961" s="229">
        <f ca="1">SUMIF('MS &amp; Vacancies combined'!A:Q,D961,'MS &amp; Vacancies combined'!Q:Q)*105.3/100</f>
        <v>641699.45563984418</v>
      </c>
      <c r="AM961" s="229">
        <f t="shared" ca="1" si="137"/>
        <v>673142.72896619653</v>
      </c>
      <c r="AN961" s="229">
        <f t="shared" ca="1" si="138"/>
        <v>704780.4372276077</v>
      </c>
      <c r="AO961" s="166"/>
      <c r="AP961" s="413">
        <f t="shared" ca="1" si="129"/>
        <v>-41431.455639844178</v>
      </c>
      <c r="AR961" s="231"/>
      <c r="AS961" s="231"/>
      <c r="AU961" s="414">
        <v>600268</v>
      </c>
      <c r="AV961" s="415">
        <v>600268</v>
      </c>
      <c r="AW961" s="414">
        <f t="shared" si="127"/>
        <v>0</v>
      </c>
    </row>
    <row r="962" spans="1:49" s="172" customFormat="1" x14ac:dyDescent="0.3">
      <c r="A962" s="166" t="s">
        <v>72</v>
      </c>
      <c r="B962" s="167" t="s">
        <v>1799</v>
      </c>
      <c r="C962" s="167" t="s">
        <v>406</v>
      </c>
      <c r="D962" s="412" t="s">
        <v>3480</v>
      </c>
      <c r="E962" s="168" t="s">
        <v>1761</v>
      </c>
      <c r="F962" s="168" t="s">
        <v>362</v>
      </c>
      <c r="G962" s="168" t="s">
        <v>309</v>
      </c>
      <c r="H962" s="168" t="s">
        <v>310</v>
      </c>
      <c r="I962" s="168" t="s">
        <v>407</v>
      </c>
      <c r="J962" s="168" t="s">
        <v>312</v>
      </c>
      <c r="K962" s="168" t="s">
        <v>1849</v>
      </c>
      <c r="L962" s="167" t="s">
        <v>304</v>
      </c>
      <c r="M962" s="167" t="s">
        <v>305</v>
      </c>
      <c r="N962" s="167">
        <v>11</v>
      </c>
      <c r="O962" s="167" t="s">
        <v>406</v>
      </c>
      <c r="P962" s="167" t="s">
        <v>406</v>
      </c>
      <c r="Q962" s="167" t="s">
        <v>1799</v>
      </c>
      <c r="R962" s="166" t="s">
        <v>72</v>
      </c>
      <c r="S962" s="169">
        <v>993793</v>
      </c>
      <c r="T962" s="160">
        <v>150614.64000000001</v>
      </c>
      <c r="U962" s="160">
        <v>0</v>
      </c>
      <c r="V962" s="160">
        <v>599275.13</v>
      </c>
      <c r="W962" s="160">
        <v>394517.87</v>
      </c>
      <c r="X962" s="161">
        <v>0</v>
      </c>
      <c r="Y962" s="160"/>
      <c r="Z962" s="16">
        <v>60.3</v>
      </c>
      <c r="AA962" s="162">
        <v>599275.13</v>
      </c>
      <c r="AB962" s="162">
        <v>149818.7825</v>
      </c>
      <c r="AC962" s="162">
        <v>1797825.3900000001</v>
      </c>
      <c r="AD962" s="160"/>
      <c r="AE962" s="145">
        <v>993793</v>
      </c>
      <c r="AF962" s="163">
        <v>1.0529999999999999</v>
      </c>
      <c r="AG962" s="163">
        <v>1.0489999999999999</v>
      </c>
      <c r="AH962" s="163">
        <v>1.0469999999999999</v>
      </c>
      <c r="AI962" s="164">
        <v>993793</v>
      </c>
      <c r="AJ962" s="164">
        <f t="shared" si="128"/>
        <v>0</v>
      </c>
      <c r="AK962" s="229">
        <v>993793</v>
      </c>
      <c r="AL962" s="229">
        <f ca="1">SUMIF('MS &amp; Vacancies combined'!A:R,D962,'MS &amp; Vacancies combined'!R:R)*105.3/100</f>
        <v>963096.54399603396</v>
      </c>
      <c r="AM962" s="229">
        <f t="shared" ca="1" si="137"/>
        <v>1010288.2746518395</v>
      </c>
      <c r="AN962" s="229">
        <f t="shared" ca="1" si="138"/>
        <v>1057771.8235604758</v>
      </c>
      <c r="AO962" s="166"/>
      <c r="AP962" s="413">
        <f t="shared" ca="1" si="129"/>
        <v>30696.456003966043</v>
      </c>
      <c r="AR962" s="231"/>
      <c r="AS962" s="231"/>
      <c r="AU962" s="414">
        <v>993793</v>
      </c>
      <c r="AV962" s="415">
        <v>993793</v>
      </c>
      <c r="AW962" s="414">
        <f t="shared" ref="AW962:AW1025" si="142">AU962-S962</f>
        <v>0</v>
      </c>
    </row>
    <row r="963" spans="1:49" s="172" customFormat="1" x14ac:dyDescent="0.3">
      <c r="A963" s="166" t="s">
        <v>73</v>
      </c>
      <c r="B963" s="167" t="s">
        <v>1800</v>
      </c>
      <c r="C963" s="167" t="s">
        <v>307</v>
      </c>
      <c r="D963" s="412" t="s">
        <v>3480</v>
      </c>
      <c r="E963" s="168" t="s">
        <v>1761</v>
      </c>
      <c r="F963" s="168" t="s">
        <v>362</v>
      </c>
      <c r="G963" s="168" t="s">
        <v>309</v>
      </c>
      <c r="H963" s="168" t="s">
        <v>310</v>
      </c>
      <c r="I963" s="168" t="s">
        <v>311</v>
      </c>
      <c r="J963" s="168" t="s">
        <v>312</v>
      </c>
      <c r="K963" s="168" t="s">
        <v>1849</v>
      </c>
      <c r="L963" s="167" t="s">
        <v>304</v>
      </c>
      <c r="M963" s="167" t="s">
        <v>305</v>
      </c>
      <c r="N963" s="167">
        <v>11</v>
      </c>
      <c r="O963" s="167" t="s">
        <v>307</v>
      </c>
      <c r="P963" s="167" t="s">
        <v>307</v>
      </c>
      <c r="Q963" s="167" t="s">
        <v>1800</v>
      </c>
      <c r="R963" s="166" t="s">
        <v>73</v>
      </c>
      <c r="S963" s="169">
        <v>22275</v>
      </c>
      <c r="T963" s="160">
        <v>5431.79</v>
      </c>
      <c r="U963" s="160">
        <v>0</v>
      </c>
      <c r="V963" s="160">
        <v>21903.95</v>
      </c>
      <c r="W963" s="160">
        <v>371.05</v>
      </c>
      <c r="X963" s="161">
        <v>0</v>
      </c>
      <c r="Y963" s="160"/>
      <c r="Z963" s="16">
        <v>98.33</v>
      </c>
      <c r="AA963" s="162">
        <v>21903.95</v>
      </c>
      <c r="AB963" s="162">
        <v>5475.9875000000002</v>
      </c>
      <c r="AC963" s="162">
        <v>65711.850000000006</v>
      </c>
      <c r="AD963" s="160"/>
      <c r="AE963" s="145">
        <v>22275</v>
      </c>
      <c r="AF963" s="163">
        <v>1.0529999999999999</v>
      </c>
      <c r="AG963" s="163">
        <v>1.0489999999999999</v>
      </c>
      <c r="AH963" s="163">
        <v>1.0469999999999999</v>
      </c>
      <c r="AI963" s="164">
        <v>22275</v>
      </c>
      <c r="AJ963" s="164">
        <f t="shared" si="128"/>
        <v>0</v>
      </c>
      <c r="AK963" s="229">
        <v>22275</v>
      </c>
      <c r="AL963" s="229">
        <f ca="1">SUMIF('MS &amp; Vacancies combined'!A:S,D963,'MS &amp; Vacancies combined'!S:S)*105.3/100</f>
        <v>22699.781822034995</v>
      </c>
      <c r="AM963" s="229">
        <f t="shared" ca="1" si="137"/>
        <v>23812.071131314708</v>
      </c>
      <c r="AN963" s="229">
        <f t="shared" ca="1" si="138"/>
        <v>24931.238474486498</v>
      </c>
      <c r="AO963" s="166"/>
      <c r="AP963" s="413">
        <f t="shared" ca="1" si="129"/>
        <v>-424.78182203499455</v>
      </c>
      <c r="AR963" s="231"/>
      <c r="AS963" s="231"/>
      <c r="AU963" s="414">
        <v>22275</v>
      </c>
      <c r="AV963" s="415">
        <v>22275</v>
      </c>
      <c r="AW963" s="414">
        <f t="shared" si="142"/>
        <v>0</v>
      </c>
    </row>
    <row r="964" spans="1:49" hidden="1" x14ac:dyDescent="0.3">
      <c r="A964" s="16" t="s">
        <v>324</v>
      </c>
      <c r="B964" s="39" t="s">
        <v>1801</v>
      </c>
      <c r="C964" s="39" t="s">
        <v>76</v>
      </c>
      <c r="D964" s="340" t="s">
        <v>3480</v>
      </c>
      <c r="E964" s="159" t="s">
        <v>1761</v>
      </c>
      <c r="F964" s="159" t="s">
        <v>362</v>
      </c>
      <c r="G964" s="159" t="s">
        <v>309</v>
      </c>
      <c r="H964" s="159" t="s">
        <v>325</v>
      </c>
      <c r="I964" s="159" t="s">
        <v>326</v>
      </c>
      <c r="J964" s="159" t="s">
        <v>327</v>
      </c>
      <c r="K964" s="159" t="s">
        <v>1849</v>
      </c>
      <c r="L964" s="39" t="s">
        <v>304</v>
      </c>
      <c r="M964" s="39" t="s">
        <v>305</v>
      </c>
      <c r="N964" s="39">
        <v>11</v>
      </c>
      <c r="O964" s="39" t="s">
        <v>76</v>
      </c>
      <c r="P964" s="39" t="s">
        <v>76</v>
      </c>
      <c r="Q964" s="39" t="s">
        <v>1801</v>
      </c>
      <c r="R964" s="16" t="s">
        <v>324</v>
      </c>
      <c r="S964" s="160">
        <v>0</v>
      </c>
      <c r="T964" s="160">
        <v>0</v>
      </c>
      <c r="U964" s="160">
        <v>0</v>
      </c>
      <c r="V964" s="160">
        <v>0</v>
      </c>
      <c r="W964" s="160">
        <v>0</v>
      </c>
      <c r="X964" s="161">
        <v>0</v>
      </c>
      <c r="Y964" s="160"/>
      <c r="Z964" s="16">
        <v>0</v>
      </c>
      <c r="AA964" s="162">
        <v>0</v>
      </c>
      <c r="AB964" s="162">
        <v>0</v>
      </c>
      <c r="AC964" s="162">
        <v>0</v>
      </c>
      <c r="AD964" s="160">
        <v>50000</v>
      </c>
      <c r="AE964" s="145">
        <v>50000</v>
      </c>
      <c r="AF964" s="163">
        <v>1.0469999999999999</v>
      </c>
      <c r="AG964" s="164">
        <v>1.046</v>
      </c>
      <c r="AH964" s="164">
        <v>1.046</v>
      </c>
      <c r="AI964" s="164">
        <v>50000</v>
      </c>
      <c r="AJ964" s="164">
        <f t="shared" si="128"/>
        <v>0</v>
      </c>
      <c r="AK964" s="165">
        <v>50000</v>
      </c>
      <c r="AL964" s="165">
        <f t="shared" ref="AL964:AL966" si="143">AK964</f>
        <v>50000</v>
      </c>
      <c r="AM964" s="165">
        <f t="shared" si="137"/>
        <v>52300</v>
      </c>
      <c r="AN964" s="165">
        <f t="shared" si="138"/>
        <v>54705.8</v>
      </c>
      <c r="AO964" s="16" t="s">
        <v>2147</v>
      </c>
      <c r="AP964" s="231">
        <f t="shared" si="129"/>
        <v>0</v>
      </c>
      <c r="AR964" s="231"/>
      <c r="AS964" s="231"/>
      <c r="AU964" s="230">
        <v>0</v>
      </c>
      <c r="AV964" s="233">
        <v>50000</v>
      </c>
      <c r="AW964" s="230">
        <f t="shared" si="142"/>
        <v>0</v>
      </c>
    </row>
    <row r="965" spans="1:49" hidden="1" x14ac:dyDescent="0.3">
      <c r="A965" s="16" t="s">
        <v>477</v>
      </c>
      <c r="B965" s="39" t="s">
        <v>1802</v>
      </c>
      <c r="C965" s="39" t="s">
        <v>78</v>
      </c>
      <c r="D965" s="340" t="s">
        <v>3480</v>
      </c>
      <c r="E965" s="159" t="s">
        <v>1761</v>
      </c>
      <c r="F965" s="159" t="s">
        <v>362</v>
      </c>
      <c r="G965" s="159" t="s">
        <v>309</v>
      </c>
      <c r="H965" s="159" t="s">
        <v>330</v>
      </c>
      <c r="I965" s="159" t="s">
        <v>479</v>
      </c>
      <c r="J965" s="159" t="s">
        <v>312</v>
      </c>
      <c r="K965" s="159" t="s">
        <v>1849</v>
      </c>
      <c r="L965" s="39" t="s">
        <v>304</v>
      </c>
      <c r="M965" s="39" t="s">
        <v>305</v>
      </c>
      <c r="N965" s="39">
        <v>11</v>
      </c>
      <c r="O965" s="39" t="s">
        <v>78</v>
      </c>
      <c r="P965" s="39" t="s">
        <v>699</v>
      </c>
      <c r="Q965" s="39" t="s">
        <v>1802</v>
      </c>
      <c r="R965" s="16" t="s">
        <v>477</v>
      </c>
      <c r="S965" s="160">
        <v>1250000</v>
      </c>
      <c r="T965" s="160">
        <v>0</v>
      </c>
      <c r="U965" s="160">
        <v>0</v>
      </c>
      <c r="V965" s="160">
        <v>0</v>
      </c>
      <c r="W965" s="160">
        <v>1250000</v>
      </c>
      <c r="X965" s="161">
        <v>0</v>
      </c>
      <c r="Y965" s="160"/>
      <c r="Z965" s="16">
        <v>0</v>
      </c>
      <c r="AA965" s="162">
        <v>0</v>
      </c>
      <c r="AB965" s="162">
        <v>0</v>
      </c>
      <c r="AC965" s="162">
        <v>0</v>
      </c>
      <c r="AD965" s="160">
        <v>-50000</v>
      </c>
      <c r="AE965" s="145">
        <v>1200000</v>
      </c>
      <c r="AF965" s="163">
        <v>1.0469999999999999</v>
      </c>
      <c r="AG965" s="164">
        <v>1.046</v>
      </c>
      <c r="AH965" s="164">
        <v>1.046</v>
      </c>
      <c r="AI965" s="164">
        <v>1200000</v>
      </c>
      <c r="AJ965" s="164">
        <f t="shared" si="128"/>
        <v>0</v>
      </c>
      <c r="AK965" s="165">
        <v>700000</v>
      </c>
      <c r="AL965" s="165">
        <f t="shared" si="143"/>
        <v>700000</v>
      </c>
      <c r="AM965" s="165">
        <f t="shared" si="137"/>
        <v>732200</v>
      </c>
      <c r="AN965" s="165">
        <f t="shared" si="138"/>
        <v>765881.20000000007</v>
      </c>
      <c r="AO965" s="16" t="s">
        <v>2147</v>
      </c>
      <c r="AP965" s="231">
        <f t="shared" si="129"/>
        <v>0</v>
      </c>
      <c r="AR965" s="231"/>
      <c r="AS965" s="231"/>
      <c r="AU965" s="230">
        <v>1250000</v>
      </c>
      <c r="AV965" s="233">
        <v>1200000</v>
      </c>
      <c r="AW965" s="230">
        <f t="shared" si="142"/>
        <v>0</v>
      </c>
    </row>
    <row r="966" spans="1:49" hidden="1" x14ac:dyDescent="0.3">
      <c r="A966" s="16" t="s">
        <v>337</v>
      </c>
      <c r="B966" s="39" t="s">
        <v>1803</v>
      </c>
      <c r="C966" s="39" t="s">
        <v>82</v>
      </c>
      <c r="D966" s="340" t="s">
        <v>3480</v>
      </c>
      <c r="E966" s="159" t="s">
        <v>1761</v>
      </c>
      <c r="F966" s="159" t="s">
        <v>362</v>
      </c>
      <c r="G966" s="159" t="s">
        <v>309</v>
      </c>
      <c r="H966" s="159" t="s">
        <v>334</v>
      </c>
      <c r="I966" s="159" t="s">
        <v>339</v>
      </c>
      <c r="J966" s="159" t="s">
        <v>312</v>
      </c>
      <c r="K966" s="159" t="s">
        <v>1849</v>
      </c>
      <c r="L966" s="39" t="s">
        <v>304</v>
      </c>
      <c r="M966" s="39" t="s">
        <v>305</v>
      </c>
      <c r="N966" s="39">
        <v>11</v>
      </c>
      <c r="O966" s="39" t="s">
        <v>82</v>
      </c>
      <c r="P966" s="39" t="s">
        <v>338</v>
      </c>
      <c r="Q966" s="39" t="s">
        <v>1803</v>
      </c>
      <c r="R966" s="16" t="s">
        <v>337</v>
      </c>
      <c r="S966" s="160">
        <v>0</v>
      </c>
      <c r="T966" s="160">
        <v>0</v>
      </c>
      <c r="U966" s="160">
        <v>0</v>
      </c>
      <c r="V966" s="160">
        <v>0</v>
      </c>
      <c r="W966" s="160">
        <v>0</v>
      </c>
      <c r="X966" s="161">
        <v>0</v>
      </c>
      <c r="Y966" s="160"/>
      <c r="Z966" s="16">
        <v>0</v>
      </c>
      <c r="AA966" s="162">
        <v>0</v>
      </c>
      <c r="AB966" s="162">
        <v>0</v>
      </c>
      <c r="AC966" s="162">
        <v>0</v>
      </c>
      <c r="AD966" s="160">
        <v>100000</v>
      </c>
      <c r="AE966" s="145">
        <v>100000</v>
      </c>
      <c r="AF966" s="163">
        <v>1.0469999999999999</v>
      </c>
      <c r="AG966" s="164">
        <v>1.046</v>
      </c>
      <c r="AH966" s="164">
        <v>1.046</v>
      </c>
      <c r="AI966" s="164">
        <v>100000</v>
      </c>
      <c r="AJ966" s="164">
        <f t="shared" si="128"/>
        <v>0</v>
      </c>
      <c r="AK966" s="165">
        <v>100000</v>
      </c>
      <c r="AL966" s="165">
        <f t="shared" si="143"/>
        <v>100000</v>
      </c>
      <c r="AM966" s="165">
        <f t="shared" si="137"/>
        <v>104600</v>
      </c>
      <c r="AN966" s="165">
        <f t="shared" si="138"/>
        <v>109411.6</v>
      </c>
      <c r="AO966" s="16" t="s">
        <v>2147</v>
      </c>
      <c r="AP966" s="231">
        <f t="shared" si="129"/>
        <v>0</v>
      </c>
      <c r="AR966" s="231"/>
      <c r="AS966" s="231"/>
      <c r="AU966" s="230">
        <v>0</v>
      </c>
      <c r="AV966" s="233">
        <v>100000</v>
      </c>
      <c r="AW966" s="230">
        <f t="shared" si="142"/>
        <v>0</v>
      </c>
    </row>
    <row r="967" spans="1:49" hidden="1" x14ac:dyDescent="0.3">
      <c r="A967" s="16" t="s">
        <v>341</v>
      </c>
      <c r="B967" s="39" t="s">
        <v>1804</v>
      </c>
      <c r="C967" s="39" t="s">
        <v>82</v>
      </c>
      <c r="D967" s="340" t="s">
        <v>3480</v>
      </c>
      <c r="E967" s="159" t="s">
        <v>1761</v>
      </c>
      <c r="F967" s="159" t="s">
        <v>362</v>
      </c>
      <c r="G967" s="159" t="s">
        <v>309</v>
      </c>
      <c r="H967" s="159" t="s">
        <v>334</v>
      </c>
      <c r="I967" s="159" t="s">
        <v>343</v>
      </c>
      <c r="J967" s="159" t="s">
        <v>312</v>
      </c>
      <c r="K967" s="159" t="s">
        <v>1849</v>
      </c>
      <c r="L967" s="39" t="s">
        <v>304</v>
      </c>
      <c r="M967" s="39" t="s">
        <v>305</v>
      </c>
      <c r="N967" s="39">
        <v>11</v>
      </c>
      <c r="O967" s="39" t="s">
        <v>82</v>
      </c>
      <c r="P967" s="39" t="s">
        <v>342</v>
      </c>
      <c r="Q967" s="39" t="s">
        <v>1804</v>
      </c>
      <c r="R967" s="16" t="s">
        <v>341</v>
      </c>
      <c r="S967" s="160">
        <v>0</v>
      </c>
      <c r="T967" s="160">
        <v>0</v>
      </c>
      <c r="U967" s="160">
        <v>0</v>
      </c>
      <c r="V967" s="160">
        <v>0</v>
      </c>
      <c r="W967" s="160">
        <v>0</v>
      </c>
      <c r="X967" s="161">
        <v>0</v>
      </c>
      <c r="Y967" s="160"/>
      <c r="Z967" s="16">
        <v>0</v>
      </c>
      <c r="AA967" s="162">
        <v>0</v>
      </c>
      <c r="AB967" s="162">
        <v>0</v>
      </c>
      <c r="AC967" s="162">
        <v>0</v>
      </c>
      <c r="AD967" s="160"/>
      <c r="AE967" s="145">
        <v>0</v>
      </c>
      <c r="AF967" s="163">
        <v>1.0469999999999999</v>
      </c>
      <c r="AG967" s="164">
        <v>1.046</v>
      </c>
      <c r="AH967" s="164">
        <v>1.046</v>
      </c>
      <c r="AI967" s="164">
        <v>0</v>
      </c>
      <c r="AJ967" s="164">
        <f t="shared" ref="AJ967:AJ1030" si="144">AE967-AI967</f>
        <v>0</v>
      </c>
      <c r="AK967" s="165">
        <v>0</v>
      </c>
      <c r="AL967" s="165">
        <v>0</v>
      </c>
      <c r="AM967" s="165">
        <f t="shared" si="137"/>
        <v>0</v>
      </c>
      <c r="AN967" s="165">
        <f t="shared" si="138"/>
        <v>0</v>
      </c>
      <c r="AO967" s="16"/>
      <c r="AP967" s="231">
        <f t="shared" ref="AP967:AP1030" si="145">AK967-AL967</f>
        <v>0</v>
      </c>
      <c r="AR967" s="231"/>
      <c r="AS967" s="231"/>
      <c r="AU967" s="230">
        <v>0</v>
      </c>
      <c r="AV967" s="233">
        <v>0</v>
      </c>
      <c r="AW967" s="230">
        <f t="shared" si="142"/>
        <v>0</v>
      </c>
    </row>
    <row r="968" spans="1:49" hidden="1" x14ac:dyDescent="0.3">
      <c r="A968" s="16" t="s">
        <v>345</v>
      </c>
      <c r="B968" s="39" t="s">
        <v>1805</v>
      </c>
      <c r="C968" s="39" t="s">
        <v>82</v>
      </c>
      <c r="D968" s="340" t="s">
        <v>3480</v>
      </c>
      <c r="E968" s="159" t="s">
        <v>1761</v>
      </c>
      <c r="F968" s="159" t="s">
        <v>362</v>
      </c>
      <c r="G968" s="159" t="s">
        <v>309</v>
      </c>
      <c r="H968" s="159" t="s">
        <v>334</v>
      </c>
      <c r="I968" s="159" t="s">
        <v>347</v>
      </c>
      <c r="J968" s="159" t="s">
        <v>312</v>
      </c>
      <c r="K968" s="159" t="s">
        <v>1849</v>
      </c>
      <c r="L968" s="39" t="s">
        <v>304</v>
      </c>
      <c r="M968" s="39" t="s">
        <v>305</v>
      </c>
      <c r="N968" s="39">
        <v>11</v>
      </c>
      <c r="O968" s="39" t="s">
        <v>82</v>
      </c>
      <c r="P968" s="39" t="s">
        <v>346</v>
      </c>
      <c r="Q968" s="39" t="s">
        <v>1805</v>
      </c>
      <c r="R968" s="16" t="s">
        <v>345</v>
      </c>
      <c r="S968" s="223">
        <v>80000</v>
      </c>
      <c r="T968" s="160">
        <v>0</v>
      </c>
      <c r="U968" s="160">
        <v>0</v>
      </c>
      <c r="V968" s="160">
        <v>0</v>
      </c>
      <c r="W968" s="160">
        <v>80000</v>
      </c>
      <c r="X968" s="161">
        <v>0</v>
      </c>
      <c r="Y968" s="160"/>
      <c r="Z968" s="16">
        <v>0</v>
      </c>
      <c r="AA968" s="162">
        <v>0</v>
      </c>
      <c r="AB968" s="224">
        <v>0</v>
      </c>
      <c r="AC968" s="224">
        <v>0</v>
      </c>
      <c r="AD968" s="223"/>
      <c r="AE968" s="145">
        <v>50000</v>
      </c>
      <c r="AF968" s="163">
        <v>1.0469999999999999</v>
      </c>
      <c r="AG968" s="164">
        <v>1.046</v>
      </c>
      <c r="AH968" s="164">
        <v>1.046</v>
      </c>
      <c r="AI968" s="164">
        <v>80000</v>
      </c>
      <c r="AJ968" s="164">
        <f t="shared" si="144"/>
        <v>-30000</v>
      </c>
      <c r="AK968" s="165">
        <f>AE968</f>
        <v>50000</v>
      </c>
      <c r="AL968" s="165">
        <f t="shared" ref="AL968:AL972" si="146">AK968</f>
        <v>50000</v>
      </c>
      <c r="AM968" s="165">
        <f t="shared" si="137"/>
        <v>52300</v>
      </c>
      <c r="AN968" s="165">
        <f t="shared" si="138"/>
        <v>54705.8</v>
      </c>
      <c r="AO968" s="16"/>
      <c r="AP968" s="231">
        <f t="shared" si="145"/>
        <v>0</v>
      </c>
      <c r="AR968" s="231"/>
      <c r="AS968" s="231"/>
      <c r="AU968" s="230">
        <v>80000</v>
      </c>
      <c r="AV968" s="233">
        <v>80000</v>
      </c>
      <c r="AW968" s="230">
        <f t="shared" si="142"/>
        <v>0</v>
      </c>
    </row>
    <row r="969" spans="1:49" hidden="1" x14ac:dyDescent="0.3">
      <c r="A969" s="16" t="s">
        <v>349</v>
      </c>
      <c r="B969" s="39" t="s">
        <v>1806</v>
      </c>
      <c r="C969" s="39" t="s">
        <v>82</v>
      </c>
      <c r="D969" s="340" t="s">
        <v>3480</v>
      </c>
      <c r="E969" s="159" t="s">
        <v>1761</v>
      </c>
      <c r="F969" s="159" t="s">
        <v>362</v>
      </c>
      <c r="G969" s="159" t="s">
        <v>309</v>
      </c>
      <c r="H969" s="159" t="s">
        <v>334</v>
      </c>
      <c r="I969" s="159" t="s">
        <v>351</v>
      </c>
      <c r="J969" s="159" t="s">
        <v>312</v>
      </c>
      <c r="K969" s="159" t="s">
        <v>1849</v>
      </c>
      <c r="L969" s="39" t="s">
        <v>304</v>
      </c>
      <c r="M969" s="39" t="s">
        <v>305</v>
      </c>
      <c r="N969" s="39">
        <v>11</v>
      </c>
      <c r="O969" s="39" t="s">
        <v>82</v>
      </c>
      <c r="P969" s="39" t="s">
        <v>350</v>
      </c>
      <c r="Q969" s="39" t="s">
        <v>1806</v>
      </c>
      <c r="R969" s="16" t="s">
        <v>349</v>
      </c>
      <c r="S969" s="160">
        <v>20000</v>
      </c>
      <c r="T969" s="160">
        <v>0</v>
      </c>
      <c r="U969" s="160">
        <v>0</v>
      </c>
      <c r="V969" s="160">
        <v>0</v>
      </c>
      <c r="W969" s="160">
        <v>20000</v>
      </c>
      <c r="X969" s="161">
        <v>0</v>
      </c>
      <c r="Y969" s="160"/>
      <c r="Z969" s="16">
        <v>0</v>
      </c>
      <c r="AA969" s="162">
        <v>0</v>
      </c>
      <c r="AB969" s="162">
        <v>0</v>
      </c>
      <c r="AC969" s="162">
        <v>0</v>
      </c>
      <c r="AD969" s="160"/>
      <c r="AE969" s="145">
        <v>20000</v>
      </c>
      <c r="AF969" s="163">
        <v>1.0469999999999999</v>
      </c>
      <c r="AG969" s="164">
        <v>1.046</v>
      </c>
      <c r="AH969" s="164">
        <v>1.046</v>
      </c>
      <c r="AI969" s="164">
        <v>20000</v>
      </c>
      <c r="AJ969" s="164">
        <f t="shared" si="144"/>
        <v>0</v>
      </c>
      <c r="AK969" s="165">
        <v>20000</v>
      </c>
      <c r="AL969" s="165">
        <f t="shared" si="146"/>
        <v>20000</v>
      </c>
      <c r="AM969" s="165">
        <f t="shared" si="137"/>
        <v>20920</v>
      </c>
      <c r="AN969" s="165">
        <f t="shared" si="138"/>
        <v>21882.32</v>
      </c>
      <c r="AO969" s="16"/>
      <c r="AP969" s="231">
        <f t="shared" si="145"/>
        <v>0</v>
      </c>
      <c r="AR969" s="231"/>
      <c r="AS969" s="231"/>
      <c r="AU969" s="230">
        <v>20000</v>
      </c>
      <c r="AV969" s="233">
        <v>20000</v>
      </c>
      <c r="AW969" s="230">
        <f t="shared" si="142"/>
        <v>0</v>
      </c>
    </row>
    <row r="970" spans="1:49" hidden="1" x14ac:dyDescent="0.3">
      <c r="A970" s="16" t="s">
        <v>353</v>
      </c>
      <c r="B970" s="39" t="s">
        <v>1807</v>
      </c>
      <c r="C970" s="39" t="s">
        <v>82</v>
      </c>
      <c r="D970" s="340" t="s">
        <v>3480</v>
      </c>
      <c r="E970" s="159" t="s">
        <v>1761</v>
      </c>
      <c r="F970" s="159" t="s">
        <v>362</v>
      </c>
      <c r="G970" s="159" t="s">
        <v>309</v>
      </c>
      <c r="H970" s="159" t="s">
        <v>334</v>
      </c>
      <c r="I970" s="159" t="s">
        <v>355</v>
      </c>
      <c r="J970" s="159" t="s">
        <v>312</v>
      </c>
      <c r="K970" s="159" t="s">
        <v>1849</v>
      </c>
      <c r="L970" s="39" t="s">
        <v>304</v>
      </c>
      <c r="M970" s="39" t="s">
        <v>305</v>
      </c>
      <c r="N970" s="39">
        <v>11</v>
      </c>
      <c r="O970" s="39" t="s">
        <v>82</v>
      </c>
      <c r="P970" s="39" t="s">
        <v>354</v>
      </c>
      <c r="Q970" s="39" t="s">
        <v>1807</v>
      </c>
      <c r="R970" s="16" t="s">
        <v>353</v>
      </c>
      <c r="S970" s="160">
        <v>30000</v>
      </c>
      <c r="T970" s="160">
        <v>0</v>
      </c>
      <c r="U970" s="160">
        <v>0</v>
      </c>
      <c r="V970" s="160">
        <v>0</v>
      </c>
      <c r="W970" s="160">
        <v>30000</v>
      </c>
      <c r="X970" s="161">
        <v>0</v>
      </c>
      <c r="Y970" s="160"/>
      <c r="Z970" s="16">
        <v>0</v>
      </c>
      <c r="AA970" s="162">
        <v>0</v>
      </c>
      <c r="AB970" s="162">
        <v>0</v>
      </c>
      <c r="AC970" s="162">
        <v>0</v>
      </c>
      <c r="AD970" s="160"/>
      <c r="AE970" s="145">
        <v>30000</v>
      </c>
      <c r="AF970" s="163">
        <v>1.0469999999999999</v>
      </c>
      <c r="AG970" s="164">
        <v>1.046</v>
      </c>
      <c r="AH970" s="164">
        <v>1.046</v>
      </c>
      <c r="AI970" s="164">
        <v>30000</v>
      </c>
      <c r="AJ970" s="164">
        <f t="shared" si="144"/>
        <v>0</v>
      </c>
      <c r="AK970" s="165">
        <v>30000</v>
      </c>
      <c r="AL970" s="165">
        <f t="shared" si="146"/>
        <v>30000</v>
      </c>
      <c r="AM970" s="165">
        <f t="shared" si="137"/>
        <v>31380</v>
      </c>
      <c r="AN970" s="165">
        <f t="shared" si="138"/>
        <v>32823.480000000003</v>
      </c>
      <c r="AO970" s="16"/>
      <c r="AP970" s="231">
        <f t="shared" si="145"/>
        <v>0</v>
      </c>
      <c r="AR970" s="231"/>
      <c r="AS970" s="231"/>
      <c r="AU970" s="230">
        <v>30000</v>
      </c>
      <c r="AV970" s="233">
        <v>30000</v>
      </c>
      <c r="AW970" s="230">
        <f t="shared" si="142"/>
        <v>0</v>
      </c>
    </row>
    <row r="971" spans="1:49" hidden="1" x14ac:dyDescent="0.3">
      <c r="A971" s="16" t="s">
        <v>357</v>
      </c>
      <c r="B971" s="39" t="s">
        <v>1808</v>
      </c>
      <c r="C971" s="39" t="s">
        <v>82</v>
      </c>
      <c r="D971" s="340" t="s">
        <v>3480</v>
      </c>
      <c r="E971" s="159" t="s">
        <v>1761</v>
      </c>
      <c r="F971" s="159" t="s">
        <v>362</v>
      </c>
      <c r="G971" s="159" t="s">
        <v>309</v>
      </c>
      <c r="H971" s="159" t="s">
        <v>334</v>
      </c>
      <c r="I971" s="159" t="s">
        <v>359</v>
      </c>
      <c r="J971" s="159" t="s">
        <v>312</v>
      </c>
      <c r="K971" s="159" t="s">
        <v>1849</v>
      </c>
      <c r="L971" s="39" t="s">
        <v>304</v>
      </c>
      <c r="M971" s="39" t="s">
        <v>305</v>
      </c>
      <c r="N971" s="39">
        <v>11</v>
      </c>
      <c r="O971" s="39" t="s">
        <v>82</v>
      </c>
      <c r="P971" s="39" t="s">
        <v>358</v>
      </c>
      <c r="Q971" s="39" t="s">
        <v>1808</v>
      </c>
      <c r="R971" t="s">
        <v>357</v>
      </c>
      <c r="S971" s="223">
        <v>50000</v>
      </c>
      <c r="T971" s="160">
        <v>0</v>
      </c>
      <c r="U971" s="160">
        <v>0</v>
      </c>
      <c r="V971" s="160">
        <v>0</v>
      </c>
      <c r="W971" s="160">
        <v>50000</v>
      </c>
      <c r="X971" s="161">
        <v>0</v>
      </c>
      <c r="Y971" s="160"/>
      <c r="Z971" s="16">
        <v>0</v>
      </c>
      <c r="AA971" s="162">
        <v>0</v>
      </c>
      <c r="AB971" s="224">
        <v>0</v>
      </c>
      <c r="AC971" s="224">
        <v>0</v>
      </c>
      <c r="AD971" s="223"/>
      <c r="AE971" s="145">
        <v>30000</v>
      </c>
      <c r="AF971" s="163">
        <v>1.0469999999999999</v>
      </c>
      <c r="AG971" s="164">
        <v>1.046</v>
      </c>
      <c r="AH971" s="164">
        <v>1.046</v>
      </c>
      <c r="AI971" s="164">
        <v>50000</v>
      </c>
      <c r="AJ971" s="164">
        <f t="shared" si="144"/>
        <v>-20000</v>
      </c>
      <c r="AK971" s="165">
        <f>AE971</f>
        <v>30000</v>
      </c>
      <c r="AL971" s="165">
        <f t="shared" si="146"/>
        <v>30000</v>
      </c>
      <c r="AM971" s="165">
        <f t="shared" si="137"/>
        <v>31380</v>
      </c>
      <c r="AN971" s="165">
        <f t="shared" si="138"/>
        <v>32823.480000000003</v>
      </c>
      <c r="AO971" s="16"/>
      <c r="AP971" s="231">
        <f t="shared" si="145"/>
        <v>0</v>
      </c>
      <c r="AR971" s="231"/>
      <c r="AS971" s="231"/>
      <c r="AU971" s="230">
        <v>50000</v>
      </c>
      <c r="AV971" s="233">
        <v>50000</v>
      </c>
      <c r="AW971" s="230">
        <f t="shared" si="142"/>
        <v>0</v>
      </c>
    </row>
    <row r="972" spans="1:49" hidden="1" x14ac:dyDescent="0.3">
      <c r="A972" s="16" t="s">
        <v>83</v>
      </c>
      <c r="B972" s="39" t="s">
        <v>1809</v>
      </c>
      <c r="C972" s="39" t="s">
        <v>423</v>
      </c>
      <c r="D972" s="340" t="s">
        <v>3480</v>
      </c>
      <c r="E972" s="159" t="s">
        <v>1761</v>
      </c>
      <c r="F972" s="159" t="s">
        <v>362</v>
      </c>
      <c r="G972" s="159" t="s">
        <v>309</v>
      </c>
      <c r="H972" s="159" t="s">
        <v>424</v>
      </c>
      <c r="I972" s="159" t="s">
        <v>425</v>
      </c>
      <c r="J972" s="159" t="s">
        <v>1276</v>
      </c>
      <c r="K972" s="159" t="s">
        <v>1849</v>
      </c>
      <c r="L972" s="39" t="s">
        <v>304</v>
      </c>
      <c r="M972" s="39" t="s">
        <v>305</v>
      </c>
      <c r="N972" s="39">
        <v>11</v>
      </c>
      <c r="O972" s="39" t="s">
        <v>423</v>
      </c>
      <c r="P972" s="39" t="s">
        <v>423</v>
      </c>
      <c r="Q972" s="39" t="s">
        <v>1809</v>
      </c>
      <c r="R972" s="16" t="s">
        <v>83</v>
      </c>
      <c r="S972" s="160">
        <v>30000</v>
      </c>
      <c r="T972" s="160">
        <v>0</v>
      </c>
      <c r="U972" s="160">
        <v>0</v>
      </c>
      <c r="V972" s="160">
        <v>0</v>
      </c>
      <c r="W972" s="160">
        <v>30000</v>
      </c>
      <c r="X972" s="161">
        <v>0</v>
      </c>
      <c r="Y972" s="160"/>
      <c r="Z972" s="16">
        <v>0</v>
      </c>
      <c r="AA972" s="162">
        <v>0</v>
      </c>
      <c r="AB972" s="162">
        <v>0</v>
      </c>
      <c r="AC972" s="162">
        <v>0</v>
      </c>
      <c r="AD972" s="160"/>
      <c r="AE972" s="145">
        <v>30000</v>
      </c>
      <c r="AF972" s="163">
        <v>1.0469999999999999</v>
      </c>
      <c r="AG972" s="164">
        <v>1.046</v>
      </c>
      <c r="AH972" s="164">
        <v>1.046</v>
      </c>
      <c r="AI972" s="164">
        <v>30000</v>
      </c>
      <c r="AJ972" s="164">
        <f t="shared" si="144"/>
        <v>0</v>
      </c>
      <c r="AK972" s="165">
        <v>30000</v>
      </c>
      <c r="AL972" s="165">
        <f t="shared" si="146"/>
        <v>30000</v>
      </c>
      <c r="AM972" s="165">
        <f t="shared" si="137"/>
        <v>31380</v>
      </c>
      <c r="AN972" s="165">
        <f t="shared" si="138"/>
        <v>32823.480000000003</v>
      </c>
      <c r="AO972" s="16"/>
      <c r="AP972" s="231">
        <f t="shared" si="145"/>
        <v>0</v>
      </c>
      <c r="AR972" s="231"/>
      <c r="AS972" s="231"/>
      <c r="AU972" s="230">
        <v>30000</v>
      </c>
      <c r="AV972" s="233">
        <v>30000</v>
      </c>
      <c r="AW972" s="230">
        <f t="shared" si="142"/>
        <v>0</v>
      </c>
    </row>
    <row r="973" spans="1:49" s="172" customFormat="1" x14ac:dyDescent="0.3">
      <c r="A973" s="166" t="s">
        <v>50</v>
      </c>
      <c r="B973" s="167" t="s">
        <v>1810</v>
      </c>
      <c r="C973" s="167" t="s">
        <v>302</v>
      </c>
      <c r="D973" s="412" t="s">
        <v>3481</v>
      </c>
      <c r="E973" s="168" t="s">
        <v>1761</v>
      </c>
      <c r="F973" s="168" t="s">
        <v>363</v>
      </c>
      <c r="G973" s="168" t="s">
        <v>309</v>
      </c>
      <c r="H973" s="168" t="s">
        <v>373</v>
      </c>
      <c r="I973" s="168" t="s">
        <v>374</v>
      </c>
      <c r="J973" s="168" t="s">
        <v>312</v>
      </c>
      <c r="K973" s="168" t="s">
        <v>1849</v>
      </c>
      <c r="L973" s="167" t="s">
        <v>304</v>
      </c>
      <c r="M973" s="167" t="s">
        <v>305</v>
      </c>
      <c r="N973" s="167">
        <v>11</v>
      </c>
      <c r="O973" s="167" t="s">
        <v>302</v>
      </c>
      <c r="P973" s="167" t="s">
        <v>302</v>
      </c>
      <c r="Q973" s="167" t="s">
        <v>1810</v>
      </c>
      <c r="R973" s="166" t="s">
        <v>50</v>
      </c>
      <c r="S973" s="169">
        <v>14294749</v>
      </c>
      <c r="T973" s="160">
        <v>744735.08</v>
      </c>
      <c r="U973" s="160">
        <v>0</v>
      </c>
      <c r="V973" s="160">
        <v>3100227.33</v>
      </c>
      <c r="W973" s="160">
        <v>11194521.67</v>
      </c>
      <c r="X973" s="161">
        <v>0</v>
      </c>
      <c r="Y973" s="160"/>
      <c r="Z973" s="16">
        <v>21.68</v>
      </c>
      <c r="AA973" s="162">
        <v>3100227.33</v>
      </c>
      <c r="AB973" s="162">
        <v>775056.83250000002</v>
      </c>
      <c r="AC973" s="162">
        <v>9300681.9900000002</v>
      </c>
      <c r="AD973" s="160"/>
      <c r="AE973" s="145">
        <v>14294749</v>
      </c>
      <c r="AF973" s="163">
        <v>1.0529999999999999</v>
      </c>
      <c r="AG973" s="163">
        <v>1.0489999999999999</v>
      </c>
      <c r="AH973" s="163">
        <v>1.0469999999999999</v>
      </c>
      <c r="AI973" s="164">
        <v>14294749</v>
      </c>
      <c r="AJ973" s="164">
        <f t="shared" si="144"/>
        <v>0</v>
      </c>
      <c r="AK973" s="229">
        <v>14294749</v>
      </c>
      <c r="AL973" s="229">
        <f ca="1">SUMIF('MS &amp; Vacancies combined'!A:J,D973,'MS &amp; Vacancies combined'!J:J)*105.3/100</f>
        <v>14458982.271038167</v>
      </c>
      <c r="AM973" s="229">
        <f t="shared" ca="1" si="137"/>
        <v>15167472.402319036</v>
      </c>
      <c r="AN973" s="229">
        <f t="shared" ca="1" si="138"/>
        <v>15880343.605228029</v>
      </c>
      <c r="AO973" s="166"/>
      <c r="AP973" s="413">
        <f t="shared" ca="1" si="145"/>
        <v>-164233.27103816718</v>
      </c>
      <c r="AR973" s="231"/>
      <c r="AS973" s="231"/>
      <c r="AU973" s="414">
        <v>14294749</v>
      </c>
      <c r="AV973" s="415">
        <v>14294749</v>
      </c>
      <c r="AW973" s="414">
        <f t="shared" si="142"/>
        <v>0</v>
      </c>
    </row>
    <row r="974" spans="1:49" s="172" customFormat="1" x14ac:dyDescent="0.3">
      <c r="A974" s="166" t="s">
        <v>52</v>
      </c>
      <c r="B974" s="167" t="s">
        <v>1811</v>
      </c>
      <c r="C974" s="167" t="s">
        <v>376</v>
      </c>
      <c r="D974" s="412" t="s">
        <v>3481</v>
      </c>
      <c r="E974" s="168" t="s">
        <v>1761</v>
      </c>
      <c r="F974" s="168" t="s">
        <v>363</v>
      </c>
      <c r="G974" s="168" t="s">
        <v>309</v>
      </c>
      <c r="H974" s="168" t="s">
        <v>373</v>
      </c>
      <c r="I974" s="168" t="s">
        <v>377</v>
      </c>
      <c r="J974" s="168" t="s">
        <v>312</v>
      </c>
      <c r="K974" s="168" t="s">
        <v>1849</v>
      </c>
      <c r="L974" s="167" t="s">
        <v>304</v>
      </c>
      <c r="M974" s="167" t="s">
        <v>305</v>
      </c>
      <c r="N974" s="167">
        <v>11</v>
      </c>
      <c r="O974" s="167" t="s">
        <v>376</v>
      </c>
      <c r="P974" s="167" t="s">
        <v>376</v>
      </c>
      <c r="Q974" s="167" t="s">
        <v>1811</v>
      </c>
      <c r="R974" s="166" t="s">
        <v>52</v>
      </c>
      <c r="S974" s="169">
        <v>9432</v>
      </c>
      <c r="T974" s="160">
        <v>0</v>
      </c>
      <c r="U974" s="160">
        <v>0</v>
      </c>
      <c r="V974" s="160">
        <v>0</v>
      </c>
      <c r="W974" s="160">
        <v>9432</v>
      </c>
      <c r="X974" s="161">
        <v>0</v>
      </c>
      <c r="Y974" s="160"/>
      <c r="Z974" s="16">
        <v>0</v>
      </c>
      <c r="AA974" s="162">
        <v>0</v>
      </c>
      <c r="AB974" s="162">
        <v>0</v>
      </c>
      <c r="AC974" s="162">
        <v>0</v>
      </c>
      <c r="AD974" s="160"/>
      <c r="AE974" s="145">
        <v>9432</v>
      </c>
      <c r="AF974" s="163">
        <v>1.0529999999999999</v>
      </c>
      <c r="AG974" s="163">
        <v>1.0489999999999999</v>
      </c>
      <c r="AH974" s="163">
        <v>1.0469999999999999</v>
      </c>
      <c r="AI974" s="164">
        <v>9432</v>
      </c>
      <c r="AJ974" s="164">
        <f t="shared" si="144"/>
        <v>0</v>
      </c>
      <c r="AK974" s="229">
        <v>9432</v>
      </c>
      <c r="AL974" s="229">
        <f ca="1">SUMIF('MS &amp; Vacancies combined'!A:M,D974,'MS &amp; Vacancies combined'!M:M)*105.3/100</f>
        <v>8738.2136232889079</v>
      </c>
      <c r="AM974" s="229">
        <f t="shared" ca="1" si="137"/>
        <v>9166.386090830063</v>
      </c>
      <c r="AN974" s="229">
        <f t="shared" ca="1" si="138"/>
        <v>9597.2062370990752</v>
      </c>
      <c r="AO974" s="166"/>
      <c r="AP974" s="413">
        <f t="shared" ca="1" si="145"/>
        <v>693.78637671109209</v>
      </c>
      <c r="AR974" s="231"/>
      <c r="AS974" s="231"/>
      <c r="AU974" s="414">
        <v>9432</v>
      </c>
      <c r="AV974" s="415">
        <v>9432</v>
      </c>
      <c r="AW974" s="414">
        <f t="shared" si="142"/>
        <v>0</v>
      </c>
    </row>
    <row r="975" spans="1:49" s="172" customFormat="1" x14ac:dyDescent="0.3">
      <c r="A975" s="166" t="s">
        <v>54</v>
      </c>
      <c r="B975" s="167" t="s">
        <v>1812</v>
      </c>
      <c r="C975" s="167" t="s">
        <v>379</v>
      </c>
      <c r="D975" s="412" t="s">
        <v>3481</v>
      </c>
      <c r="E975" s="168" t="s">
        <v>1761</v>
      </c>
      <c r="F975" s="168" t="s">
        <v>363</v>
      </c>
      <c r="G975" s="168" t="s">
        <v>309</v>
      </c>
      <c r="H975" s="168" t="s">
        <v>373</v>
      </c>
      <c r="I975" s="168" t="s">
        <v>380</v>
      </c>
      <c r="J975" s="168" t="s">
        <v>312</v>
      </c>
      <c r="K975" s="168" t="s">
        <v>1849</v>
      </c>
      <c r="L975" s="167" t="s">
        <v>304</v>
      </c>
      <c r="M975" s="167" t="s">
        <v>305</v>
      </c>
      <c r="N975" s="167">
        <v>11</v>
      </c>
      <c r="O975" s="167" t="s">
        <v>379</v>
      </c>
      <c r="P975" s="167" t="s">
        <v>379</v>
      </c>
      <c r="Q975" s="167" t="s">
        <v>1812</v>
      </c>
      <c r="R975" s="166" t="s">
        <v>54</v>
      </c>
      <c r="S975" s="169">
        <v>727781</v>
      </c>
      <c r="T975" s="160">
        <v>0</v>
      </c>
      <c r="U975" s="160">
        <v>0</v>
      </c>
      <c r="V975" s="160">
        <v>0</v>
      </c>
      <c r="W975" s="160">
        <v>727781</v>
      </c>
      <c r="X975" s="161">
        <v>0</v>
      </c>
      <c r="Y975" s="160"/>
      <c r="Z975" s="16">
        <v>0</v>
      </c>
      <c r="AA975" s="162">
        <v>0</v>
      </c>
      <c r="AB975" s="162">
        <v>0</v>
      </c>
      <c r="AC975" s="162">
        <v>0</v>
      </c>
      <c r="AD975" s="160"/>
      <c r="AE975" s="145">
        <v>727781</v>
      </c>
      <c r="AF975" s="163">
        <v>1.0529999999999999</v>
      </c>
      <c r="AG975" s="163">
        <v>1.0489999999999999</v>
      </c>
      <c r="AH975" s="163">
        <v>1.0469999999999999</v>
      </c>
      <c r="AI975" s="164">
        <v>727781</v>
      </c>
      <c r="AJ975" s="164">
        <f t="shared" si="144"/>
        <v>0</v>
      </c>
      <c r="AK975" s="229">
        <v>727781</v>
      </c>
      <c r="AL975" s="229">
        <f ca="1">SUMIF('MS &amp; Vacancies combined'!A:L,D975,'MS &amp; Vacancies combined'!L:L)*105.3/100</f>
        <v>719073.07500764821</v>
      </c>
      <c r="AM975" s="229">
        <f t="shared" ca="1" si="137"/>
        <v>754307.65568302292</v>
      </c>
      <c r="AN975" s="229">
        <f t="shared" ca="1" si="138"/>
        <v>789760.11550012499</v>
      </c>
      <c r="AO975" s="166"/>
      <c r="AP975" s="413">
        <f t="shared" ca="1" si="145"/>
        <v>8707.9249923517928</v>
      </c>
      <c r="AR975" s="231"/>
      <c r="AS975" s="231"/>
      <c r="AU975" s="414">
        <v>727781</v>
      </c>
      <c r="AV975" s="415">
        <v>727781</v>
      </c>
      <c r="AW975" s="414">
        <f t="shared" si="142"/>
        <v>0</v>
      </c>
    </row>
    <row r="976" spans="1:49" x14ac:dyDescent="0.3">
      <c r="A976" s="16" t="s">
        <v>55</v>
      </c>
      <c r="B976" s="39" t="s">
        <v>1813</v>
      </c>
      <c r="C976" s="39" t="s">
        <v>382</v>
      </c>
      <c r="D976" s="340" t="s">
        <v>3481</v>
      </c>
      <c r="E976" s="159" t="s">
        <v>1761</v>
      </c>
      <c r="F976" s="159" t="s">
        <v>363</v>
      </c>
      <c r="G976" s="159" t="s">
        <v>309</v>
      </c>
      <c r="H976" s="159" t="s">
        <v>373</v>
      </c>
      <c r="I976" s="159" t="s">
        <v>383</v>
      </c>
      <c r="J976" s="159" t="s">
        <v>312</v>
      </c>
      <c r="K976" s="159" t="s">
        <v>1849</v>
      </c>
      <c r="L976" s="39" t="s">
        <v>304</v>
      </c>
      <c r="M976" s="39" t="s">
        <v>305</v>
      </c>
      <c r="N976" s="39">
        <v>11</v>
      </c>
      <c r="O976" s="39" t="s">
        <v>382</v>
      </c>
      <c r="P976" s="39" t="s">
        <v>382</v>
      </c>
      <c r="Q976" s="39" t="s">
        <v>1813</v>
      </c>
      <c r="R976" s="16" t="s">
        <v>55</v>
      </c>
      <c r="S976" s="169">
        <v>0</v>
      </c>
      <c r="T976" s="160">
        <v>0</v>
      </c>
      <c r="U976" s="160">
        <v>0</v>
      </c>
      <c r="V976" s="160">
        <v>0</v>
      </c>
      <c r="W976" s="160">
        <v>0</v>
      </c>
      <c r="X976" s="161">
        <v>0</v>
      </c>
      <c r="Y976" s="160"/>
      <c r="Z976" s="16">
        <v>0</v>
      </c>
      <c r="AA976" s="162">
        <v>0</v>
      </c>
      <c r="AB976" s="162">
        <v>0</v>
      </c>
      <c r="AC976" s="162">
        <v>0</v>
      </c>
      <c r="AD976" s="160"/>
      <c r="AE976" s="145">
        <v>0</v>
      </c>
      <c r="AF976" s="163">
        <v>1.0469999999999999</v>
      </c>
      <c r="AG976" s="164">
        <v>1.046</v>
      </c>
      <c r="AH976" s="164">
        <v>1.046</v>
      </c>
      <c r="AI976" s="164">
        <v>0</v>
      </c>
      <c r="AJ976" s="164">
        <f t="shared" si="144"/>
        <v>0</v>
      </c>
      <c r="AK976" s="165">
        <v>0</v>
      </c>
      <c r="AL976" s="165">
        <v>0</v>
      </c>
      <c r="AM976" s="165">
        <f t="shared" si="137"/>
        <v>0</v>
      </c>
      <c r="AN976" s="165">
        <f t="shared" si="138"/>
        <v>0</v>
      </c>
      <c r="AO976" s="16"/>
      <c r="AP976" s="231">
        <f t="shared" si="145"/>
        <v>0</v>
      </c>
      <c r="AR976" s="231"/>
      <c r="AS976" s="231"/>
      <c r="AU976" s="230">
        <v>0</v>
      </c>
      <c r="AV976" s="233">
        <v>0</v>
      </c>
      <c r="AW976" s="230">
        <f t="shared" si="142"/>
        <v>0</v>
      </c>
    </row>
    <row r="977" spans="1:49" s="172" customFormat="1" x14ac:dyDescent="0.3">
      <c r="A977" s="166" t="s">
        <v>56</v>
      </c>
      <c r="B977" s="167" t="s">
        <v>1814</v>
      </c>
      <c r="C977" s="167" t="s">
        <v>385</v>
      </c>
      <c r="D977" s="412" t="s">
        <v>3481</v>
      </c>
      <c r="E977" s="168" t="s">
        <v>1761</v>
      </c>
      <c r="F977" s="168" t="s">
        <v>363</v>
      </c>
      <c r="G977" s="168" t="s">
        <v>309</v>
      </c>
      <c r="H977" s="168" t="s">
        <v>373</v>
      </c>
      <c r="I977" s="168" t="s">
        <v>386</v>
      </c>
      <c r="J977" s="168" t="s">
        <v>387</v>
      </c>
      <c r="K977" s="168" t="s">
        <v>1849</v>
      </c>
      <c r="L977" s="167" t="s">
        <v>304</v>
      </c>
      <c r="M977" s="167" t="s">
        <v>305</v>
      </c>
      <c r="N977" s="167">
        <v>11</v>
      </c>
      <c r="O977" s="167" t="s">
        <v>385</v>
      </c>
      <c r="P977" s="167" t="s">
        <v>385</v>
      </c>
      <c r="Q977" s="167" t="s">
        <v>1814</v>
      </c>
      <c r="R977" s="166" t="s">
        <v>56</v>
      </c>
      <c r="S977" s="169">
        <v>19512</v>
      </c>
      <c r="T977" s="160">
        <v>0</v>
      </c>
      <c r="U977" s="160">
        <v>0</v>
      </c>
      <c r="V977" s="160">
        <v>0</v>
      </c>
      <c r="W977" s="160">
        <v>19512</v>
      </c>
      <c r="X977" s="161">
        <v>0</v>
      </c>
      <c r="Y977" s="160"/>
      <c r="Z977" s="16">
        <v>0</v>
      </c>
      <c r="AA977" s="162">
        <v>0</v>
      </c>
      <c r="AB977" s="162">
        <v>0</v>
      </c>
      <c r="AC977" s="162">
        <v>0</v>
      </c>
      <c r="AD977" s="160"/>
      <c r="AE977" s="145">
        <v>19512</v>
      </c>
      <c r="AF977" s="163">
        <v>1.0529999999999999</v>
      </c>
      <c r="AG977" s="163">
        <v>1.0489999999999999</v>
      </c>
      <c r="AH977" s="163">
        <v>1.0469999999999999</v>
      </c>
      <c r="AI977" s="164">
        <v>19512</v>
      </c>
      <c r="AJ977" s="164">
        <f t="shared" si="144"/>
        <v>0</v>
      </c>
      <c r="AK977" s="229">
        <v>19512</v>
      </c>
      <c r="AL977" s="229">
        <f ca="1">SUMIF('MS &amp; Vacancies combined'!A:O,D977,'MS &amp; Vacancies combined'!O:O)*105.3/100</f>
        <v>227473.1770414568</v>
      </c>
      <c r="AM977" s="229">
        <f ca="1">AL977*AG977</f>
        <v>238619.36271648816</v>
      </c>
      <c r="AN977" s="229">
        <f ca="1">AM977*AH977</f>
        <v>249834.4727641631</v>
      </c>
      <c r="AO977" s="166"/>
      <c r="AP977" s="413">
        <f t="shared" ca="1" si="145"/>
        <v>-207961.1770414568</v>
      </c>
      <c r="AR977" s="231"/>
      <c r="AS977" s="231"/>
      <c r="AU977" s="414">
        <v>19512</v>
      </c>
      <c r="AV977" s="415">
        <v>19512</v>
      </c>
      <c r="AW977" s="414">
        <f t="shared" si="142"/>
        <v>0</v>
      </c>
    </row>
    <row r="978" spans="1:49" x14ac:dyDescent="0.3">
      <c r="A978" s="16" t="s">
        <v>57</v>
      </c>
      <c r="B978" s="39" t="s">
        <v>1815</v>
      </c>
      <c r="C978" s="39" t="s">
        <v>389</v>
      </c>
      <c r="D978" s="340" t="s">
        <v>3481</v>
      </c>
      <c r="E978" s="159" t="s">
        <v>1761</v>
      </c>
      <c r="F978" s="159" t="s">
        <v>363</v>
      </c>
      <c r="G978" s="159" t="s">
        <v>309</v>
      </c>
      <c r="H978" s="159" t="s">
        <v>373</v>
      </c>
      <c r="I978" s="159" t="s">
        <v>390</v>
      </c>
      <c r="J978" s="159" t="s">
        <v>312</v>
      </c>
      <c r="K978" s="159" t="s">
        <v>1849</v>
      </c>
      <c r="L978" s="39" t="s">
        <v>304</v>
      </c>
      <c r="M978" s="39" t="s">
        <v>305</v>
      </c>
      <c r="N978" s="39">
        <v>11</v>
      </c>
      <c r="O978" s="39" t="s">
        <v>389</v>
      </c>
      <c r="P978" s="39" t="s">
        <v>389</v>
      </c>
      <c r="Q978" s="39" t="s">
        <v>1815</v>
      </c>
      <c r="R978" s="16" t="s">
        <v>57</v>
      </c>
      <c r="S978" s="169">
        <v>2758237</v>
      </c>
      <c r="T978" s="160">
        <v>186112.44</v>
      </c>
      <c r="U978" s="160">
        <v>0</v>
      </c>
      <c r="V978" s="160">
        <v>945829.56</v>
      </c>
      <c r="W978" s="160">
        <v>1812407.44</v>
      </c>
      <c r="X978" s="161">
        <v>0</v>
      </c>
      <c r="Y978" s="160"/>
      <c r="Z978" s="16">
        <v>34.29</v>
      </c>
      <c r="AA978" s="162">
        <v>945829.56</v>
      </c>
      <c r="AB978" s="162">
        <v>236457.39</v>
      </c>
      <c r="AC978" s="162">
        <v>2837488.68</v>
      </c>
      <c r="AD978" s="160"/>
      <c r="AE978" s="145">
        <v>2758237</v>
      </c>
      <c r="AF978" s="421">
        <v>1.0529999999999999</v>
      </c>
      <c r="AG978" s="421">
        <v>1.0489999999999999</v>
      </c>
      <c r="AH978" s="421">
        <v>1.0469999999999999</v>
      </c>
      <c r="AI978" s="164">
        <v>2758237</v>
      </c>
      <c r="AJ978" s="164">
        <f t="shared" si="144"/>
        <v>0</v>
      </c>
      <c r="AK978" s="165">
        <v>2758237</v>
      </c>
      <c r="AL978" s="165">
        <f>AK978*80%</f>
        <v>2206589.6</v>
      </c>
      <c r="AM978" s="165">
        <f t="shared" si="137"/>
        <v>2314712.4904</v>
      </c>
      <c r="AN978" s="165">
        <f t="shared" si="138"/>
        <v>2423503.9774487996</v>
      </c>
      <c r="AO978" s="16"/>
      <c r="AP978" s="231">
        <f t="shared" si="145"/>
        <v>551647.39999999991</v>
      </c>
      <c r="AR978" s="231"/>
      <c r="AS978" s="231"/>
      <c r="AU978" s="230">
        <v>2758237</v>
      </c>
      <c r="AV978" s="233">
        <v>2758237</v>
      </c>
      <c r="AW978" s="230">
        <f t="shared" si="142"/>
        <v>0</v>
      </c>
    </row>
    <row r="979" spans="1:49" x14ac:dyDescent="0.3">
      <c r="A979" s="16" t="s">
        <v>59</v>
      </c>
      <c r="B979" s="39" t="s">
        <v>1816</v>
      </c>
      <c r="C979" s="39" t="s">
        <v>855</v>
      </c>
      <c r="D979" s="340" t="s">
        <v>3481</v>
      </c>
      <c r="E979" s="159" t="s">
        <v>1761</v>
      </c>
      <c r="F979" s="159" t="s">
        <v>363</v>
      </c>
      <c r="G979" s="159" t="s">
        <v>309</v>
      </c>
      <c r="H979" s="159" t="s">
        <v>373</v>
      </c>
      <c r="I979" s="159" t="s">
        <v>311</v>
      </c>
      <c r="J979" s="159" t="s">
        <v>312</v>
      </c>
      <c r="K979" s="159" t="s">
        <v>1849</v>
      </c>
      <c r="L979" s="39" t="s">
        <v>304</v>
      </c>
      <c r="M979" s="39" t="s">
        <v>305</v>
      </c>
      <c r="N979" s="39">
        <v>11</v>
      </c>
      <c r="O979" s="39" t="s">
        <v>855</v>
      </c>
      <c r="P979" s="39" t="s">
        <v>855</v>
      </c>
      <c r="Q979" s="39" t="s">
        <v>1816</v>
      </c>
      <c r="R979" s="16" t="s">
        <v>59</v>
      </c>
      <c r="S979" s="169">
        <v>1578046</v>
      </c>
      <c r="T979" s="160">
        <v>179399.61</v>
      </c>
      <c r="U979" s="160">
        <v>0</v>
      </c>
      <c r="V979" s="160">
        <v>717598.44</v>
      </c>
      <c r="W979" s="160">
        <v>860447.56</v>
      </c>
      <c r="X979" s="161">
        <v>0</v>
      </c>
      <c r="Y979" s="160"/>
      <c r="Z979" s="16">
        <v>45.47</v>
      </c>
      <c r="AA979" s="162">
        <v>717598.44</v>
      </c>
      <c r="AB979" s="162">
        <v>179399.61</v>
      </c>
      <c r="AC979" s="162">
        <v>2152795.3199999998</v>
      </c>
      <c r="AD979" s="160"/>
      <c r="AE979" s="145">
        <v>1578046</v>
      </c>
      <c r="AF979" s="421">
        <v>1.0529999999999999</v>
      </c>
      <c r="AG979" s="421">
        <v>1.0489999999999999</v>
      </c>
      <c r="AH979" s="421">
        <v>1.0469999999999999</v>
      </c>
      <c r="AI979" s="164">
        <v>1578046</v>
      </c>
      <c r="AJ979" s="164">
        <f t="shared" si="144"/>
        <v>0</v>
      </c>
      <c r="AK979" s="165">
        <v>1578046</v>
      </c>
      <c r="AL979" s="165">
        <f>AK979*AF979</f>
        <v>1661682.4379999998</v>
      </c>
      <c r="AM979" s="165">
        <f t="shared" si="137"/>
        <v>1743104.8774619997</v>
      </c>
      <c r="AN979" s="165">
        <f t="shared" si="138"/>
        <v>1825030.8067027135</v>
      </c>
      <c r="AO979" s="16"/>
      <c r="AP979" s="231">
        <f t="shared" si="145"/>
        <v>-83636.437999999849</v>
      </c>
      <c r="AR979" s="231"/>
      <c r="AS979" s="231"/>
      <c r="AU979" s="230">
        <v>1578046</v>
      </c>
      <c r="AV979" s="233">
        <v>1578046</v>
      </c>
      <c r="AW979" s="230">
        <f t="shared" si="142"/>
        <v>0</v>
      </c>
    </row>
    <row r="980" spans="1:49" x14ac:dyDescent="0.3">
      <c r="A980" s="16" t="s">
        <v>60</v>
      </c>
      <c r="B980" s="39" t="s">
        <v>1817</v>
      </c>
      <c r="C980" s="39" t="s">
        <v>392</v>
      </c>
      <c r="D980" s="340" t="s">
        <v>3481</v>
      </c>
      <c r="E980" s="159" t="s">
        <v>1761</v>
      </c>
      <c r="F980" s="159" t="s">
        <v>363</v>
      </c>
      <c r="G980" s="159" t="s">
        <v>309</v>
      </c>
      <c r="H980" s="159" t="s">
        <v>373</v>
      </c>
      <c r="I980" s="159" t="s">
        <v>393</v>
      </c>
      <c r="J980" s="159" t="s">
        <v>312</v>
      </c>
      <c r="K980" s="159" t="s">
        <v>1849</v>
      </c>
      <c r="L980" s="39" t="s">
        <v>304</v>
      </c>
      <c r="M980" s="39" t="s">
        <v>305</v>
      </c>
      <c r="N980" s="39">
        <v>11</v>
      </c>
      <c r="O980" s="39" t="s">
        <v>392</v>
      </c>
      <c r="P980" s="39" t="s">
        <v>392</v>
      </c>
      <c r="Q980" s="39" t="s">
        <v>1817</v>
      </c>
      <c r="R980" s="16" t="s">
        <v>60</v>
      </c>
      <c r="S980" s="169">
        <v>0</v>
      </c>
      <c r="T980" s="160">
        <v>0</v>
      </c>
      <c r="U980" s="160">
        <v>0</v>
      </c>
      <c r="V980" s="160">
        <v>0</v>
      </c>
      <c r="W980" s="160">
        <v>0</v>
      </c>
      <c r="X980" s="161">
        <v>0</v>
      </c>
      <c r="Y980" s="160"/>
      <c r="Z980" s="16">
        <v>0</v>
      </c>
      <c r="AA980" s="162">
        <v>0</v>
      </c>
      <c r="AB980" s="162">
        <v>0</v>
      </c>
      <c r="AC980" s="162">
        <v>0</v>
      </c>
      <c r="AD980" s="160"/>
      <c r="AE980" s="145">
        <v>0</v>
      </c>
      <c r="AF980" s="421">
        <v>1.0529999999999999</v>
      </c>
      <c r="AG980" s="421">
        <v>1.0489999999999999</v>
      </c>
      <c r="AH980" s="421">
        <v>1.0469999999999999</v>
      </c>
      <c r="AI980" s="164">
        <v>0</v>
      </c>
      <c r="AJ980" s="164">
        <f t="shared" si="144"/>
        <v>0</v>
      </c>
      <c r="AK980" s="165">
        <v>0</v>
      </c>
      <c r="AL980" s="165">
        <f>AK980*AF980</f>
        <v>0</v>
      </c>
      <c r="AM980" s="165">
        <f t="shared" si="137"/>
        <v>0</v>
      </c>
      <c r="AN980" s="165">
        <f t="shared" si="138"/>
        <v>0</v>
      </c>
      <c r="AO980" s="16"/>
      <c r="AP980" s="231">
        <f t="shared" si="145"/>
        <v>0</v>
      </c>
      <c r="AR980" s="231"/>
      <c r="AS980" s="231"/>
      <c r="AU980" s="230">
        <v>0</v>
      </c>
      <c r="AV980" s="233">
        <v>0</v>
      </c>
      <c r="AW980" s="230">
        <f t="shared" si="142"/>
        <v>0</v>
      </c>
    </row>
    <row r="981" spans="1:49" s="172" customFormat="1" x14ac:dyDescent="0.3">
      <c r="A981" s="166" t="s">
        <v>62</v>
      </c>
      <c r="B981" s="167" t="s">
        <v>1818</v>
      </c>
      <c r="C981" s="167" t="s">
        <v>395</v>
      </c>
      <c r="D981" s="412" t="s">
        <v>3481</v>
      </c>
      <c r="E981" s="168" t="s">
        <v>1761</v>
      </c>
      <c r="F981" s="168" t="s">
        <v>363</v>
      </c>
      <c r="G981" s="168" t="s">
        <v>309</v>
      </c>
      <c r="H981" s="168" t="s">
        <v>373</v>
      </c>
      <c r="I981" s="168" t="s">
        <v>396</v>
      </c>
      <c r="J981" s="168" t="s">
        <v>312</v>
      </c>
      <c r="K981" s="168" t="s">
        <v>1849</v>
      </c>
      <c r="L981" s="167" t="s">
        <v>304</v>
      </c>
      <c r="M981" s="167" t="s">
        <v>305</v>
      </c>
      <c r="N981" s="167">
        <v>11</v>
      </c>
      <c r="O981" s="167" t="s">
        <v>395</v>
      </c>
      <c r="P981" s="167" t="s">
        <v>395</v>
      </c>
      <c r="Q981" s="167" t="s">
        <v>1818</v>
      </c>
      <c r="R981" s="166" t="s">
        <v>62</v>
      </c>
      <c r="S981" s="169">
        <v>1191229</v>
      </c>
      <c r="T981" s="160">
        <v>0</v>
      </c>
      <c r="U981" s="160">
        <v>0</v>
      </c>
      <c r="V981" s="160">
        <v>38356</v>
      </c>
      <c r="W981" s="160">
        <v>1152873</v>
      </c>
      <c r="X981" s="161">
        <v>0</v>
      </c>
      <c r="Y981" s="160"/>
      <c r="Z981" s="16">
        <v>3.21</v>
      </c>
      <c r="AA981" s="162">
        <v>38356</v>
      </c>
      <c r="AB981" s="162">
        <v>9589</v>
      </c>
      <c r="AC981" s="162">
        <v>115068</v>
      </c>
      <c r="AD981" s="160"/>
      <c r="AE981" s="145">
        <v>1191229</v>
      </c>
      <c r="AF981" s="163">
        <v>1.0529999999999999</v>
      </c>
      <c r="AG981" s="163">
        <v>1.0489999999999999</v>
      </c>
      <c r="AH981" s="163">
        <v>1.0469999999999999</v>
      </c>
      <c r="AI981" s="164">
        <v>1191229</v>
      </c>
      <c r="AJ981" s="164">
        <f t="shared" si="144"/>
        <v>0</v>
      </c>
      <c r="AK981" s="229">
        <v>1191229</v>
      </c>
      <c r="AL981" s="229">
        <f ca="1">SUMIF('MS &amp; Vacancies combined'!A:K,D981,'MS &amp; Vacancies combined'!K:K)*105.3/100</f>
        <v>1204915.1892531817</v>
      </c>
      <c r="AM981" s="229">
        <f ca="1">AL981*AG981</f>
        <v>1263956.0335265875</v>
      </c>
      <c r="AN981" s="229">
        <f ca="1">AM981*AH981</f>
        <v>1323361.9671023372</v>
      </c>
      <c r="AO981" s="166"/>
      <c r="AP981" s="413">
        <f t="shared" ca="1" si="145"/>
        <v>-13686.189253181685</v>
      </c>
      <c r="AR981" s="231"/>
      <c r="AS981" s="231"/>
      <c r="AU981" s="414">
        <v>1191229</v>
      </c>
      <c r="AV981" s="415">
        <v>1191229</v>
      </c>
      <c r="AW981" s="414">
        <f t="shared" si="142"/>
        <v>0</v>
      </c>
    </row>
    <row r="982" spans="1:49" x14ac:dyDescent="0.3">
      <c r="A982" s="16" t="s">
        <v>64</v>
      </c>
      <c r="B982" s="39" t="s">
        <v>1819</v>
      </c>
      <c r="C982" s="39" t="s">
        <v>464</v>
      </c>
      <c r="D982" s="340" t="s">
        <v>3481</v>
      </c>
      <c r="E982" s="159" t="s">
        <v>1761</v>
      </c>
      <c r="F982" s="159" t="s">
        <v>363</v>
      </c>
      <c r="G982" s="159" t="s">
        <v>309</v>
      </c>
      <c r="H982" s="159" t="s">
        <v>373</v>
      </c>
      <c r="I982" s="159" t="s">
        <v>465</v>
      </c>
      <c r="J982" s="159" t="s">
        <v>312</v>
      </c>
      <c r="K982" s="159" t="s">
        <v>1849</v>
      </c>
      <c r="L982" s="39" t="s">
        <v>304</v>
      </c>
      <c r="M982" s="39" t="s">
        <v>305</v>
      </c>
      <c r="N982" s="39">
        <v>11</v>
      </c>
      <c r="O982" s="39" t="s">
        <v>464</v>
      </c>
      <c r="P982" s="39" t="s">
        <v>464</v>
      </c>
      <c r="Q982" s="39" t="s">
        <v>1819</v>
      </c>
      <c r="R982" s="16" t="s">
        <v>64</v>
      </c>
      <c r="S982" s="169">
        <v>15091</v>
      </c>
      <c r="T982" s="160">
        <v>0</v>
      </c>
      <c r="U982" s="160">
        <v>0</v>
      </c>
      <c r="V982" s="160">
        <v>0</v>
      </c>
      <c r="W982" s="160">
        <v>15091</v>
      </c>
      <c r="X982" s="161">
        <v>0</v>
      </c>
      <c r="Y982" s="160"/>
      <c r="Z982" s="16">
        <v>0</v>
      </c>
      <c r="AA982" s="162">
        <v>0</v>
      </c>
      <c r="AB982" s="162">
        <v>0</v>
      </c>
      <c r="AC982" s="162">
        <v>0</v>
      </c>
      <c r="AD982" s="160"/>
      <c r="AE982" s="145">
        <v>15091</v>
      </c>
      <c r="AF982" s="421">
        <v>1.0529999999999999</v>
      </c>
      <c r="AG982" s="421">
        <v>1.0489999999999999</v>
      </c>
      <c r="AH982" s="421">
        <v>1.0469999999999999</v>
      </c>
      <c r="AI982" s="164">
        <v>15091</v>
      </c>
      <c r="AJ982" s="164">
        <f t="shared" si="144"/>
        <v>0</v>
      </c>
      <c r="AK982" s="165">
        <v>15091</v>
      </c>
      <c r="AL982" s="165">
        <f>AK982*AF982</f>
        <v>15890.822999999999</v>
      </c>
      <c r="AM982" s="165">
        <f t="shared" si="137"/>
        <v>16669.473326999996</v>
      </c>
      <c r="AN982" s="165">
        <f t="shared" si="138"/>
        <v>17452.938573368996</v>
      </c>
      <c r="AO982" s="16"/>
      <c r="AP982" s="231">
        <f t="shared" si="145"/>
        <v>-799.8229999999985</v>
      </c>
      <c r="AR982" s="231"/>
      <c r="AS982" s="231"/>
      <c r="AU982" s="230">
        <v>15091</v>
      </c>
      <c r="AV982" s="233">
        <v>15091</v>
      </c>
      <c r="AW982" s="230">
        <f t="shared" si="142"/>
        <v>0</v>
      </c>
    </row>
    <row r="983" spans="1:49" x14ac:dyDescent="0.3">
      <c r="A983" s="16" t="s">
        <v>65</v>
      </c>
      <c r="B983" s="39" t="s">
        <v>1820</v>
      </c>
      <c r="C983" s="39" t="s">
        <v>467</v>
      </c>
      <c r="D983" s="340" t="s">
        <v>3481</v>
      </c>
      <c r="E983" s="159" t="s">
        <v>1761</v>
      </c>
      <c r="F983" s="159" t="s">
        <v>363</v>
      </c>
      <c r="G983" s="159" t="s">
        <v>309</v>
      </c>
      <c r="H983" s="159" t="s">
        <v>373</v>
      </c>
      <c r="I983" s="159" t="s">
        <v>468</v>
      </c>
      <c r="J983" s="159" t="s">
        <v>312</v>
      </c>
      <c r="K983" s="159" t="s">
        <v>1849</v>
      </c>
      <c r="L983" s="39" t="s">
        <v>304</v>
      </c>
      <c r="M983" s="39" t="s">
        <v>305</v>
      </c>
      <c r="N983" s="39">
        <v>11</v>
      </c>
      <c r="O983" s="39" t="s">
        <v>467</v>
      </c>
      <c r="P983" s="39" t="s">
        <v>467</v>
      </c>
      <c r="Q983" s="39" t="s">
        <v>1820</v>
      </c>
      <c r="R983" s="16" t="s">
        <v>65</v>
      </c>
      <c r="S983" s="169">
        <v>0</v>
      </c>
      <c r="T983" s="160">
        <v>0</v>
      </c>
      <c r="U983" s="160">
        <v>0</v>
      </c>
      <c r="V983" s="160">
        <v>0</v>
      </c>
      <c r="W983" s="160">
        <v>0</v>
      </c>
      <c r="X983" s="161">
        <v>0</v>
      </c>
      <c r="Y983" s="160"/>
      <c r="Z983" s="16">
        <v>0</v>
      </c>
      <c r="AA983" s="162">
        <v>0</v>
      </c>
      <c r="AB983" s="162">
        <v>0</v>
      </c>
      <c r="AC983" s="162">
        <v>0</v>
      </c>
      <c r="AD983" s="160"/>
      <c r="AE983" s="145">
        <v>0</v>
      </c>
      <c r="AF983" s="163">
        <v>1.0469999999999999</v>
      </c>
      <c r="AG983" s="164">
        <v>1.046</v>
      </c>
      <c r="AH983" s="164">
        <v>1.046</v>
      </c>
      <c r="AI983" s="164">
        <v>0</v>
      </c>
      <c r="AJ983" s="164">
        <f t="shared" si="144"/>
        <v>0</v>
      </c>
      <c r="AK983" s="165">
        <v>0</v>
      </c>
      <c r="AL983" s="165">
        <v>0</v>
      </c>
      <c r="AM983" s="165">
        <f t="shared" si="137"/>
        <v>0</v>
      </c>
      <c r="AN983" s="165">
        <f t="shared" si="138"/>
        <v>0</v>
      </c>
      <c r="AO983" s="16"/>
      <c r="AP983" s="231">
        <f t="shared" si="145"/>
        <v>0</v>
      </c>
      <c r="AR983" s="231"/>
      <c r="AS983" s="231"/>
      <c r="AU983" s="230">
        <v>0</v>
      </c>
      <c r="AV983" s="233">
        <v>0</v>
      </c>
      <c r="AW983" s="230">
        <f t="shared" si="142"/>
        <v>0</v>
      </c>
    </row>
    <row r="984" spans="1:49" s="172" customFormat="1" x14ac:dyDescent="0.3">
      <c r="A984" s="166" t="s">
        <v>69</v>
      </c>
      <c r="B984" s="167" t="s">
        <v>1821</v>
      </c>
      <c r="C984" s="167" t="s">
        <v>398</v>
      </c>
      <c r="D984" s="412" t="s">
        <v>3481</v>
      </c>
      <c r="E984" s="168" t="s">
        <v>1761</v>
      </c>
      <c r="F984" s="168" t="s">
        <v>363</v>
      </c>
      <c r="G984" s="168" t="s">
        <v>309</v>
      </c>
      <c r="H984" s="168" t="s">
        <v>310</v>
      </c>
      <c r="I984" s="168" t="s">
        <v>374</v>
      </c>
      <c r="J984" s="168" t="s">
        <v>312</v>
      </c>
      <c r="K984" s="168" t="s">
        <v>1849</v>
      </c>
      <c r="L984" s="167" t="s">
        <v>304</v>
      </c>
      <c r="M984" s="167" t="s">
        <v>305</v>
      </c>
      <c r="N984" s="167">
        <v>11</v>
      </c>
      <c r="O984" s="167" t="s">
        <v>398</v>
      </c>
      <c r="P984" s="167" t="s">
        <v>398</v>
      </c>
      <c r="Q984" s="167" t="s">
        <v>1821</v>
      </c>
      <c r="R984" s="166" t="s">
        <v>69</v>
      </c>
      <c r="S984" s="169">
        <v>7772</v>
      </c>
      <c r="T984" s="160">
        <v>410.4</v>
      </c>
      <c r="U984" s="160">
        <v>0</v>
      </c>
      <c r="V984" s="160">
        <v>1641.6</v>
      </c>
      <c r="W984" s="160">
        <v>6130.4</v>
      </c>
      <c r="X984" s="161">
        <v>0</v>
      </c>
      <c r="Y984" s="160"/>
      <c r="Z984" s="16">
        <v>21.12</v>
      </c>
      <c r="AA984" s="162">
        <v>1641.6</v>
      </c>
      <c r="AB984" s="162">
        <v>410.4</v>
      </c>
      <c r="AC984" s="162">
        <v>4924.7999999999993</v>
      </c>
      <c r="AD984" s="160"/>
      <c r="AE984" s="145">
        <v>7772</v>
      </c>
      <c r="AF984" s="163">
        <v>1.0529999999999999</v>
      </c>
      <c r="AG984" s="163">
        <v>1.0489999999999999</v>
      </c>
      <c r="AH984" s="163">
        <v>1.0469999999999999</v>
      </c>
      <c r="AI984" s="164">
        <v>7772</v>
      </c>
      <c r="AJ984" s="164">
        <f t="shared" si="144"/>
        <v>0</v>
      </c>
      <c r="AK984" s="229">
        <v>7772</v>
      </c>
      <c r="AL984" s="229">
        <f ca="1">SUMIF('MS &amp; Vacancies combined'!A:N,D984,'MS &amp; Vacancies combined'!N:N)*105.3/100</f>
        <v>7675.6468466969854</v>
      </c>
      <c r="AM984" s="229">
        <f t="shared" ca="1" si="137"/>
        <v>8051.7535421851371</v>
      </c>
      <c r="AN984" s="229">
        <f t="shared" ca="1" si="138"/>
        <v>8430.1859586678383</v>
      </c>
      <c r="AO984" s="166"/>
      <c r="AP984" s="413">
        <f t="shared" ca="1" si="145"/>
        <v>96.353153303014551</v>
      </c>
      <c r="AR984" s="231"/>
      <c r="AS984" s="231"/>
      <c r="AU984" s="414">
        <v>7772</v>
      </c>
      <c r="AV984" s="415">
        <v>7772</v>
      </c>
      <c r="AW984" s="414">
        <f t="shared" si="142"/>
        <v>0</v>
      </c>
    </row>
    <row r="985" spans="1:49" s="172" customFormat="1" x14ac:dyDescent="0.3">
      <c r="A985" s="166" t="s">
        <v>70</v>
      </c>
      <c r="B985" s="167" t="s">
        <v>1822</v>
      </c>
      <c r="C985" s="167" t="s">
        <v>400</v>
      </c>
      <c r="D985" s="412" t="s">
        <v>3481</v>
      </c>
      <c r="E985" s="168" t="s">
        <v>1761</v>
      </c>
      <c r="F985" s="168" t="s">
        <v>363</v>
      </c>
      <c r="G985" s="168" t="s">
        <v>309</v>
      </c>
      <c r="H985" s="168" t="s">
        <v>310</v>
      </c>
      <c r="I985" s="168" t="s">
        <v>401</v>
      </c>
      <c r="J985" s="168" t="s">
        <v>312</v>
      </c>
      <c r="K985" s="168" t="s">
        <v>1849</v>
      </c>
      <c r="L985" s="167" t="s">
        <v>304</v>
      </c>
      <c r="M985" s="167" t="s">
        <v>305</v>
      </c>
      <c r="N985" s="167">
        <v>11</v>
      </c>
      <c r="O985" s="167" t="s">
        <v>400</v>
      </c>
      <c r="P985" s="167" t="s">
        <v>400</v>
      </c>
      <c r="Q985" s="167" t="s">
        <v>1822</v>
      </c>
      <c r="R985" s="166" t="s">
        <v>70</v>
      </c>
      <c r="S985" s="169">
        <v>243011</v>
      </c>
      <c r="T985" s="160">
        <v>11110.74</v>
      </c>
      <c r="U985" s="160">
        <v>0</v>
      </c>
      <c r="V985" s="160">
        <v>44756.33</v>
      </c>
      <c r="W985" s="160">
        <v>198254.67</v>
      </c>
      <c r="X985" s="161">
        <v>0</v>
      </c>
      <c r="Y985" s="160"/>
      <c r="Z985" s="16">
        <v>18.41</v>
      </c>
      <c r="AA985" s="162">
        <v>44756.33</v>
      </c>
      <c r="AB985" s="162">
        <v>11189.0825</v>
      </c>
      <c r="AC985" s="162">
        <v>134268.99</v>
      </c>
      <c r="AD985" s="160"/>
      <c r="AE985" s="145">
        <v>243011</v>
      </c>
      <c r="AF985" s="163">
        <v>1.0529999999999999</v>
      </c>
      <c r="AG985" s="163">
        <v>1.0489999999999999</v>
      </c>
      <c r="AH985" s="163">
        <v>1.0469999999999999</v>
      </c>
      <c r="AI985" s="164">
        <v>243011</v>
      </c>
      <c r="AJ985" s="164">
        <f t="shared" si="144"/>
        <v>0</v>
      </c>
      <c r="AK985" s="229">
        <v>243011</v>
      </c>
      <c r="AL985" s="229">
        <f ca="1">SUMIF('MS &amp; Vacancies combined'!A:P,D985,'MS &amp; Vacancies combined'!P:P)*105.3/100</f>
        <v>253032.18974316839</v>
      </c>
      <c r="AM985" s="229">
        <f t="shared" ca="1" si="137"/>
        <v>265430.7670405836</v>
      </c>
      <c r="AN985" s="229">
        <f t="shared" ca="1" si="138"/>
        <v>277906.01309149101</v>
      </c>
      <c r="AO985" s="166"/>
      <c r="AP985" s="413">
        <f t="shared" ca="1" si="145"/>
        <v>-10021.18974316839</v>
      </c>
      <c r="AR985" s="231"/>
      <c r="AS985" s="231"/>
      <c r="AU985" s="414">
        <v>243011</v>
      </c>
      <c r="AV985" s="415">
        <v>243011</v>
      </c>
      <c r="AW985" s="414">
        <f t="shared" si="142"/>
        <v>0</v>
      </c>
    </row>
    <row r="986" spans="1:49" s="172" customFormat="1" x14ac:dyDescent="0.3">
      <c r="A986" s="166" t="s">
        <v>71</v>
      </c>
      <c r="B986" s="167" t="s">
        <v>1823</v>
      </c>
      <c r="C986" s="167" t="s">
        <v>403</v>
      </c>
      <c r="D986" s="412" t="s">
        <v>3481</v>
      </c>
      <c r="E986" s="168" t="s">
        <v>1761</v>
      </c>
      <c r="F986" s="168" t="s">
        <v>363</v>
      </c>
      <c r="G986" s="168" t="s">
        <v>309</v>
      </c>
      <c r="H986" s="168" t="s">
        <v>310</v>
      </c>
      <c r="I986" s="168" t="s">
        <v>404</v>
      </c>
      <c r="J986" s="168" t="s">
        <v>312</v>
      </c>
      <c r="K986" s="168" t="s">
        <v>1849</v>
      </c>
      <c r="L986" s="167" t="s">
        <v>304</v>
      </c>
      <c r="M986" s="167" t="s">
        <v>305</v>
      </c>
      <c r="N986" s="167">
        <v>11</v>
      </c>
      <c r="O986" s="167" t="s">
        <v>403</v>
      </c>
      <c r="P986" s="167" t="s">
        <v>403</v>
      </c>
      <c r="Q986" s="167" t="s">
        <v>1823</v>
      </c>
      <c r="R986" s="166" t="s">
        <v>71</v>
      </c>
      <c r="S986" s="169">
        <v>3601605</v>
      </c>
      <c r="T986" s="160">
        <v>118839.6</v>
      </c>
      <c r="U986" s="160">
        <v>0</v>
      </c>
      <c r="V986" s="160">
        <v>475983.6</v>
      </c>
      <c r="W986" s="160">
        <v>3125621.4</v>
      </c>
      <c r="X986" s="161">
        <v>0</v>
      </c>
      <c r="Y986" s="160"/>
      <c r="Z986" s="16">
        <v>13.21</v>
      </c>
      <c r="AA986" s="162">
        <v>475983.6</v>
      </c>
      <c r="AB986" s="162">
        <v>118995.9</v>
      </c>
      <c r="AC986" s="162">
        <v>1427950.7999999998</v>
      </c>
      <c r="AD986" s="160"/>
      <c r="AE986" s="145">
        <v>3601605</v>
      </c>
      <c r="AF986" s="163">
        <v>1.0529999999999999</v>
      </c>
      <c r="AG986" s="163">
        <v>1.0489999999999999</v>
      </c>
      <c r="AH986" s="163">
        <v>1.0469999999999999</v>
      </c>
      <c r="AI986" s="164">
        <v>3601605</v>
      </c>
      <c r="AJ986" s="164">
        <f t="shared" si="144"/>
        <v>0</v>
      </c>
      <c r="AK986" s="229">
        <v>3601605</v>
      </c>
      <c r="AL986" s="229">
        <f ca="1">SUMIF('MS &amp; Vacancies combined'!A:Q,D986,'MS &amp; Vacancies combined'!Q:Q)*105.3/100</f>
        <v>3558515.1630936842</v>
      </c>
      <c r="AM986" s="229">
        <f t="shared" ca="1" si="137"/>
        <v>3732882.4060852746</v>
      </c>
      <c r="AN986" s="229">
        <f t="shared" ca="1" si="138"/>
        <v>3908327.8791712825</v>
      </c>
      <c r="AO986" s="166"/>
      <c r="AP986" s="413">
        <f t="shared" ca="1" si="145"/>
        <v>43089.836906315759</v>
      </c>
      <c r="AR986" s="231"/>
      <c r="AS986" s="231"/>
      <c r="AU986" s="414">
        <v>3601605</v>
      </c>
      <c r="AV986" s="415">
        <v>3601605</v>
      </c>
      <c r="AW986" s="414">
        <f t="shared" si="142"/>
        <v>0</v>
      </c>
    </row>
    <row r="987" spans="1:49" s="172" customFormat="1" x14ac:dyDescent="0.3">
      <c r="A987" s="166" t="s">
        <v>72</v>
      </c>
      <c r="B987" s="167" t="s">
        <v>1824</v>
      </c>
      <c r="C987" s="167" t="s">
        <v>406</v>
      </c>
      <c r="D987" s="412" t="s">
        <v>3481</v>
      </c>
      <c r="E987" s="168" t="s">
        <v>1761</v>
      </c>
      <c r="F987" s="168" t="s">
        <v>363</v>
      </c>
      <c r="G987" s="168" t="s">
        <v>309</v>
      </c>
      <c r="H987" s="168" t="s">
        <v>310</v>
      </c>
      <c r="I987" s="168" t="s">
        <v>407</v>
      </c>
      <c r="J987" s="168" t="s">
        <v>312</v>
      </c>
      <c r="K987" s="168" t="s">
        <v>1849</v>
      </c>
      <c r="L987" s="167" t="s">
        <v>304</v>
      </c>
      <c r="M987" s="167" t="s">
        <v>305</v>
      </c>
      <c r="N987" s="167">
        <v>11</v>
      </c>
      <c r="O987" s="167" t="s">
        <v>406</v>
      </c>
      <c r="P987" s="167" t="s">
        <v>406</v>
      </c>
      <c r="Q987" s="167" t="s">
        <v>1824</v>
      </c>
      <c r="R987" s="166" t="s">
        <v>72</v>
      </c>
      <c r="S987" s="169">
        <v>2583061</v>
      </c>
      <c r="T987" s="160">
        <v>136338.85</v>
      </c>
      <c r="U987" s="160">
        <v>0</v>
      </c>
      <c r="V987" s="160">
        <v>545355.4</v>
      </c>
      <c r="W987" s="160">
        <v>2037705.6</v>
      </c>
      <c r="X987" s="161">
        <v>0</v>
      </c>
      <c r="Y987" s="160"/>
      <c r="Z987" s="16">
        <v>21.11</v>
      </c>
      <c r="AA987" s="162">
        <v>545355.4</v>
      </c>
      <c r="AB987" s="162">
        <v>136338.85</v>
      </c>
      <c r="AC987" s="162">
        <v>1636066.2000000002</v>
      </c>
      <c r="AD987" s="160"/>
      <c r="AE987" s="145">
        <v>2583061</v>
      </c>
      <c r="AF987" s="163">
        <v>1.0529999999999999</v>
      </c>
      <c r="AG987" s="163">
        <v>1.0489999999999999</v>
      </c>
      <c r="AH987" s="163">
        <v>1.0469999999999999</v>
      </c>
      <c r="AI987" s="164">
        <v>2583061</v>
      </c>
      <c r="AJ987" s="164">
        <f t="shared" si="144"/>
        <v>0</v>
      </c>
      <c r="AK987" s="229">
        <v>2583061</v>
      </c>
      <c r="AL987" s="229">
        <f ca="1">SUMIF('MS &amp; Vacancies combined'!A:R,D987,'MS &amp; Vacancies combined'!R:R)*105.3/100</f>
        <v>2612738.0963765974</v>
      </c>
      <c r="AM987" s="229">
        <f t="shared" ca="1" si="137"/>
        <v>2740762.2630990506</v>
      </c>
      <c r="AN987" s="229">
        <f t="shared" ca="1" si="138"/>
        <v>2869578.0894647059</v>
      </c>
      <c r="AO987" s="166"/>
      <c r="AP987" s="413">
        <f t="shared" ca="1" si="145"/>
        <v>-29677.096376597416</v>
      </c>
      <c r="AR987" s="231"/>
      <c r="AS987" s="231"/>
      <c r="AU987" s="414">
        <v>2583061</v>
      </c>
      <c r="AV987" s="415">
        <v>2583061</v>
      </c>
      <c r="AW987" s="414">
        <f t="shared" si="142"/>
        <v>0</v>
      </c>
    </row>
    <row r="988" spans="1:49" s="172" customFormat="1" x14ac:dyDescent="0.3">
      <c r="A988" s="166" t="s">
        <v>73</v>
      </c>
      <c r="B988" s="167" t="s">
        <v>1825</v>
      </c>
      <c r="C988" s="167" t="s">
        <v>307</v>
      </c>
      <c r="D988" s="412" t="s">
        <v>3481</v>
      </c>
      <c r="E988" s="168" t="s">
        <v>1761</v>
      </c>
      <c r="F988" s="168" t="s">
        <v>363</v>
      </c>
      <c r="G988" s="168" t="s">
        <v>309</v>
      </c>
      <c r="H988" s="168" t="s">
        <v>310</v>
      </c>
      <c r="I988" s="168" t="s">
        <v>311</v>
      </c>
      <c r="J988" s="168" t="s">
        <v>312</v>
      </c>
      <c r="K988" s="168" t="s">
        <v>1849</v>
      </c>
      <c r="L988" s="167" t="s">
        <v>304</v>
      </c>
      <c r="M988" s="167" t="s">
        <v>305</v>
      </c>
      <c r="N988" s="167">
        <v>11</v>
      </c>
      <c r="O988" s="167" t="s">
        <v>307</v>
      </c>
      <c r="P988" s="167" t="s">
        <v>307</v>
      </c>
      <c r="Q988" s="167" t="s">
        <v>1825</v>
      </c>
      <c r="R988" s="166" t="s">
        <v>73</v>
      </c>
      <c r="S988" s="169">
        <v>133648</v>
      </c>
      <c r="T988" s="160">
        <v>6641.64</v>
      </c>
      <c r="U988" s="160">
        <v>0</v>
      </c>
      <c r="V988" s="160">
        <v>26833.32</v>
      </c>
      <c r="W988" s="160">
        <v>106814.68</v>
      </c>
      <c r="X988" s="161">
        <v>0</v>
      </c>
      <c r="Y988" s="160"/>
      <c r="Z988" s="16">
        <v>20.07</v>
      </c>
      <c r="AA988" s="162">
        <v>26833.32</v>
      </c>
      <c r="AB988" s="162">
        <v>6708.33</v>
      </c>
      <c r="AC988" s="162">
        <v>80499.959999999992</v>
      </c>
      <c r="AD988" s="160"/>
      <c r="AE988" s="145">
        <v>133648</v>
      </c>
      <c r="AF988" s="163">
        <v>1.0529999999999999</v>
      </c>
      <c r="AG988" s="163">
        <v>1.0489999999999999</v>
      </c>
      <c r="AH988" s="163">
        <v>1.0469999999999999</v>
      </c>
      <c r="AI988" s="164">
        <v>133648</v>
      </c>
      <c r="AJ988" s="164">
        <f t="shared" si="144"/>
        <v>0</v>
      </c>
      <c r="AK988" s="229">
        <v>133648</v>
      </c>
      <c r="AL988" s="229">
        <f ca="1">SUMIF('MS &amp; Vacancies combined'!A:S,D988,'MS &amp; Vacancies combined'!S:S)*105.3/100</f>
        <v>125880.6082858306</v>
      </c>
      <c r="AM988" s="229">
        <f t="shared" ca="1" si="137"/>
        <v>132048.75809183629</v>
      </c>
      <c r="AN988" s="229">
        <f t="shared" ca="1" si="138"/>
        <v>138255.04972215259</v>
      </c>
      <c r="AO988" s="166"/>
      <c r="AP988" s="413">
        <f t="shared" ca="1" si="145"/>
        <v>7767.3917141693964</v>
      </c>
      <c r="AR988" s="231"/>
      <c r="AS988" s="231"/>
      <c r="AU988" s="414">
        <v>133648</v>
      </c>
      <c r="AV988" s="415">
        <v>133648</v>
      </c>
      <c r="AW988" s="414">
        <f t="shared" si="142"/>
        <v>0</v>
      </c>
    </row>
    <row r="989" spans="1:49" hidden="1" x14ac:dyDescent="0.3">
      <c r="A989" s="16" t="s">
        <v>324</v>
      </c>
      <c r="B989" s="39" t="s">
        <v>1826</v>
      </c>
      <c r="C989" s="39" t="s">
        <v>76</v>
      </c>
      <c r="D989" s="340" t="s">
        <v>3481</v>
      </c>
      <c r="E989" s="159" t="s">
        <v>1761</v>
      </c>
      <c r="F989" s="159" t="s">
        <v>363</v>
      </c>
      <c r="G989" s="159" t="s">
        <v>309</v>
      </c>
      <c r="H989" s="159" t="s">
        <v>325</v>
      </c>
      <c r="I989" s="159" t="s">
        <v>326</v>
      </c>
      <c r="J989" s="159" t="s">
        <v>327</v>
      </c>
      <c r="K989" s="159" t="s">
        <v>1849</v>
      </c>
      <c r="L989" s="39" t="s">
        <v>304</v>
      </c>
      <c r="M989" s="39" t="s">
        <v>305</v>
      </c>
      <c r="N989" s="39">
        <v>11</v>
      </c>
      <c r="O989" s="39" t="s">
        <v>76</v>
      </c>
      <c r="P989" s="39" t="s">
        <v>76</v>
      </c>
      <c r="Q989" s="39" t="s">
        <v>1826</v>
      </c>
      <c r="R989" s="16" t="s">
        <v>324</v>
      </c>
      <c r="S989" s="160">
        <v>0</v>
      </c>
      <c r="T989" s="160">
        <v>0</v>
      </c>
      <c r="U989" s="160">
        <v>0</v>
      </c>
      <c r="V989" s="160">
        <v>0</v>
      </c>
      <c r="W989" s="160">
        <v>0</v>
      </c>
      <c r="X989" s="161">
        <v>0</v>
      </c>
      <c r="Y989" s="160"/>
      <c r="Z989" s="16">
        <v>0</v>
      </c>
      <c r="AA989" s="162">
        <v>0</v>
      </c>
      <c r="AB989" s="162">
        <v>0</v>
      </c>
      <c r="AC989" s="162">
        <v>0</v>
      </c>
      <c r="AD989" s="160"/>
      <c r="AE989" s="145">
        <v>0</v>
      </c>
      <c r="AF989" s="163">
        <v>1.0469999999999999</v>
      </c>
      <c r="AG989" s="164">
        <v>1.046</v>
      </c>
      <c r="AH989" s="164">
        <v>1.046</v>
      </c>
      <c r="AI989" s="164">
        <v>0</v>
      </c>
      <c r="AJ989" s="164">
        <f t="shared" si="144"/>
        <v>0</v>
      </c>
      <c r="AK989" s="165">
        <v>20000</v>
      </c>
      <c r="AL989" s="165">
        <f t="shared" ref="AL989:AL993" si="147">AK989</f>
        <v>20000</v>
      </c>
      <c r="AM989" s="165">
        <f t="shared" si="137"/>
        <v>20920</v>
      </c>
      <c r="AN989" s="165">
        <f t="shared" si="138"/>
        <v>21882.32</v>
      </c>
      <c r="AO989" s="16"/>
      <c r="AP989" s="231">
        <f t="shared" si="145"/>
        <v>0</v>
      </c>
      <c r="AR989" s="231"/>
      <c r="AS989" s="231"/>
      <c r="AU989" s="230">
        <v>0</v>
      </c>
      <c r="AV989" s="233">
        <v>0</v>
      </c>
      <c r="AW989" s="230">
        <f t="shared" si="142"/>
        <v>0</v>
      </c>
    </row>
    <row r="990" spans="1:49" hidden="1" x14ac:dyDescent="0.3">
      <c r="A990" s="16" t="s">
        <v>1828</v>
      </c>
      <c r="B990" s="39" t="s">
        <v>1827</v>
      </c>
      <c r="C990" s="39" t="s">
        <v>76</v>
      </c>
      <c r="D990" s="340" t="s">
        <v>3481</v>
      </c>
      <c r="E990" s="159" t="s">
        <v>1761</v>
      </c>
      <c r="F990" s="159" t="s">
        <v>363</v>
      </c>
      <c r="G990" s="159" t="s">
        <v>309</v>
      </c>
      <c r="H990" s="159" t="s">
        <v>325</v>
      </c>
      <c r="I990" s="159" t="s">
        <v>1830</v>
      </c>
      <c r="J990" s="159" t="s">
        <v>312</v>
      </c>
      <c r="K990" s="159" t="s">
        <v>1849</v>
      </c>
      <c r="L990" s="39" t="s">
        <v>304</v>
      </c>
      <c r="M990" s="39" t="s">
        <v>305</v>
      </c>
      <c r="N990" s="39">
        <v>11</v>
      </c>
      <c r="O990" s="39" t="s">
        <v>76</v>
      </c>
      <c r="P990" s="39" t="s">
        <v>1829</v>
      </c>
      <c r="Q990" s="39" t="s">
        <v>1827</v>
      </c>
      <c r="R990" s="16" t="s">
        <v>1828</v>
      </c>
      <c r="S990" s="223">
        <v>8500000</v>
      </c>
      <c r="T990" s="160">
        <v>554841.1</v>
      </c>
      <c r="U990" s="160">
        <v>0</v>
      </c>
      <c r="V990" s="160">
        <v>567467.77</v>
      </c>
      <c r="W990" s="160">
        <v>7932532.2300000004</v>
      </c>
      <c r="X990" s="161">
        <v>290047.19</v>
      </c>
      <c r="Y990" s="160"/>
      <c r="Z990" s="16">
        <v>6.67</v>
      </c>
      <c r="AA990" s="162">
        <v>567467.77</v>
      </c>
      <c r="AB990" s="224">
        <v>141866.9425</v>
      </c>
      <c r="AC990" s="224">
        <v>1702403.31</v>
      </c>
      <c r="AD990" s="223">
        <v>-1000000</v>
      </c>
      <c r="AE990" s="145">
        <v>5500000</v>
      </c>
      <c r="AF990" s="163">
        <v>1.0469999999999999</v>
      </c>
      <c r="AG990" s="164">
        <v>1.046</v>
      </c>
      <c r="AH990" s="164">
        <v>1.046</v>
      </c>
      <c r="AI990" s="164">
        <v>7500000</v>
      </c>
      <c r="AJ990" s="164">
        <f t="shared" si="144"/>
        <v>-2000000</v>
      </c>
      <c r="AK990" s="165">
        <f>AE990</f>
        <v>5500000</v>
      </c>
      <c r="AL990" s="165">
        <f t="shared" si="147"/>
        <v>5500000</v>
      </c>
      <c r="AM990" s="165">
        <f t="shared" ref="AM990:AM1053" si="148">AL990*AG990</f>
        <v>5753000</v>
      </c>
      <c r="AN990" s="165">
        <f t="shared" ref="AN990:AN1053" si="149">AM990*AH990</f>
        <v>6017638</v>
      </c>
      <c r="AO990" s="16"/>
      <c r="AP990" s="231">
        <f t="shared" si="145"/>
        <v>0</v>
      </c>
      <c r="AR990" s="231"/>
      <c r="AS990" s="231"/>
      <c r="AU990" s="230">
        <v>8500000</v>
      </c>
      <c r="AV990" s="233">
        <v>7500000</v>
      </c>
      <c r="AW990" s="230">
        <f t="shared" si="142"/>
        <v>0</v>
      </c>
    </row>
    <row r="991" spans="1:49" ht="15" hidden="1" customHeight="1" x14ac:dyDescent="0.3">
      <c r="A991" s="16" t="s">
        <v>2148</v>
      </c>
      <c r="B991" s="39" t="s">
        <v>1831</v>
      </c>
      <c r="C991" s="39" t="s">
        <v>80</v>
      </c>
      <c r="D991" s="340" t="s">
        <v>3481</v>
      </c>
      <c r="E991" s="159" t="s">
        <v>1761</v>
      </c>
      <c r="F991" s="159" t="s">
        <v>363</v>
      </c>
      <c r="G991" s="159" t="s">
        <v>309</v>
      </c>
      <c r="H991" s="159" t="s">
        <v>413</v>
      </c>
      <c r="I991" s="159" t="s">
        <v>414</v>
      </c>
      <c r="J991" s="159" t="s">
        <v>312</v>
      </c>
      <c r="K991" s="159" t="s">
        <v>1849</v>
      </c>
      <c r="L991" s="39" t="s">
        <v>415</v>
      </c>
      <c r="M991" s="39" t="s">
        <v>305</v>
      </c>
      <c r="N991" s="39">
        <v>11</v>
      </c>
      <c r="O991" s="39" t="s">
        <v>80</v>
      </c>
      <c r="P991" s="39" t="s">
        <v>80</v>
      </c>
      <c r="Q991" s="39" t="s">
        <v>1831</v>
      </c>
      <c r="R991" s="16" t="s">
        <v>2148</v>
      </c>
      <c r="S991" s="160">
        <v>1535603</v>
      </c>
      <c r="T991" s="160">
        <v>40652.74</v>
      </c>
      <c r="U991" s="160">
        <v>92842.32</v>
      </c>
      <c r="V991" s="160">
        <v>193617.8</v>
      </c>
      <c r="W991" s="160">
        <v>1341985.2</v>
      </c>
      <c r="X991" s="161">
        <v>527954.32999999996</v>
      </c>
      <c r="Y991" s="160"/>
      <c r="Z991" s="16">
        <v>12.6</v>
      </c>
      <c r="AA991" s="162">
        <v>286460.12</v>
      </c>
      <c r="AB991" s="162">
        <v>71615.03</v>
      </c>
      <c r="AC991" s="162">
        <v>859380.36</v>
      </c>
      <c r="AD991" s="160"/>
      <c r="AE991" s="145">
        <v>1535603</v>
      </c>
      <c r="AF991" s="163">
        <v>1.0469999999999999</v>
      </c>
      <c r="AG991" s="164">
        <v>1.046</v>
      </c>
      <c r="AH991" s="164">
        <v>1.046</v>
      </c>
      <c r="AI991" s="164">
        <v>1535603</v>
      </c>
      <c r="AJ991" s="164">
        <f t="shared" si="144"/>
        <v>0</v>
      </c>
      <c r="AK991" s="165">
        <v>1535603</v>
      </c>
      <c r="AL991" s="165">
        <f t="shared" si="147"/>
        <v>1535603</v>
      </c>
      <c r="AM991" s="165">
        <f t="shared" si="148"/>
        <v>1606240.7380000001</v>
      </c>
      <c r="AN991" s="165">
        <f t="shared" si="149"/>
        <v>1680127.8119480002</v>
      </c>
      <c r="AO991" s="16"/>
      <c r="AP991" s="231">
        <f t="shared" si="145"/>
        <v>0</v>
      </c>
      <c r="AR991" s="231"/>
      <c r="AS991" s="231"/>
      <c r="AU991" s="230">
        <v>1535603</v>
      </c>
      <c r="AV991" s="233">
        <v>1535603</v>
      </c>
      <c r="AW991" s="230">
        <f t="shared" si="142"/>
        <v>0</v>
      </c>
    </row>
    <row r="992" spans="1:49" s="75" customFormat="1" hidden="1" x14ac:dyDescent="0.3">
      <c r="A992" s="29" t="s">
        <v>2149</v>
      </c>
      <c r="B992" s="255" t="s">
        <v>1832</v>
      </c>
      <c r="C992" s="255" t="s">
        <v>80</v>
      </c>
      <c r="D992" s="340" t="s">
        <v>3481</v>
      </c>
      <c r="E992" s="256" t="s">
        <v>1761</v>
      </c>
      <c r="F992" s="256" t="s">
        <v>363</v>
      </c>
      <c r="G992" s="256" t="s">
        <v>309</v>
      </c>
      <c r="H992" s="256" t="s">
        <v>413</v>
      </c>
      <c r="I992" s="256" t="s">
        <v>414</v>
      </c>
      <c r="J992" s="256" t="s">
        <v>312</v>
      </c>
      <c r="K992" s="256" t="s">
        <v>1849</v>
      </c>
      <c r="L992" s="255" t="s">
        <v>1833</v>
      </c>
      <c r="M992" s="255" t="s">
        <v>305</v>
      </c>
      <c r="N992" s="255">
        <v>11</v>
      </c>
      <c r="O992" s="255" t="s">
        <v>80</v>
      </c>
      <c r="P992" s="255" t="s">
        <v>80</v>
      </c>
      <c r="Q992" s="255" t="s">
        <v>1832</v>
      </c>
      <c r="R992" s="29" t="s">
        <v>2149</v>
      </c>
      <c r="S992" s="160">
        <v>11761693</v>
      </c>
      <c r="T992" s="160">
        <v>729421.9</v>
      </c>
      <c r="U992" s="160">
        <v>364731.01</v>
      </c>
      <c r="V992" s="160">
        <v>2285793.4</v>
      </c>
      <c r="W992" s="160">
        <v>9475899.5999999996</v>
      </c>
      <c r="X992" s="161">
        <v>2630616.3299999996</v>
      </c>
      <c r="Y992" s="160"/>
      <c r="Z992" s="16">
        <v>19.43</v>
      </c>
      <c r="AA992" s="162">
        <v>2650524.41</v>
      </c>
      <c r="AB992" s="162">
        <v>662631.10250000004</v>
      </c>
      <c r="AC992" s="162">
        <v>7951573.2300000004</v>
      </c>
      <c r="AD992" s="160"/>
      <c r="AE992" s="257">
        <v>11761693</v>
      </c>
      <c r="AF992" s="163">
        <v>1.0469999999999999</v>
      </c>
      <c r="AG992" s="164">
        <v>1.046</v>
      </c>
      <c r="AH992" s="164">
        <v>1.046</v>
      </c>
      <c r="AI992" s="258">
        <v>11761693</v>
      </c>
      <c r="AJ992" s="164">
        <f t="shared" si="144"/>
        <v>0</v>
      </c>
      <c r="AK992" s="259">
        <v>10000000</v>
      </c>
      <c r="AL992" s="259">
        <f t="shared" si="147"/>
        <v>10000000</v>
      </c>
      <c r="AM992" s="259">
        <f t="shared" si="148"/>
        <v>10460000</v>
      </c>
      <c r="AN992" s="259">
        <f t="shared" si="149"/>
        <v>10941160</v>
      </c>
      <c r="AO992" s="29"/>
      <c r="AP992" s="260">
        <f t="shared" si="145"/>
        <v>0</v>
      </c>
      <c r="AR992" s="231"/>
      <c r="AS992" s="231"/>
      <c r="AU992" s="261">
        <v>11761693</v>
      </c>
      <c r="AV992" s="262">
        <v>11761693</v>
      </c>
      <c r="AW992" s="261">
        <f t="shared" si="142"/>
        <v>0</v>
      </c>
    </row>
    <row r="993" spans="1:49" s="75" customFormat="1" hidden="1" x14ac:dyDescent="0.3">
      <c r="A993" s="29" t="s">
        <v>1011</v>
      </c>
      <c r="B993" s="255" t="s">
        <v>1834</v>
      </c>
      <c r="C993" s="255" t="s">
        <v>82</v>
      </c>
      <c r="D993" s="340" t="s">
        <v>3481</v>
      </c>
      <c r="E993" s="256" t="s">
        <v>1761</v>
      </c>
      <c r="F993" s="256" t="s">
        <v>363</v>
      </c>
      <c r="G993" s="256" t="s">
        <v>309</v>
      </c>
      <c r="H993" s="256" t="s">
        <v>334</v>
      </c>
      <c r="I993" s="256" t="s">
        <v>1013</v>
      </c>
      <c r="J993" s="256" t="s">
        <v>312</v>
      </c>
      <c r="K993" s="256" t="s">
        <v>1849</v>
      </c>
      <c r="L993" s="255" t="s">
        <v>304</v>
      </c>
      <c r="M993" s="255" t="s">
        <v>305</v>
      </c>
      <c r="N993" s="255">
        <v>11</v>
      </c>
      <c r="O993" s="255" t="s">
        <v>82</v>
      </c>
      <c r="P993" s="255" t="s">
        <v>1012</v>
      </c>
      <c r="Q993" s="255" t="s">
        <v>1834</v>
      </c>
      <c r="R993" s="29" t="s">
        <v>1011</v>
      </c>
      <c r="S993" s="160">
        <v>965514</v>
      </c>
      <c r="T993" s="160">
        <v>115992.5</v>
      </c>
      <c r="U993" s="160">
        <v>0</v>
      </c>
      <c r="V993" s="160">
        <v>318940.5</v>
      </c>
      <c r="W993" s="160">
        <v>646573.5</v>
      </c>
      <c r="X993" s="161">
        <v>357350.5</v>
      </c>
      <c r="Y993" s="160"/>
      <c r="Z993" s="16">
        <v>33.03</v>
      </c>
      <c r="AA993" s="162">
        <v>318940.5</v>
      </c>
      <c r="AB993" s="162">
        <v>79735.125</v>
      </c>
      <c r="AC993" s="162">
        <v>956821.5</v>
      </c>
      <c r="AD993" s="160"/>
      <c r="AE993" s="257">
        <v>965514</v>
      </c>
      <c r="AF993" s="163">
        <v>1.0469999999999999</v>
      </c>
      <c r="AG993" s="164">
        <v>1.046</v>
      </c>
      <c r="AH993" s="164">
        <v>1.046</v>
      </c>
      <c r="AI993" s="258">
        <v>965514</v>
      </c>
      <c r="AJ993" s="164">
        <f t="shared" si="144"/>
        <v>0</v>
      </c>
      <c r="AK993" s="259">
        <v>965514</v>
      </c>
      <c r="AL993" s="259">
        <f t="shared" si="147"/>
        <v>965514</v>
      </c>
      <c r="AM993" s="259">
        <f t="shared" si="148"/>
        <v>1009927.6440000001</v>
      </c>
      <c r="AN993" s="259">
        <f t="shared" si="149"/>
        <v>1056384.315624</v>
      </c>
      <c r="AO993" s="29"/>
      <c r="AP993" s="260">
        <f t="shared" si="145"/>
        <v>0</v>
      </c>
      <c r="AR993" s="231"/>
      <c r="AS993" s="231"/>
      <c r="AU993" s="261">
        <v>965514</v>
      </c>
      <c r="AV993" s="262">
        <v>965514</v>
      </c>
      <c r="AW993" s="261">
        <f t="shared" si="142"/>
        <v>0</v>
      </c>
    </row>
    <row r="994" spans="1:49" s="75" customFormat="1" hidden="1" x14ac:dyDescent="0.3">
      <c r="A994" s="29" t="s">
        <v>341</v>
      </c>
      <c r="B994" s="255" t="s">
        <v>1835</v>
      </c>
      <c r="C994" s="255" t="s">
        <v>82</v>
      </c>
      <c r="D994" s="340" t="s">
        <v>3481</v>
      </c>
      <c r="E994" s="256" t="s">
        <v>1761</v>
      </c>
      <c r="F994" s="256" t="s">
        <v>363</v>
      </c>
      <c r="G994" s="256" t="s">
        <v>309</v>
      </c>
      <c r="H994" s="256" t="s">
        <v>334</v>
      </c>
      <c r="I994" s="256" t="s">
        <v>343</v>
      </c>
      <c r="J994" s="256" t="s">
        <v>312</v>
      </c>
      <c r="K994" s="256" t="s">
        <v>1849</v>
      </c>
      <c r="L994" s="255" t="s">
        <v>304</v>
      </c>
      <c r="M994" s="255" t="s">
        <v>305</v>
      </c>
      <c r="N994" s="255">
        <v>11</v>
      </c>
      <c r="O994" s="255" t="s">
        <v>82</v>
      </c>
      <c r="P994" s="255" t="s">
        <v>342</v>
      </c>
      <c r="Q994" s="255" t="s">
        <v>1835</v>
      </c>
      <c r="R994" s="29" t="s">
        <v>341</v>
      </c>
      <c r="S994" s="160">
        <v>0</v>
      </c>
      <c r="T994" s="160">
        <v>0</v>
      </c>
      <c r="U994" s="160">
        <v>0</v>
      </c>
      <c r="V994" s="160">
        <v>0</v>
      </c>
      <c r="W994" s="160">
        <v>0</v>
      </c>
      <c r="X994" s="161">
        <v>0</v>
      </c>
      <c r="Y994" s="160"/>
      <c r="Z994" s="16">
        <v>0</v>
      </c>
      <c r="AA994" s="162">
        <v>0</v>
      </c>
      <c r="AB994" s="162">
        <v>0</v>
      </c>
      <c r="AC994" s="162">
        <v>0</v>
      </c>
      <c r="AD994" s="160"/>
      <c r="AE994" s="257">
        <v>0</v>
      </c>
      <c r="AF994" s="163">
        <v>1.0469999999999999</v>
      </c>
      <c r="AG994" s="164">
        <v>1.046</v>
      </c>
      <c r="AH994" s="164">
        <v>1.046</v>
      </c>
      <c r="AI994" s="258">
        <v>0</v>
      </c>
      <c r="AJ994" s="164">
        <f t="shared" si="144"/>
        <v>0</v>
      </c>
      <c r="AK994" s="259">
        <v>0</v>
      </c>
      <c r="AL994" s="259">
        <v>0</v>
      </c>
      <c r="AM994" s="259">
        <f t="shared" si="148"/>
        <v>0</v>
      </c>
      <c r="AN994" s="259">
        <f t="shared" si="149"/>
        <v>0</v>
      </c>
      <c r="AO994" s="29"/>
      <c r="AP994" s="260">
        <f t="shared" si="145"/>
        <v>0</v>
      </c>
      <c r="AR994" s="231"/>
      <c r="AS994" s="231"/>
      <c r="AU994" s="261">
        <v>0</v>
      </c>
      <c r="AV994" s="262">
        <v>0</v>
      </c>
      <c r="AW994" s="261">
        <f t="shared" si="142"/>
        <v>0</v>
      </c>
    </row>
    <row r="995" spans="1:49" s="75" customFormat="1" hidden="1" x14ac:dyDescent="0.3">
      <c r="A995" s="29" t="s">
        <v>527</v>
      </c>
      <c r="B995" s="255" t="s">
        <v>1836</v>
      </c>
      <c r="C995" s="255" t="s">
        <v>82</v>
      </c>
      <c r="D995" s="340" t="s">
        <v>3481</v>
      </c>
      <c r="E995" s="256" t="s">
        <v>1761</v>
      </c>
      <c r="F995" s="256" t="s">
        <v>363</v>
      </c>
      <c r="G995" s="256" t="s">
        <v>309</v>
      </c>
      <c r="H995" s="256" t="s">
        <v>334</v>
      </c>
      <c r="I995" s="256" t="s">
        <v>529</v>
      </c>
      <c r="J995" s="256" t="s">
        <v>312</v>
      </c>
      <c r="K995" s="256" t="s">
        <v>1849</v>
      </c>
      <c r="L995" s="255" t="s">
        <v>304</v>
      </c>
      <c r="M995" s="255" t="s">
        <v>305</v>
      </c>
      <c r="N995" s="255">
        <v>11</v>
      </c>
      <c r="O995" s="255" t="s">
        <v>82</v>
      </c>
      <c r="P995" s="255" t="s">
        <v>585</v>
      </c>
      <c r="Q995" s="255" t="s">
        <v>1836</v>
      </c>
      <c r="R995" s="29" t="s">
        <v>527</v>
      </c>
      <c r="S995" s="160">
        <v>850000</v>
      </c>
      <c r="T995" s="160">
        <v>0</v>
      </c>
      <c r="U995" s="160">
        <v>0</v>
      </c>
      <c r="V995" s="160">
        <v>0</v>
      </c>
      <c r="W995" s="160">
        <v>850000</v>
      </c>
      <c r="X995" s="161">
        <v>0</v>
      </c>
      <c r="Y995" s="160"/>
      <c r="Z995" s="16">
        <v>0</v>
      </c>
      <c r="AA995" s="162">
        <v>0</v>
      </c>
      <c r="AB995" s="162">
        <v>0</v>
      </c>
      <c r="AC995" s="162">
        <v>0</v>
      </c>
      <c r="AD995" s="160"/>
      <c r="AE995" s="257">
        <v>850000</v>
      </c>
      <c r="AF995" s="163">
        <v>1.0469999999999999</v>
      </c>
      <c r="AG995" s="164">
        <v>1.046</v>
      </c>
      <c r="AH995" s="164">
        <v>1.046</v>
      </c>
      <c r="AI995" s="258">
        <v>850000</v>
      </c>
      <c r="AJ995" s="164">
        <f t="shared" si="144"/>
        <v>0</v>
      </c>
      <c r="AK995" s="259">
        <v>889950</v>
      </c>
      <c r="AL995" s="259">
        <f t="shared" ref="AL995:AL1005" si="150">AK995</f>
        <v>889950</v>
      </c>
      <c r="AM995" s="259">
        <f t="shared" si="148"/>
        <v>930887.70000000007</v>
      </c>
      <c r="AN995" s="259">
        <f t="shared" si="149"/>
        <v>973708.53420000011</v>
      </c>
      <c r="AO995" s="29"/>
      <c r="AP995" s="260">
        <f t="shared" si="145"/>
        <v>0</v>
      </c>
      <c r="AR995" s="231"/>
      <c r="AS995" s="231"/>
      <c r="AU995" s="261">
        <v>850000</v>
      </c>
      <c r="AV995" s="262">
        <v>850000</v>
      </c>
      <c r="AW995" s="261">
        <f t="shared" si="142"/>
        <v>0</v>
      </c>
    </row>
    <row r="996" spans="1:49" s="75" customFormat="1" hidden="1" x14ac:dyDescent="0.3">
      <c r="A996" s="29" t="s">
        <v>1838</v>
      </c>
      <c r="B996" s="255" t="s">
        <v>1837</v>
      </c>
      <c r="C996" s="255" t="s">
        <v>82</v>
      </c>
      <c r="D996" s="340" t="s">
        <v>3481</v>
      </c>
      <c r="E996" s="256" t="s">
        <v>1761</v>
      </c>
      <c r="F996" s="256" t="s">
        <v>363</v>
      </c>
      <c r="G996" s="256" t="s">
        <v>309</v>
      </c>
      <c r="H996" s="256" t="s">
        <v>334</v>
      </c>
      <c r="I996" s="256" t="s">
        <v>1840</v>
      </c>
      <c r="J996" s="256" t="s">
        <v>312</v>
      </c>
      <c r="K996" s="256" t="s">
        <v>1849</v>
      </c>
      <c r="L996" s="255" t="s">
        <v>304</v>
      </c>
      <c r="M996" s="255" t="s">
        <v>305</v>
      </c>
      <c r="N996" s="255">
        <v>11</v>
      </c>
      <c r="O996" s="255" t="s">
        <v>82</v>
      </c>
      <c r="P996" s="255" t="s">
        <v>1839</v>
      </c>
      <c r="Q996" s="255" t="s">
        <v>1837</v>
      </c>
      <c r="R996" s="29" t="s">
        <v>1838</v>
      </c>
      <c r="S996" s="160">
        <v>800000</v>
      </c>
      <c r="T996" s="160">
        <v>52320.75</v>
      </c>
      <c r="U996" s="160">
        <v>154597.85</v>
      </c>
      <c r="V996" s="160">
        <v>107905.57</v>
      </c>
      <c r="W996" s="160">
        <v>692094.43</v>
      </c>
      <c r="X996" s="161">
        <v>261714.05000000002</v>
      </c>
      <c r="Y996" s="160"/>
      <c r="Z996" s="16">
        <v>13.48</v>
      </c>
      <c r="AA996" s="162">
        <v>262503.42000000004</v>
      </c>
      <c r="AB996" s="162">
        <v>65625.85500000001</v>
      </c>
      <c r="AC996" s="162">
        <v>787510.26000000013</v>
      </c>
      <c r="AD996" s="160"/>
      <c r="AE996" s="257">
        <v>800000</v>
      </c>
      <c r="AF996" s="163">
        <v>1.0469999999999999</v>
      </c>
      <c r="AG996" s="164">
        <v>1.046</v>
      </c>
      <c r="AH996" s="164">
        <v>1.046</v>
      </c>
      <c r="AI996" s="258">
        <v>800000</v>
      </c>
      <c r="AJ996" s="164">
        <f t="shared" si="144"/>
        <v>0</v>
      </c>
      <c r="AK996" s="259">
        <v>837600</v>
      </c>
      <c r="AL996" s="259">
        <f t="shared" si="150"/>
        <v>837600</v>
      </c>
      <c r="AM996" s="259">
        <f t="shared" si="148"/>
        <v>876129.6</v>
      </c>
      <c r="AN996" s="259">
        <f t="shared" si="149"/>
        <v>916431.56160000002</v>
      </c>
      <c r="AO996" s="29"/>
      <c r="AP996" s="260">
        <f t="shared" si="145"/>
        <v>0</v>
      </c>
      <c r="AR996" s="231"/>
      <c r="AS996" s="231"/>
      <c r="AU996" s="261">
        <v>800000</v>
      </c>
      <c r="AV996" s="262">
        <v>800000</v>
      </c>
      <c r="AW996" s="261">
        <f t="shared" si="142"/>
        <v>0</v>
      </c>
    </row>
    <row r="997" spans="1:49" s="75" customFormat="1" hidden="1" x14ac:dyDescent="0.3">
      <c r="A997" s="29" t="s">
        <v>1842</v>
      </c>
      <c r="B997" s="255" t="s">
        <v>1841</v>
      </c>
      <c r="C997" s="255" t="s">
        <v>423</v>
      </c>
      <c r="D997" s="340" t="s">
        <v>3481</v>
      </c>
      <c r="E997" s="256" t="s">
        <v>1761</v>
      </c>
      <c r="F997" s="256" t="s">
        <v>363</v>
      </c>
      <c r="G997" s="256" t="s">
        <v>309</v>
      </c>
      <c r="H997" s="256" t="s">
        <v>424</v>
      </c>
      <c r="I997" s="256" t="s">
        <v>425</v>
      </c>
      <c r="J997" s="256" t="s">
        <v>387</v>
      </c>
      <c r="K997" s="256" t="s">
        <v>1849</v>
      </c>
      <c r="L997" s="255" t="s">
        <v>304</v>
      </c>
      <c r="M997" s="255" t="s">
        <v>305</v>
      </c>
      <c r="N997" s="255">
        <v>11</v>
      </c>
      <c r="O997" s="255" t="s">
        <v>423</v>
      </c>
      <c r="P997" s="255" t="s">
        <v>423</v>
      </c>
      <c r="Q997" s="255" t="s">
        <v>1841</v>
      </c>
      <c r="R997" s="29" t="s">
        <v>1842</v>
      </c>
      <c r="S997" s="223">
        <v>12600000</v>
      </c>
      <c r="T997" s="160">
        <v>1189584.83</v>
      </c>
      <c r="U997" s="160">
        <v>0</v>
      </c>
      <c r="V997" s="160">
        <v>3712207.48</v>
      </c>
      <c r="W997" s="160">
        <v>8887792.5199999996</v>
      </c>
      <c r="X997" s="161">
        <v>3712207.4800000004</v>
      </c>
      <c r="Y997" s="160"/>
      <c r="Z997" s="16">
        <v>29.46</v>
      </c>
      <c r="AA997" s="162">
        <v>3712207.48</v>
      </c>
      <c r="AB997" s="224">
        <v>928051.87</v>
      </c>
      <c r="AC997" s="224">
        <v>11136622.439999999</v>
      </c>
      <c r="AD997" s="223">
        <v>2000000</v>
      </c>
      <c r="AE997" s="257">
        <v>14400000</v>
      </c>
      <c r="AF997" s="163">
        <v>1.0469999999999999</v>
      </c>
      <c r="AG997" s="164">
        <v>1.046</v>
      </c>
      <c r="AH997" s="164">
        <v>1.046</v>
      </c>
      <c r="AI997" s="258">
        <v>14600000</v>
      </c>
      <c r="AJ997" s="164">
        <f t="shared" si="144"/>
        <v>-200000</v>
      </c>
      <c r="AK997" s="259">
        <v>10000000</v>
      </c>
      <c r="AL997" s="259">
        <f t="shared" si="150"/>
        <v>10000000</v>
      </c>
      <c r="AM997" s="259">
        <f t="shared" si="148"/>
        <v>10460000</v>
      </c>
      <c r="AN997" s="259">
        <f t="shared" si="149"/>
        <v>10941160</v>
      </c>
      <c r="AO997" s="257" t="s">
        <v>2150</v>
      </c>
      <c r="AP997" s="260">
        <f t="shared" si="145"/>
        <v>0</v>
      </c>
      <c r="AR997" s="231"/>
      <c r="AS997" s="231"/>
      <c r="AU997" s="261">
        <v>12600000</v>
      </c>
      <c r="AV997" s="262">
        <v>14600000</v>
      </c>
      <c r="AW997" s="261">
        <f t="shared" si="142"/>
        <v>0</v>
      </c>
    </row>
    <row r="998" spans="1:49" hidden="1" x14ac:dyDescent="0.3">
      <c r="A998" s="16" t="s">
        <v>83</v>
      </c>
      <c r="B998" s="39" t="s">
        <v>1843</v>
      </c>
      <c r="C998" s="39" t="s">
        <v>423</v>
      </c>
      <c r="D998" s="340" t="s">
        <v>3481</v>
      </c>
      <c r="E998" s="159" t="s">
        <v>1761</v>
      </c>
      <c r="F998" s="159" t="s">
        <v>363</v>
      </c>
      <c r="G998" s="159" t="s">
        <v>309</v>
      </c>
      <c r="H998" s="159" t="s">
        <v>424</v>
      </c>
      <c r="I998" s="159" t="s">
        <v>425</v>
      </c>
      <c r="J998" s="159" t="s">
        <v>426</v>
      </c>
      <c r="K998" s="159" t="s">
        <v>1849</v>
      </c>
      <c r="L998" s="39" t="s">
        <v>304</v>
      </c>
      <c r="M998" s="39" t="s">
        <v>305</v>
      </c>
      <c r="N998" s="39">
        <v>11</v>
      </c>
      <c r="O998" s="39" t="s">
        <v>423</v>
      </c>
      <c r="P998" s="39" t="s">
        <v>423</v>
      </c>
      <c r="Q998" s="39" t="s">
        <v>1843</v>
      </c>
      <c r="R998" s="16" t="s">
        <v>83</v>
      </c>
      <c r="S998" s="160">
        <v>147965</v>
      </c>
      <c r="T998" s="160">
        <v>71.45</v>
      </c>
      <c r="U998" s="160">
        <v>5808.75</v>
      </c>
      <c r="V998" s="160">
        <v>71.45</v>
      </c>
      <c r="W998" s="160">
        <v>147893.54999999999</v>
      </c>
      <c r="X998" s="161">
        <v>10243.049999999999</v>
      </c>
      <c r="Y998" s="160"/>
      <c r="Z998" s="16">
        <v>0.04</v>
      </c>
      <c r="AA998" s="162">
        <v>5880.2</v>
      </c>
      <c r="AB998" s="162">
        <v>1470.05</v>
      </c>
      <c r="AC998" s="162">
        <v>17640.599999999999</v>
      </c>
      <c r="AD998" s="160"/>
      <c r="AE998" s="145">
        <v>147965</v>
      </c>
      <c r="AF998" s="163">
        <v>1.0469999999999999</v>
      </c>
      <c r="AG998" s="164">
        <v>1.046</v>
      </c>
      <c r="AH998" s="164">
        <v>1.046</v>
      </c>
      <c r="AI998" s="164">
        <v>147965</v>
      </c>
      <c r="AJ998" s="164">
        <f t="shared" si="144"/>
        <v>0</v>
      </c>
      <c r="AK998" s="165">
        <v>154919.35500000001</v>
      </c>
      <c r="AL998" s="165">
        <f t="shared" si="150"/>
        <v>154919.35500000001</v>
      </c>
      <c r="AM998" s="165">
        <f t="shared" si="148"/>
        <v>162045.64533000003</v>
      </c>
      <c r="AN998" s="165">
        <f t="shared" si="149"/>
        <v>169499.74501518003</v>
      </c>
      <c r="AO998" s="16"/>
      <c r="AP998" s="231">
        <f t="shared" si="145"/>
        <v>0</v>
      </c>
      <c r="AR998" s="231"/>
      <c r="AS998" s="231"/>
      <c r="AU998" s="230">
        <v>147965</v>
      </c>
      <c r="AV998" s="233">
        <v>147965</v>
      </c>
      <c r="AW998" s="230">
        <f t="shared" si="142"/>
        <v>0</v>
      </c>
    </row>
    <row r="999" spans="1:49" hidden="1" x14ac:dyDescent="0.3">
      <c r="A999" s="16" t="s">
        <v>537</v>
      </c>
      <c r="B999" s="39" t="s">
        <v>1844</v>
      </c>
      <c r="C999" s="39" t="s">
        <v>423</v>
      </c>
      <c r="D999" s="340" t="s">
        <v>3481</v>
      </c>
      <c r="E999" s="159" t="s">
        <v>1761</v>
      </c>
      <c r="F999" s="159" t="s">
        <v>363</v>
      </c>
      <c r="G999" s="159" t="s">
        <v>309</v>
      </c>
      <c r="H999" s="159" t="s">
        <v>424</v>
      </c>
      <c r="I999" s="159" t="s">
        <v>425</v>
      </c>
      <c r="J999" s="159" t="s">
        <v>538</v>
      </c>
      <c r="K999" s="159" t="s">
        <v>1849</v>
      </c>
      <c r="L999" s="39" t="s">
        <v>304</v>
      </c>
      <c r="M999" s="39" t="s">
        <v>305</v>
      </c>
      <c r="N999" s="39">
        <v>11</v>
      </c>
      <c r="O999" s="39" t="s">
        <v>423</v>
      </c>
      <c r="P999" s="39" t="s">
        <v>423</v>
      </c>
      <c r="Q999" s="39" t="s">
        <v>1844</v>
      </c>
      <c r="R999" s="16" t="s">
        <v>537</v>
      </c>
      <c r="S999" s="160">
        <v>0</v>
      </c>
      <c r="T999" s="160">
        <v>0</v>
      </c>
      <c r="U999" s="160">
        <v>0</v>
      </c>
      <c r="V999" s="160">
        <v>0</v>
      </c>
      <c r="W999" s="160">
        <v>0</v>
      </c>
      <c r="X999" s="161">
        <v>0</v>
      </c>
      <c r="Y999" s="160"/>
      <c r="Z999" s="16">
        <v>0</v>
      </c>
      <c r="AA999" s="162">
        <v>0</v>
      </c>
      <c r="AB999" s="162">
        <v>0</v>
      </c>
      <c r="AC999" s="162">
        <v>0</v>
      </c>
      <c r="AD999" s="160">
        <v>20000</v>
      </c>
      <c r="AE999" s="145">
        <v>20000</v>
      </c>
      <c r="AF999" s="163">
        <v>1.0469999999999999</v>
      </c>
      <c r="AG999" s="164">
        <v>1.046</v>
      </c>
      <c r="AH999" s="164">
        <v>1.046</v>
      </c>
      <c r="AI999" s="164">
        <v>20000</v>
      </c>
      <c r="AJ999" s="164">
        <f t="shared" si="144"/>
        <v>0</v>
      </c>
      <c r="AK999" s="165">
        <v>20000</v>
      </c>
      <c r="AL999" s="165">
        <f t="shared" si="150"/>
        <v>20000</v>
      </c>
      <c r="AM999" s="165">
        <f t="shared" si="148"/>
        <v>20920</v>
      </c>
      <c r="AN999" s="165">
        <f t="shared" si="149"/>
        <v>21882.32</v>
      </c>
      <c r="AO999" s="145" t="s">
        <v>2150</v>
      </c>
      <c r="AP999" s="231">
        <f t="shared" si="145"/>
        <v>0</v>
      </c>
      <c r="AR999" s="231"/>
      <c r="AS999" s="231"/>
      <c r="AU999" s="230">
        <v>0</v>
      </c>
      <c r="AV999" s="233">
        <v>20000</v>
      </c>
      <c r="AW999" s="230">
        <f t="shared" si="142"/>
        <v>0</v>
      </c>
    </row>
    <row r="1000" spans="1:49" hidden="1" x14ac:dyDescent="0.3">
      <c r="A1000" s="16" t="s">
        <v>499</v>
      </c>
      <c r="B1000" s="39" t="s">
        <v>1845</v>
      </c>
      <c r="C1000" s="39" t="s">
        <v>95</v>
      </c>
      <c r="D1000" s="340" t="s">
        <v>3481</v>
      </c>
      <c r="E1000" s="159" t="s">
        <v>1761</v>
      </c>
      <c r="F1000" s="159" t="s">
        <v>363</v>
      </c>
      <c r="G1000" s="159" t="s">
        <v>309</v>
      </c>
      <c r="H1000" s="159" t="s">
        <v>501</v>
      </c>
      <c r="I1000" s="159" t="s">
        <v>502</v>
      </c>
      <c r="J1000" s="159" t="s">
        <v>312</v>
      </c>
      <c r="K1000" s="159" t="s">
        <v>1849</v>
      </c>
      <c r="L1000" s="39" t="s">
        <v>304</v>
      </c>
      <c r="M1000" s="39" t="s">
        <v>305</v>
      </c>
      <c r="N1000" s="39">
        <v>11</v>
      </c>
      <c r="O1000" s="39" t="s">
        <v>95</v>
      </c>
      <c r="P1000" s="39" t="s">
        <v>95</v>
      </c>
      <c r="Q1000" s="39" t="s">
        <v>1845</v>
      </c>
      <c r="R1000" s="16" t="s">
        <v>499</v>
      </c>
      <c r="S1000" s="160">
        <v>0</v>
      </c>
      <c r="T1000" s="160">
        <v>0</v>
      </c>
      <c r="U1000" s="160">
        <v>0</v>
      </c>
      <c r="V1000" s="160">
        <v>0</v>
      </c>
      <c r="W1000" s="160">
        <v>0</v>
      </c>
      <c r="X1000" s="161">
        <v>0</v>
      </c>
      <c r="Y1000" s="160"/>
      <c r="Z1000" s="16">
        <v>0</v>
      </c>
      <c r="AA1000" s="162">
        <v>0</v>
      </c>
      <c r="AB1000" s="162">
        <v>0</v>
      </c>
      <c r="AC1000" s="162">
        <v>0</v>
      </c>
      <c r="AD1000" s="160"/>
      <c r="AE1000" s="145">
        <v>0</v>
      </c>
      <c r="AF1000" s="163">
        <v>1.0469999999999999</v>
      </c>
      <c r="AG1000" s="164">
        <v>1.046</v>
      </c>
      <c r="AH1000" s="164">
        <v>1.046</v>
      </c>
      <c r="AI1000" s="164">
        <v>0</v>
      </c>
      <c r="AJ1000" s="164">
        <f t="shared" si="144"/>
        <v>0</v>
      </c>
      <c r="AK1000" s="165">
        <v>0</v>
      </c>
      <c r="AL1000" s="165">
        <f t="shared" si="150"/>
        <v>0</v>
      </c>
      <c r="AM1000" s="165">
        <f t="shared" si="148"/>
        <v>0</v>
      </c>
      <c r="AN1000" s="165">
        <f t="shared" si="149"/>
        <v>0</v>
      </c>
      <c r="AO1000" s="16"/>
      <c r="AP1000" s="231">
        <f t="shared" si="145"/>
        <v>0</v>
      </c>
      <c r="AR1000" s="231"/>
      <c r="AS1000" s="231"/>
      <c r="AU1000" s="230">
        <v>0</v>
      </c>
      <c r="AV1000" s="233">
        <v>0</v>
      </c>
      <c r="AW1000" s="230">
        <f t="shared" si="142"/>
        <v>0</v>
      </c>
    </row>
    <row r="1001" spans="1:49" hidden="1" x14ac:dyDescent="0.3">
      <c r="A1001" s="16" t="s">
        <v>931</v>
      </c>
      <c r="B1001" s="39" t="s">
        <v>1846</v>
      </c>
      <c r="C1001" s="39" t="s">
        <v>95</v>
      </c>
      <c r="D1001" s="340" t="s">
        <v>3481</v>
      </c>
      <c r="E1001" s="159" t="s">
        <v>1761</v>
      </c>
      <c r="F1001" s="159" t="s">
        <v>363</v>
      </c>
      <c r="G1001" s="159" t="s">
        <v>309</v>
      </c>
      <c r="H1001" s="159" t="s">
        <v>501</v>
      </c>
      <c r="I1001" s="159" t="s">
        <v>573</v>
      </c>
      <c r="J1001" s="159" t="s">
        <v>312</v>
      </c>
      <c r="K1001" s="159" t="s">
        <v>1849</v>
      </c>
      <c r="L1001" s="39" t="s">
        <v>304</v>
      </c>
      <c r="M1001" s="39" t="s">
        <v>305</v>
      </c>
      <c r="N1001" s="39">
        <v>11</v>
      </c>
      <c r="O1001" s="39" t="s">
        <v>95</v>
      </c>
      <c r="P1001" s="39" t="s">
        <v>932</v>
      </c>
      <c r="Q1001" s="39" t="s">
        <v>1846</v>
      </c>
      <c r="R1001" s="16" t="s">
        <v>931</v>
      </c>
      <c r="S1001" s="160">
        <v>0</v>
      </c>
      <c r="T1001" s="160">
        <v>0</v>
      </c>
      <c r="U1001" s="160">
        <v>0</v>
      </c>
      <c r="V1001" s="160">
        <v>0</v>
      </c>
      <c r="W1001" s="160">
        <v>0</v>
      </c>
      <c r="X1001" s="161">
        <v>0</v>
      </c>
      <c r="Y1001" s="160"/>
      <c r="Z1001" s="16">
        <v>0</v>
      </c>
      <c r="AA1001" s="162">
        <v>0</v>
      </c>
      <c r="AB1001" s="162">
        <v>0</v>
      </c>
      <c r="AC1001" s="162">
        <v>0</v>
      </c>
      <c r="AD1001" s="160"/>
      <c r="AE1001" s="145">
        <v>0</v>
      </c>
      <c r="AF1001" s="163">
        <v>1.0469999999999999</v>
      </c>
      <c r="AG1001" s="164">
        <v>1.046</v>
      </c>
      <c r="AH1001" s="164">
        <v>1.046</v>
      </c>
      <c r="AI1001" s="164">
        <v>0</v>
      </c>
      <c r="AJ1001" s="164">
        <f t="shared" si="144"/>
        <v>0</v>
      </c>
      <c r="AK1001" s="165">
        <v>0</v>
      </c>
      <c r="AL1001" s="165">
        <f t="shared" si="150"/>
        <v>0</v>
      </c>
      <c r="AM1001" s="165">
        <f t="shared" si="148"/>
        <v>0</v>
      </c>
      <c r="AN1001" s="165">
        <f t="shared" si="149"/>
        <v>0</v>
      </c>
      <c r="AO1001" s="16"/>
      <c r="AP1001" s="231">
        <f t="shared" si="145"/>
        <v>0</v>
      </c>
      <c r="AR1001" s="231"/>
      <c r="AS1001" s="231"/>
      <c r="AU1001" s="230">
        <v>0</v>
      </c>
      <c r="AV1001" s="233">
        <v>0</v>
      </c>
      <c r="AW1001" s="230">
        <f t="shared" si="142"/>
        <v>0</v>
      </c>
    </row>
    <row r="1002" spans="1:49" hidden="1" x14ac:dyDescent="0.3">
      <c r="A1002" s="16" t="s">
        <v>1852</v>
      </c>
      <c r="B1002" s="39" t="s">
        <v>1850</v>
      </c>
      <c r="C1002" s="39" t="s">
        <v>1851</v>
      </c>
      <c r="D1002" s="340" t="s">
        <v>3481</v>
      </c>
      <c r="E1002" s="159" t="s">
        <v>1761</v>
      </c>
      <c r="F1002" s="159" t="s">
        <v>363</v>
      </c>
      <c r="G1002" s="159" t="s">
        <v>582</v>
      </c>
      <c r="H1002" s="159" t="s">
        <v>805</v>
      </c>
      <c r="I1002" s="159" t="s">
        <v>1853</v>
      </c>
      <c r="J1002" s="159" t="s">
        <v>312</v>
      </c>
      <c r="K1002" s="159" t="s">
        <v>1849</v>
      </c>
      <c r="L1002" s="39" t="s">
        <v>304</v>
      </c>
      <c r="M1002" s="39" t="s">
        <v>305</v>
      </c>
      <c r="N1002" s="39">
        <v>11</v>
      </c>
      <c r="O1002" s="39" t="s">
        <v>184</v>
      </c>
      <c r="P1002" s="39" t="s">
        <v>1851</v>
      </c>
      <c r="Q1002" s="39" t="s">
        <v>1850</v>
      </c>
      <c r="R1002" s="16" t="s">
        <v>1852</v>
      </c>
      <c r="S1002" s="160">
        <v>0</v>
      </c>
      <c r="T1002" s="160">
        <v>0</v>
      </c>
      <c r="U1002" s="160">
        <v>0</v>
      </c>
      <c r="V1002" s="160">
        <v>0</v>
      </c>
      <c r="W1002" s="160">
        <v>0</v>
      </c>
      <c r="X1002" s="161">
        <v>0</v>
      </c>
      <c r="Y1002" s="160"/>
      <c r="Z1002" s="16">
        <v>0</v>
      </c>
      <c r="AA1002" s="162">
        <v>0</v>
      </c>
      <c r="AB1002" s="162">
        <v>0</v>
      </c>
      <c r="AC1002" s="162">
        <v>0</v>
      </c>
      <c r="AD1002" s="160"/>
      <c r="AE1002" s="145">
        <v>0</v>
      </c>
      <c r="AF1002" s="163">
        <v>1.0469999999999999</v>
      </c>
      <c r="AG1002" s="164">
        <v>1.046</v>
      </c>
      <c r="AH1002" s="164">
        <v>1.046</v>
      </c>
      <c r="AI1002" s="164">
        <v>0</v>
      </c>
      <c r="AJ1002" s="164">
        <f t="shared" si="144"/>
        <v>0</v>
      </c>
      <c r="AK1002" s="165">
        <v>0</v>
      </c>
      <c r="AL1002" s="165">
        <f t="shared" si="150"/>
        <v>0</v>
      </c>
      <c r="AM1002" s="165">
        <f t="shared" si="148"/>
        <v>0</v>
      </c>
      <c r="AN1002" s="165">
        <f t="shared" si="149"/>
        <v>0</v>
      </c>
      <c r="AO1002" s="16"/>
      <c r="AP1002" s="231">
        <f t="shared" si="145"/>
        <v>0</v>
      </c>
      <c r="AR1002" s="231"/>
      <c r="AS1002" s="231"/>
      <c r="AU1002" s="230">
        <v>0</v>
      </c>
      <c r="AV1002" s="233">
        <v>0</v>
      </c>
      <c r="AW1002" s="230">
        <f t="shared" si="142"/>
        <v>0</v>
      </c>
    </row>
    <row r="1003" spans="1:49" hidden="1" x14ac:dyDescent="0.3">
      <c r="A1003" s="16" t="s">
        <v>1856</v>
      </c>
      <c r="B1003" s="39" t="s">
        <v>1854</v>
      </c>
      <c r="C1003" s="39" t="s">
        <v>1855</v>
      </c>
      <c r="D1003" s="340" t="s">
        <v>3481</v>
      </c>
      <c r="E1003" s="159" t="s">
        <v>1761</v>
      </c>
      <c r="F1003" s="159" t="s">
        <v>363</v>
      </c>
      <c r="G1003" s="159" t="s">
        <v>582</v>
      </c>
      <c r="H1003" s="159" t="s">
        <v>1074</v>
      </c>
      <c r="I1003" s="159" t="s">
        <v>846</v>
      </c>
      <c r="J1003" s="159" t="s">
        <v>312</v>
      </c>
      <c r="K1003" s="159" t="s">
        <v>1849</v>
      </c>
      <c r="L1003" s="39" t="s">
        <v>304</v>
      </c>
      <c r="M1003" s="39" t="s">
        <v>305</v>
      </c>
      <c r="N1003" s="39">
        <v>11</v>
      </c>
      <c r="O1003" s="39" t="s">
        <v>1855</v>
      </c>
      <c r="P1003" s="39" t="s">
        <v>1855</v>
      </c>
      <c r="Q1003" s="39" t="s">
        <v>1854</v>
      </c>
      <c r="R1003" s="16" t="s">
        <v>1856</v>
      </c>
      <c r="S1003" s="160">
        <v>0</v>
      </c>
      <c r="T1003" s="160">
        <v>0</v>
      </c>
      <c r="U1003" s="160">
        <v>0</v>
      </c>
      <c r="V1003" s="160">
        <v>0</v>
      </c>
      <c r="W1003" s="160">
        <v>0</v>
      </c>
      <c r="X1003" s="161">
        <v>0</v>
      </c>
      <c r="Y1003" s="160"/>
      <c r="Z1003" s="16">
        <v>0</v>
      </c>
      <c r="AA1003" s="162">
        <v>0</v>
      </c>
      <c r="AB1003" s="162">
        <v>0</v>
      </c>
      <c r="AC1003" s="162">
        <v>0</v>
      </c>
      <c r="AD1003" s="160"/>
      <c r="AE1003" s="145">
        <v>0</v>
      </c>
      <c r="AF1003" s="163">
        <v>1.0469999999999999</v>
      </c>
      <c r="AG1003" s="164">
        <v>1.046</v>
      </c>
      <c r="AH1003" s="164">
        <v>1.046</v>
      </c>
      <c r="AI1003" s="164">
        <v>0</v>
      </c>
      <c r="AJ1003" s="164">
        <f t="shared" si="144"/>
        <v>0</v>
      </c>
      <c r="AK1003" s="165">
        <v>0</v>
      </c>
      <c r="AL1003" s="165">
        <f t="shared" si="150"/>
        <v>0</v>
      </c>
      <c r="AM1003" s="165">
        <f t="shared" si="148"/>
        <v>0</v>
      </c>
      <c r="AN1003" s="165">
        <f t="shared" si="149"/>
        <v>0</v>
      </c>
      <c r="AO1003" s="16"/>
      <c r="AP1003" s="231">
        <f t="shared" si="145"/>
        <v>0</v>
      </c>
      <c r="AR1003" s="231"/>
      <c r="AS1003" s="231"/>
      <c r="AU1003" s="230">
        <v>0</v>
      </c>
      <c r="AV1003" s="233">
        <v>0</v>
      </c>
      <c r="AW1003" s="230">
        <f t="shared" si="142"/>
        <v>0</v>
      </c>
    </row>
    <row r="1004" spans="1:49" s="250" customFormat="1" hidden="1" x14ac:dyDescent="0.3">
      <c r="A1004" s="241" t="s">
        <v>207</v>
      </c>
      <c r="B1004" s="242" t="s">
        <v>1857</v>
      </c>
      <c r="C1004" s="242" t="s">
        <v>1858</v>
      </c>
      <c r="D1004" s="340" t="s">
        <v>3481</v>
      </c>
      <c r="E1004" s="243" t="s">
        <v>1761</v>
      </c>
      <c r="F1004" s="243" t="s">
        <v>363</v>
      </c>
      <c r="G1004" s="243" t="s">
        <v>1078</v>
      </c>
      <c r="H1004" s="243" t="s">
        <v>554</v>
      </c>
      <c r="I1004" s="243" t="s">
        <v>1717</v>
      </c>
      <c r="J1004" s="243" t="s">
        <v>312</v>
      </c>
      <c r="K1004" s="243" t="s">
        <v>1081</v>
      </c>
      <c r="L1004" s="242" t="s">
        <v>1859</v>
      </c>
      <c r="M1004" s="242" t="s">
        <v>305</v>
      </c>
      <c r="N1004" s="242">
        <v>11</v>
      </c>
      <c r="O1004" s="242" t="s">
        <v>1858</v>
      </c>
      <c r="P1004" s="242" t="s">
        <v>1858</v>
      </c>
      <c r="Q1004" s="242" t="s">
        <v>1857</v>
      </c>
      <c r="R1004" s="241" t="s">
        <v>207</v>
      </c>
      <c r="S1004" s="223">
        <v>17950000</v>
      </c>
      <c r="T1004" s="160">
        <v>3775925.26</v>
      </c>
      <c r="U1004" s="160">
        <v>7534517.96</v>
      </c>
      <c r="V1004" s="160">
        <v>7551850.5199999996</v>
      </c>
      <c r="W1004" s="160">
        <v>10398149.48</v>
      </c>
      <c r="X1004" s="161">
        <v>7534577.96</v>
      </c>
      <c r="Y1004" s="160"/>
      <c r="Z1004" s="16">
        <v>42.07</v>
      </c>
      <c r="AA1004" s="162">
        <v>15086368.48</v>
      </c>
      <c r="AB1004" s="224">
        <v>3771592.12</v>
      </c>
      <c r="AC1004" s="224">
        <v>45259105.439999998</v>
      </c>
      <c r="AD1004" s="223">
        <v>12402309.039999999</v>
      </c>
      <c r="AE1004" s="244">
        <v>17950000</v>
      </c>
      <c r="AF1004" s="220">
        <v>1.0469999999999999</v>
      </c>
      <c r="AG1004" s="221">
        <v>1.046</v>
      </c>
      <c r="AH1004" s="221">
        <v>1.046</v>
      </c>
      <c r="AI1004" s="245">
        <v>30352309.039999999</v>
      </c>
      <c r="AJ1004" s="164">
        <f t="shared" si="144"/>
        <v>-12402309.039999999</v>
      </c>
      <c r="AK1004" s="246">
        <v>10000000</v>
      </c>
      <c r="AL1004" s="246">
        <f t="shared" si="150"/>
        <v>10000000</v>
      </c>
      <c r="AM1004" s="246">
        <f t="shared" si="148"/>
        <v>10460000</v>
      </c>
      <c r="AN1004" s="246">
        <f t="shared" si="149"/>
        <v>10941160</v>
      </c>
      <c r="AO1004" s="244" t="s">
        <v>2150</v>
      </c>
      <c r="AP1004" s="247">
        <f t="shared" si="145"/>
        <v>0</v>
      </c>
      <c r="AR1004" s="231"/>
      <c r="AS1004" s="231"/>
      <c r="AU1004" s="248">
        <v>17950000</v>
      </c>
      <c r="AV1004" s="249">
        <v>30352309.039999999</v>
      </c>
      <c r="AW1004" s="248">
        <f t="shared" si="142"/>
        <v>0</v>
      </c>
    </row>
    <row r="1005" spans="1:49" s="250" customFormat="1" hidden="1" x14ac:dyDescent="0.3">
      <c r="A1005" s="241" t="s">
        <v>2151</v>
      </c>
      <c r="B1005" s="242" t="s">
        <v>1860</v>
      </c>
      <c r="C1005" s="242" t="s">
        <v>1861</v>
      </c>
      <c r="D1005" s="340" t="s">
        <v>3481</v>
      </c>
      <c r="E1005" s="243" t="s">
        <v>1761</v>
      </c>
      <c r="F1005" s="243" t="s">
        <v>363</v>
      </c>
      <c r="G1005" s="243" t="s">
        <v>1078</v>
      </c>
      <c r="H1005" s="243" t="s">
        <v>1194</v>
      </c>
      <c r="I1005" s="243" t="s">
        <v>393</v>
      </c>
      <c r="J1005" s="243" t="s">
        <v>312</v>
      </c>
      <c r="K1005" s="243" t="s">
        <v>1081</v>
      </c>
      <c r="L1005" s="242" t="s">
        <v>1862</v>
      </c>
      <c r="M1005" s="242" t="s">
        <v>305</v>
      </c>
      <c r="N1005" s="242">
        <v>11</v>
      </c>
      <c r="O1005" s="242" t="s">
        <v>1861</v>
      </c>
      <c r="P1005" s="242" t="s">
        <v>1861</v>
      </c>
      <c r="Q1005" s="242" t="s">
        <v>1860</v>
      </c>
      <c r="R1005" s="241" t="s">
        <v>2151</v>
      </c>
      <c r="S1005" s="223">
        <v>2250000</v>
      </c>
      <c r="T1005" s="160">
        <v>0</v>
      </c>
      <c r="U1005" s="160">
        <v>0</v>
      </c>
      <c r="V1005" s="160">
        <v>7470</v>
      </c>
      <c r="W1005" s="160">
        <v>2242530</v>
      </c>
      <c r="X1005" s="161">
        <v>7470</v>
      </c>
      <c r="Y1005" s="160"/>
      <c r="Z1005" s="16">
        <v>0.33</v>
      </c>
      <c r="AA1005" s="162">
        <v>7470</v>
      </c>
      <c r="AB1005" s="224">
        <v>1867.5</v>
      </c>
      <c r="AC1005" s="224">
        <v>22410</v>
      </c>
      <c r="AD1005" s="223"/>
      <c r="AE1005" s="244">
        <v>1500000</v>
      </c>
      <c r="AF1005" s="220">
        <v>1.0469999999999999</v>
      </c>
      <c r="AG1005" s="221">
        <v>1.046</v>
      </c>
      <c r="AH1005" s="221">
        <v>1.046</v>
      </c>
      <c r="AI1005" s="245">
        <v>2250000</v>
      </c>
      <c r="AJ1005" s="164">
        <f t="shared" si="144"/>
        <v>-750000</v>
      </c>
      <c r="AK1005" s="246">
        <f>AE1005</f>
        <v>1500000</v>
      </c>
      <c r="AL1005" s="246">
        <f t="shared" si="150"/>
        <v>1500000</v>
      </c>
      <c r="AM1005" s="246">
        <f t="shared" si="148"/>
        <v>1569000</v>
      </c>
      <c r="AN1005" s="246">
        <f t="shared" si="149"/>
        <v>1641174</v>
      </c>
      <c r="AO1005" s="241"/>
      <c r="AP1005" s="247">
        <f t="shared" si="145"/>
        <v>0</v>
      </c>
      <c r="AR1005" s="231"/>
      <c r="AS1005" s="231"/>
      <c r="AU1005" s="248">
        <v>2250000</v>
      </c>
      <c r="AV1005" s="249">
        <v>2250000</v>
      </c>
      <c r="AW1005" s="248">
        <f t="shared" si="142"/>
        <v>0</v>
      </c>
    </row>
    <row r="1006" spans="1:49" s="172" customFormat="1" x14ac:dyDescent="0.3">
      <c r="A1006" s="166" t="s">
        <v>50</v>
      </c>
      <c r="B1006" s="167" t="s">
        <v>1863</v>
      </c>
      <c r="C1006" s="167" t="s">
        <v>302</v>
      </c>
      <c r="D1006" s="412" t="s">
        <v>3482</v>
      </c>
      <c r="E1006" s="168" t="s">
        <v>1761</v>
      </c>
      <c r="F1006" s="168" t="s">
        <v>542</v>
      </c>
      <c r="G1006" s="168" t="s">
        <v>309</v>
      </c>
      <c r="H1006" s="168" t="s">
        <v>373</v>
      </c>
      <c r="I1006" s="168" t="s">
        <v>374</v>
      </c>
      <c r="J1006" s="168" t="s">
        <v>312</v>
      </c>
      <c r="K1006" s="168" t="s">
        <v>1849</v>
      </c>
      <c r="L1006" s="167" t="s">
        <v>304</v>
      </c>
      <c r="M1006" s="167" t="s">
        <v>305</v>
      </c>
      <c r="N1006" s="167">
        <v>11</v>
      </c>
      <c r="O1006" s="167" t="s">
        <v>302</v>
      </c>
      <c r="P1006" s="167" t="s">
        <v>302</v>
      </c>
      <c r="Q1006" s="167" t="s">
        <v>1863</v>
      </c>
      <c r="R1006" s="166" t="s">
        <v>50</v>
      </c>
      <c r="S1006" s="169">
        <v>0</v>
      </c>
      <c r="T1006" s="160">
        <v>0</v>
      </c>
      <c r="U1006" s="160">
        <v>0</v>
      </c>
      <c r="V1006" s="160">
        <v>0</v>
      </c>
      <c r="W1006" s="160">
        <v>0</v>
      </c>
      <c r="X1006" s="161">
        <v>0</v>
      </c>
      <c r="Y1006" s="160"/>
      <c r="Z1006" s="16">
        <v>0</v>
      </c>
      <c r="AA1006" s="162">
        <v>0</v>
      </c>
      <c r="AB1006" s="162">
        <v>0</v>
      </c>
      <c r="AC1006" s="162">
        <v>0</v>
      </c>
      <c r="AD1006" s="160"/>
      <c r="AE1006" s="145">
        <v>0</v>
      </c>
      <c r="AF1006" s="163">
        <v>1.0529999999999999</v>
      </c>
      <c r="AG1006" s="163">
        <v>1.0489999999999999</v>
      </c>
      <c r="AH1006" s="163">
        <v>1.0469999999999999</v>
      </c>
      <c r="AI1006" s="164">
        <v>0</v>
      </c>
      <c r="AJ1006" s="164">
        <f t="shared" si="144"/>
        <v>0</v>
      </c>
      <c r="AK1006" s="229">
        <v>0</v>
      </c>
      <c r="AL1006" s="229">
        <f ca="1">SUMIF('MS &amp; Vacancies combined'!A:J,D1006,'MS &amp; Vacancies combined'!J:J)*105.3/100</f>
        <v>0</v>
      </c>
      <c r="AM1006" s="229">
        <f t="shared" ca="1" si="148"/>
        <v>0</v>
      </c>
      <c r="AN1006" s="229">
        <f t="shared" ca="1" si="149"/>
        <v>0</v>
      </c>
      <c r="AO1006" s="166"/>
      <c r="AP1006" s="413">
        <f t="shared" ca="1" si="145"/>
        <v>0</v>
      </c>
      <c r="AR1006" s="231"/>
      <c r="AS1006" s="231"/>
      <c r="AU1006" s="414">
        <v>0</v>
      </c>
      <c r="AV1006" s="415">
        <v>0</v>
      </c>
      <c r="AW1006" s="414">
        <f t="shared" si="142"/>
        <v>0</v>
      </c>
    </row>
    <row r="1007" spans="1:49" s="172" customFormat="1" x14ac:dyDescent="0.3">
      <c r="A1007" s="166" t="s">
        <v>52</v>
      </c>
      <c r="B1007" s="167" t="s">
        <v>1864</v>
      </c>
      <c r="C1007" s="167" t="s">
        <v>376</v>
      </c>
      <c r="D1007" s="412" t="s">
        <v>3482</v>
      </c>
      <c r="E1007" s="168" t="s">
        <v>1761</v>
      </c>
      <c r="F1007" s="168" t="s">
        <v>542</v>
      </c>
      <c r="G1007" s="168" t="s">
        <v>309</v>
      </c>
      <c r="H1007" s="168" t="s">
        <v>373</v>
      </c>
      <c r="I1007" s="168" t="s">
        <v>377</v>
      </c>
      <c r="J1007" s="168" t="s">
        <v>312</v>
      </c>
      <c r="K1007" s="168" t="s">
        <v>1849</v>
      </c>
      <c r="L1007" s="167" t="s">
        <v>304</v>
      </c>
      <c r="M1007" s="167" t="s">
        <v>305</v>
      </c>
      <c r="N1007" s="167">
        <v>11</v>
      </c>
      <c r="O1007" s="167" t="s">
        <v>376</v>
      </c>
      <c r="P1007" s="167" t="s">
        <v>376</v>
      </c>
      <c r="Q1007" s="167" t="s">
        <v>1864</v>
      </c>
      <c r="R1007" s="166" t="s">
        <v>52</v>
      </c>
      <c r="S1007" s="169">
        <v>0</v>
      </c>
      <c r="T1007" s="160">
        <v>0</v>
      </c>
      <c r="U1007" s="160">
        <v>0</v>
      </c>
      <c r="V1007" s="160">
        <v>0</v>
      </c>
      <c r="W1007" s="160">
        <v>0</v>
      </c>
      <c r="X1007" s="161">
        <v>0</v>
      </c>
      <c r="Y1007" s="160"/>
      <c r="Z1007" s="16">
        <v>0</v>
      </c>
      <c r="AA1007" s="162">
        <v>0</v>
      </c>
      <c r="AB1007" s="162">
        <v>0</v>
      </c>
      <c r="AC1007" s="162">
        <v>0</v>
      </c>
      <c r="AD1007" s="160"/>
      <c r="AE1007" s="145">
        <v>0</v>
      </c>
      <c r="AF1007" s="163">
        <v>1.0529999999999999</v>
      </c>
      <c r="AG1007" s="163">
        <v>1.0489999999999999</v>
      </c>
      <c r="AH1007" s="163">
        <v>1.0469999999999999</v>
      </c>
      <c r="AI1007" s="164">
        <v>0</v>
      </c>
      <c r="AJ1007" s="164">
        <f t="shared" si="144"/>
        <v>0</v>
      </c>
      <c r="AK1007" s="229">
        <v>0</v>
      </c>
      <c r="AL1007" s="229">
        <f ca="1">SUMIF('MS &amp; Vacancies combined'!A:M,D1007,'MS &amp; Vacancies combined'!M:M)*105.3/100</f>
        <v>0</v>
      </c>
      <c r="AM1007" s="229">
        <f t="shared" ca="1" si="148"/>
        <v>0</v>
      </c>
      <c r="AN1007" s="229">
        <f t="shared" ca="1" si="149"/>
        <v>0</v>
      </c>
      <c r="AO1007" s="166"/>
      <c r="AP1007" s="413">
        <f t="shared" ca="1" si="145"/>
        <v>0</v>
      </c>
      <c r="AR1007" s="231"/>
      <c r="AS1007" s="231"/>
      <c r="AU1007" s="414">
        <v>0</v>
      </c>
      <c r="AV1007" s="415">
        <v>0</v>
      </c>
      <c r="AW1007" s="414">
        <f t="shared" si="142"/>
        <v>0</v>
      </c>
    </row>
    <row r="1008" spans="1:49" s="172" customFormat="1" x14ac:dyDescent="0.3">
      <c r="A1008" s="166" t="s">
        <v>54</v>
      </c>
      <c r="B1008" s="167" t="s">
        <v>1865</v>
      </c>
      <c r="C1008" s="167" t="s">
        <v>379</v>
      </c>
      <c r="D1008" s="412" t="s">
        <v>3482</v>
      </c>
      <c r="E1008" s="168" t="s">
        <v>1761</v>
      </c>
      <c r="F1008" s="168" t="s">
        <v>542</v>
      </c>
      <c r="G1008" s="168" t="s">
        <v>309</v>
      </c>
      <c r="H1008" s="168" t="s">
        <v>373</v>
      </c>
      <c r="I1008" s="168" t="s">
        <v>380</v>
      </c>
      <c r="J1008" s="168" t="s">
        <v>312</v>
      </c>
      <c r="K1008" s="168" t="s">
        <v>1849</v>
      </c>
      <c r="L1008" s="167" t="s">
        <v>304</v>
      </c>
      <c r="M1008" s="167" t="s">
        <v>305</v>
      </c>
      <c r="N1008" s="167">
        <v>11</v>
      </c>
      <c r="O1008" s="167" t="s">
        <v>379</v>
      </c>
      <c r="P1008" s="167" t="s">
        <v>379</v>
      </c>
      <c r="Q1008" s="167" t="s">
        <v>1865</v>
      </c>
      <c r="R1008" s="166" t="s">
        <v>54</v>
      </c>
      <c r="S1008" s="169">
        <v>0</v>
      </c>
      <c r="T1008" s="160">
        <v>0</v>
      </c>
      <c r="U1008" s="160">
        <v>0</v>
      </c>
      <c r="V1008" s="160">
        <v>0</v>
      </c>
      <c r="W1008" s="160">
        <v>0</v>
      </c>
      <c r="X1008" s="161">
        <v>0</v>
      </c>
      <c r="Y1008" s="160"/>
      <c r="Z1008" s="16">
        <v>0</v>
      </c>
      <c r="AA1008" s="162">
        <v>0</v>
      </c>
      <c r="AB1008" s="162">
        <v>0</v>
      </c>
      <c r="AC1008" s="162">
        <v>0</v>
      </c>
      <c r="AD1008" s="160"/>
      <c r="AE1008" s="145">
        <v>0</v>
      </c>
      <c r="AF1008" s="163">
        <v>1.0529999999999999</v>
      </c>
      <c r="AG1008" s="163">
        <v>1.0489999999999999</v>
      </c>
      <c r="AH1008" s="163">
        <v>1.0469999999999999</v>
      </c>
      <c r="AI1008" s="164">
        <v>0</v>
      </c>
      <c r="AJ1008" s="164">
        <f t="shared" si="144"/>
        <v>0</v>
      </c>
      <c r="AK1008" s="229">
        <v>0</v>
      </c>
      <c r="AL1008" s="229">
        <f ca="1">SUMIF('MS &amp; Vacancies combined'!A:L,D1008,'MS &amp; Vacancies combined'!L:L)*105.3/100</f>
        <v>0</v>
      </c>
      <c r="AM1008" s="229">
        <f t="shared" ca="1" si="148"/>
        <v>0</v>
      </c>
      <c r="AN1008" s="229">
        <f t="shared" ca="1" si="149"/>
        <v>0</v>
      </c>
      <c r="AO1008" s="166"/>
      <c r="AP1008" s="413">
        <f t="shared" ca="1" si="145"/>
        <v>0</v>
      </c>
      <c r="AR1008" s="231"/>
      <c r="AS1008" s="231"/>
      <c r="AU1008" s="414">
        <v>0</v>
      </c>
      <c r="AV1008" s="415">
        <v>0</v>
      </c>
      <c r="AW1008" s="414">
        <f t="shared" si="142"/>
        <v>0</v>
      </c>
    </row>
    <row r="1009" spans="1:49" s="172" customFormat="1" x14ac:dyDescent="0.3">
      <c r="A1009" s="166" t="s">
        <v>56</v>
      </c>
      <c r="B1009" s="167" t="s">
        <v>1866</v>
      </c>
      <c r="C1009" s="167" t="s">
        <v>385</v>
      </c>
      <c r="D1009" s="412" t="s">
        <v>3482</v>
      </c>
      <c r="E1009" s="168" t="s">
        <v>1761</v>
      </c>
      <c r="F1009" s="168" t="s">
        <v>542</v>
      </c>
      <c r="G1009" s="168" t="s">
        <v>309</v>
      </c>
      <c r="H1009" s="168" t="s">
        <v>373</v>
      </c>
      <c r="I1009" s="168" t="s">
        <v>386</v>
      </c>
      <c r="J1009" s="168" t="s">
        <v>387</v>
      </c>
      <c r="K1009" s="168" t="s">
        <v>1849</v>
      </c>
      <c r="L1009" s="167" t="s">
        <v>304</v>
      </c>
      <c r="M1009" s="167" t="s">
        <v>305</v>
      </c>
      <c r="N1009" s="167">
        <v>11</v>
      </c>
      <c r="O1009" s="167" t="s">
        <v>385</v>
      </c>
      <c r="P1009" s="167" t="s">
        <v>385</v>
      </c>
      <c r="Q1009" s="167" t="s">
        <v>1866</v>
      </c>
      <c r="R1009" s="166" t="s">
        <v>56</v>
      </c>
      <c r="S1009" s="169">
        <v>0</v>
      </c>
      <c r="T1009" s="160">
        <v>0</v>
      </c>
      <c r="U1009" s="160">
        <v>0</v>
      </c>
      <c r="V1009" s="160">
        <v>0</v>
      </c>
      <c r="W1009" s="160">
        <v>0</v>
      </c>
      <c r="X1009" s="161">
        <v>0</v>
      </c>
      <c r="Y1009" s="160"/>
      <c r="Z1009" s="16">
        <v>0</v>
      </c>
      <c r="AA1009" s="162">
        <v>0</v>
      </c>
      <c r="AB1009" s="162">
        <v>0</v>
      </c>
      <c r="AC1009" s="162">
        <v>0</v>
      </c>
      <c r="AD1009" s="160"/>
      <c r="AE1009" s="145">
        <v>0</v>
      </c>
      <c r="AF1009" s="163">
        <v>1.0529999999999999</v>
      </c>
      <c r="AG1009" s="163">
        <v>1.0489999999999999</v>
      </c>
      <c r="AH1009" s="163">
        <v>1.0469999999999999</v>
      </c>
      <c r="AI1009" s="164">
        <v>0</v>
      </c>
      <c r="AJ1009" s="164">
        <f t="shared" si="144"/>
        <v>0</v>
      </c>
      <c r="AK1009" s="229">
        <v>0</v>
      </c>
      <c r="AL1009" s="229">
        <f ca="1">SUMIF('MS &amp; Vacancies combined'!A:O,D1009,'MS &amp; Vacancies combined'!O:O)*105.3/100</f>
        <v>0</v>
      </c>
      <c r="AM1009" s="229">
        <f t="shared" ca="1" si="148"/>
        <v>0</v>
      </c>
      <c r="AN1009" s="229">
        <f t="shared" ca="1" si="149"/>
        <v>0</v>
      </c>
      <c r="AO1009" s="166"/>
      <c r="AP1009" s="413">
        <f t="shared" ca="1" si="145"/>
        <v>0</v>
      </c>
      <c r="AR1009" s="231"/>
      <c r="AS1009" s="231"/>
      <c r="AU1009" s="414">
        <v>0</v>
      </c>
      <c r="AV1009" s="415">
        <v>0</v>
      </c>
      <c r="AW1009" s="414">
        <f t="shared" si="142"/>
        <v>0</v>
      </c>
    </row>
    <row r="1010" spans="1:49" x14ac:dyDescent="0.3">
      <c r="A1010" s="16" t="s">
        <v>57</v>
      </c>
      <c r="B1010" s="39" t="s">
        <v>1867</v>
      </c>
      <c r="C1010" s="39" t="s">
        <v>389</v>
      </c>
      <c r="D1010" s="340" t="s">
        <v>3482</v>
      </c>
      <c r="E1010" s="159" t="s">
        <v>1761</v>
      </c>
      <c r="F1010" s="159" t="s">
        <v>542</v>
      </c>
      <c r="G1010" s="159" t="s">
        <v>309</v>
      </c>
      <c r="H1010" s="159" t="s">
        <v>373</v>
      </c>
      <c r="I1010" s="159" t="s">
        <v>390</v>
      </c>
      <c r="J1010" s="159" t="s">
        <v>312</v>
      </c>
      <c r="K1010" s="159" t="s">
        <v>1849</v>
      </c>
      <c r="L1010" s="39" t="s">
        <v>304</v>
      </c>
      <c r="M1010" s="39" t="s">
        <v>305</v>
      </c>
      <c r="N1010" s="39">
        <v>11</v>
      </c>
      <c r="O1010" s="39" t="s">
        <v>389</v>
      </c>
      <c r="P1010" s="39" t="s">
        <v>389</v>
      </c>
      <c r="Q1010" s="39" t="s">
        <v>1867</v>
      </c>
      <c r="R1010" s="16" t="s">
        <v>57</v>
      </c>
      <c r="S1010" s="169">
        <v>0</v>
      </c>
      <c r="T1010" s="160">
        <v>0</v>
      </c>
      <c r="U1010" s="160">
        <v>0</v>
      </c>
      <c r="V1010" s="160">
        <v>0</v>
      </c>
      <c r="W1010" s="160">
        <v>0</v>
      </c>
      <c r="X1010" s="161">
        <v>0</v>
      </c>
      <c r="Y1010" s="160"/>
      <c r="Z1010" s="16">
        <v>0</v>
      </c>
      <c r="AA1010" s="162">
        <v>0</v>
      </c>
      <c r="AB1010" s="162">
        <v>0</v>
      </c>
      <c r="AC1010" s="162">
        <v>0</v>
      </c>
      <c r="AD1010" s="160"/>
      <c r="AE1010" s="145">
        <v>0</v>
      </c>
      <c r="AF1010" s="421">
        <v>1.0529999999999999</v>
      </c>
      <c r="AG1010" s="421">
        <v>1.0489999999999999</v>
      </c>
      <c r="AH1010" s="421">
        <v>1.0469999999999999</v>
      </c>
      <c r="AI1010" s="164">
        <v>0</v>
      </c>
      <c r="AJ1010" s="164">
        <f t="shared" si="144"/>
        <v>0</v>
      </c>
      <c r="AK1010" s="165">
        <v>0</v>
      </c>
      <c r="AL1010" s="165">
        <f>AK1010*80%</f>
        <v>0</v>
      </c>
      <c r="AM1010" s="165">
        <f t="shared" si="148"/>
        <v>0</v>
      </c>
      <c r="AN1010" s="165">
        <f t="shared" si="149"/>
        <v>0</v>
      </c>
      <c r="AO1010" s="16"/>
      <c r="AP1010" s="231">
        <f t="shared" si="145"/>
        <v>0</v>
      </c>
      <c r="AR1010" s="231"/>
      <c r="AS1010" s="231"/>
      <c r="AU1010" s="230">
        <v>0</v>
      </c>
      <c r="AV1010" s="233">
        <v>0</v>
      </c>
      <c r="AW1010" s="230">
        <f t="shared" si="142"/>
        <v>0</v>
      </c>
    </row>
    <row r="1011" spans="1:49" s="172" customFormat="1" x14ac:dyDescent="0.3">
      <c r="A1011" s="166" t="s">
        <v>69</v>
      </c>
      <c r="B1011" s="167" t="s">
        <v>1868</v>
      </c>
      <c r="C1011" s="167" t="s">
        <v>398</v>
      </c>
      <c r="D1011" s="412" t="s">
        <v>3482</v>
      </c>
      <c r="E1011" s="168" t="s">
        <v>1761</v>
      </c>
      <c r="F1011" s="168" t="s">
        <v>542</v>
      </c>
      <c r="G1011" s="168" t="s">
        <v>309</v>
      </c>
      <c r="H1011" s="168" t="s">
        <v>310</v>
      </c>
      <c r="I1011" s="168" t="s">
        <v>374</v>
      </c>
      <c r="J1011" s="168" t="s">
        <v>312</v>
      </c>
      <c r="K1011" s="168" t="s">
        <v>1849</v>
      </c>
      <c r="L1011" s="167" t="s">
        <v>304</v>
      </c>
      <c r="M1011" s="167" t="s">
        <v>305</v>
      </c>
      <c r="N1011" s="167">
        <v>11</v>
      </c>
      <c r="O1011" s="167" t="s">
        <v>398</v>
      </c>
      <c r="P1011" s="167" t="s">
        <v>398</v>
      </c>
      <c r="Q1011" s="167" t="s">
        <v>1868</v>
      </c>
      <c r="R1011" s="166" t="s">
        <v>69</v>
      </c>
      <c r="S1011" s="169">
        <v>0</v>
      </c>
      <c r="T1011" s="160">
        <v>0</v>
      </c>
      <c r="U1011" s="160">
        <v>0</v>
      </c>
      <c r="V1011" s="160">
        <v>0</v>
      </c>
      <c r="W1011" s="160">
        <v>0</v>
      </c>
      <c r="X1011" s="161">
        <v>0</v>
      </c>
      <c r="Y1011" s="160"/>
      <c r="Z1011" s="16">
        <v>0</v>
      </c>
      <c r="AA1011" s="162">
        <v>0</v>
      </c>
      <c r="AB1011" s="162">
        <v>0</v>
      </c>
      <c r="AC1011" s="162">
        <v>0</v>
      </c>
      <c r="AD1011" s="160"/>
      <c r="AE1011" s="145">
        <v>0</v>
      </c>
      <c r="AF1011" s="163">
        <v>1.0529999999999999</v>
      </c>
      <c r="AG1011" s="163">
        <v>1.0489999999999999</v>
      </c>
      <c r="AH1011" s="163">
        <v>1.0469999999999999</v>
      </c>
      <c r="AI1011" s="164">
        <v>0</v>
      </c>
      <c r="AJ1011" s="164">
        <f t="shared" si="144"/>
        <v>0</v>
      </c>
      <c r="AK1011" s="229">
        <v>0</v>
      </c>
      <c r="AL1011" s="229">
        <f ca="1">SUMIF('MS &amp; Vacancies combined'!A:N,D1011,'MS &amp; Vacancies combined'!N:N)*105.3/100</f>
        <v>0</v>
      </c>
      <c r="AM1011" s="229">
        <f t="shared" ca="1" si="148"/>
        <v>0</v>
      </c>
      <c r="AN1011" s="229">
        <f t="shared" ca="1" si="149"/>
        <v>0</v>
      </c>
      <c r="AO1011" s="166"/>
      <c r="AP1011" s="413">
        <f t="shared" ca="1" si="145"/>
        <v>0</v>
      </c>
      <c r="AR1011" s="231"/>
      <c r="AS1011" s="231"/>
      <c r="AU1011" s="414">
        <v>0</v>
      </c>
      <c r="AV1011" s="415">
        <v>0</v>
      </c>
      <c r="AW1011" s="414">
        <f t="shared" si="142"/>
        <v>0</v>
      </c>
    </row>
    <row r="1012" spans="1:49" s="172" customFormat="1" x14ac:dyDescent="0.3">
      <c r="A1012" s="166" t="s">
        <v>70</v>
      </c>
      <c r="B1012" s="167" t="s">
        <v>1869</v>
      </c>
      <c r="C1012" s="167" t="s">
        <v>400</v>
      </c>
      <c r="D1012" s="412" t="s">
        <v>3482</v>
      </c>
      <c r="E1012" s="168" t="s">
        <v>1761</v>
      </c>
      <c r="F1012" s="168" t="s">
        <v>542</v>
      </c>
      <c r="G1012" s="168" t="s">
        <v>309</v>
      </c>
      <c r="H1012" s="168" t="s">
        <v>310</v>
      </c>
      <c r="I1012" s="168" t="s">
        <v>401</v>
      </c>
      <c r="J1012" s="168" t="s">
        <v>312</v>
      </c>
      <c r="K1012" s="168" t="s">
        <v>1849</v>
      </c>
      <c r="L1012" s="167" t="s">
        <v>304</v>
      </c>
      <c r="M1012" s="167" t="s">
        <v>305</v>
      </c>
      <c r="N1012" s="167">
        <v>11</v>
      </c>
      <c r="O1012" s="167" t="s">
        <v>400</v>
      </c>
      <c r="P1012" s="167" t="s">
        <v>400</v>
      </c>
      <c r="Q1012" s="167" t="s">
        <v>1869</v>
      </c>
      <c r="R1012" s="166" t="s">
        <v>70</v>
      </c>
      <c r="S1012" s="169">
        <v>0</v>
      </c>
      <c r="T1012" s="160">
        <v>0</v>
      </c>
      <c r="U1012" s="160">
        <v>0</v>
      </c>
      <c r="V1012" s="160">
        <v>0</v>
      </c>
      <c r="W1012" s="160">
        <v>0</v>
      </c>
      <c r="X1012" s="161">
        <v>0</v>
      </c>
      <c r="Y1012" s="160"/>
      <c r="Z1012" s="16">
        <v>0</v>
      </c>
      <c r="AA1012" s="162">
        <v>0</v>
      </c>
      <c r="AB1012" s="162">
        <v>0</v>
      </c>
      <c r="AC1012" s="162">
        <v>0</v>
      </c>
      <c r="AD1012" s="160"/>
      <c r="AE1012" s="145">
        <v>0</v>
      </c>
      <c r="AF1012" s="163">
        <v>1.0529999999999999</v>
      </c>
      <c r="AG1012" s="163">
        <v>1.0489999999999999</v>
      </c>
      <c r="AH1012" s="163">
        <v>1.0469999999999999</v>
      </c>
      <c r="AI1012" s="164">
        <v>0</v>
      </c>
      <c r="AJ1012" s="164">
        <f t="shared" si="144"/>
        <v>0</v>
      </c>
      <c r="AK1012" s="229">
        <v>0</v>
      </c>
      <c r="AL1012" s="229">
        <f ca="1">SUMIF('MS &amp; Vacancies combined'!A:P,D1012,'MS &amp; Vacancies combined'!P:P)*105.3/100</f>
        <v>0</v>
      </c>
      <c r="AM1012" s="229">
        <f t="shared" ca="1" si="148"/>
        <v>0</v>
      </c>
      <c r="AN1012" s="229">
        <f t="shared" ca="1" si="149"/>
        <v>0</v>
      </c>
      <c r="AO1012" s="166"/>
      <c r="AP1012" s="413">
        <f t="shared" ca="1" si="145"/>
        <v>0</v>
      </c>
      <c r="AR1012" s="231"/>
      <c r="AS1012" s="231"/>
      <c r="AU1012" s="414">
        <v>0</v>
      </c>
      <c r="AV1012" s="415">
        <v>0</v>
      </c>
      <c r="AW1012" s="414">
        <f t="shared" si="142"/>
        <v>0</v>
      </c>
    </row>
    <row r="1013" spans="1:49" s="172" customFormat="1" x14ac:dyDescent="0.3">
      <c r="A1013" s="166" t="s">
        <v>71</v>
      </c>
      <c r="B1013" s="167" t="s">
        <v>1870</v>
      </c>
      <c r="C1013" s="167" t="s">
        <v>403</v>
      </c>
      <c r="D1013" s="412" t="s">
        <v>3482</v>
      </c>
      <c r="E1013" s="168" t="s">
        <v>1761</v>
      </c>
      <c r="F1013" s="168" t="s">
        <v>542</v>
      </c>
      <c r="G1013" s="168" t="s">
        <v>309</v>
      </c>
      <c r="H1013" s="168" t="s">
        <v>310</v>
      </c>
      <c r="I1013" s="168" t="s">
        <v>404</v>
      </c>
      <c r="J1013" s="168" t="s">
        <v>312</v>
      </c>
      <c r="K1013" s="168" t="s">
        <v>1849</v>
      </c>
      <c r="L1013" s="167" t="s">
        <v>304</v>
      </c>
      <c r="M1013" s="167" t="s">
        <v>305</v>
      </c>
      <c r="N1013" s="167">
        <v>11</v>
      </c>
      <c r="O1013" s="167" t="s">
        <v>403</v>
      </c>
      <c r="P1013" s="167" t="s">
        <v>403</v>
      </c>
      <c r="Q1013" s="167" t="s">
        <v>1870</v>
      </c>
      <c r="R1013" s="166" t="s">
        <v>71</v>
      </c>
      <c r="S1013" s="169">
        <v>0</v>
      </c>
      <c r="T1013" s="160">
        <v>0</v>
      </c>
      <c r="U1013" s="160">
        <v>0</v>
      </c>
      <c r="V1013" s="160">
        <v>0</v>
      </c>
      <c r="W1013" s="160">
        <v>0</v>
      </c>
      <c r="X1013" s="161">
        <v>0</v>
      </c>
      <c r="Y1013" s="160"/>
      <c r="Z1013" s="16">
        <v>0</v>
      </c>
      <c r="AA1013" s="162">
        <v>0</v>
      </c>
      <c r="AB1013" s="162">
        <v>0</v>
      </c>
      <c r="AC1013" s="162">
        <v>0</v>
      </c>
      <c r="AD1013" s="160"/>
      <c r="AE1013" s="145">
        <v>0</v>
      </c>
      <c r="AF1013" s="163">
        <v>1.0529999999999999</v>
      </c>
      <c r="AG1013" s="163">
        <v>1.0489999999999999</v>
      </c>
      <c r="AH1013" s="163">
        <v>1.0469999999999999</v>
      </c>
      <c r="AI1013" s="164">
        <v>0</v>
      </c>
      <c r="AJ1013" s="164">
        <f t="shared" si="144"/>
        <v>0</v>
      </c>
      <c r="AK1013" s="229">
        <v>0</v>
      </c>
      <c r="AL1013" s="229">
        <f ca="1">SUMIF('MS &amp; Vacancies combined'!A:Q,D1013,'MS &amp; Vacancies combined'!Q:Q)*105.3/100</f>
        <v>0</v>
      </c>
      <c r="AM1013" s="229">
        <f t="shared" ca="1" si="148"/>
        <v>0</v>
      </c>
      <c r="AN1013" s="229">
        <f t="shared" ca="1" si="149"/>
        <v>0</v>
      </c>
      <c r="AO1013" s="166"/>
      <c r="AP1013" s="413">
        <f t="shared" ca="1" si="145"/>
        <v>0</v>
      </c>
      <c r="AR1013" s="231"/>
      <c r="AS1013" s="231"/>
      <c r="AU1013" s="414">
        <v>0</v>
      </c>
      <c r="AV1013" s="415">
        <v>0</v>
      </c>
      <c r="AW1013" s="414">
        <f t="shared" si="142"/>
        <v>0</v>
      </c>
    </row>
    <row r="1014" spans="1:49" s="172" customFormat="1" x14ac:dyDescent="0.3">
      <c r="A1014" s="166" t="s">
        <v>72</v>
      </c>
      <c r="B1014" s="167" t="s">
        <v>1871</v>
      </c>
      <c r="C1014" s="167" t="s">
        <v>406</v>
      </c>
      <c r="D1014" s="412" t="s">
        <v>3482</v>
      </c>
      <c r="E1014" s="168" t="s">
        <v>1761</v>
      </c>
      <c r="F1014" s="168" t="s">
        <v>542</v>
      </c>
      <c r="G1014" s="168" t="s">
        <v>309</v>
      </c>
      <c r="H1014" s="168" t="s">
        <v>310</v>
      </c>
      <c r="I1014" s="168" t="s">
        <v>407</v>
      </c>
      <c r="J1014" s="168" t="s">
        <v>312</v>
      </c>
      <c r="K1014" s="168" t="s">
        <v>1849</v>
      </c>
      <c r="L1014" s="167" t="s">
        <v>304</v>
      </c>
      <c r="M1014" s="167" t="s">
        <v>305</v>
      </c>
      <c r="N1014" s="167">
        <v>11</v>
      </c>
      <c r="O1014" s="167" t="s">
        <v>406</v>
      </c>
      <c r="P1014" s="167" t="s">
        <v>406</v>
      </c>
      <c r="Q1014" s="167" t="s">
        <v>1871</v>
      </c>
      <c r="R1014" s="166" t="s">
        <v>72</v>
      </c>
      <c r="S1014" s="169">
        <v>0</v>
      </c>
      <c r="T1014" s="160">
        <v>0</v>
      </c>
      <c r="U1014" s="160">
        <v>0</v>
      </c>
      <c r="V1014" s="160">
        <v>0</v>
      </c>
      <c r="W1014" s="160">
        <v>0</v>
      </c>
      <c r="X1014" s="161">
        <v>0</v>
      </c>
      <c r="Y1014" s="160"/>
      <c r="Z1014" s="16">
        <v>0</v>
      </c>
      <c r="AA1014" s="162">
        <v>0</v>
      </c>
      <c r="AB1014" s="162">
        <v>0</v>
      </c>
      <c r="AC1014" s="162">
        <v>0</v>
      </c>
      <c r="AD1014" s="160"/>
      <c r="AE1014" s="145">
        <v>0</v>
      </c>
      <c r="AF1014" s="163">
        <v>1.0529999999999999</v>
      </c>
      <c r="AG1014" s="163">
        <v>1.0489999999999999</v>
      </c>
      <c r="AH1014" s="163">
        <v>1.0469999999999999</v>
      </c>
      <c r="AI1014" s="164">
        <v>0</v>
      </c>
      <c r="AJ1014" s="164">
        <f t="shared" si="144"/>
        <v>0</v>
      </c>
      <c r="AK1014" s="229">
        <v>0</v>
      </c>
      <c r="AL1014" s="229">
        <f ca="1">SUMIF('MS &amp; Vacancies combined'!A:R,D1014,'MS &amp; Vacancies combined'!R:R)*105.3/100</f>
        <v>0</v>
      </c>
      <c r="AM1014" s="229">
        <f t="shared" ca="1" si="148"/>
        <v>0</v>
      </c>
      <c r="AN1014" s="229">
        <f t="shared" ca="1" si="149"/>
        <v>0</v>
      </c>
      <c r="AO1014" s="166"/>
      <c r="AP1014" s="413">
        <f t="shared" ca="1" si="145"/>
        <v>0</v>
      </c>
      <c r="AR1014" s="231"/>
      <c r="AS1014" s="231"/>
      <c r="AU1014" s="414">
        <v>0</v>
      </c>
      <c r="AV1014" s="415">
        <v>0</v>
      </c>
      <c r="AW1014" s="414">
        <f t="shared" si="142"/>
        <v>0</v>
      </c>
    </row>
    <row r="1015" spans="1:49" s="172" customFormat="1" x14ac:dyDescent="0.3">
      <c r="A1015" s="166" t="s">
        <v>73</v>
      </c>
      <c r="B1015" s="167" t="s">
        <v>1872</v>
      </c>
      <c r="C1015" s="167" t="s">
        <v>307</v>
      </c>
      <c r="D1015" s="412" t="s">
        <v>3482</v>
      </c>
      <c r="E1015" s="168" t="s">
        <v>1761</v>
      </c>
      <c r="F1015" s="168" t="s">
        <v>542</v>
      </c>
      <c r="G1015" s="168" t="s">
        <v>309</v>
      </c>
      <c r="H1015" s="168" t="s">
        <v>310</v>
      </c>
      <c r="I1015" s="168" t="s">
        <v>311</v>
      </c>
      <c r="J1015" s="168" t="s">
        <v>312</v>
      </c>
      <c r="K1015" s="168" t="s">
        <v>1849</v>
      </c>
      <c r="L1015" s="167" t="s">
        <v>304</v>
      </c>
      <c r="M1015" s="167" t="s">
        <v>305</v>
      </c>
      <c r="N1015" s="167">
        <v>11</v>
      </c>
      <c r="O1015" s="167" t="s">
        <v>307</v>
      </c>
      <c r="P1015" s="167" t="s">
        <v>307</v>
      </c>
      <c r="Q1015" s="167" t="s">
        <v>1872</v>
      </c>
      <c r="R1015" s="166" t="s">
        <v>73</v>
      </c>
      <c r="S1015" s="169">
        <v>0</v>
      </c>
      <c r="T1015" s="160">
        <v>0</v>
      </c>
      <c r="U1015" s="160">
        <v>0</v>
      </c>
      <c r="V1015" s="160">
        <v>0</v>
      </c>
      <c r="W1015" s="160">
        <v>0</v>
      </c>
      <c r="X1015" s="161">
        <v>0</v>
      </c>
      <c r="Y1015" s="160"/>
      <c r="Z1015" s="16">
        <v>0</v>
      </c>
      <c r="AA1015" s="162">
        <v>0</v>
      </c>
      <c r="AB1015" s="162">
        <v>0</v>
      </c>
      <c r="AC1015" s="162">
        <v>0</v>
      </c>
      <c r="AD1015" s="160"/>
      <c r="AE1015" s="145">
        <v>0</v>
      </c>
      <c r="AF1015" s="163">
        <v>1.0529999999999999</v>
      </c>
      <c r="AG1015" s="163">
        <v>1.0489999999999999</v>
      </c>
      <c r="AH1015" s="163">
        <v>1.0469999999999999</v>
      </c>
      <c r="AI1015" s="164">
        <v>0</v>
      </c>
      <c r="AJ1015" s="164">
        <f t="shared" si="144"/>
        <v>0</v>
      </c>
      <c r="AK1015" s="229">
        <v>0</v>
      </c>
      <c r="AL1015" s="229">
        <f ca="1">SUMIF('MS &amp; Vacancies combined'!A:S,D1015,'MS &amp; Vacancies combined'!S:S)*105.3/100</f>
        <v>0</v>
      </c>
      <c r="AM1015" s="229">
        <f t="shared" ca="1" si="148"/>
        <v>0</v>
      </c>
      <c r="AN1015" s="229">
        <f t="shared" ca="1" si="149"/>
        <v>0</v>
      </c>
      <c r="AO1015" s="166"/>
      <c r="AP1015" s="413">
        <f t="shared" ca="1" si="145"/>
        <v>0</v>
      </c>
      <c r="AR1015" s="231"/>
      <c r="AS1015" s="231"/>
      <c r="AU1015" s="414">
        <v>0</v>
      </c>
      <c r="AV1015" s="415">
        <v>0</v>
      </c>
      <c r="AW1015" s="414">
        <f t="shared" si="142"/>
        <v>0</v>
      </c>
    </row>
    <row r="1016" spans="1:49" s="172" customFormat="1" x14ac:dyDescent="0.3">
      <c r="A1016" s="166" t="s">
        <v>50</v>
      </c>
      <c r="B1016" s="167" t="s">
        <v>1873</v>
      </c>
      <c r="C1016" s="167" t="s">
        <v>302</v>
      </c>
      <c r="D1016" s="412" t="s">
        <v>3483</v>
      </c>
      <c r="E1016" s="168" t="s">
        <v>1761</v>
      </c>
      <c r="F1016" s="168" t="s">
        <v>370</v>
      </c>
      <c r="G1016" s="168" t="s">
        <v>309</v>
      </c>
      <c r="H1016" s="168" t="s">
        <v>373</v>
      </c>
      <c r="I1016" s="168" t="s">
        <v>374</v>
      </c>
      <c r="J1016" s="168" t="s">
        <v>312</v>
      </c>
      <c r="K1016" s="168" t="s">
        <v>1849</v>
      </c>
      <c r="L1016" s="167" t="s">
        <v>1874</v>
      </c>
      <c r="M1016" s="167" t="s">
        <v>305</v>
      </c>
      <c r="N1016" s="167">
        <v>11</v>
      </c>
      <c r="O1016" s="167" t="s">
        <v>302</v>
      </c>
      <c r="P1016" s="167" t="s">
        <v>302</v>
      </c>
      <c r="Q1016" s="167" t="s">
        <v>1873</v>
      </c>
      <c r="R1016" s="166" t="s">
        <v>50</v>
      </c>
      <c r="S1016" s="169">
        <v>2889210</v>
      </c>
      <c r="T1016" s="160">
        <v>272937.61</v>
      </c>
      <c r="U1016" s="160">
        <v>0</v>
      </c>
      <c r="V1016" s="160">
        <v>1090379.23</v>
      </c>
      <c r="W1016" s="160">
        <v>1798830.77</v>
      </c>
      <c r="X1016" s="161">
        <v>0</v>
      </c>
      <c r="Y1016" s="160"/>
      <c r="Z1016" s="16">
        <v>37.729999999999997</v>
      </c>
      <c r="AA1016" s="162">
        <v>1090379.23</v>
      </c>
      <c r="AB1016" s="162">
        <v>272594.8075</v>
      </c>
      <c r="AC1016" s="162">
        <v>3271137.69</v>
      </c>
      <c r="AD1016" s="160"/>
      <c r="AE1016" s="145">
        <v>2889210</v>
      </c>
      <c r="AF1016" s="163">
        <v>1.0529999999999999</v>
      </c>
      <c r="AG1016" s="163">
        <v>1.0489999999999999</v>
      </c>
      <c r="AH1016" s="163">
        <v>1.0469999999999999</v>
      </c>
      <c r="AI1016" s="164">
        <v>2889210</v>
      </c>
      <c r="AJ1016" s="164">
        <f t="shared" si="144"/>
        <v>0</v>
      </c>
      <c r="AK1016" s="229">
        <v>2889210</v>
      </c>
      <c r="AL1016" s="229">
        <f ca="1">SUMIF('MS &amp; Vacancies combined'!A:J,D1016,'MS &amp; Vacancies combined'!J:J)*105.3/100</f>
        <v>2807914.263804662</v>
      </c>
      <c r="AM1016" s="229">
        <f t="shared" ca="1" si="148"/>
        <v>2945502.0627310905</v>
      </c>
      <c r="AN1016" s="229">
        <f t="shared" ca="1" si="149"/>
        <v>3083940.6596794515</v>
      </c>
      <c r="AO1016" s="166"/>
      <c r="AP1016" s="413">
        <f t="shared" ca="1" si="145"/>
        <v>81295.736195337959</v>
      </c>
      <c r="AR1016" s="231"/>
      <c r="AS1016" s="231"/>
      <c r="AU1016" s="414">
        <v>2889210</v>
      </c>
      <c r="AV1016" s="415">
        <v>2889210</v>
      </c>
      <c r="AW1016" s="414">
        <f t="shared" si="142"/>
        <v>0</v>
      </c>
    </row>
    <row r="1017" spans="1:49" s="172" customFormat="1" x14ac:dyDescent="0.3">
      <c r="A1017" s="166" t="s">
        <v>52</v>
      </c>
      <c r="B1017" s="167" t="s">
        <v>1875</v>
      </c>
      <c r="C1017" s="167" t="s">
        <v>376</v>
      </c>
      <c r="D1017" s="412" t="s">
        <v>3483</v>
      </c>
      <c r="E1017" s="168" t="s">
        <v>1761</v>
      </c>
      <c r="F1017" s="168" t="s">
        <v>370</v>
      </c>
      <c r="G1017" s="168" t="s">
        <v>309</v>
      </c>
      <c r="H1017" s="168" t="s">
        <v>373</v>
      </c>
      <c r="I1017" s="168" t="s">
        <v>377</v>
      </c>
      <c r="J1017" s="168" t="s">
        <v>312</v>
      </c>
      <c r="K1017" s="168" t="s">
        <v>1849</v>
      </c>
      <c r="L1017" s="167" t="s">
        <v>1874</v>
      </c>
      <c r="M1017" s="167" t="s">
        <v>305</v>
      </c>
      <c r="N1017" s="167">
        <v>11</v>
      </c>
      <c r="O1017" s="167" t="s">
        <v>376</v>
      </c>
      <c r="P1017" s="167" t="s">
        <v>376</v>
      </c>
      <c r="Q1017" s="167" t="s">
        <v>1875</v>
      </c>
      <c r="R1017" s="166" t="s">
        <v>52</v>
      </c>
      <c r="S1017" s="169">
        <v>0</v>
      </c>
      <c r="T1017" s="160">
        <v>0</v>
      </c>
      <c r="U1017" s="160">
        <v>0</v>
      </c>
      <c r="V1017" s="160">
        <v>0</v>
      </c>
      <c r="W1017" s="160">
        <v>0</v>
      </c>
      <c r="X1017" s="161">
        <v>0</v>
      </c>
      <c r="Y1017" s="160"/>
      <c r="Z1017" s="16">
        <v>0</v>
      </c>
      <c r="AA1017" s="162">
        <v>0</v>
      </c>
      <c r="AB1017" s="162">
        <v>0</v>
      </c>
      <c r="AC1017" s="162">
        <v>0</v>
      </c>
      <c r="AD1017" s="160"/>
      <c r="AE1017" s="145">
        <v>0</v>
      </c>
      <c r="AF1017" s="163">
        <v>1.0529999999999999</v>
      </c>
      <c r="AG1017" s="163">
        <v>1.0489999999999999</v>
      </c>
      <c r="AH1017" s="163">
        <v>1.0469999999999999</v>
      </c>
      <c r="AI1017" s="164">
        <v>0</v>
      </c>
      <c r="AJ1017" s="164">
        <f t="shared" si="144"/>
        <v>0</v>
      </c>
      <c r="AK1017" s="229">
        <v>0</v>
      </c>
      <c r="AL1017" s="229">
        <f ca="1">SUMIF('MS &amp; Vacancies combined'!A:M,D1017,'MS &amp; Vacancies combined'!M:M)*105.3/100</f>
        <v>0</v>
      </c>
      <c r="AM1017" s="229">
        <f t="shared" ca="1" si="148"/>
        <v>0</v>
      </c>
      <c r="AN1017" s="229">
        <f t="shared" ca="1" si="149"/>
        <v>0</v>
      </c>
      <c r="AO1017" s="166"/>
      <c r="AP1017" s="413">
        <f t="shared" ca="1" si="145"/>
        <v>0</v>
      </c>
      <c r="AR1017" s="231"/>
      <c r="AS1017" s="231"/>
      <c r="AU1017" s="414">
        <v>0</v>
      </c>
      <c r="AV1017" s="415">
        <v>0</v>
      </c>
      <c r="AW1017" s="414">
        <f t="shared" si="142"/>
        <v>0</v>
      </c>
    </row>
    <row r="1018" spans="1:49" s="172" customFormat="1" x14ac:dyDescent="0.3">
      <c r="A1018" s="166" t="s">
        <v>54</v>
      </c>
      <c r="B1018" s="167" t="s">
        <v>1876</v>
      </c>
      <c r="C1018" s="167" t="s">
        <v>379</v>
      </c>
      <c r="D1018" s="412" t="s">
        <v>3483</v>
      </c>
      <c r="E1018" s="168" t="s">
        <v>1761</v>
      </c>
      <c r="F1018" s="168" t="s">
        <v>370</v>
      </c>
      <c r="G1018" s="168" t="s">
        <v>309</v>
      </c>
      <c r="H1018" s="168" t="s">
        <v>373</v>
      </c>
      <c r="I1018" s="168" t="s">
        <v>380</v>
      </c>
      <c r="J1018" s="168" t="s">
        <v>312</v>
      </c>
      <c r="K1018" s="168" t="s">
        <v>1849</v>
      </c>
      <c r="L1018" s="167" t="s">
        <v>1874</v>
      </c>
      <c r="M1018" s="167" t="s">
        <v>305</v>
      </c>
      <c r="N1018" s="167">
        <v>11</v>
      </c>
      <c r="O1018" s="167" t="s">
        <v>379</v>
      </c>
      <c r="P1018" s="167" t="s">
        <v>379</v>
      </c>
      <c r="Q1018" s="167" t="s">
        <v>1876</v>
      </c>
      <c r="R1018" s="166" t="s">
        <v>54</v>
      </c>
      <c r="S1018" s="169">
        <v>121297</v>
      </c>
      <c r="T1018" s="160">
        <v>1011.77</v>
      </c>
      <c r="U1018" s="160">
        <v>0</v>
      </c>
      <c r="V1018" s="160">
        <v>4047.08</v>
      </c>
      <c r="W1018" s="160">
        <v>117249.92</v>
      </c>
      <c r="X1018" s="161">
        <v>0</v>
      </c>
      <c r="Y1018" s="160"/>
      <c r="Z1018" s="16">
        <v>3.33</v>
      </c>
      <c r="AA1018" s="162">
        <v>4047.08</v>
      </c>
      <c r="AB1018" s="162">
        <v>1011.77</v>
      </c>
      <c r="AC1018" s="162">
        <v>12141.24</v>
      </c>
      <c r="AD1018" s="160"/>
      <c r="AE1018" s="145">
        <v>121297</v>
      </c>
      <c r="AF1018" s="163">
        <v>1.0529999999999999</v>
      </c>
      <c r="AG1018" s="163">
        <v>1.0489999999999999</v>
      </c>
      <c r="AH1018" s="163">
        <v>1.0469999999999999</v>
      </c>
      <c r="AI1018" s="164">
        <v>121297</v>
      </c>
      <c r="AJ1018" s="164">
        <f t="shared" si="144"/>
        <v>0</v>
      </c>
      <c r="AK1018" s="229">
        <v>121297</v>
      </c>
      <c r="AL1018" s="229">
        <f ca="1">SUMIF('MS &amp; Vacancies combined'!A:L,D1018,'MS &amp; Vacancies combined'!L:L)*105.3/100</f>
        <v>117880.8319684669</v>
      </c>
      <c r="AM1018" s="229">
        <f t="shared" ca="1" si="148"/>
        <v>123656.99273492176</v>
      </c>
      <c r="AN1018" s="229">
        <f t="shared" ca="1" si="149"/>
        <v>129468.87139346308</v>
      </c>
      <c r="AO1018" s="166"/>
      <c r="AP1018" s="413">
        <f t="shared" ca="1" si="145"/>
        <v>3416.1680315331032</v>
      </c>
      <c r="AR1018" s="231"/>
      <c r="AS1018" s="231"/>
      <c r="AU1018" s="414">
        <v>121297</v>
      </c>
      <c r="AV1018" s="415">
        <v>121297</v>
      </c>
      <c r="AW1018" s="414">
        <f t="shared" si="142"/>
        <v>0</v>
      </c>
    </row>
    <row r="1019" spans="1:49" x14ac:dyDescent="0.3">
      <c r="A1019" s="16" t="s">
        <v>55</v>
      </c>
      <c r="B1019" s="39" t="s">
        <v>1877</v>
      </c>
      <c r="C1019" s="39" t="s">
        <v>382</v>
      </c>
      <c r="D1019" s="340" t="s">
        <v>3483</v>
      </c>
      <c r="E1019" s="159" t="s">
        <v>1761</v>
      </c>
      <c r="F1019" s="159" t="s">
        <v>370</v>
      </c>
      <c r="G1019" s="159" t="s">
        <v>309</v>
      </c>
      <c r="H1019" s="159" t="s">
        <v>373</v>
      </c>
      <c r="I1019" s="159" t="s">
        <v>383</v>
      </c>
      <c r="J1019" s="159" t="s">
        <v>312</v>
      </c>
      <c r="K1019" s="159" t="s">
        <v>1849</v>
      </c>
      <c r="L1019" s="39" t="s">
        <v>1874</v>
      </c>
      <c r="M1019" s="39" t="s">
        <v>305</v>
      </c>
      <c r="N1019" s="39">
        <v>11</v>
      </c>
      <c r="O1019" s="39" t="s">
        <v>382</v>
      </c>
      <c r="P1019" s="39" t="s">
        <v>382</v>
      </c>
      <c r="Q1019" s="39" t="s">
        <v>1877</v>
      </c>
      <c r="R1019" s="16" t="s">
        <v>55</v>
      </c>
      <c r="S1019" s="169">
        <v>0</v>
      </c>
      <c r="T1019" s="160">
        <v>0</v>
      </c>
      <c r="U1019" s="160">
        <v>0</v>
      </c>
      <c r="V1019" s="160">
        <v>0</v>
      </c>
      <c r="W1019" s="160">
        <v>0</v>
      </c>
      <c r="X1019" s="161">
        <v>0</v>
      </c>
      <c r="Y1019" s="160"/>
      <c r="Z1019" s="16">
        <v>0</v>
      </c>
      <c r="AA1019" s="162">
        <v>0</v>
      </c>
      <c r="AB1019" s="162">
        <v>0</v>
      </c>
      <c r="AC1019" s="162">
        <v>0</v>
      </c>
      <c r="AD1019" s="160"/>
      <c r="AE1019" s="145">
        <v>0</v>
      </c>
      <c r="AF1019" s="163">
        <v>1.0469999999999999</v>
      </c>
      <c r="AG1019" s="164">
        <v>1.046</v>
      </c>
      <c r="AH1019" s="164">
        <v>1.046</v>
      </c>
      <c r="AI1019" s="164">
        <v>0</v>
      </c>
      <c r="AJ1019" s="164">
        <f t="shared" si="144"/>
        <v>0</v>
      </c>
      <c r="AK1019" s="165">
        <v>0</v>
      </c>
      <c r="AL1019" s="165">
        <v>0</v>
      </c>
      <c r="AM1019" s="165">
        <f t="shared" si="148"/>
        <v>0</v>
      </c>
      <c r="AN1019" s="165">
        <f t="shared" si="149"/>
        <v>0</v>
      </c>
      <c r="AO1019" s="16"/>
      <c r="AP1019" s="231">
        <f t="shared" si="145"/>
        <v>0</v>
      </c>
      <c r="AR1019" s="231"/>
      <c r="AS1019" s="231"/>
      <c r="AU1019" s="230">
        <v>0</v>
      </c>
      <c r="AV1019" s="233">
        <v>0</v>
      </c>
      <c r="AW1019" s="230">
        <f t="shared" si="142"/>
        <v>0</v>
      </c>
    </row>
    <row r="1020" spans="1:49" s="172" customFormat="1" x14ac:dyDescent="0.3">
      <c r="A1020" s="166" t="s">
        <v>56</v>
      </c>
      <c r="B1020" s="167" t="s">
        <v>1878</v>
      </c>
      <c r="C1020" s="167" t="s">
        <v>385</v>
      </c>
      <c r="D1020" s="412" t="s">
        <v>3483</v>
      </c>
      <c r="E1020" s="168" t="s">
        <v>1761</v>
      </c>
      <c r="F1020" s="168" t="s">
        <v>370</v>
      </c>
      <c r="G1020" s="168" t="s">
        <v>309</v>
      </c>
      <c r="H1020" s="168" t="s">
        <v>373</v>
      </c>
      <c r="I1020" s="168" t="s">
        <v>386</v>
      </c>
      <c r="J1020" s="168" t="s">
        <v>387</v>
      </c>
      <c r="K1020" s="168" t="s">
        <v>1849</v>
      </c>
      <c r="L1020" s="167" t="s">
        <v>304</v>
      </c>
      <c r="M1020" s="167" t="s">
        <v>305</v>
      </c>
      <c r="N1020" s="167">
        <v>11</v>
      </c>
      <c r="O1020" s="167" t="s">
        <v>385</v>
      </c>
      <c r="P1020" s="167" t="s">
        <v>385</v>
      </c>
      <c r="Q1020" s="167" t="s">
        <v>1878</v>
      </c>
      <c r="R1020" s="166" t="s">
        <v>56</v>
      </c>
      <c r="S1020" s="169">
        <v>0</v>
      </c>
      <c r="T1020" s="160">
        <v>0</v>
      </c>
      <c r="U1020" s="160">
        <v>0</v>
      </c>
      <c r="V1020" s="160">
        <v>16624</v>
      </c>
      <c r="W1020" s="160">
        <v>-16624</v>
      </c>
      <c r="X1020" s="161">
        <v>0</v>
      </c>
      <c r="Y1020" s="160"/>
      <c r="Z1020" s="16">
        <v>0</v>
      </c>
      <c r="AA1020" s="162">
        <v>16624</v>
      </c>
      <c r="AB1020" s="162">
        <v>4156</v>
      </c>
      <c r="AC1020" s="162">
        <v>49872</v>
      </c>
      <c r="AD1020" s="160"/>
      <c r="AE1020" s="145">
        <v>0</v>
      </c>
      <c r="AF1020" s="163">
        <v>1.0529999999999999</v>
      </c>
      <c r="AG1020" s="163">
        <v>1.0489999999999999</v>
      </c>
      <c r="AH1020" s="163">
        <v>1.0469999999999999</v>
      </c>
      <c r="AI1020" s="164">
        <v>0</v>
      </c>
      <c r="AJ1020" s="164">
        <f t="shared" si="144"/>
        <v>0</v>
      </c>
      <c r="AK1020" s="229">
        <v>0</v>
      </c>
      <c r="AL1020" s="229">
        <f ca="1">SUMIF('MS &amp; Vacancies combined'!A:O,D1020,'MS &amp; Vacancies combined'!O:O)*105.3/100</f>
        <v>162192.89579973984</v>
      </c>
      <c r="AM1020" s="229">
        <f ca="1">AL1020*AG1020</f>
        <v>170140.34769392709</v>
      </c>
      <c r="AN1020" s="229">
        <f ca="1">AM1020*AH1020</f>
        <v>178136.94403554164</v>
      </c>
      <c r="AO1020" s="166"/>
      <c r="AP1020" s="413">
        <f t="shared" ca="1" si="145"/>
        <v>-162192.89579973984</v>
      </c>
      <c r="AR1020" s="231"/>
      <c r="AS1020" s="231"/>
      <c r="AU1020" s="414">
        <v>0</v>
      </c>
      <c r="AV1020" s="415">
        <v>0</v>
      </c>
      <c r="AW1020" s="414">
        <f t="shared" si="142"/>
        <v>0</v>
      </c>
    </row>
    <row r="1021" spans="1:49" x14ac:dyDescent="0.3">
      <c r="A1021" s="16" t="s">
        <v>57</v>
      </c>
      <c r="B1021" s="39" t="s">
        <v>1879</v>
      </c>
      <c r="C1021" s="39" t="s">
        <v>389</v>
      </c>
      <c r="D1021" s="340" t="s">
        <v>3483</v>
      </c>
      <c r="E1021" s="159" t="s">
        <v>1761</v>
      </c>
      <c r="F1021" s="159" t="s">
        <v>370</v>
      </c>
      <c r="G1021" s="159" t="s">
        <v>309</v>
      </c>
      <c r="H1021" s="159" t="s">
        <v>373</v>
      </c>
      <c r="I1021" s="159" t="s">
        <v>390</v>
      </c>
      <c r="J1021" s="159" t="s">
        <v>312</v>
      </c>
      <c r="K1021" s="159" t="s">
        <v>1849</v>
      </c>
      <c r="L1021" s="39" t="s">
        <v>1874</v>
      </c>
      <c r="M1021" s="39" t="s">
        <v>305</v>
      </c>
      <c r="N1021" s="39">
        <v>11</v>
      </c>
      <c r="O1021" s="39" t="s">
        <v>389</v>
      </c>
      <c r="P1021" s="39" t="s">
        <v>389</v>
      </c>
      <c r="Q1021" s="39" t="s">
        <v>1879</v>
      </c>
      <c r="R1021" s="16" t="s">
        <v>57</v>
      </c>
      <c r="S1021" s="169">
        <v>69946</v>
      </c>
      <c r="T1021" s="160">
        <v>34680.120000000003</v>
      </c>
      <c r="U1021" s="160">
        <v>0</v>
      </c>
      <c r="V1021" s="160">
        <v>102549.13</v>
      </c>
      <c r="W1021" s="160">
        <v>-32603.13</v>
      </c>
      <c r="X1021" s="161">
        <v>0</v>
      </c>
      <c r="Y1021" s="160"/>
      <c r="Z1021" s="16">
        <v>146.61000000000001</v>
      </c>
      <c r="AA1021" s="162">
        <v>102549.13</v>
      </c>
      <c r="AB1021" s="162">
        <v>25637.282500000001</v>
      </c>
      <c r="AC1021" s="162">
        <v>307647.39</v>
      </c>
      <c r="AD1021" s="160"/>
      <c r="AE1021" s="145">
        <v>69946</v>
      </c>
      <c r="AF1021" s="421">
        <v>1.0529999999999999</v>
      </c>
      <c r="AG1021" s="421">
        <v>1.0489999999999999</v>
      </c>
      <c r="AH1021" s="421">
        <v>1.0469999999999999</v>
      </c>
      <c r="AI1021" s="164">
        <v>69946</v>
      </c>
      <c r="AJ1021" s="164">
        <f t="shared" si="144"/>
        <v>0</v>
      </c>
      <c r="AK1021" s="165">
        <v>69946</v>
      </c>
      <c r="AL1021" s="165">
        <f>AK1021*80%</f>
        <v>55956.800000000003</v>
      </c>
      <c r="AM1021" s="165">
        <f t="shared" si="148"/>
        <v>58698.683199999999</v>
      </c>
      <c r="AN1021" s="165">
        <f t="shared" si="149"/>
        <v>61457.521310399992</v>
      </c>
      <c r="AO1021" s="16"/>
      <c r="AP1021" s="231">
        <f t="shared" si="145"/>
        <v>13989.199999999997</v>
      </c>
      <c r="AR1021" s="231"/>
      <c r="AS1021" s="231"/>
      <c r="AU1021" s="230">
        <v>69946</v>
      </c>
      <c r="AV1021" s="233">
        <v>69946</v>
      </c>
      <c r="AW1021" s="230">
        <f t="shared" si="142"/>
        <v>0</v>
      </c>
    </row>
    <row r="1022" spans="1:49" x14ac:dyDescent="0.3">
      <c r="A1022" s="16" t="s">
        <v>59</v>
      </c>
      <c r="B1022" s="39" t="s">
        <v>1880</v>
      </c>
      <c r="C1022" s="39" t="s">
        <v>855</v>
      </c>
      <c r="D1022" s="340" t="s">
        <v>3483</v>
      </c>
      <c r="E1022" s="159" t="s">
        <v>1761</v>
      </c>
      <c r="F1022" s="159" t="s">
        <v>370</v>
      </c>
      <c r="G1022" s="159" t="s">
        <v>309</v>
      </c>
      <c r="H1022" s="159" t="s">
        <v>373</v>
      </c>
      <c r="I1022" s="159" t="s">
        <v>311</v>
      </c>
      <c r="J1022" s="159" t="s">
        <v>312</v>
      </c>
      <c r="K1022" s="159" t="s">
        <v>1849</v>
      </c>
      <c r="L1022" s="39" t="s">
        <v>1874</v>
      </c>
      <c r="M1022" s="39" t="s">
        <v>305</v>
      </c>
      <c r="N1022" s="39">
        <v>11</v>
      </c>
      <c r="O1022" s="39" t="s">
        <v>855</v>
      </c>
      <c r="P1022" s="39" t="s">
        <v>855</v>
      </c>
      <c r="Q1022" s="39" t="s">
        <v>1880</v>
      </c>
      <c r="R1022" s="16" t="s">
        <v>59</v>
      </c>
      <c r="S1022" s="169">
        <v>86392</v>
      </c>
      <c r="T1022" s="160">
        <v>10138.56</v>
      </c>
      <c r="U1022" s="160">
        <v>0</v>
      </c>
      <c r="V1022" s="160">
        <v>40556.400000000001</v>
      </c>
      <c r="W1022" s="160">
        <v>45835.6</v>
      </c>
      <c r="X1022" s="161">
        <v>0</v>
      </c>
      <c r="Y1022" s="160"/>
      <c r="Z1022" s="16">
        <v>46.94</v>
      </c>
      <c r="AA1022" s="162">
        <v>40556.400000000001</v>
      </c>
      <c r="AB1022" s="162">
        <v>10139.1</v>
      </c>
      <c r="AC1022" s="162">
        <v>121669.20000000001</v>
      </c>
      <c r="AD1022" s="160"/>
      <c r="AE1022" s="145">
        <v>86392</v>
      </c>
      <c r="AF1022" s="421">
        <v>1.0529999999999999</v>
      </c>
      <c r="AG1022" s="421">
        <v>1.0489999999999999</v>
      </c>
      <c r="AH1022" s="421">
        <v>1.0469999999999999</v>
      </c>
      <c r="AI1022" s="164">
        <v>86392</v>
      </c>
      <c r="AJ1022" s="164">
        <f t="shared" si="144"/>
        <v>0</v>
      </c>
      <c r="AK1022" s="165">
        <v>86392</v>
      </c>
      <c r="AL1022" s="165">
        <f>AK1022*AF1022</f>
        <v>90970.775999999998</v>
      </c>
      <c r="AM1022" s="165">
        <f t="shared" si="148"/>
        <v>95428.344023999991</v>
      </c>
      <c r="AN1022" s="165">
        <f t="shared" si="149"/>
        <v>99913.476193127979</v>
      </c>
      <c r="AO1022" s="16"/>
      <c r="AP1022" s="231">
        <f t="shared" si="145"/>
        <v>-4578.775999999998</v>
      </c>
      <c r="AR1022" s="231"/>
      <c r="AS1022" s="231"/>
      <c r="AU1022" s="230">
        <v>86392</v>
      </c>
      <c r="AV1022" s="233">
        <v>86392</v>
      </c>
      <c r="AW1022" s="230">
        <f t="shared" si="142"/>
        <v>0</v>
      </c>
    </row>
    <row r="1023" spans="1:49" x14ac:dyDescent="0.3">
      <c r="A1023" s="16" t="s">
        <v>60</v>
      </c>
      <c r="B1023" s="39" t="s">
        <v>1881</v>
      </c>
      <c r="C1023" s="39" t="s">
        <v>392</v>
      </c>
      <c r="D1023" s="340" t="s">
        <v>3483</v>
      </c>
      <c r="E1023" s="159" t="s">
        <v>1761</v>
      </c>
      <c r="F1023" s="159" t="s">
        <v>370</v>
      </c>
      <c r="G1023" s="159" t="s">
        <v>309</v>
      </c>
      <c r="H1023" s="159" t="s">
        <v>373</v>
      </c>
      <c r="I1023" s="159" t="s">
        <v>393</v>
      </c>
      <c r="J1023" s="159" t="s">
        <v>312</v>
      </c>
      <c r="K1023" s="159" t="s">
        <v>1849</v>
      </c>
      <c r="L1023" s="39" t="s">
        <v>1874</v>
      </c>
      <c r="M1023" s="39" t="s">
        <v>305</v>
      </c>
      <c r="N1023" s="39">
        <v>11</v>
      </c>
      <c r="O1023" s="39" t="s">
        <v>392</v>
      </c>
      <c r="P1023" s="39" t="s">
        <v>392</v>
      </c>
      <c r="Q1023" s="39" t="s">
        <v>1881</v>
      </c>
      <c r="R1023" s="16" t="s">
        <v>60</v>
      </c>
      <c r="S1023" s="169">
        <v>234612</v>
      </c>
      <c r="T1023" s="160">
        <v>28284.68</v>
      </c>
      <c r="U1023" s="160">
        <v>0</v>
      </c>
      <c r="V1023" s="160">
        <v>110184.48</v>
      </c>
      <c r="W1023" s="160">
        <v>124427.52</v>
      </c>
      <c r="X1023" s="161">
        <v>0</v>
      </c>
      <c r="Y1023" s="160"/>
      <c r="Z1023" s="16">
        <v>46.96</v>
      </c>
      <c r="AA1023" s="162">
        <v>110184.48</v>
      </c>
      <c r="AB1023" s="162">
        <v>27546.12</v>
      </c>
      <c r="AC1023" s="162">
        <v>330553.44</v>
      </c>
      <c r="AD1023" s="160"/>
      <c r="AE1023" s="145">
        <v>234612</v>
      </c>
      <c r="AF1023" s="421">
        <v>1.0529999999999999</v>
      </c>
      <c r="AG1023" s="421">
        <v>1.0489999999999999</v>
      </c>
      <c r="AH1023" s="421">
        <v>1.0469999999999999</v>
      </c>
      <c r="AI1023" s="164">
        <v>234612</v>
      </c>
      <c r="AJ1023" s="164">
        <f t="shared" si="144"/>
        <v>0</v>
      </c>
      <c r="AK1023" s="165">
        <v>234612</v>
      </c>
      <c r="AL1023" s="165">
        <f>AK1023*AF1023</f>
        <v>247046.43599999999</v>
      </c>
      <c r="AM1023" s="165">
        <f t="shared" si="148"/>
        <v>259151.71136399996</v>
      </c>
      <c r="AN1023" s="165">
        <f t="shared" si="149"/>
        <v>271331.84179810795</v>
      </c>
      <c r="AO1023" s="16"/>
      <c r="AP1023" s="231">
        <f t="shared" si="145"/>
        <v>-12434.435999999987</v>
      </c>
      <c r="AR1023" s="231"/>
      <c r="AS1023" s="231"/>
      <c r="AU1023" s="230">
        <v>234612</v>
      </c>
      <c r="AV1023" s="233">
        <v>234612</v>
      </c>
      <c r="AW1023" s="230">
        <f t="shared" si="142"/>
        <v>0</v>
      </c>
    </row>
    <row r="1024" spans="1:49" s="172" customFormat="1" x14ac:dyDescent="0.3">
      <c r="A1024" s="166" t="s">
        <v>62</v>
      </c>
      <c r="B1024" s="167" t="s">
        <v>1882</v>
      </c>
      <c r="C1024" s="167" t="s">
        <v>395</v>
      </c>
      <c r="D1024" s="412" t="s">
        <v>3483</v>
      </c>
      <c r="E1024" s="168" t="s">
        <v>1761</v>
      </c>
      <c r="F1024" s="168" t="s">
        <v>370</v>
      </c>
      <c r="G1024" s="168" t="s">
        <v>309</v>
      </c>
      <c r="H1024" s="168" t="s">
        <v>373</v>
      </c>
      <c r="I1024" s="168" t="s">
        <v>396</v>
      </c>
      <c r="J1024" s="168" t="s">
        <v>312</v>
      </c>
      <c r="K1024" s="168" t="s">
        <v>1849</v>
      </c>
      <c r="L1024" s="167" t="s">
        <v>1874</v>
      </c>
      <c r="M1024" s="167" t="s">
        <v>305</v>
      </c>
      <c r="N1024" s="167">
        <v>11</v>
      </c>
      <c r="O1024" s="167" t="s">
        <v>395</v>
      </c>
      <c r="P1024" s="167" t="s">
        <v>395</v>
      </c>
      <c r="Q1024" s="167" t="s">
        <v>1882</v>
      </c>
      <c r="R1024" s="166" t="s">
        <v>62</v>
      </c>
      <c r="S1024" s="169">
        <v>240768</v>
      </c>
      <c r="T1024" s="160">
        <v>130747</v>
      </c>
      <c r="U1024" s="160">
        <v>0</v>
      </c>
      <c r="V1024" s="160">
        <v>145705</v>
      </c>
      <c r="W1024" s="160">
        <v>95063</v>
      </c>
      <c r="X1024" s="161">
        <v>0</v>
      </c>
      <c r="Y1024" s="160"/>
      <c r="Z1024" s="16">
        <v>60.51</v>
      </c>
      <c r="AA1024" s="162">
        <v>145705</v>
      </c>
      <c r="AB1024" s="162">
        <v>36426.25</v>
      </c>
      <c r="AC1024" s="162">
        <v>437115</v>
      </c>
      <c r="AD1024" s="160"/>
      <c r="AE1024" s="145">
        <v>240768</v>
      </c>
      <c r="AF1024" s="163">
        <v>1.0529999999999999</v>
      </c>
      <c r="AG1024" s="163">
        <v>1.0489999999999999</v>
      </c>
      <c r="AH1024" s="163">
        <v>1.0469999999999999</v>
      </c>
      <c r="AI1024" s="164">
        <v>240768</v>
      </c>
      <c r="AJ1024" s="164">
        <f t="shared" si="144"/>
        <v>0</v>
      </c>
      <c r="AK1024" s="229">
        <v>240768</v>
      </c>
      <c r="AL1024" s="229">
        <f ca="1">SUMIF('MS &amp; Vacancies combined'!A:K,D1024,'MS &amp; Vacancies combined'!K:K)*105.3/100</f>
        <v>233992.8553170551</v>
      </c>
      <c r="AM1024" s="229">
        <f ca="1">AL1024*AG1024</f>
        <v>245458.50522759079</v>
      </c>
      <c r="AN1024" s="229">
        <f ca="1">AM1024*AH1024</f>
        <v>256995.05497328754</v>
      </c>
      <c r="AO1024" s="166"/>
      <c r="AP1024" s="413">
        <f t="shared" ca="1" si="145"/>
        <v>6775.1446829448978</v>
      </c>
      <c r="AR1024" s="231"/>
      <c r="AS1024" s="231"/>
      <c r="AU1024" s="414">
        <v>240768</v>
      </c>
      <c r="AV1024" s="415">
        <v>240768</v>
      </c>
      <c r="AW1024" s="414">
        <f t="shared" si="142"/>
        <v>0</v>
      </c>
    </row>
    <row r="1025" spans="1:49" x14ac:dyDescent="0.3">
      <c r="A1025" s="16" t="s">
        <v>64</v>
      </c>
      <c r="B1025" s="39" t="s">
        <v>1883</v>
      </c>
      <c r="C1025" s="39" t="s">
        <v>464</v>
      </c>
      <c r="D1025" s="340" t="s">
        <v>3483</v>
      </c>
      <c r="E1025" s="159" t="s">
        <v>1761</v>
      </c>
      <c r="F1025" s="159" t="s">
        <v>370</v>
      </c>
      <c r="G1025" s="159" t="s">
        <v>309</v>
      </c>
      <c r="H1025" s="159" t="s">
        <v>373</v>
      </c>
      <c r="I1025" s="159" t="s">
        <v>465</v>
      </c>
      <c r="J1025" s="159" t="s">
        <v>312</v>
      </c>
      <c r="K1025" s="159" t="s">
        <v>1849</v>
      </c>
      <c r="L1025" s="39" t="s">
        <v>1874</v>
      </c>
      <c r="M1025" s="39" t="s">
        <v>305</v>
      </c>
      <c r="N1025" s="39">
        <v>11</v>
      </c>
      <c r="O1025" s="39" t="s">
        <v>464</v>
      </c>
      <c r="P1025" s="39" t="s">
        <v>464</v>
      </c>
      <c r="Q1025" s="39" t="s">
        <v>1883</v>
      </c>
      <c r="R1025" s="16" t="s">
        <v>64</v>
      </c>
      <c r="S1025" s="169">
        <v>56694</v>
      </c>
      <c r="T1025" s="160">
        <v>12671.63</v>
      </c>
      <c r="U1025" s="160">
        <v>0</v>
      </c>
      <c r="V1025" s="160">
        <v>46098.9</v>
      </c>
      <c r="W1025" s="160">
        <v>10595.1</v>
      </c>
      <c r="X1025" s="161">
        <v>0</v>
      </c>
      <c r="Y1025" s="160"/>
      <c r="Z1025" s="16">
        <v>81.31</v>
      </c>
      <c r="AA1025" s="162">
        <v>46098.9</v>
      </c>
      <c r="AB1025" s="162">
        <v>11524.725</v>
      </c>
      <c r="AC1025" s="162">
        <v>138296.70000000001</v>
      </c>
      <c r="AD1025" s="160"/>
      <c r="AE1025" s="145">
        <v>56694</v>
      </c>
      <c r="AF1025" s="421">
        <v>1.0529999999999999</v>
      </c>
      <c r="AG1025" s="421">
        <v>1.0489999999999999</v>
      </c>
      <c r="AH1025" s="421">
        <v>1.0469999999999999</v>
      </c>
      <c r="AI1025" s="164">
        <v>56694</v>
      </c>
      <c r="AJ1025" s="164">
        <f t="shared" si="144"/>
        <v>0</v>
      </c>
      <c r="AK1025" s="165">
        <v>56694</v>
      </c>
      <c r="AL1025" s="165">
        <f>AK1025*AF1025</f>
        <v>59698.781999999999</v>
      </c>
      <c r="AM1025" s="165">
        <f t="shared" si="148"/>
        <v>62624.022317999996</v>
      </c>
      <c r="AN1025" s="165">
        <f t="shared" si="149"/>
        <v>65567.351366945994</v>
      </c>
      <c r="AO1025" s="16"/>
      <c r="AP1025" s="231">
        <f t="shared" si="145"/>
        <v>-3004.7819999999992</v>
      </c>
      <c r="AR1025" s="231"/>
      <c r="AS1025" s="231"/>
      <c r="AU1025" s="230">
        <v>56694</v>
      </c>
      <c r="AV1025" s="233">
        <v>56694</v>
      </c>
      <c r="AW1025" s="230">
        <f t="shared" si="142"/>
        <v>0</v>
      </c>
    </row>
    <row r="1026" spans="1:49" s="172" customFormat="1" x14ac:dyDescent="0.3">
      <c r="A1026" s="166" t="s">
        <v>69</v>
      </c>
      <c r="B1026" s="167" t="s">
        <v>1884</v>
      </c>
      <c r="C1026" s="167" t="s">
        <v>398</v>
      </c>
      <c r="D1026" s="412" t="s">
        <v>3483</v>
      </c>
      <c r="E1026" s="168" t="s">
        <v>1761</v>
      </c>
      <c r="F1026" s="168" t="s">
        <v>370</v>
      </c>
      <c r="G1026" s="168" t="s">
        <v>309</v>
      </c>
      <c r="H1026" s="168" t="s">
        <v>310</v>
      </c>
      <c r="I1026" s="168" t="s">
        <v>374</v>
      </c>
      <c r="J1026" s="168" t="s">
        <v>312</v>
      </c>
      <c r="K1026" s="168" t="s">
        <v>1849</v>
      </c>
      <c r="L1026" s="167" t="s">
        <v>1874</v>
      </c>
      <c r="M1026" s="167" t="s">
        <v>305</v>
      </c>
      <c r="N1026" s="167">
        <v>11</v>
      </c>
      <c r="O1026" s="167" t="s">
        <v>398</v>
      </c>
      <c r="P1026" s="167" t="s">
        <v>398</v>
      </c>
      <c r="Q1026" s="167" t="s">
        <v>1884</v>
      </c>
      <c r="R1026" s="166" t="s">
        <v>69</v>
      </c>
      <c r="S1026" s="169">
        <v>1295</v>
      </c>
      <c r="T1026" s="160">
        <v>129.6</v>
      </c>
      <c r="U1026" s="160">
        <v>0</v>
      </c>
      <c r="V1026" s="160">
        <v>518.4</v>
      </c>
      <c r="W1026" s="160">
        <v>776.6</v>
      </c>
      <c r="X1026" s="161">
        <v>0</v>
      </c>
      <c r="Y1026" s="160"/>
      <c r="Z1026" s="16">
        <v>40.03</v>
      </c>
      <c r="AA1026" s="162">
        <v>518.4</v>
      </c>
      <c r="AB1026" s="162">
        <v>129.6</v>
      </c>
      <c r="AC1026" s="162">
        <v>1555.1999999999998</v>
      </c>
      <c r="AD1026" s="160"/>
      <c r="AE1026" s="145">
        <v>1295</v>
      </c>
      <c r="AF1026" s="163">
        <v>1.0529999999999999</v>
      </c>
      <c r="AG1026" s="163">
        <v>1.0489999999999999</v>
      </c>
      <c r="AH1026" s="163">
        <v>1.0469999999999999</v>
      </c>
      <c r="AI1026" s="164">
        <v>1295</v>
      </c>
      <c r="AJ1026" s="164">
        <f t="shared" si="144"/>
        <v>0</v>
      </c>
      <c r="AK1026" s="229">
        <v>1295</v>
      </c>
      <c r="AL1026" s="229">
        <f ca="1">SUMIF('MS &amp; Vacancies combined'!A:N,D1026,'MS &amp; Vacancies combined'!N:N)*105.3/100</f>
        <v>1258.3027617536029</v>
      </c>
      <c r="AM1026" s="229">
        <f t="shared" ca="1" si="148"/>
        <v>1319.9595970795294</v>
      </c>
      <c r="AN1026" s="229">
        <f t="shared" ca="1" si="149"/>
        <v>1381.9976981422672</v>
      </c>
      <c r="AO1026" s="166"/>
      <c r="AP1026" s="413">
        <f t="shared" ca="1" si="145"/>
        <v>36.697238246397092</v>
      </c>
      <c r="AR1026" s="231"/>
      <c r="AS1026" s="231"/>
      <c r="AU1026" s="414">
        <v>1295</v>
      </c>
      <c r="AV1026" s="415">
        <v>1295</v>
      </c>
      <c r="AW1026" s="414">
        <f t="shared" ref="AW1026:AW1088" si="151">AU1026-S1026</f>
        <v>0</v>
      </c>
    </row>
    <row r="1027" spans="1:49" s="172" customFormat="1" x14ac:dyDescent="0.3">
      <c r="A1027" s="166" t="s">
        <v>70</v>
      </c>
      <c r="B1027" s="167" t="s">
        <v>1885</v>
      </c>
      <c r="C1027" s="167" t="s">
        <v>400</v>
      </c>
      <c r="D1027" s="412" t="s">
        <v>3483</v>
      </c>
      <c r="E1027" s="168" t="s">
        <v>1761</v>
      </c>
      <c r="F1027" s="168" t="s">
        <v>370</v>
      </c>
      <c r="G1027" s="168" t="s">
        <v>309</v>
      </c>
      <c r="H1027" s="168" t="s">
        <v>310</v>
      </c>
      <c r="I1027" s="168" t="s">
        <v>401</v>
      </c>
      <c r="J1027" s="168" t="s">
        <v>312</v>
      </c>
      <c r="K1027" s="168" t="s">
        <v>1849</v>
      </c>
      <c r="L1027" s="167" t="s">
        <v>1874</v>
      </c>
      <c r="M1027" s="167" t="s">
        <v>305</v>
      </c>
      <c r="N1027" s="167">
        <v>11</v>
      </c>
      <c r="O1027" s="167" t="s">
        <v>400</v>
      </c>
      <c r="P1027" s="167" t="s">
        <v>400</v>
      </c>
      <c r="Q1027" s="167" t="s">
        <v>1885</v>
      </c>
      <c r="R1027" s="166" t="s">
        <v>70</v>
      </c>
      <c r="S1027" s="169">
        <v>49117</v>
      </c>
      <c r="T1027" s="160">
        <v>2345.5300000000002</v>
      </c>
      <c r="U1027" s="160">
        <v>0</v>
      </c>
      <c r="V1027" s="160">
        <v>8955.6</v>
      </c>
      <c r="W1027" s="160">
        <v>40161.4</v>
      </c>
      <c r="X1027" s="161">
        <v>0</v>
      </c>
      <c r="Y1027" s="160"/>
      <c r="Z1027" s="16">
        <v>18.23</v>
      </c>
      <c r="AA1027" s="162">
        <v>8955.6</v>
      </c>
      <c r="AB1027" s="162">
        <v>2238.9</v>
      </c>
      <c r="AC1027" s="162">
        <v>26866.800000000003</v>
      </c>
      <c r="AD1027" s="160"/>
      <c r="AE1027" s="145">
        <v>49117</v>
      </c>
      <c r="AF1027" s="163">
        <v>1.0529999999999999</v>
      </c>
      <c r="AG1027" s="163">
        <v>1.0489999999999999</v>
      </c>
      <c r="AH1027" s="163">
        <v>1.0469999999999999</v>
      </c>
      <c r="AI1027" s="164">
        <v>49117</v>
      </c>
      <c r="AJ1027" s="164">
        <f t="shared" si="144"/>
        <v>0</v>
      </c>
      <c r="AK1027" s="229">
        <v>49117</v>
      </c>
      <c r="AL1027" s="229">
        <f ca="1">SUMIF('MS &amp; Vacancies combined'!A:P,D1027,'MS &amp; Vacancies combined'!P:P)*105.3/100</f>
        <v>49138.499616581583</v>
      </c>
      <c r="AM1027" s="229">
        <f t="shared" ca="1" si="148"/>
        <v>51546.28609779408</v>
      </c>
      <c r="AN1027" s="229">
        <f t="shared" ca="1" si="149"/>
        <v>53968.961544390397</v>
      </c>
      <c r="AO1027" s="166"/>
      <c r="AP1027" s="413">
        <f t="shared" ca="1" si="145"/>
        <v>-21.499616581582814</v>
      </c>
      <c r="AR1027" s="231"/>
      <c r="AS1027" s="231"/>
      <c r="AU1027" s="414">
        <v>49117</v>
      </c>
      <c r="AV1027" s="415">
        <v>49117</v>
      </c>
      <c r="AW1027" s="414">
        <f t="shared" si="151"/>
        <v>0</v>
      </c>
    </row>
    <row r="1028" spans="1:49" s="172" customFormat="1" x14ac:dyDescent="0.3">
      <c r="A1028" s="166" t="s">
        <v>71</v>
      </c>
      <c r="B1028" s="167" t="s">
        <v>1886</v>
      </c>
      <c r="C1028" s="167" t="s">
        <v>403</v>
      </c>
      <c r="D1028" s="412" t="s">
        <v>3483</v>
      </c>
      <c r="E1028" s="168" t="s">
        <v>1761</v>
      </c>
      <c r="F1028" s="168" t="s">
        <v>370</v>
      </c>
      <c r="G1028" s="168" t="s">
        <v>309</v>
      </c>
      <c r="H1028" s="168" t="s">
        <v>310</v>
      </c>
      <c r="I1028" s="168" t="s">
        <v>404</v>
      </c>
      <c r="J1028" s="168" t="s">
        <v>312</v>
      </c>
      <c r="K1028" s="168" t="s">
        <v>1849</v>
      </c>
      <c r="L1028" s="167" t="s">
        <v>1874</v>
      </c>
      <c r="M1028" s="167" t="s">
        <v>305</v>
      </c>
      <c r="N1028" s="167">
        <v>11</v>
      </c>
      <c r="O1028" s="167" t="s">
        <v>403</v>
      </c>
      <c r="P1028" s="167" t="s">
        <v>403</v>
      </c>
      <c r="Q1028" s="167" t="s">
        <v>1886</v>
      </c>
      <c r="R1028" s="166" t="s">
        <v>71</v>
      </c>
      <c r="S1028" s="169">
        <v>600268</v>
      </c>
      <c r="T1028" s="160">
        <v>33184.800000000003</v>
      </c>
      <c r="U1028" s="160">
        <v>0</v>
      </c>
      <c r="V1028" s="160">
        <v>132739.20000000001</v>
      </c>
      <c r="W1028" s="160">
        <v>467528.8</v>
      </c>
      <c r="X1028" s="161">
        <v>0</v>
      </c>
      <c r="Y1028" s="160"/>
      <c r="Z1028" s="16">
        <v>22.11</v>
      </c>
      <c r="AA1028" s="162">
        <v>132739.20000000001</v>
      </c>
      <c r="AB1028" s="162">
        <v>33184.800000000003</v>
      </c>
      <c r="AC1028" s="162">
        <v>398217.60000000003</v>
      </c>
      <c r="AD1028" s="160"/>
      <c r="AE1028" s="145">
        <v>600268</v>
      </c>
      <c r="AF1028" s="163">
        <v>1.0529999999999999</v>
      </c>
      <c r="AG1028" s="163">
        <v>1.0489999999999999</v>
      </c>
      <c r="AH1028" s="163">
        <v>1.0469999999999999</v>
      </c>
      <c r="AI1028" s="164">
        <v>600268</v>
      </c>
      <c r="AJ1028" s="164">
        <f t="shared" si="144"/>
        <v>0</v>
      </c>
      <c r="AK1028" s="229">
        <v>600268</v>
      </c>
      <c r="AL1028" s="229">
        <f ca="1">SUMIF('MS &amp; Vacancies combined'!A:Q,D1028,'MS &amp; Vacancies combined'!Q:Q)*105.3/100</f>
        <v>583363.14149076736</v>
      </c>
      <c r="AM1028" s="229">
        <f t="shared" ca="1" si="148"/>
        <v>611947.93542381492</v>
      </c>
      <c r="AN1028" s="229">
        <f t="shared" ca="1" si="149"/>
        <v>640709.48838873417</v>
      </c>
      <c r="AO1028" s="166"/>
      <c r="AP1028" s="413">
        <f t="shared" ca="1" si="145"/>
        <v>16904.858509232639</v>
      </c>
      <c r="AR1028" s="231"/>
      <c r="AS1028" s="231"/>
      <c r="AU1028" s="414">
        <v>600268</v>
      </c>
      <c r="AV1028" s="415">
        <v>600268</v>
      </c>
      <c r="AW1028" s="414">
        <f t="shared" si="151"/>
        <v>0</v>
      </c>
    </row>
    <row r="1029" spans="1:49" s="172" customFormat="1" x14ac:dyDescent="0.3">
      <c r="A1029" s="166" t="s">
        <v>72</v>
      </c>
      <c r="B1029" s="167" t="s">
        <v>1887</v>
      </c>
      <c r="C1029" s="167" t="s">
        <v>406</v>
      </c>
      <c r="D1029" s="412" t="s">
        <v>3483</v>
      </c>
      <c r="E1029" s="168" t="s">
        <v>1761</v>
      </c>
      <c r="F1029" s="168" t="s">
        <v>370</v>
      </c>
      <c r="G1029" s="168" t="s">
        <v>309</v>
      </c>
      <c r="H1029" s="168" t="s">
        <v>310</v>
      </c>
      <c r="I1029" s="168" t="s">
        <v>407</v>
      </c>
      <c r="J1029" s="168" t="s">
        <v>312</v>
      </c>
      <c r="K1029" s="168" t="s">
        <v>1849</v>
      </c>
      <c r="L1029" s="167" t="s">
        <v>1874</v>
      </c>
      <c r="M1029" s="167" t="s">
        <v>305</v>
      </c>
      <c r="N1029" s="167">
        <v>11</v>
      </c>
      <c r="O1029" s="167" t="s">
        <v>406</v>
      </c>
      <c r="P1029" s="167" t="s">
        <v>406</v>
      </c>
      <c r="Q1029" s="167" t="s">
        <v>1887</v>
      </c>
      <c r="R1029" s="166" t="s">
        <v>72</v>
      </c>
      <c r="S1029" s="169">
        <v>522080</v>
      </c>
      <c r="T1029" s="160">
        <v>49581.72</v>
      </c>
      <c r="U1029" s="160">
        <v>0</v>
      </c>
      <c r="V1029" s="160">
        <v>198333.38</v>
      </c>
      <c r="W1029" s="160">
        <v>323746.62</v>
      </c>
      <c r="X1029" s="161">
        <v>0</v>
      </c>
      <c r="Y1029" s="160"/>
      <c r="Z1029" s="16">
        <v>37.979999999999997</v>
      </c>
      <c r="AA1029" s="162">
        <v>198333.38</v>
      </c>
      <c r="AB1029" s="162">
        <v>49583.345000000001</v>
      </c>
      <c r="AC1029" s="162">
        <v>595000.14</v>
      </c>
      <c r="AD1029" s="160"/>
      <c r="AE1029" s="145">
        <v>522080</v>
      </c>
      <c r="AF1029" s="163">
        <v>1.0529999999999999</v>
      </c>
      <c r="AG1029" s="163">
        <v>1.0489999999999999</v>
      </c>
      <c r="AH1029" s="163">
        <v>1.0469999999999999</v>
      </c>
      <c r="AI1029" s="164">
        <v>522080</v>
      </c>
      <c r="AJ1029" s="164">
        <f t="shared" si="144"/>
        <v>0</v>
      </c>
      <c r="AK1029" s="229">
        <v>522080</v>
      </c>
      <c r="AL1029" s="229">
        <f ca="1">SUMIF('MS &amp; Vacancies combined'!A:R,D1029,'MS &amp; Vacancies combined'!R:R)*105.3/100</f>
        <v>507390.10746950237</v>
      </c>
      <c r="AM1029" s="229">
        <f t="shared" ca="1" si="148"/>
        <v>532252.222735508</v>
      </c>
      <c r="AN1029" s="229">
        <f t="shared" ca="1" si="149"/>
        <v>557268.07720407681</v>
      </c>
      <c r="AO1029" s="166"/>
      <c r="AP1029" s="413">
        <f t="shared" ca="1" si="145"/>
        <v>14689.892530497629</v>
      </c>
      <c r="AR1029" s="231"/>
      <c r="AS1029" s="231"/>
      <c r="AU1029" s="414">
        <v>522080</v>
      </c>
      <c r="AV1029" s="415">
        <v>522080</v>
      </c>
      <c r="AW1029" s="414">
        <f t="shared" si="151"/>
        <v>0</v>
      </c>
    </row>
    <row r="1030" spans="1:49" s="172" customFormat="1" x14ac:dyDescent="0.3">
      <c r="A1030" s="166" t="s">
        <v>73</v>
      </c>
      <c r="B1030" s="167" t="s">
        <v>1888</v>
      </c>
      <c r="C1030" s="167" t="s">
        <v>307</v>
      </c>
      <c r="D1030" s="412" t="s">
        <v>3483</v>
      </c>
      <c r="E1030" s="168" t="s">
        <v>1761</v>
      </c>
      <c r="F1030" s="168" t="s">
        <v>370</v>
      </c>
      <c r="G1030" s="168" t="s">
        <v>309</v>
      </c>
      <c r="H1030" s="168" t="s">
        <v>310</v>
      </c>
      <c r="I1030" s="168" t="s">
        <v>311</v>
      </c>
      <c r="J1030" s="168" t="s">
        <v>312</v>
      </c>
      <c r="K1030" s="168" t="s">
        <v>1849</v>
      </c>
      <c r="L1030" s="167" t="s">
        <v>1874</v>
      </c>
      <c r="M1030" s="167" t="s">
        <v>305</v>
      </c>
      <c r="N1030" s="167">
        <v>11</v>
      </c>
      <c r="O1030" s="167" t="s">
        <v>307</v>
      </c>
      <c r="P1030" s="167" t="s">
        <v>307</v>
      </c>
      <c r="Q1030" s="167" t="s">
        <v>1888</v>
      </c>
      <c r="R1030" s="166" t="s">
        <v>73</v>
      </c>
      <c r="S1030" s="169">
        <v>22275</v>
      </c>
      <c r="T1030" s="160">
        <v>2125.44</v>
      </c>
      <c r="U1030" s="160">
        <v>0</v>
      </c>
      <c r="V1030" s="160">
        <v>8501.76</v>
      </c>
      <c r="W1030" s="160">
        <v>13773.24</v>
      </c>
      <c r="X1030" s="161">
        <v>0</v>
      </c>
      <c r="Y1030" s="160"/>
      <c r="Z1030" s="16">
        <v>38.159999999999997</v>
      </c>
      <c r="AA1030" s="162">
        <v>8501.76</v>
      </c>
      <c r="AB1030" s="162">
        <v>2125.44</v>
      </c>
      <c r="AC1030" s="162">
        <v>25505.279999999999</v>
      </c>
      <c r="AD1030" s="160"/>
      <c r="AE1030" s="145">
        <v>22275</v>
      </c>
      <c r="AF1030" s="163">
        <v>1.0529999999999999</v>
      </c>
      <c r="AG1030" s="163">
        <v>1.0489999999999999</v>
      </c>
      <c r="AH1030" s="163">
        <v>1.0469999999999999</v>
      </c>
      <c r="AI1030" s="164">
        <v>22275</v>
      </c>
      <c r="AJ1030" s="164">
        <f t="shared" si="144"/>
        <v>0</v>
      </c>
      <c r="AK1030" s="229">
        <v>22275</v>
      </c>
      <c r="AL1030" s="229">
        <f ca="1">SUMIF('MS &amp; Vacancies combined'!A:S,D1030,'MS &amp; Vacancies combined'!S:S)*105.3/100</f>
        <v>20636.165292759088</v>
      </c>
      <c r="AM1030" s="229">
        <f t="shared" ca="1" si="148"/>
        <v>21647.33739210428</v>
      </c>
      <c r="AN1030" s="229">
        <f t="shared" ca="1" si="149"/>
        <v>22664.762249533182</v>
      </c>
      <c r="AO1030" s="166"/>
      <c r="AP1030" s="413">
        <f t="shared" ca="1" si="145"/>
        <v>1638.8347072409124</v>
      </c>
      <c r="AR1030" s="231"/>
      <c r="AS1030" s="231"/>
      <c r="AU1030" s="414">
        <v>22275</v>
      </c>
      <c r="AV1030" s="415">
        <v>22275</v>
      </c>
      <c r="AW1030" s="414">
        <f t="shared" si="151"/>
        <v>0</v>
      </c>
    </row>
    <row r="1031" spans="1:49" hidden="1" x14ac:dyDescent="0.3">
      <c r="A1031" s="16" t="s">
        <v>341</v>
      </c>
      <c r="B1031" s="39" t="s">
        <v>1889</v>
      </c>
      <c r="C1031" s="39" t="s">
        <v>82</v>
      </c>
      <c r="D1031" s="340" t="s">
        <v>3483</v>
      </c>
      <c r="E1031" s="159" t="s">
        <v>1761</v>
      </c>
      <c r="F1031" s="159" t="s">
        <v>370</v>
      </c>
      <c r="G1031" s="159" t="s">
        <v>309</v>
      </c>
      <c r="H1031" s="159" t="s">
        <v>334</v>
      </c>
      <c r="I1031" s="159" t="s">
        <v>343</v>
      </c>
      <c r="J1031" s="159" t="s">
        <v>312</v>
      </c>
      <c r="K1031" s="159" t="s">
        <v>1849</v>
      </c>
      <c r="L1031" s="39" t="s">
        <v>304</v>
      </c>
      <c r="M1031" s="39" t="s">
        <v>305</v>
      </c>
      <c r="N1031" s="39">
        <v>11</v>
      </c>
      <c r="O1031" s="39" t="s">
        <v>82</v>
      </c>
      <c r="P1031" s="39" t="s">
        <v>342</v>
      </c>
      <c r="Q1031" s="39" t="s">
        <v>1889</v>
      </c>
      <c r="R1031" s="16" t="s">
        <v>341</v>
      </c>
      <c r="S1031" s="160">
        <v>0</v>
      </c>
      <c r="T1031" s="160">
        <v>3942.16</v>
      </c>
      <c r="U1031" s="160">
        <v>0</v>
      </c>
      <c r="V1031" s="160">
        <v>13317.22</v>
      </c>
      <c r="W1031" s="160">
        <v>-13317.22</v>
      </c>
      <c r="X1031" s="161">
        <v>0</v>
      </c>
      <c r="Y1031" s="160"/>
      <c r="Z1031" s="16">
        <v>0</v>
      </c>
      <c r="AA1031" s="162">
        <v>13317.22</v>
      </c>
      <c r="AB1031" s="162">
        <v>3329.3049999999998</v>
      </c>
      <c r="AC1031" s="162">
        <v>39951.659999999996</v>
      </c>
      <c r="AD1031" s="160"/>
      <c r="AE1031" s="145">
        <v>0</v>
      </c>
      <c r="AF1031" s="163">
        <v>1.0469999999999999</v>
      </c>
      <c r="AG1031" s="164">
        <v>1.046</v>
      </c>
      <c r="AH1031" s="164">
        <v>1.046</v>
      </c>
      <c r="AI1031" s="164">
        <v>0</v>
      </c>
      <c r="AJ1031" s="164">
        <f t="shared" ref="AJ1031:AJ1088" si="152">AE1031-AI1031</f>
        <v>0</v>
      </c>
      <c r="AK1031" s="165">
        <v>0</v>
      </c>
      <c r="AL1031" s="165">
        <v>0</v>
      </c>
      <c r="AM1031" s="165">
        <f t="shared" si="148"/>
        <v>0</v>
      </c>
      <c r="AN1031" s="165">
        <f t="shared" si="149"/>
        <v>0</v>
      </c>
      <c r="AO1031" s="16"/>
      <c r="AP1031" s="231">
        <f t="shared" ref="AP1031:AP1084" si="153">AK1031-AL1031</f>
        <v>0</v>
      </c>
      <c r="AR1031" s="231"/>
      <c r="AS1031" s="231"/>
      <c r="AU1031" s="230">
        <v>0</v>
      </c>
      <c r="AV1031" s="233">
        <v>0</v>
      </c>
      <c r="AW1031" s="230">
        <f t="shared" si="151"/>
        <v>0</v>
      </c>
    </row>
    <row r="1032" spans="1:49" hidden="1" x14ac:dyDescent="0.3">
      <c r="A1032" s="16" t="s">
        <v>1892</v>
      </c>
      <c r="B1032" s="39" t="s">
        <v>1890</v>
      </c>
      <c r="C1032" s="39" t="s">
        <v>1891</v>
      </c>
      <c r="D1032" s="340" t="s">
        <v>3483</v>
      </c>
      <c r="E1032" s="159" t="s">
        <v>1761</v>
      </c>
      <c r="F1032" s="159" t="s">
        <v>370</v>
      </c>
      <c r="G1032" s="159" t="s">
        <v>582</v>
      </c>
      <c r="H1032" s="159" t="s">
        <v>805</v>
      </c>
      <c r="I1032" s="159" t="s">
        <v>1893</v>
      </c>
      <c r="J1032" s="159" t="s">
        <v>312</v>
      </c>
      <c r="K1032" s="159" t="s">
        <v>1849</v>
      </c>
      <c r="L1032" s="39" t="s">
        <v>304</v>
      </c>
      <c r="M1032" s="39" t="s">
        <v>305</v>
      </c>
      <c r="N1032" s="39">
        <v>11</v>
      </c>
      <c r="O1032" s="39" t="s">
        <v>184</v>
      </c>
      <c r="P1032" s="39" t="s">
        <v>1891</v>
      </c>
      <c r="Q1032" s="39" t="s">
        <v>1890</v>
      </c>
      <c r="R1032" s="16" t="s">
        <v>1892</v>
      </c>
      <c r="S1032" s="160">
        <v>0</v>
      </c>
      <c r="T1032" s="160">
        <v>0</v>
      </c>
      <c r="U1032" s="160">
        <v>0</v>
      </c>
      <c r="V1032" s="160">
        <v>0</v>
      </c>
      <c r="W1032" s="160">
        <v>0</v>
      </c>
      <c r="X1032" s="161">
        <v>0</v>
      </c>
      <c r="Y1032" s="160"/>
      <c r="Z1032" s="16">
        <v>0</v>
      </c>
      <c r="AA1032" s="162">
        <v>0</v>
      </c>
      <c r="AB1032" s="162">
        <v>0</v>
      </c>
      <c r="AC1032" s="162">
        <v>0</v>
      </c>
      <c r="AD1032" s="160"/>
      <c r="AE1032" s="145">
        <v>0</v>
      </c>
      <c r="AF1032" s="163">
        <v>1.0469999999999999</v>
      </c>
      <c r="AG1032" s="164">
        <v>1.046</v>
      </c>
      <c r="AH1032" s="164">
        <v>1.046</v>
      </c>
      <c r="AI1032" s="164">
        <v>0</v>
      </c>
      <c r="AJ1032" s="164">
        <f t="shared" si="152"/>
        <v>0</v>
      </c>
      <c r="AK1032" s="165">
        <v>0</v>
      </c>
      <c r="AL1032" s="165">
        <f t="shared" ref="AL1032:AL1036" si="154">AK1032</f>
        <v>0</v>
      </c>
      <c r="AM1032" s="165">
        <f t="shared" si="148"/>
        <v>0</v>
      </c>
      <c r="AN1032" s="165">
        <f t="shared" si="149"/>
        <v>0</v>
      </c>
      <c r="AO1032" s="16"/>
      <c r="AP1032" s="231">
        <f t="shared" si="153"/>
        <v>0</v>
      </c>
      <c r="AR1032" s="231"/>
      <c r="AS1032" s="231"/>
      <c r="AU1032" s="230">
        <v>0</v>
      </c>
      <c r="AV1032" s="233">
        <v>0</v>
      </c>
      <c r="AW1032" s="230">
        <f t="shared" si="151"/>
        <v>0</v>
      </c>
    </row>
    <row r="1033" spans="1:49" hidden="1" x14ac:dyDescent="0.3">
      <c r="A1033" s="16" t="s">
        <v>1896</v>
      </c>
      <c r="B1033" s="39" t="s">
        <v>1894</v>
      </c>
      <c r="C1033" s="39" t="s">
        <v>1895</v>
      </c>
      <c r="D1033" s="340" t="s">
        <v>3483</v>
      </c>
      <c r="E1033" s="159" t="s">
        <v>1761</v>
      </c>
      <c r="F1033" s="159" t="s">
        <v>370</v>
      </c>
      <c r="G1033" s="159" t="s">
        <v>582</v>
      </c>
      <c r="H1033" s="159" t="s">
        <v>1074</v>
      </c>
      <c r="I1033" s="159" t="s">
        <v>1897</v>
      </c>
      <c r="J1033" s="159" t="s">
        <v>312</v>
      </c>
      <c r="K1033" s="159" t="s">
        <v>1849</v>
      </c>
      <c r="L1033" s="39" t="s">
        <v>304</v>
      </c>
      <c r="M1033" s="39" t="s">
        <v>305</v>
      </c>
      <c r="N1033" s="39">
        <v>11</v>
      </c>
      <c r="O1033" s="39" t="s">
        <v>1895</v>
      </c>
      <c r="P1033" s="39" t="s">
        <v>1895</v>
      </c>
      <c r="Q1033" s="39" t="s">
        <v>1894</v>
      </c>
      <c r="R1033" s="16" t="s">
        <v>1896</v>
      </c>
      <c r="S1033" s="160">
        <v>0</v>
      </c>
      <c r="T1033" s="160">
        <v>0</v>
      </c>
      <c r="U1033" s="160">
        <v>0</v>
      </c>
      <c r="V1033" s="160">
        <v>0</v>
      </c>
      <c r="W1033" s="160">
        <v>0</v>
      </c>
      <c r="X1033" s="161">
        <v>0</v>
      </c>
      <c r="Y1033" s="160"/>
      <c r="Z1033" s="16">
        <v>0</v>
      </c>
      <c r="AA1033" s="162">
        <v>0</v>
      </c>
      <c r="AB1033" s="162">
        <v>0</v>
      </c>
      <c r="AC1033" s="162">
        <v>0</v>
      </c>
      <c r="AD1033" s="160"/>
      <c r="AE1033" s="145">
        <v>0</v>
      </c>
      <c r="AF1033" s="163">
        <v>1.0469999999999999</v>
      </c>
      <c r="AG1033" s="164">
        <v>1.046</v>
      </c>
      <c r="AH1033" s="164">
        <v>1.046</v>
      </c>
      <c r="AI1033" s="164">
        <v>0</v>
      </c>
      <c r="AJ1033" s="164">
        <f t="shared" si="152"/>
        <v>0</v>
      </c>
      <c r="AK1033" s="165">
        <v>0</v>
      </c>
      <c r="AL1033" s="165">
        <f t="shared" si="154"/>
        <v>0</v>
      </c>
      <c r="AM1033" s="165">
        <f t="shared" si="148"/>
        <v>0</v>
      </c>
      <c r="AN1033" s="165">
        <f t="shared" si="149"/>
        <v>0</v>
      </c>
      <c r="AO1033" s="16"/>
      <c r="AP1033" s="231">
        <f t="shared" si="153"/>
        <v>0</v>
      </c>
      <c r="AR1033" s="231"/>
      <c r="AS1033" s="231"/>
      <c r="AU1033" s="230">
        <v>0</v>
      </c>
      <c r="AV1033" s="233">
        <v>0</v>
      </c>
      <c r="AW1033" s="230">
        <f t="shared" si="151"/>
        <v>0</v>
      </c>
    </row>
    <row r="1034" spans="1:49" s="250" customFormat="1" hidden="1" x14ac:dyDescent="0.3">
      <c r="A1034" s="241" t="s">
        <v>208</v>
      </c>
      <c r="B1034" s="242" t="s">
        <v>1898</v>
      </c>
      <c r="C1034" s="242" t="s">
        <v>1899</v>
      </c>
      <c r="D1034" s="340" t="s">
        <v>3483</v>
      </c>
      <c r="E1034" s="243" t="s">
        <v>1761</v>
      </c>
      <c r="F1034" s="243" t="s">
        <v>370</v>
      </c>
      <c r="G1034" s="243" t="s">
        <v>1078</v>
      </c>
      <c r="H1034" s="243" t="s">
        <v>1418</v>
      </c>
      <c r="I1034" s="243" t="s">
        <v>1022</v>
      </c>
      <c r="J1034" s="243" t="s">
        <v>312</v>
      </c>
      <c r="K1034" s="243" t="s">
        <v>1081</v>
      </c>
      <c r="L1034" s="242" t="s">
        <v>1900</v>
      </c>
      <c r="M1034" s="242" t="s">
        <v>305</v>
      </c>
      <c r="N1034" s="242">
        <v>11</v>
      </c>
      <c r="O1034" s="242" t="s">
        <v>1899</v>
      </c>
      <c r="P1034" s="242" t="s">
        <v>1899</v>
      </c>
      <c r="Q1034" s="242" t="s">
        <v>1898</v>
      </c>
      <c r="R1034" s="241" t="s">
        <v>208</v>
      </c>
      <c r="S1034" s="223">
        <v>2250000</v>
      </c>
      <c r="T1034" s="160">
        <v>24000</v>
      </c>
      <c r="U1034" s="160">
        <v>0</v>
      </c>
      <c r="V1034" s="160">
        <v>24000</v>
      </c>
      <c r="W1034" s="160">
        <v>2226000</v>
      </c>
      <c r="X1034" s="161">
        <v>66000</v>
      </c>
      <c r="Y1034" s="160"/>
      <c r="Z1034" s="16">
        <v>1.06</v>
      </c>
      <c r="AA1034" s="162">
        <v>24000</v>
      </c>
      <c r="AB1034" s="224">
        <v>6000</v>
      </c>
      <c r="AC1034" s="224">
        <v>72000</v>
      </c>
      <c r="AD1034" s="223"/>
      <c r="AE1034" s="244">
        <v>1250000</v>
      </c>
      <c r="AF1034" s="220">
        <v>1.0469999999999999</v>
      </c>
      <c r="AG1034" s="221">
        <v>1.046</v>
      </c>
      <c r="AH1034" s="221">
        <v>1.046</v>
      </c>
      <c r="AI1034" s="245">
        <v>2250000</v>
      </c>
      <c r="AJ1034" s="164">
        <f t="shared" si="152"/>
        <v>-1000000</v>
      </c>
      <c r="AK1034" s="246">
        <f>AE1034</f>
        <v>1250000</v>
      </c>
      <c r="AL1034" s="246">
        <f t="shared" si="154"/>
        <v>1250000</v>
      </c>
      <c r="AM1034" s="246">
        <f t="shared" si="148"/>
        <v>1307500</v>
      </c>
      <c r="AN1034" s="246">
        <f t="shared" si="149"/>
        <v>1367645</v>
      </c>
      <c r="AO1034" s="241"/>
      <c r="AP1034" s="247">
        <f t="shared" si="153"/>
        <v>0</v>
      </c>
      <c r="AR1034" s="231"/>
      <c r="AS1034" s="231"/>
      <c r="AU1034" s="248">
        <v>2250000</v>
      </c>
      <c r="AV1034" s="249">
        <v>2250000</v>
      </c>
      <c r="AW1034" s="248">
        <f t="shared" si="151"/>
        <v>0</v>
      </c>
    </row>
    <row r="1035" spans="1:49" hidden="1" x14ac:dyDescent="0.3">
      <c r="A1035" s="16" t="s">
        <v>1902</v>
      </c>
      <c r="B1035" s="39" t="s">
        <v>1901</v>
      </c>
      <c r="C1035" s="39">
        <v>0</v>
      </c>
      <c r="D1035" s="340" t="s">
        <v>3483</v>
      </c>
      <c r="E1035" s="159" t="s">
        <v>1761</v>
      </c>
      <c r="F1035" s="159" t="s">
        <v>370</v>
      </c>
      <c r="G1035" s="159" t="s">
        <v>1078</v>
      </c>
      <c r="H1035" s="159" t="s">
        <v>1194</v>
      </c>
      <c r="I1035" s="159" t="s">
        <v>1903</v>
      </c>
      <c r="J1035" s="159" t="s">
        <v>312</v>
      </c>
      <c r="K1035" s="159" t="s">
        <v>1997</v>
      </c>
      <c r="L1035" s="39" t="s">
        <v>1904</v>
      </c>
      <c r="M1035" s="39" t="s">
        <v>305</v>
      </c>
      <c r="N1035" s="39">
        <v>11</v>
      </c>
      <c r="O1035" s="39">
        <v>0</v>
      </c>
      <c r="P1035" s="39">
        <v>0</v>
      </c>
      <c r="Q1035" s="39" t="s">
        <v>1901</v>
      </c>
      <c r="R1035" s="16" t="s">
        <v>1902</v>
      </c>
      <c r="S1035" s="160">
        <v>0</v>
      </c>
      <c r="T1035" s="160">
        <v>0</v>
      </c>
      <c r="U1035" s="160">
        <v>0</v>
      </c>
      <c r="V1035" s="160">
        <v>0</v>
      </c>
      <c r="W1035" s="160">
        <v>0</v>
      </c>
      <c r="X1035" s="161">
        <v>0</v>
      </c>
      <c r="Y1035" s="160"/>
      <c r="Z1035" s="16">
        <v>0</v>
      </c>
      <c r="AA1035" s="162">
        <v>0</v>
      </c>
      <c r="AB1035" s="162">
        <v>0</v>
      </c>
      <c r="AC1035" s="162">
        <v>0</v>
      </c>
      <c r="AD1035" s="160"/>
      <c r="AE1035" s="145">
        <v>0</v>
      </c>
      <c r="AF1035" s="163">
        <v>1.0469999999999999</v>
      </c>
      <c r="AG1035" s="164">
        <v>1.046</v>
      </c>
      <c r="AH1035" s="164">
        <v>1.046</v>
      </c>
      <c r="AI1035" s="164">
        <v>0</v>
      </c>
      <c r="AJ1035" s="164">
        <f t="shared" si="152"/>
        <v>0</v>
      </c>
      <c r="AK1035" s="165">
        <v>0</v>
      </c>
      <c r="AL1035" s="165">
        <f t="shared" si="154"/>
        <v>0</v>
      </c>
      <c r="AM1035" s="165">
        <f t="shared" si="148"/>
        <v>0</v>
      </c>
      <c r="AN1035" s="165">
        <f t="shared" si="149"/>
        <v>0</v>
      </c>
      <c r="AO1035" s="16"/>
      <c r="AP1035" s="231">
        <f t="shared" si="153"/>
        <v>0</v>
      </c>
      <c r="AR1035" s="231"/>
      <c r="AS1035" s="231"/>
      <c r="AU1035" s="230">
        <v>0</v>
      </c>
      <c r="AV1035" s="233">
        <v>0</v>
      </c>
      <c r="AW1035" s="230">
        <f t="shared" si="151"/>
        <v>0</v>
      </c>
    </row>
    <row r="1036" spans="1:49" hidden="1" x14ac:dyDescent="0.3">
      <c r="A1036" s="16" t="s">
        <v>1902</v>
      </c>
      <c r="B1036" s="39" t="s">
        <v>1905</v>
      </c>
      <c r="C1036" s="39" t="s">
        <v>1906</v>
      </c>
      <c r="D1036" s="340" t="s">
        <v>3483</v>
      </c>
      <c r="E1036" s="159" t="s">
        <v>1761</v>
      </c>
      <c r="F1036" s="159" t="s">
        <v>370</v>
      </c>
      <c r="G1036" s="159" t="s">
        <v>1078</v>
      </c>
      <c r="H1036" s="159" t="s">
        <v>1194</v>
      </c>
      <c r="I1036" s="159" t="s">
        <v>1903</v>
      </c>
      <c r="J1036" s="159" t="s">
        <v>312</v>
      </c>
      <c r="K1036" s="159" t="s">
        <v>1081</v>
      </c>
      <c r="L1036" s="39" t="s">
        <v>1904</v>
      </c>
      <c r="M1036" s="39" t="s">
        <v>305</v>
      </c>
      <c r="N1036" s="39">
        <v>11</v>
      </c>
      <c r="O1036" s="39" t="s">
        <v>1906</v>
      </c>
      <c r="P1036" s="39" t="s">
        <v>1906</v>
      </c>
      <c r="Q1036" s="39" t="s">
        <v>1905</v>
      </c>
      <c r="R1036" s="16" t="s">
        <v>1902</v>
      </c>
      <c r="S1036" s="160">
        <v>0</v>
      </c>
      <c r="T1036" s="160">
        <v>0</v>
      </c>
      <c r="U1036" s="160">
        <v>0</v>
      </c>
      <c r="V1036" s="160">
        <v>0</v>
      </c>
      <c r="W1036" s="160">
        <v>0</v>
      </c>
      <c r="X1036" s="161">
        <v>0</v>
      </c>
      <c r="Y1036" s="160"/>
      <c r="Z1036" s="16">
        <v>0</v>
      </c>
      <c r="AA1036" s="162">
        <v>0</v>
      </c>
      <c r="AB1036" s="162">
        <v>0</v>
      </c>
      <c r="AC1036" s="162">
        <v>0</v>
      </c>
      <c r="AD1036" s="160"/>
      <c r="AE1036" s="145">
        <v>0</v>
      </c>
      <c r="AF1036" s="163">
        <v>1.0469999999999999</v>
      </c>
      <c r="AG1036" s="164">
        <v>1.046</v>
      </c>
      <c r="AH1036" s="164">
        <v>1.046</v>
      </c>
      <c r="AI1036" s="164">
        <v>0</v>
      </c>
      <c r="AJ1036" s="164">
        <f t="shared" si="152"/>
        <v>0</v>
      </c>
      <c r="AK1036" s="165">
        <v>0</v>
      </c>
      <c r="AL1036" s="165">
        <f t="shared" si="154"/>
        <v>0</v>
      </c>
      <c r="AM1036" s="165">
        <f t="shared" si="148"/>
        <v>0</v>
      </c>
      <c r="AN1036" s="165">
        <f t="shared" si="149"/>
        <v>0</v>
      </c>
      <c r="AO1036" s="16"/>
      <c r="AP1036" s="231">
        <f t="shared" si="153"/>
        <v>0</v>
      </c>
      <c r="AR1036" s="231"/>
      <c r="AS1036" s="231"/>
      <c r="AU1036" s="230">
        <v>0</v>
      </c>
      <c r="AV1036" s="233">
        <v>0</v>
      </c>
      <c r="AW1036" s="230">
        <f t="shared" si="151"/>
        <v>0</v>
      </c>
    </row>
    <row r="1037" spans="1:49" s="172" customFormat="1" x14ac:dyDescent="0.3">
      <c r="A1037" s="166" t="s">
        <v>50</v>
      </c>
      <c r="B1037" s="167" t="s">
        <v>1907</v>
      </c>
      <c r="C1037" s="167" t="s">
        <v>302</v>
      </c>
      <c r="D1037" s="412" t="s">
        <v>3484</v>
      </c>
      <c r="E1037" s="168" t="s">
        <v>1761</v>
      </c>
      <c r="F1037" s="168" t="s">
        <v>848</v>
      </c>
      <c r="G1037" s="168" t="s">
        <v>309</v>
      </c>
      <c r="H1037" s="168" t="s">
        <v>373</v>
      </c>
      <c r="I1037" s="168" t="s">
        <v>374</v>
      </c>
      <c r="J1037" s="168" t="s">
        <v>312</v>
      </c>
      <c r="K1037" s="168" t="s">
        <v>1849</v>
      </c>
      <c r="L1037" s="167" t="s">
        <v>1908</v>
      </c>
      <c r="M1037" s="167" t="s">
        <v>305</v>
      </c>
      <c r="N1037" s="167">
        <v>11</v>
      </c>
      <c r="O1037" s="167" t="s">
        <v>302</v>
      </c>
      <c r="P1037" s="167" t="s">
        <v>302</v>
      </c>
      <c r="Q1037" s="167" t="s">
        <v>1907</v>
      </c>
      <c r="R1037" s="166" t="s">
        <v>50</v>
      </c>
      <c r="S1037" s="169">
        <v>9291916</v>
      </c>
      <c r="T1037" s="160">
        <v>273428.09999999998</v>
      </c>
      <c r="U1037" s="160">
        <v>0</v>
      </c>
      <c r="V1037" s="160">
        <v>1088941.42</v>
      </c>
      <c r="W1037" s="160">
        <v>8202974.5800000001</v>
      </c>
      <c r="X1037" s="161">
        <v>0</v>
      </c>
      <c r="Y1037" s="160"/>
      <c r="Z1037" s="16">
        <v>11.71</v>
      </c>
      <c r="AA1037" s="162">
        <v>1088941.42</v>
      </c>
      <c r="AB1037" s="162">
        <v>272235.35499999998</v>
      </c>
      <c r="AC1037" s="162">
        <v>3266824.26</v>
      </c>
      <c r="AD1037" s="160"/>
      <c r="AE1037" s="145">
        <v>9291916</v>
      </c>
      <c r="AF1037" s="163">
        <v>1.0529999999999999</v>
      </c>
      <c r="AG1037" s="163">
        <v>1.0489999999999999</v>
      </c>
      <c r="AH1037" s="163">
        <v>1.0469999999999999</v>
      </c>
      <c r="AI1037" s="164">
        <v>9291916</v>
      </c>
      <c r="AJ1037" s="164">
        <f t="shared" si="152"/>
        <v>0</v>
      </c>
      <c r="AK1037" s="229">
        <v>9291916</v>
      </c>
      <c r="AL1037" s="229">
        <f ca="1">SUMIF('MS &amp; Vacancies combined'!A:J,D1037,'MS &amp; Vacancies combined'!J:J)*105.3/100</f>
        <v>9256366.3892469388</v>
      </c>
      <c r="AM1037" s="229">
        <f t="shared" ca="1" si="148"/>
        <v>9709928.342320038</v>
      </c>
      <c r="AN1037" s="229">
        <f t="shared" ca="1" si="149"/>
        <v>10166294.974409079</v>
      </c>
      <c r="AO1037" s="166"/>
      <c r="AP1037" s="413">
        <f t="shared" ca="1" si="153"/>
        <v>35549.61075306125</v>
      </c>
      <c r="AR1037" s="231"/>
      <c r="AS1037" s="231"/>
      <c r="AU1037" s="414">
        <v>9291916</v>
      </c>
      <c r="AV1037" s="415">
        <v>9291916</v>
      </c>
      <c r="AW1037" s="414">
        <f t="shared" si="151"/>
        <v>0</v>
      </c>
    </row>
    <row r="1038" spans="1:49" s="172" customFormat="1" x14ac:dyDescent="0.3">
      <c r="A1038" s="166" t="s">
        <v>52</v>
      </c>
      <c r="B1038" s="167" t="s">
        <v>1909</v>
      </c>
      <c r="C1038" s="167" t="s">
        <v>376</v>
      </c>
      <c r="D1038" s="412"/>
      <c r="E1038" s="168" t="s">
        <v>1761</v>
      </c>
      <c r="F1038" s="168" t="s">
        <v>848</v>
      </c>
      <c r="G1038" s="168" t="s">
        <v>309</v>
      </c>
      <c r="H1038" s="168" t="s">
        <v>373</v>
      </c>
      <c r="I1038" s="168" t="s">
        <v>377</v>
      </c>
      <c r="J1038" s="168" t="s">
        <v>312</v>
      </c>
      <c r="K1038" s="168" t="s">
        <v>1849</v>
      </c>
      <c r="L1038" s="167" t="s">
        <v>304</v>
      </c>
      <c r="M1038" s="167" t="s">
        <v>305</v>
      </c>
      <c r="N1038" s="167">
        <v>11</v>
      </c>
      <c r="O1038" s="167" t="s">
        <v>376</v>
      </c>
      <c r="P1038" s="167" t="s">
        <v>376</v>
      </c>
      <c r="Q1038" s="167" t="s">
        <v>1909</v>
      </c>
      <c r="R1038" s="166" t="s">
        <v>52</v>
      </c>
      <c r="S1038" s="169">
        <v>0</v>
      </c>
      <c r="T1038" s="160">
        <v>0</v>
      </c>
      <c r="U1038" s="160">
        <v>0</v>
      </c>
      <c r="V1038" s="160">
        <v>0</v>
      </c>
      <c r="W1038" s="160">
        <v>0</v>
      </c>
      <c r="X1038" s="161">
        <v>0</v>
      </c>
      <c r="Y1038" s="160"/>
      <c r="Z1038" s="16">
        <v>0</v>
      </c>
      <c r="AA1038" s="162">
        <v>0</v>
      </c>
      <c r="AB1038" s="162">
        <v>0</v>
      </c>
      <c r="AC1038" s="162">
        <v>0</v>
      </c>
      <c r="AD1038" s="160"/>
      <c r="AE1038" s="145">
        <v>0</v>
      </c>
      <c r="AF1038" s="163">
        <v>1.0529999999999999</v>
      </c>
      <c r="AG1038" s="163">
        <v>1.0489999999999999</v>
      </c>
      <c r="AH1038" s="163">
        <v>1.0469999999999999</v>
      </c>
      <c r="AI1038" s="164">
        <v>0</v>
      </c>
      <c r="AJ1038" s="164">
        <f t="shared" si="152"/>
        <v>0</v>
      </c>
      <c r="AK1038" s="229">
        <v>0</v>
      </c>
      <c r="AL1038" s="229">
        <f ca="1">SUMIF('MS &amp; Vacancies combined'!A:M,D1038,'MS &amp; Vacancies combined'!M:M)*105.3/100</f>
        <v>0</v>
      </c>
      <c r="AM1038" s="229">
        <f t="shared" ca="1" si="148"/>
        <v>0</v>
      </c>
      <c r="AN1038" s="229">
        <f t="shared" ca="1" si="149"/>
        <v>0</v>
      </c>
      <c r="AO1038" s="166"/>
      <c r="AP1038" s="413">
        <f t="shared" ca="1" si="153"/>
        <v>0</v>
      </c>
      <c r="AR1038" s="231"/>
      <c r="AS1038" s="231"/>
      <c r="AU1038" s="414">
        <v>0</v>
      </c>
      <c r="AV1038" s="415">
        <v>0</v>
      </c>
      <c r="AW1038" s="414">
        <f t="shared" si="151"/>
        <v>0</v>
      </c>
    </row>
    <row r="1039" spans="1:49" s="172" customFormat="1" x14ac:dyDescent="0.3">
      <c r="A1039" s="166" t="s">
        <v>52</v>
      </c>
      <c r="B1039" s="167" t="s">
        <v>1910</v>
      </c>
      <c r="C1039" s="167" t="s">
        <v>376</v>
      </c>
      <c r="D1039" s="412" t="s">
        <v>3484</v>
      </c>
      <c r="E1039" s="168" t="s">
        <v>1761</v>
      </c>
      <c r="F1039" s="168" t="s">
        <v>848</v>
      </c>
      <c r="G1039" s="168" t="s">
        <v>309</v>
      </c>
      <c r="H1039" s="168" t="s">
        <v>373</v>
      </c>
      <c r="I1039" s="168" t="s">
        <v>377</v>
      </c>
      <c r="J1039" s="168" t="s">
        <v>312</v>
      </c>
      <c r="K1039" s="168" t="s">
        <v>1849</v>
      </c>
      <c r="L1039" s="167" t="s">
        <v>1908</v>
      </c>
      <c r="M1039" s="167" t="s">
        <v>305</v>
      </c>
      <c r="N1039" s="167">
        <v>11</v>
      </c>
      <c r="O1039" s="167" t="s">
        <v>376</v>
      </c>
      <c r="P1039" s="167" t="s">
        <v>376</v>
      </c>
      <c r="Q1039" s="167" t="s">
        <v>1910</v>
      </c>
      <c r="R1039" s="166" t="s">
        <v>52</v>
      </c>
      <c r="S1039" s="169">
        <v>10061</v>
      </c>
      <c r="T1039" s="160">
        <v>0</v>
      </c>
      <c r="U1039" s="160">
        <v>0</v>
      </c>
      <c r="V1039" s="160">
        <v>0</v>
      </c>
      <c r="W1039" s="160">
        <v>10061</v>
      </c>
      <c r="X1039" s="161">
        <v>0</v>
      </c>
      <c r="Y1039" s="160"/>
      <c r="Z1039" s="16">
        <v>0</v>
      </c>
      <c r="AA1039" s="162">
        <v>0</v>
      </c>
      <c r="AB1039" s="162">
        <v>0</v>
      </c>
      <c r="AC1039" s="162">
        <v>0</v>
      </c>
      <c r="AD1039" s="160"/>
      <c r="AE1039" s="145">
        <v>10061</v>
      </c>
      <c r="AF1039" s="163">
        <v>1.0529999999999999</v>
      </c>
      <c r="AG1039" s="163">
        <v>1.0489999999999999</v>
      </c>
      <c r="AH1039" s="163">
        <v>1.0469999999999999</v>
      </c>
      <c r="AI1039" s="164">
        <v>10061</v>
      </c>
      <c r="AJ1039" s="164">
        <f t="shared" si="152"/>
        <v>0</v>
      </c>
      <c r="AK1039" s="229">
        <v>10061</v>
      </c>
      <c r="AL1039" s="229">
        <f ca="1">SUMIF('MS &amp; Vacancies combined'!A:M,D1039,'MS &amp; Vacancies combined'!M:M)*105.3/100</f>
        <v>11650.951497718543</v>
      </c>
      <c r="AM1039" s="229">
        <f t="shared" ca="1" si="148"/>
        <v>12221.84812110675</v>
      </c>
      <c r="AN1039" s="229">
        <f t="shared" ca="1" si="149"/>
        <v>12796.274982798766</v>
      </c>
      <c r="AO1039" s="166"/>
      <c r="AP1039" s="413">
        <f t="shared" ca="1" si="153"/>
        <v>-1589.9514977185427</v>
      </c>
      <c r="AR1039" s="231"/>
      <c r="AS1039" s="231"/>
      <c r="AU1039" s="414">
        <v>10061</v>
      </c>
      <c r="AV1039" s="415">
        <v>10061</v>
      </c>
      <c r="AW1039" s="414">
        <f t="shared" si="151"/>
        <v>0</v>
      </c>
    </row>
    <row r="1040" spans="1:49" s="172" customFormat="1" x14ac:dyDescent="0.3">
      <c r="A1040" s="166" t="s">
        <v>54</v>
      </c>
      <c r="B1040" s="167" t="s">
        <v>1911</v>
      </c>
      <c r="C1040" s="167" t="s">
        <v>379</v>
      </c>
      <c r="D1040" s="412" t="s">
        <v>3484</v>
      </c>
      <c r="E1040" s="168" t="s">
        <v>1761</v>
      </c>
      <c r="F1040" s="168" t="s">
        <v>848</v>
      </c>
      <c r="G1040" s="168" t="s">
        <v>309</v>
      </c>
      <c r="H1040" s="168" t="s">
        <v>373</v>
      </c>
      <c r="I1040" s="168" t="s">
        <v>380</v>
      </c>
      <c r="J1040" s="168" t="s">
        <v>312</v>
      </c>
      <c r="K1040" s="168" t="s">
        <v>1849</v>
      </c>
      <c r="L1040" s="167" t="s">
        <v>1908</v>
      </c>
      <c r="M1040" s="167" t="s">
        <v>305</v>
      </c>
      <c r="N1040" s="167">
        <v>11</v>
      </c>
      <c r="O1040" s="167" t="s">
        <v>379</v>
      </c>
      <c r="P1040" s="167" t="s">
        <v>379</v>
      </c>
      <c r="Q1040" s="167" t="s">
        <v>1911</v>
      </c>
      <c r="R1040" s="166" t="s">
        <v>54</v>
      </c>
      <c r="S1040" s="169">
        <v>509446</v>
      </c>
      <c r="T1040" s="160">
        <v>0</v>
      </c>
      <c r="U1040" s="160">
        <v>0</v>
      </c>
      <c r="V1040" s="160">
        <v>0</v>
      </c>
      <c r="W1040" s="160">
        <v>509446</v>
      </c>
      <c r="X1040" s="161">
        <v>0</v>
      </c>
      <c r="Y1040" s="160"/>
      <c r="Z1040" s="16">
        <v>0</v>
      </c>
      <c r="AA1040" s="162">
        <v>0</v>
      </c>
      <c r="AB1040" s="162">
        <v>0</v>
      </c>
      <c r="AC1040" s="162">
        <v>0</v>
      </c>
      <c r="AD1040" s="160"/>
      <c r="AE1040" s="145">
        <v>509446</v>
      </c>
      <c r="AF1040" s="163">
        <v>1.0529999999999999</v>
      </c>
      <c r="AG1040" s="163">
        <v>1.0489999999999999</v>
      </c>
      <c r="AH1040" s="163">
        <v>1.0469999999999999</v>
      </c>
      <c r="AI1040" s="164">
        <v>509446</v>
      </c>
      <c r="AJ1040" s="164">
        <f t="shared" si="152"/>
        <v>0</v>
      </c>
      <c r="AK1040" s="229">
        <v>509446</v>
      </c>
      <c r="AL1040" s="229">
        <f ca="1">SUMIF('MS &amp; Vacancies combined'!A:L,D1040,'MS &amp; Vacancies combined'!L:L)*105.3/100</f>
        <v>471523.32787386718</v>
      </c>
      <c r="AM1040" s="229">
        <f t="shared" ca="1" si="148"/>
        <v>494627.97093968664</v>
      </c>
      <c r="AN1040" s="229">
        <f t="shared" ca="1" si="149"/>
        <v>517875.48557385185</v>
      </c>
      <c r="AO1040" s="166"/>
      <c r="AP1040" s="413">
        <f t="shared" ca="1" si="153"/>
        <v>37922.67212613282</v>
      </c>
      <c r="AR1040" s="231"/>
      <c r="AS1040" s="231"/>
      <c r="AU1040" s="414">
        <v>509446</v>
      </c>
      <c r="AV1040" s="415">
        <v>509446</v>
      </c>
      <c r="AW1040" s="414">
        <f t="shared" si="151"/>
        <v>0</v>
      </c>
    </row>
    <row r="1041" spans="1:49" x14ac:dyDescent="0.3">
      <c r="A1041" s="16" t="s">
        <v>55</v>
      </c>
      <c r="B1041" s="39" t="s">
        <v>1912</v>
      </c>
      <c r="C1041" s="39" t="s">
        <v>382</v>
      </c>
      <c r="D1041" s="340" t="s">
        <v>3484</v>
      </c>
      <c r="E1041" s="159" t="s">
        <v>1761</v>
      </c>
      <c r="F1041" s="159" t="s">
        <v>848</v>
      </c>
      <c r="G1041" s="159" t="s">
        <v>309</v>
      </c>
      <c r="H1041" s="159" t="s">
        <v>373</v>
      </c>
      <c r="I1041" s="159" t="s">
        <v>383</v>
      </c>
      <c r="J1041" s="159" t="s">
        <v>312</v>
      </c>
      <c r="K1041" s="159" t="s">
        <v>1849</v>
      </c>
      <c r="L1041" s="39" t="s">
        <v>1908</v>
      </c>
      <c r="M1041" s="39" t="s">
        <v>305</v>
      </c>
      <c r="N1041" s="39">
        <v>11</v>
      </c>
      <c r="O1041" s="39" t="s">
        <v>382</v>
      </c>
      <c r="P1041" s="39" t="s">
        <v>382</v>
      </c>
      <c r="Q1041" s="39" t="s">
        <v>1912</v>
      </c>
      <c r="R1041" s="16" t="s">
        <v>55</v>
      </c>
      <c r="S1041" s="169">
        <v>0</v>
      </c>
      <c r="T1041" s="160">
        <v>0</v>
      </c>
      <c r="U1041" s="160">
        <v>0</v>
      </c>
      <c r="V1041" s="160">
        <v>0</v>
      </c>
      <c r="W1041" s="160">
        <v>0</v>
      </c>
      <c r="X1041" s="161">
        <v>0</v>
      </c>
      <c r="Y1041" s="160"/>
      <c r="Z1041" s="16">
        <v>0</v>
      </c>
      <c r="AA1041" s="162">
        <v>0</v>
      </c>
      <c r="AB1041" s="162">
        <v>0</v>
      </c>
      <c r="AC1041" s="162">
        <v>0</v>
      </c>
      <c r="AD1041" s="160"/>
      <c r="AE1041" s="145">
        <v>0</v>
      </c>
      <c r="AF1041" s="163">
        <v>1.0469999999999999</v>
      </c>
      <c r="AG1041" s="164">
        <v>1.046</v>
      </c>
      <c r="AH1041" s="164">
        <v>1.046</v>
      </c>
      <c r="AI1041" s="164">
        <v>0</v>
      </c>
      <c r="AJ1041" s="164">
        <f t="shared" si="152"/>
        <v>0</v>
      </c>
      <c r="AK1041" s="165">
        <v>0</v>
      </c>
      <c r="AL1041" s="165">
        <v>0</v>
      </c>
      <c r="AM1041" s="165">
        <f t="shared" si="148"/>
        <v>0</v>
      </c>
      <c r="AN1041" s="165">
        <f t="shared" si="149"/>
        <v>0</v>
      </c>
      <c r="AO1041" s="16"/>
      <c r="AP1041" s="231">
        <f t="shared" si="153"/>
        <v>0</v>
      </c>
      <c r="AR1041" s="231"/>
      <c r="AS1041" s="231"/>
      <c r="AU1041" s="230">
        <v>0</v>
      </c>
      <c r="AV1041" s="233">
        <v>0</v>
      </c>
      <c r="AW1041" s="230">
        <f t="shared" si="151"/>
        <v>0</v>
      </c>
    </row>
    <row r="1042" spans="1:49" s="172" customFormat="1" x14ac:dyDescent="0.3">
      <c r="A1042" s="166" t="s">
        <v>56</v>
      </c>
      <c r="B1042" s="167" t="s">
        <v>1913</v>
      </c>
      <c r="C1042" s="167" t="s">
        <v>385</v>
      </c>
      <c r="D1042" s="412" t="s">
        <v>3484</v>
      </c>
      <c r="E1042" s="168" t="s">
        <v>1761</v>
      </c>
      <c r="F1042" s="168" t="s">
        <v>848</v>
      </c>
      <c r="G1042" s="168" t="s">
        <v>309</v>
      </c>
      <c r="H1042" s="168" t="s">
        <v>373</v>
      </c>
      <c r="I1042" s="168" t="s">
        <v>386</v>
      </c>
      <c r="J1042" s="168" t="s">
        <v>387</v>
      </c>
      <c r="K1042" s="168" t="s">
        <v>1849</v>
      </c>
      <c r="L1042" s="167" t="s">
        <v>1908</v>
      </c>
      <c r="M1042" s="167" t="s">
        <v>305</v>
      </c>
      <c r="N1042" s="167">
        <v>11</v>
      </c>
      <c r="O1042" s="167" t="s">
        <v>385</v>
      </c>
      <c r="P1042" s="167" t="s">
        <v>385</v>
      </c>
      <c r="Q1042" s="167" t="s">
        <v>1913</v>
      </c>
      <c r="R1042" s="166" t="s">
        <v>56</v>
      </c>
      <c r="S1042" s="169">
        <v>40682</v>
      </c>
      <c r="T1042" s="160">
        <v>12570.34</v>
      </c>
      <c r="U1042" s="160">
        <v>0</v>
      </c>
      <c r="V1042" s="160">
        <v>51080.56</v>
      </c>
      <c r="W1042" s="160">
        <v>-10398.56</v>
      </c>
      <c r="X1042" s="161">
        <v>0</v>
      </c>
      <c r="Y1042" s="160"/>
      <c r="Z1042" s="16">
        <v>125.56</v>
      </c>
      <c r="AA1042" s="162">
        <v>51080.56</v>
      </c>
      <c r="AB1042" s="162">
        <v>12770.14</v>
      </c>
      <c r="AC1042" s="162">
        <v>153241.68</v>
      </c>
      <c r="AD1042" s="160"/>
      <c r="AE1042" s="145">
        <v>40682</v>
      </c>
      <c r="AF1042" s="163">
        <v>1.0529999999999999</v>
      </c>
      <c r="AG1042" s="163">
        <v>1.0489999999999999</v>
      </c>
      <c r="AH1042" s="163">
        <v>1.0469999999999999</v>
      </c>
      <c r="AI1042" s="164">
        <v>40682</v>
      </c>
      <c r="AJ1042" s="164">
        <f t="shared" si="152"/>
        <v>0</v>
      </c>
      <c r="AK1042" s="229">
        <v>40682</v>
      </c>
      <c r="AL1042" s="229">
        <f ca="1">SUMIF('MS &amp; Vacancies combined'!A:O,D1042,'MS &amp; Vacancies combined'!O:O)*105.3/100</f>
        <v>117651.30822396185</v>
      </c>
      <c r="AM1042" s="229">
        <f ca="1">AL1042*AG1042</f>
        <v>123416.22232693598</v>
      </c>
      <c r="AN1042" s="229">
        <f ca="1">AM1042*AH1042</f>
        <v>129216.78477630197</v>
      </c>
      <c r="AO1042" s="166"/>
      <c r="AP1042" s="413">
        <f t="shared" ca="1" si="153"/>
        <v>-76969.308223961852</v>
      </c>
      <c r="AR1042" s="231"/>
      <c r="AS1042" s="231"/>
      <c r="AU1042" s="414">
        <v>40682</v>
      </c>
      <c r="AV1042" s="415">
        <v>40682</v>
      </c>
      <c r="AW1042" s="414">
        <f t="shared" si="151"/>
        <v>0</v>
      </c>
    </row>
    <row r="1043" spans="1:49" x14ac:dyDescent="0.3">
      <c r="A1043" s="16" t="s">
        <v>57</v>
      </c>
      <c r="B1043" s="39" t="s">
        <v>1914</v>
      </c>
      <c r="C1043" s="39" t="s">
        <v>389</v>
      </c>
      <c r="D1043" s="340" t="s">
        <v>3484</v>
      </c>
      <c r="E1043" s="159" t="s">
        <v>1761</v>
      </c>
      <c r="F1043" s="159" t="s">
        <v>848</v>
      </c>
      <c r="G1043" s="159" t="s">
        <v>309</v>
      </c>
      <c r="H1043" s="159" t="s">
        <v>373</v>
      </c>
      <c r="I1043" s="159" t="s">
        <v>390</v>
      </c>
      <c r="J1043" s="159" t="s">
        <v>312</v>
      </c>
      <c r="K1043" s="159" t="s">
        <v>1849</v>
      </c>
      <c r="L1043" s="39" t="s">
        <v>1908</v>
      </c>
      <c r="M1043" s="39" t="s">
        <v>305</v>
      </c>
      <c r="N1043" s="39">
        <v>11</v>
      </c>
      <c r="O1043" s="39" t="s">
        <v>389</v>
      </c>
      <c r="P1043" s="39" t="s">
        <v>389</v>
      </c>
      <c r="Q1043" s="39" t="s">
        <v>1914</v>
      </c>
      <c r="R1043" s="16" t="s">
        <v>57</v>
      </c>
      <c r="S1043" s="169">
        <v>128160</v>
      </c>
      <c r="T1043" s="160">
        <v>7093.47</v>
      </c>
      <c r="U1043" s="160">
        <v>0</v>
      </c>
      <c r="V1043" s="160">
        <v>38739.68</v>
      </c>
      <c r="W1043" s="160">
        <v>89420.32</v>
      </c>
      <c r="X1043" s="161">
        <v>0</v>
      </c>
      <c r="Y1043" s="160"/>
      <c r="Z1043" s="16">
        <v>30.22</v>
      </c>
      <c r="AA1043" s="162">
        <v>38739.68</v>
      </c>
      <c r="AB1043" s="162">
        <v>9684.92</v>
      </c>
      <c r="AC1043" s="162">
        <v>116219.04000000001</v>
      </c>
      <c r="AD1043" s="160"/>
      <c r="AE1043" s="145">
        <v>128160</v>
      </c>
      <c r="AF1043" s="421">
        <v>1.0529999999999999</v>
      </c>
      <c r="AG1043" s="421">
        <v>1.0489999999999999</v>
      </c>
      <c r="AH1043" s="421">
        <v>1.0469999999999999</v>
      </c>
      <c r="AI1043" s="164">
        <v>128160</v>
      </c>
      <c r="AJ1043" s="164">
        <f t="shared" si="152"/>
        <v>0</v>
      </c>
      <c r="AK1043" s="165">
        <v>128160</v>
      </c>
      <c r="AL1043" s="165">
        <f>AK1043*80%</f>
        <v>102528</v>
      </c>
      <c r="AM1043" s="165">
        <f t="shared" si="148"/>
        <v>107551.87199999999</v>
      </c>
      <c r="AN1043" s="165">
        <f t="shared" si="149"/>
        <v>112606.80998399998</v>
      </c>
      <c r="AO1043" s="16"/>
      <c r="AP1043" s="231">
        <f t="shared" si="153"/>
        <v>25632</v>
      </c>
      <c r="AR1043" s="231"/>
      <c r="AS1043" s="231"/>
      <c r="AU1043" s="230">
        <v>128160</v>
      </c>
      <c r="AV1043" s="233">
        <v>128160</v>
      </c>
      <c r="AW1043" s="230">
        <f t="shared" si="151"/>
        <v>0</v>
      </c>
    </row>
    <row r="1044" spans="1:49" x14ac:dyDescent="0.3">
      <c r="A1044" s="16" t="s">
        <v>60</v>
      </c>
      <c r="B1044" s="39" t="s">
        <v>1915</v>
      </c>
      <c r="C1044" s="39" t="s">
        <v>392</v>
      </c>
      <c r="D1044" s="340" t="s">
        <v>3484</v>
      </c>
      <c r="E1044" s="159" t="s">
        <v>1761</v>
      </c>
      <c r="F1044" s="159" t="s">
        <v>848</v>
      </c>
      <c r="G1044" s="159" t="s">
        <v>309</v>
      </c>
      <c r="H1044" s="159" t="s">
        <v>373</v>
      </c>
      <c r="I1044" s="159" t="s">
        <v>393</v>
      </c>
      <c r="J1044" s="159" t="s">
        <v>312</v>
      </c>
      <c r="K1044" s="159" t="s">
        <v>1849</v>
      </c>
      <c r="L1044" s="39" t="s">
        <v>1908</v>
      </c>
      <c r="M1044" s="39" t="s">
        <v>305</v>
      </c>
      <c r="N1044" s="39">
        <v>11</v>
      </c>
      <c r="O1044" s="39" t="s">
        <v>392</v>
      </c>
      <c r="P1044" s="39" t="s">
        <v>392</v>
      </c>
      <c r="Q1044" s="39" t="s">
        <v>1915</v>
      </c>
      <c r="R1044" s="16" t="s">
        <v>60</v>
      </c>
      <c r="S1044" s="169">
        <v>8170</v>
      </c>
      <c r="T1044" s="160">
        <v>457.25</v>
      </c>
      <c r="U1044" s="160">
        <v>0</v>
      </c>
      <c r="V1044" s="160">
        <v>2848.14</v>
      </c>
      <c r="W1044" s="160">
        <v>5321.86</v>
      </c>
      <c r="X1044" s="161">
        <v>0</v>
      </c>
      <c r="Y1044" s="160"/>
      <c r="Z1044" s="16">
        <v>34.86</v>
      </c>
      <c r="AA1044" s="162">
        <v>2848.14</v>
      </c>
      <c r="AB1044" s="162">
        <v>712.03499999999997</v>
      </c>
      <c r="AC1044" s="162">
        <v>8544.42</v>
      </c>
      <c r="AD1044" s="160"/>
      <c r="AE1044" s="145">
        <v>8170</v>
      </c>
      <c r="AF1044" s="421">
        <v>1.0529999999999999</v>
      </c>
      <c r="AG1044" s="421">
        <v>1.0489999999999999</v>
      </c>
      <c r="AH1044" s="421">
        <v>1.0469999999999999</v>
      </c>
      <c r="AI1044" s="164">
        <v>8170</v>
      </c>
      <c r="AJ1044" s="164">
        <f t="shared" si="152"/>
        <v>0</v>
      </c>
      <c r="AK1044" s="165">
        <v>8170</v>
      </c>
      <c r="AL1044" s="165">
        <f>AK1044*AF1044</f>
        <v>8603.01</v>
      </c>
      <c r="AM1044" s="165">
        <f t="shared" si="148"/>
        <v>9024.5574899999992</v>
      </c>
      <c r="AN1044" s="165">
        <f t="shared" si="149"/>
        <v>9448.7116920299977</v>
      </c>
      <c r="AO1044" s="16"/>
      <c r="AP1044" s="231">
        <f t="shared" si="153"/>
        <v>-433.01000000000022</v>
      </c>
      <c r="AR1044" s="231"/>
      <c r="AS1044" s="231"/>
      <c r="AU1044" s="230">
        <v>8170</v>
      </c>
      <c r="AV1044" s="233">
        <v>8170</v>
      </c>
      <c r="AW1044" s="230">
        <f t="shared" si="151"/>
        <v>0</v>
      </c>
    </row>
    <row r="1045" spans="1:49" x14ac:dyDescent="0.3">
      <c r="A1045" s="16" t="s">
        <v>61</v>
      </c>
      <c r="B1045" s="39" t="s">
        <v>1916</v>
      </c>
      <c r="C1045" s="39" t="s">
        <v>460</v>
      </c>
      <c r="D1045" s="340" t="s">
        <v>3484</v>
      </c>
      <c r="E1045" s="159" t="s">
        <v>1761</v>
      </c>
      <c r="F1045" s="159" t="s">
        <v>848</v>
      </c>
      <c r="G1045" s="159" t="s">
        <v>309</v>
      </c>
      <c r="H1045" s="159" t="s">
        <v>373</v>
      </c>
      <c r="I1045" s="159" t="s">
        <v>461</v>
      </c>
      <c r="J1045" s="159" t="s">
        <v>312</v>
      </c>
      <c r="K1045" s="159" t="s">
        <v>1849</v>
      </c>
      <c r="L1045" s="39" t="s">
        <v>1908</v>
      </c>
      <c r="M1045" s="39" t="s">
        <v>305</v>
      </c>
      <c r="N1045" s="39">
        <v>11</v>
      </c>
      <c r="O1045" s="39" t="s">
        <v>460</v>
      </c>
      <c r="P1045" s="39" t="s">
        <v>460</v>
      </c>
      <c r="Q1045" s="39" t="s">
        <v>1916</v>
      </c>
      <c r="R1045" s="16" t="s">
        <v>61</v>
      </c>
      <c r="S1045" s="169">
        <v>0</v>
      </c>
      <c r="T1045" s="160">
        <v>0</v>
      </c>
      <c r="U1045" s="160">
        <v>0</v>
      </c>
      <c r="V1045" s="160">
        <v>15156</v>
      </c>
      <c r="W1045" s="160">
        <v>-15156</v>
      </c>
      <c r="X1045" s="161">
        <v>0</v>
      </c>
      <c r="Y1045" s="160"/>
      <c r="Z1045" s="16">
        <v>0</v>
      </c>
      <c r="AA1045" s="162">
        <v>15156</v>
      </c>
      <c r="AB1045" s="162">
        <v>3789</v>
      </c>
      <c r="AC1045" s="162">
        <v>45468</v>
      </c>
      <c r="AD1045" s="160"/>
      <c r="AE1045" s="145">
        <v>0</v>
      </c>
      <c r="AF1045" s="163">
        <v>1.0469999999999999</v>
      </c>
      <c r="AG1045" s="164">
        <v>1.046</v>
      </c>
      <c r="AH1045" s="164">
        <v>1.046</v>
      </c>
      <c r="AI1045" s="164">
        <v>0</v>
      </c>
      <c r="AJ1045" s="164">
        <f t="shared" si="152"/>
        <v>0</v>
      </c>
      <c r="AK1045" s="165">
        <v>0</v>
      </c>
      <c r="AL1045" s="165">
        <v>0</v>
      </c>
      <c r="AM1045" s="165">
        <f t="shared" si="148"/>
        <v>0</v>
      </c>
      <c r="AN1045" s="165">
        <f t="shared" si="149"/>
        <v>0</v>
      </c>
      <c r="AO1045" s="16"/>
      <c r="AP1045" s="231">
        <f t="shared" si="153"/>
        <v>0</v>
      </c>
      <c r="AR1045" s="231"/>
      <c r="AS1045" s="231"/>
      <c r="AU1045" s="230">
        <v>0</v>
      </c>
      <c r="AV1045" s="233">
        <v>0</v>
      </c>
      <c r="AW1045" s="230">
        <f t="shared" si="151"/>
        <v>0</v>
      </c>
    </row>
    <row r="1046" spans="1:49" s="172" customFormat="1" x14ac:dyDescent="0.3">
      <c r="A1046" s="166" t="s">
        <v>62</v>
      </c>
      <c r="B1046" s="167" t="s">
        <v>1917</v>
      </c>
      <c r="C1046" s="167" t="s">
        <v>395</v>
      </c>
      <c r="D1046" s="412" t="s">
        <v>3484</v>
      </c>
      <c r="E1046" s="168" t="s">
        <v>1761</v>
      </c>
      <c r="F1046" s="168" t="s">
        <v>848</v>
      </c>
      <c r="G1046" s="168" t="s">
        <v>309</v>
      </c>
      <c r="H1046" s="168" t="s">
        <v>373</v>
      </c>
      <c r="I1046" s="168" t="s">
        <v>396</v>
      </c>
      <c r="J1046" s="168" t="s">
        <v>312</v>
      </c>
      <c r="K1046" s="168" t="s">
        <v>1849</v>
      </c>
      <c r="L1046" s="167" t="s">
        <v>1908</v>
      </c>
      <c r="M1046" s="167" t="s">
        <v>305</v>
      </c>
      <c r="N1046" s="167">
        <v>11</v>
      </c>
      <c r="O1046" s="167" t="s">
        <v>395</v>
      </c>
      <c r="P1046" s="167" t="s">
        <v>395</v>
      </c>
      <c r="Q1046" s="167" t="s">
        <v>1917</v>
      </c>
      <c r="R1046" s="166" t="s">
        <v>62</v>
      </c>
      <c r="S1046" s="169">
        <v>774326</v>
      </c>
      <c r="T1046" s="160">
        <v>149260</v>
      </c>
      <c r="U1046" s="160">
        <v>0</v>
      </c>
      <c r="V1046" s="160">
        <v>179112</v>
      </c>
      <c r="W1046" s="160">
        <v>595214</v>
      </c>
      <c r="X1046" s="161">
        <v>0</v>
      </c>
      <c r="Y1046" s="160"/>
      <c r="Z1046" s="16">
        <v>23.13</v>
      </c>
      <c r="AA1046" s="162">
        <v>179112</v>
      </c>
      <c r="AB1046" s="162">
        <v>44778</v>
      </c>
      <c r="AC1046" s="162">
        <v>537336</v>
      </c>
      <c r="AD1046" s="160"/>
      <c r="AE1046" s="145">
        <v>774326</v>
      </c>
      <c r="AF1046" s="163">
        <v>1.0529999999999999</v>
      </c>
      <c r="AG1046" s="163">
        <v>1.0489999999999999</v>
      </c>
      <c r="AH1046" s="163">
        <v>1.0469999999999999</v>
      </c>
      <c r="AI1046" s="164">
        <v>774326</v>
      </c>
      <c r="AJ1046" s="164">
        <f t="shared" si="152"/>
        <v>0</v>
      </c>
      <c r="AK1046" s="229">
        <v>774326</v>
      </c>
      <c r="AL1046" s="229">
        <f ca="1">SUMIF('MS &amp; Vacancies combined'!A:K,D1046,'MS &amp; Vacancies combined'!K:K)*105.3/100</f>
        <v>620854.93249780138</v>
      </c>
      <c r="AM1046" s="229">
        <f ca="1">AL1046*AG1046</f>
        <v>651276.82419019355</v>
      </c>
      <c r="AN1046" s="229">
        <f ca="1">AM1046*AH1046</f>
        <v>681886.83492713259</v>
      </c>
      <c r="AO1046" s="166"/>
      <c r="AP1046" s="413">
        <f t="shared" ca="1" si="153"/>
        <v>153471.06750219862</v>
      </c>
      <c r="AR1046" s="231"/>
      <c r="AS1046" s="231"/>
      <c r="AU1046" s="414">
        <v>774326</v>
      </c>
      <c r="AV1046" s="415">
        <v>774326</v>
      </c>
      <c r="AW1046" s="414">
        <f t="shared" si="151"/>
        <v>0</v>
      </c>
    </row>
    <row r="1047" spans="1:49" x14ac:dyDescent="0.3">
      <c r="A1047" s="16" t="s">
        <v>66</v>
      </c>
      <c r="B1047" s="39" t="s">
        <v>1918</v>
      </c>
      <c r="C1047" s="39" t="s">
        <v>67</v>
      </c>
      <c r="D1047" s="340" t="s">
        <v>3484</v>
      </c>
      <c r="E1047" s="159" t="s">
        <v>1761</v>
      </c>
      <c r="F1047" s="159" t="s">
        <v>848</v>
      </c>
      <c r="G1047" s="159" t="s">
        <v>309</v>
      </c>
      <c r="H1047" s="159" t="s">
        <v>373</v>
      </c>
      <c r="I1047" s="159" t="s">
        <v>326</v>
      </c>
      <c r="J1047" s="159" t="s">
        <v>312</v>
      </c>
      <c r="K1047" s="159" t="s">
        <v>1849</v>
      </c>
      <c r="L1047" s="39" t="s">
        <v>1908</v>
      </c>
      <c r="M1047" s="39" t="s">
        <v>305</v>
      </c>
      <c r="N1047" s="39">
        <v>11</v>
      </c>
      <c r="O1047" s="39" t="s">
        <v>67</v>
      </c>
      <c r="P1047" s="39" t="s">
        <v>67</v>
      </c>
      <c r="Q1047" s="39" t="s">
        <v>1918</v>
      </c>
      <c r="R1047" s="16" t="s">
        <v>66</v>
      </c>
      <c r="S1047" s="169">
        <v>0</v>
      </c>
      <c r="T1047" s="160">
        <v>0</v>
      </c>
      <c r="U1047" s="160">
        <v>0</v>
      </c>
      <c r="V1047" s="160">
        <v>0</v>
      </c>
      <c r="W1047" s="160">
        <v>0</v>
      </c>
      <c r="X1047" s="161">
        <v>0</v>
      </c>
      <c r="Y1047" s="160"/>
      <c r="Z1047" s="16">
        <v>0</v>
      </c>
      <c r="AA1047" s="162">
        <v>0</v>
      </c>
      <c r="AB1047" s="162">
        <v>0</v>
      </c>
      <c r="AC1047" s="162">
        <v>0</v>
      </c>
      <c r="AD1047" s="160"/>
      <c r="AE1047" s="145">
        <v>0</v>
      </c>
      <c r="AF1047" s="163">
        <v>1.0469999999999999</v>
      </c>
      <c r="AG1047" s="164">
        <v>1.046</v>
      </c>
      <c r="AH1047" s="164">
        <v>1.046</v>
      </c>
      <c r="AI1047" s="164">
        <v>0</v>
      </c>
      <c r="AJ1047" s="164">
        <f t="shared" si="152"/>
        <v>0</v>
      </c>
      <c r="AK1047" s="165">
        <v>0</v>
      </c>
      <c r="AL1047" s="165">
        <v>0</v>
      </c>
      <c r="AM1047" s="165">
        <f t="shared" si="148"/>
        <v>0</v>
      </c>
      <c r="AN1047" s="165">
        <f t="shared" si="149"/>
        <v>0</v>
      </c>
      <c r="AO1047" s="16"/>
      <c r="AP1047" s="231">
        <f t="shared" si="153"/>
        <v>0</v>
      </c>
      <c r="AR1047" s="231"/>
      <c r="AS1047" s="231"/>
      <c r="AU1047" s="230">
        <v>0</v>
      </c>
      <c r="AV1047" s="233">
        <v>0</v>
      </c>
      <c r="AW1047" s="230">
        <f t="shared" si="151"/>
        <v>0</v>
      </c>
    </row>
    <row r="1048" spans="1:49" s="172" customFormat="1" x14ac:dyDescent="0.3">
      <c r="A1048" s="166" t="s">
        <v>69</v>
      </c>
      <c r="B1048" s="167" t="s">
        <v>1919</v>
      </c>
      <c r="C1048" s="167" t="s">
        <v>398</v>
      </c>
      <c r="D1048" s="412" t="s">
        <v>3484</v>
      </c>
      <c r="E1048" s="168" t="s">
        <v>1761</v>
      </c>
      <c r="F1048" s="168" t="s">
        <v>848</v>
      </c>
      <c r="G1048" s="168" t="s">
        <v>309</v>
      </c>
      <c r="H1048" s="168" t="s">
        <v>310</v>
      </c>
      <c r="I1048" s="168" t="s">
        <v>374</v>
      </c>
      <c r="J1048" s="168" t="s">
        <v>312</v>
      </c>
      <c r="K1048" s="168" t="s">
        <v>1849</v>
      </c>
      <c r="L1048" s="167" t="s">
        <v>1908</v>
      </c>
      <c r="M1048" s="167" t="s">
        <v>305</v>
      </c>
      <c r="N1048" s="167">
        <v>11</v>
      </c>
      <c r="O1048" s="167" t="s">
        <v>398</v>
      </c>
      <c r="P1048" s="167" t="s">
        <v>398</v>
      </c>
      <c r="Q1048" s="167" t="s">
        <v>1919</v>
      </c>
      <c r="R1048" s="166" t="s">
        <v>69</v>
      </c>
      <c r="S1048" s="169">
        <v>5440</v>
      </c>
      <c r="T1048" s="160">
        <v>162</v>
      </c>
      <c r="U1048" s="160">
        <v>0</v>
      </c>
      <c r="V1048" s="160">
        <v>648</v>
      </c>
      <c r="W1048" s="160">
        <v>4792</v>
      </c>
      <c r="X1048" s="161">
        <v>0</v>
      </c>
      <c r="Y1048" s="160"/>
      <c r="Z1048" s="16">
        <v>11.91</v>
      </c>
      <c r="AA1048" s="162">
        <v>648</v>
      </c>
      <c r="AB1048" s="162">
        <v>162</v>
      </c>
      <c r="AC1048" s="162">
        <v>1944</v>
      </c>
      <c r="AD1048" s="160"/>
      <c r="AE1048" s="145">
        <v>5440</v>
      </c>
      <c r="AF1048" s="163">
        <v>1.0529999999999999</v>
      </c>
      <c r="AG1048" s="163">
        <v>1.0489999999999999</v>
      </c>
      <c r="AH1048" s="163">
        <v>1.0469999999999999</v>
      </c>
      <c r="AI1048" s="164">
        <v>5440</v>
      </c>
      <c r="AJ1048" s="164">
        <f t="shared" si="152"/>
        <v>0</v>
      </c>
      <c r="AK1048" s="229">
        <v>5440</v>
      </c>
      <c r="AL1048" s="229">
        <f ca="1">SUMIF('MS &amp; Vacancies combined'!A:N,D1048,'MS &amp; Vacancies combined'!N:N)*105.3/100</f>
        <v>5033.2110470144116</v>
      </c>
      <c r="AM1048" s="229">
        <f t="shared" ca="1" si="148"/>
        <v>5279.8383883181177</v>
      </c>
      <c r="AN1048" s="229">
        <f t="shared" ca="1" si="149"/>
        <v>5527.9907925690686</v>
      </c>
      <c r="AO1048" s="166"/>
      <c r="AP1048" s="413">
        <f t="shared" ca="1" si="153"/>
        <v>406.78895298558837</v>
      </c>
      <c r="AR1048" s="231"/>
      <c r="AS1048" s="231"/>
      <c r="AU1048" s="414">
        <v>5440</v>
      </c>
      <c r="AV1048" s="415">
        <v>5440</v>
      </c>
      <c r="AW1048" s="414">
        <f t="shared" si="151"/>
        <v>0</v>
      </c>
    </row>
    <row r="1049" spans="1:49" s="172" customFormat="1" x14ac:dyDescent="0.3">
      <c r="A1049" s="166" t="s">
        <v>70</v>
      </c>
      <c r="B1049" s="167" t="s">
        <v>1920</v>
      </c>
      <c r="C1049" s="167" t="s">
        <v>400</v>
      </c>
      <c r="D1049" s="412" t="s">
        <v>3484</v>
      </c>
      <c r="E1049" s="168" t="s">
        <v>1761</v>
      </c>
      <c r="F1049" s="168" t="s">
        <v>848</v>
      </c>
      <c r="G1049" s="168" t="s">
        <v>309</v>
      </c>
      <c r="H1049" s="168" t="s">
        <v>310</v>
      </c>
      <c r="I1049" s="168" t="s">
        <v>401</v>
      </c>
      <c r="J1049" s="168" t="s">
        <v>312</v>
      </c>
      <c r="K1049" s="168" t="s">
        <v>1849</v>
      </c>
      <c r="L1049" s="167" t="s">
        <v>1908</v>
      </c>
      <c r="M1049" s="167" t="s">
        <v>305</v>
      </c>
      <c r="N1049" s="167">
        <v>11</v>
      </c>
      <c r="O1049" s="167" t="s">
        <v>400</v>
      </c>
      <c r="P1049" s="167" t="s">
        <v>400</v>
      </c>
      <c r="Q1049" s="167" t="s">
        <v>1920</v>
      </c>
      <c r="R1049" s="166" t="s">
        <v>70</v>
      </c>
      <c r="S1049" s="169">
        <v>157963</v>
      </c>
      <c r="T1049" s="160">
        <v>2081.48</v>
      </c>
      <c r="U1049" s="160">
        <v>0</v>
      </c>
      <c r="V1049" s="160">
        <v>8848.34</v>
      </c>
      <c r="W1049" s="160">
        <v>149114.66</v>
      </c>
      <c r="X1049" s="161">
        <v>0</v>
      </c>
      <c r="Y1049" s="160"/>
      <c r="Z1049" s="16">
        <v>5.6</v>
      </c>
      <c r="AA1049" s="162">
        <v>8848.34</v>
      </c>
      <c r="AB1049" s="162">
        <v>2212.085</v>
      </c>
      <c r="AC1049" s="162">
        <v>26545.02</v>
      </c>
      <c r="AD1049" s="160"/>
      <c r="AE1049" s="145">
        <v>157963</v>
      </c>
      <c r="AF1049" s="163">
        <v>1.0529999999999999</v>
      </c>
      <c r="AG1049" s="163">
        <v>1.0489999999999999</v>
      </c>
      <c r="AH1049" s="163">
        <v>1.0469999999999999</v>
      </c>
      <c r="AI1049" s="164">
        <v>157963</v>
      </c>
      <c r="AJ1049" s="164">
        <f t="shared" si="152"/>
        <v>0</v>
      </c>
      <c r="AK1049" s="229">
        <v>157963</v>
      </c>
      <c r="AL1049" s="229">
        <f ca="1">SUMIF('MS &amp; Vacancies combined'!A:P,D1049,'MS &amp; Vacancies combined'!P:P)*105.3/100</f>
        <v>819879.9327216472</v>
      </c>
      <c r="AM1049" s="229">
        <f t="shared" ca="1" si="148"/>
        <v>860054.04942500789</v>
      </c>
      <c r="AN1049" s="229">
        <f t="shared" ca="1" si="149"/>
        <v>900476.58974798315</v>
      </c>
      <c r="AO1049" s="166"/>
      <c r="AP1049" s="413">
        <f t="shared" ca="1" si="153"/>
        <v>-661916.9327216472</v>
      </c>
      <c r="AR1049" s="231"/>
      <c r="AS1049" s="231"/>
      <c r="AU1049" s="414">
        <v>157963</v>
      </c>
      <c r="AV1049" s="415">
        <v>157963</v>
      </c>
      <c r="AW1049" s="414">
        <f t="shared" si="151"/>
        <v>0</v>
      </c>
    </row>
    <row r="1050" spans="1:49" s="172" customFormat="1" x14ac:dyDescent="0.3">
      <c r="A1050" s="166" t="s">
        <v>71</v>
      </c>
      <c r="B1050" s="167" t="s">
        <v>1921</v>
      </c>
      <c r="C1050" s="167" t="s">
        <v>403</v>
      </c>
      <c r="D1050" s="412" t="s">
        <v>3484</v>
      </c>
      <c r="E1050" s="168" t="s">
        <v>1761</v>
      </c>
      <c r="F1050" s="168" t="s">
        <v>848</v>
      </c>
      <c r="G1050" s="168" t="s">
        <v>309</v>
      </c>
      <c r="H1050" s="168" t="s">
        <v>310</v>
      </c>
      <c r="I1050" s="168" t="s">
        <v>404</v>
      </c>
      <c r="J1050" s="168" t="s">
        <v>312</v>
      </c>
      <c r="K1050" s="168" t="s">
        <v>1849</v>
      </c>
      <c r="L1050" s="167" t="s">
        <v>1908</v>
      </c>
      <c r="M1050" s="167" t="s">
        <v>305</v>
      </c>
      <c r="N1050" s="167">
        <v>11</v>
      </c>
      <c r="O1050" s="167" t="s">
        <v>403</v>
      </c>
      <c r="P1050" s="167" t="s">
        <v>403</v>
      </c>
      <c r="Q1050" s="167" t="s">
        <v>1921</v>
      </c>
      <c r="R1050" s="166" t="s">
        <v>71</v>
      </c>
      <c r="S1050" s="169">
        <v>2521124</v>
      </c>
      <c r="T1050" s="160">
        <v>42593.4</v>
      </c>
      <c r="U1050" s="160">
        <v>0</v>
      </c>
      <c r="V1050" s="160">
        <v>171858.6</v>
      </c>
      <c r="W1050" s="160">
        <v>2349265.4</v>
      </c>
      <c r="X1050" s="161">
        <v>0</v>
      </c>
      <c r="Y1050" s="160"/>
      <c r="Z1050" s="16">
        <v>6.81</v>
      </c>
      <c r="AA1050" s="162">
        <v>171858.6</v>
      </c>
      <c r="AB1050" s="162">
        <v>42964.65</v>
      </c>
      <c r="AC1050" s="162">
        <v>515575.80000000005</v>
      </c>
      <c r="AD1050" s="160"/>
      <c r="AE1050" s="145">
        <v>2521124</v>
      </c>
      <c r="AF1050" s="163">
        <v>1.0529999999999999</v>
      </c>
      <c r="AG1050" s="163">
        <v>1.0489999999999999</v>
      </c>
      <c r="AH1050" s="163">
        <v>1.0469999999999999</v>
      </c>
      <c r="AI1050" s="164">
        <v>2521124</v>
      </c>
      <c r="AJ1050" s="164">
        <f t="shared" si="152"/>
        <v>0</v>
      </c>
      <c r="AK1050" s="229">
        <v>2521124</v>
      </c>
      <c r="AL1050" s="229">
        <f ca="1">SUMIF('MS &amp; Vacancies combined'!A:Q,D1050,'MS &amp; Vacancies combined'!Q:Q)*105.3/100</f>
        <v>2333452.565963069</v>
      </c>
      <c r="AM1050" s="229">
        <f t="shared" ca="1" si="148"/>
        <v>2447791.7416952592</v>
      </c>
      <c r="AN1050" s="229">
        <f t="shared" ca="1" si="149"/>
        <v>2562837.9535549362</v>
      </c>
      <c r="AO1050" s="166"/>
      <c r="AP1050" s="413">
        <f t="shared" ca="1" si="153"/>
        <v>187671.43403693102</v>
      </c>
      <c r="AR1050" s="231"/>
      <c r="AS1050" s="231"/>
      <c r="AU1050" s="414">
        <v>2521124</v>
      </c>
      <c r="AV1050" s="415">
        <v>2521124</v>
      </c>
      <c r="AW1050" s="414">
        <f t="shared" si="151"/>
        <v>0</v>
      </c>
    </row>
    <row r="1051" spans="1:49" s="172" customFormat="1" x14ac:dyDescent="0.3">
      <c r="A1051" s="166" t="s">
        <v>72</v>
      </c>
      <c r="B1051" s="167" t="s">
        <v>1922</v>
      </c>
      <c r="C1051" s="167" t="s">
        <v>406</v>
      </c>
      <c r="D1051" s="412" t="s">
        <v>3484</v>
      </c>
      <c r="E1051" s="168" t="s">
        <v>1761</v>
      </c>
      <c r="F1051" s="168" t="s">
        <v>848</v>
      </c>
      <c r="G1051" s="168" t="s">
        <v>309</v>
      </c>
      <c r="H1051" s="168" t="s">
        <v>310</v>
      </c>
      <c r="I1051" s="168" t="s">
        <v>407</v>
      </c>
      <c r="J1051" s="168" t="s">
        <v>312</v>
      </c>
      <c r="K1051" s="168" t="s">
        <v>1849</v>
      </c>
      <c r="L1051" s="167" t="s">
        <v>1908</v>
      </c>
      <c r="M1051" s="167" t="s">
        <v>305</v>
      </c>
      <c r="N1051" s="167">
        <v>11</v>
      </c>
      <c r="O1051" s="167" t="s">
        <v>406</v>
      </c>
      <c r="P1051" s="167" t="s">
        <v>406</v>
      </c>
      <c r="Q1051" s="167" t="s">
        <v>1922</v>
      </c>
      <c r="R1051" s="166" t="s">
        <v>72</v>
      </c>
      <c r="S1051" s="169">
        <v>1679049</v>
      </c>
      <c r="T1051" s="160">
        <v>48277.75</v>
      </c>
      <c r="U1051" s="160">
        <v>0</v>
      </c>
      <c r="V1051" s="160">
        <v>193111</v>
      </c>
      <c r="W1051" s="160">
        <v>1485938</v>
      </c>
      <c r="X1051" s="161">
        <v>0</v>
      </c>
      <c r="Y1051" s="160"/>
      <c r="Z1051" s="16">
        <v>11.5</v>
      </c>
      <c r="AA1051" s="162">
        <v>193111</v>
      </c>
      <c r="AB1051" s="162">
        <v>48277.75</v>
      </c>
      <c r="AC1051" s="162">
        <v>579333</v>
      </c>
      <c r="AD1051" s="160"/>
      <c r="AE1051" s="145">
        <v>1679049</v>
      </c>
      <c r="AF1051" s="163">
        <v>1.0529999999999999</v>
      </c>
      <c r="AG1051" s="163">
        <v>1.0489999999999999</v>
      </c>
      <c r="AH1051" s="163">
        <v>1.0469999999999999</v>
      </c>
      <c r="AI1051" s="164">
        <v>1679049</v>
      </c>
      <c r="AJ1051" s="164">
        <f t="shared" si="152"/>
        <v>0</v>
      </c>
      <c r="AK1051" s="229">
        <v>1679049</v>
      </c>
      <c r="AL1051" s="229">
        <f ca="1">SUMIF('MS &amp; Vacancies combined'!A:R,D1051,'MS &amp; Vacancies combined'!R:R)*105.3/100</f>
        <v>1386033.5667693627</v>
      </c>
      <c r="AM1051" s="229">
        <f t="shared" ca="1" si="148"/>
        <v>1453949.2115410613</v>
      </c>
      <c r="AN1051" s="229">
        <f t="shared" ca="1" si="149"/>
        <v>1522284.824483491</v>
      </c>
      <c r="AO1051" s="166"/>
      <c r="AP1051" s="413">
        <f t="shared" ca="1" si="153"/>
        <v>293015.43323063734</v>
      </c>
      <c r="AR1051" s="231"/>
      <c r="AS1051" s="231"/>
      <c r="AU1051" s="414">
        <v>1679049</v>
      </c>
      <c r="AV1051" s="415">
        <v>1679049</v>
      </c>
      <c r="AW1051" s="414">
        <f t="shared" si="151"/>
        <v>0</v>
      </c>
    </row>
    <row r="1052" spans="1:49" s="172" customFormat="1" x14ac:dyDescent="0.3">
      <c r="A1052" s="166" t="s">
        <v>73</v>
      </c>
      <c r="B1052" s="167" t="s">
        <v>1923</v>
      </c>
      <c r="C1052" s="167" t="s">
        <v>307</v>
      </c>
      <c r="D1052" s="412" t="s">
        <v>3484</v>
      </c>
      <c r="E1052" s="168" t="s">
        <v>1761</v>
      </c>
      <c r="F1052" s="168" t="s">
        <v>848</v>
      </c>
      <c r="G1052" s="168" t="s">
        <v>309</v>
      </c>
      <c r="H1052" s="168" t="s">
        <v>310</v>
      </c>
      <c r="I1052" s="168" t="s">
        <v>311</v>
      </c>
      <c r="J1052" s="168" t="s">
        <v>312</v>
      </c>
      <c r="K1052" s="168" t="s">
        <v>1849</v>
      </c>
      <c r="L1052" s="167" t="s">
        <v>1908</v>
      </c>
      <c r="M1052" s="167" t="s">
        <v>305</v>
      </c>
      <c r="N1052" s="167">
        <v>11</v>
      </c>
      <c r="O1052" s="167" t="s">
        <v>307</v>
      </c>
      <c r="P1052" s="167" t="s">
        <v>307</v>
      </c>
      <c r="Q1052" s="167" t="s">
        <v>1923</v>
      </c>
      <c r="R1052" s="166" t="s">
        <v>73</v>
      </c>
      <c r="S1052" s="169">
        <v>93553</v>
      </c>
      <c r="T1052" s="160">
        <v>2656.8</v>
      </c>
      <c r="U1052" s="160">
        <v>0</v>
      </c>
      <c r="V1052" s="160">
        <v>10627.2</v>
      </c>
      <c r="W1052" s="160">
        <v>82925.8</v>
      </c>
      <c r="X1052" s="161">
        <v>0</v>
      </c>
      <c r="Y1052" s="160"/>
      <c r="Z1052" s="16">
        <v>11.35</v>
      </c>
      <c r="AA1052" s="162">
        <v>10627.2</v>
      </c>
      <c r="AB1052" s="162">
        <v>2656.8</v>
      </c>
      <c r="AC1052" s="162">
        <v>31881.600000000002</v>
      </c>
      <c r="AD1052" s="160"/>
      <c r="AE1052" s="145">
        <v>93553</v>
      </c>
      <c r="AF1052" s="163">
        <v>1.0529999999999999</v>
      </c>
      <c r="AG1052" s="163">
        <v>1.0489999999999999</v>
      </c>
      <c r="AH1052" s="163">
        <v>1.0469999999999999</v>
      </c>
      <c r="AI1052" s="164">
        <v>93553</v>
      </c>
      <c r="AJ1052" s="164">
        <f t="shared" si="152"/>
        <v>0</v>
      </c>
      <c r="AK1052" s="229">
        <v>93553</v>
      </c>
      <c r="AL1052" s="229">
        <f ca="1">SUMIF('MS &amp; Vacancies combined'!A:S,D1052,'MS &amp; Vacancies combined'!S:S)*105.3/100</f>
        <v>82544.661171036438</v>
      </c>
      <c r="AM1052" s="229">
        <f t="shared" ca="1" si="148"/>
        <v>86589.349568417223</v>
      </c>
      <c r="AN1052" s="229">
        <f ca="1">AM1052*AH1052</f>
        <v>90659.048998132828</v>
      </c>
      <c r="AO1052" s="166"/>
      <c r="AP1052" s="413">
        <f t="shared" ca="1" si="153"/>
        <v>11008.338828963562</v>
      </c>
      <c r="AR1052" s="231"/>
      <c r="AS1052" s="231"/>
      <c r="AU1052" s="414">
        <v>93553</v>
      </c>
      <c r="AV1052" s="415">
        <v>93553</v>
      </c>
      <c r="AW1052" s="414">
        <f t="shared" si="151"/>
        <v>0</v>
      </c>
    </row>
    <row r="1053" spans="1:49" hidden="1" x14ac:dyDescent="0.3">
      <c r="A1053" s="16" t="s">
        <v>1925</v>
      </c>
      <c r="B1053" s="39" t="s">
        <v>1924</v>
      </c>
      <c r="C1053" s="39" t="s">
        <v>80</v>
      </c>
      <c r="D1053" s="340" t="s">
        <v>3484</v>
      </c>
      <c r="E1053" s="159" t="s">
        <v>1761</v>
      </c>
      <c r="F1053" s="159" t="s">
        <v>848</v>
      </c>
      <c r="G1053" s="159" t="s">
        <v>309</v>
      </c>
      <c r="H1053" s="159" t="s">
        <v>413</v>
      </c>
      <c r="I1053" s="159" t="s">
        <v>1249</v>
      </c>
      <c r="J1053" s="159" t="s">
        <v>312</v>
      </c>
      <c r="K1053" s="159" t="s">
        <v>1849</v>
      </c>
      <c r="L1053" s="39" t="s">
        <v>304</v>
      </c>
      <c r="M1053" s="39" t="s">
        <v>305</v>
      </c>
      <c r="N1053" s="39">
        <v>11</v>
      </c>
      <c r="O1053" s="39" t="s">
        <v>80</v>
      </c>
      <c r="P1053" s="39" t="s">
        <v>1926</v>
      </c>
      <c r="Q1053" s="39" t="s">
        <v>1924</v>
      </c>
      <c r="R1053" s="16" t="s">
        <v>1925</v>
      </c>
      <c r="S1053" s="160">
        <v>1500000</v>
      </c>
      <c r="T1053" s="160">
        <v>0</v>
      </c>
      <c r="U1053" s="160">
        <v>0</v>
      </c>
      <c r="V1053" s="160">
        <v>0</v>
      </c>
      <c r="W1053" s="160">
        <v>1500000</v>
      </c>
      <c r="X1053" s="161">
        <v>0</v>
      </c>
      <c r="Y1053" s="160"/>
      <c r="Z1053" s="16">
        <v>0</v>
      </c>
      <c r="AA1053" s="162">
        <v>0</v>
      </c>
      <c r="AB1053" s="162">
        <v>0</v>
      </c>
      <c r="AC1053" s="162">
        <v>0</v>
      </c>
      <c r="AD1053" s="160">
        <v>-1500000</v>
      </c>
      <c r="AE1053" s="145">
        <v>0</v>
      </c>
      <c r="AF1053" s="163">
        <v>1.0469999999999999</v>
      </c>
      <c r="AG1053" s="164">
        <v>1.046</v>
      </c>
      <c r="AH1053" s="164">
        <v>1.046</v>
      </c>
      <c r="AI1053" s="164">
        <v>0</v>
      </c>
      <c r="AJ1053" s="164">
        <f t="shared" si="152"/>
        <v>0</v>
      </c>
      <c r="AK1053" s="165">
        <v>0</v>
      </c>
      <c r="AL1053" s="165">
        <v>0</v>
      </c>
      <c r="AM1053" s="165">
        <f t="shared" si="148"/>
        <v>0</v>
      </c>
      <c r="AN1053" s="165">
        <f t="shared" si="149"/>
        <v>0</v>
      </c>
      <c r="AO1053" s="16"/>
      <c r="AP1053" s="231">
        <f t="shared" si="153"/>
        <v>0</v>
      </c>
      <c r="AR1053" s="231"/>
      <c r="AS1053" s="231"/>
      <c r="AU1053" s="230">
        <v>1500000</v>
      </c>
      <c r="AV1053" s="233">
        <v>0</v>
      </c>
      <c r="AW1053" s="230">
        <f t="shared" si="151"/>
        <v>0</v>
      </c>
    </row>
    <row r="1054" spans="1:49" hidden="1" x14ac:dyDescent="0.3">
      <c r="A1054" s="16" t="s">
        <v>1928</v>
      </c>
      <c r="B1054" s="39" t="s">
        <v>1927</v>
      </c>
      <c r="C1054" s="39" t="s">
        <v>80</v>
      </c>
      <c r="D1054" s="340" t="s">
        <v>3484</v>
      </c>
      <c r="E1054" s="159" t="s">
        <v>1761</v>
      </c>
      <c r="F1054" s="159" t="s">
        <v>848</v>
      </c>
      <c r="G1054" s="159" t="s">
        <v>309</v>
      </c>
      <c r="H1054" s="159" t="s">
        <v>413</v>
      </c>
      <c r="I1054" s="159" t="s">
        <v>425</v>
      </c>
      <c r="J1054" s="159" t="s">
        <v>312</v>
      </c>
      <c r="K1054" s="159" t="s">
        <v>1849</v>
      </c>
      <c r="L1054" s="39" t="s">
        <v>1908</v>
      </c>
      <c r="M1054" s="39" t="s">
        <v>305</v>
      </c>
      <c r="N1054" s="39">
        <v>11</v>
      </c>
      <c r="O1054" s="39" t="s">
        <v>80</v>
      </c>
      <c r="P1054" s="39" t="s">
        <v>1929</v>
      </c>
      <c r="Q1054" s="39" t="s">
        <v>1927</v>
      </c>
      <c r="R1054" s="16" t="s">
        <v>1928</v>
      </c>
      <c r="S1054" s="223">
        <v>6900000</v>
      </c>
      <c r="T1054" s="160">
        <v>100105.60000000001</v>
      </c>
      <c r="U1054" s="160">
        <v>139057.25</v>
      </c>
      <c r="V1054" s="160">
        <v>100105.60000000001</v>
      </c>
      <c r="W1054" s="160">
        <v>6799894.4000000004</v>
      </c>
      <c r="X1054" s="161">
        <v>221328.59</v>
      </c>
      <c r="Y1054" s="160"/>
      <c r="Z1054" s="16">
        <v>1.45</v>
      </c>
      <c r="AA1054" s="162">
        <v>239162.85</v>
      </c>
      <c r="AB1054" s="224">
        <v>59790.712500000001</v>
      </c>
      <c r="AC1054" s="224">
        <v>717488.55</v>
      </c>
      <c r="AD1054" s="223">
        <v>3100000</v>
      </c>
      <c r="AE1054" s="145">
        <v>5900000</v>
      </c>
      <c r="AF1054" s="220">
        <v>1.0469999999999999</v>
      </c>
      <c r="AG1054" s="221">
        <v>1.046</v>
      </c>
      <c r="AH1054" s="221">
        <v>1.046</v>
      </c>
      <c r="AI1054" s="164">
        <v>10000000</v>
      </c>
      <c r="AJ1054" s="164">
        <f t="shared" si="152"/>
        <v>-4100000</v>
      </c>
      <c r="AK1054" s="165">
        <v>5000000</v>
      </c>
      <c r="AL1054" s="165">
        <f t="shared" ref="AL1054" si="155">AK1054</f>
        <v>5000000</v>
      </c>
      <c r="AM1054" s="165">
        <f t="shared" ref="AM1054:AM1084" si="156">AL1054*AG1054</f>
        <v>5230000</v>
      </c>
      <c r="AN1054" s="165">
        <f t="shared" ref="AN1054:AN1084" si="157">AM1054*AH1054</f>
        <v>5470580</v>
      </c>
      <c r="AO1054" s="16"/>
      <c r="AP1054" s="231">
        <f t="shared" si="153"/>
        <v>0</v>
      </c>
      <c r="AQ1054" t="s">
        <v>2167</v>
      </c>
      <c r="AR1054" s="231"/>
      <c r="AS1054" s="231"/>
      <c r="AU1054" s="230">
        <v>6900000</v>
      </c>
      <c r="AV1054" s="233">
        <v>10000000</v>
      </c>
      <c r="AW1054" s="230">
        <f t="shared" si="151"/>
        <v>0</v>
      </c>
    </row>
    <row r="1055" spans="1:49" hidden="1" x14ac:dyDescent="0.3">
      <c r="A1055" s="16" t="s">
        <v>874</v>
      </c>
      <c r="B1055" s="39" t="s">
        <v>1930</v>
      </c>
      <c r="C1055" s="39" t="s">
        <v>80</v>
      </c>
      <c r="D1055" s="340" t="s">
        <v>3484</v>
      </c>
      <c r="E1055" s="159" t="s">
        <v>1761</v>
      </c>
      <c r="F1055" s="159" t="s">
        <v>848</v>
      </c>
      <c r="G1055" s="159" t="s">
        <v>309</v>
      </c>
      <c r="H1055" s="159" t="s">
        <v>413</v>
      </c>
      <c r="I1055" s="159" t="s">
        <v>875</v>
      </c>
      <c r="J1055" s="159" t="s">
        <v>876</v>
      </c>
      <c r="K1055" s="159" t="s">
        <v>1849</v>
      </c>
      <c r="L1055" s="39" t="s">
        <v>877</v>
      </c>
      <c r="M1055" s="39" t="s">
        <v>305</v>
      </c>
      <c r="N1055" s="39">
        <v>11</v>
      </c>
      <c r="O1055" s="39" t="s">
        <v>80</v>
      </c>
      <c r="P1055" s="39" t="s">
        <v>1931</v>
      </c>
      <c r="Q1055" s="39" t="s">
        <v>1930</v>
      </c>
      <c r="R1055" s="16" t="s">
        <v>874</v>
      </c>
      <c r="S1055" s="160">
        <v>3000000</v>
      </c>
      <c r="T1055" s="160">
        <v>0</v>
      </c>
      <c r="U1055" s="160">
        <v>0</v>
      </c>
      <c r="V1055" s="160">
        <v>0</v>
      </c>
      <c r="W1055" s="160">
        <v>3000000</v>
      </c>
      <c r="X1055" s="161">
        <v>0</v>
      </c>
      <c r="Y1055" s="160"/>
      <c r="Z1055" s="16">
        <v>0</v>
      </c>
      <c r="AA1055" s="162">
        <v>0</v>
      </c>
      <c r="AB1055" s="162">
        <v>0</v>
      </c>
      <c r="AC1055" s="162">
        <v>0</v>
      </c>
      <c r="AD1055" s="160">
        <v>-3000000</v>
      </c>
      <c r="AE1055" s="145">
        <v>0</v>
      </c>
      <c r="AF1055" s="163">
        <v>1.0469999999999999</v>
      </c>
      <c r="AG1055" s="164">
        <v>1.046</v>
      </c>
      <c r="AH1055" s="164">
        <v>1.046</v>
      </c>
      <c r="AI1055" s="164">
        <v>0</v>
      </c>
      <c r="AJ1055" s="164">
        <f t="shared" si="152"/>
        <v>0</v>
      </c>
      <c r="AK1055" s="165">
        <v>0</v>
      </c>
      <c r="AL1055" s="165">
        <v>0</v>
      </c>
      <c r="AM1055" s="165">
        <f t="shared" si="156"/>
        <v>0</v>
      </c>
      <c r="AN1055" s="165">
        <f t="shared" si="157"/>
        <v>0</v>
      </c>
      <c r="AO1055" s="16" t="s">
        <v>2147</v>
      </c>
      <c r="AP1055" s="231">
        <f t="shared" si="153"/>
        <v>0</v>
      </c>
      <c r="AR1055" s="231"/>
      <c r="AS1055" s="231"/>
      <c r="AU1055" s="230">
        <v>3000000</v>
      </c>
      <c r="AV1055" s="233">
        <v>0</v>
      </c>
      <c r="AW1055" s="230">
        <f t="shared" si="151"/>
        <v>0</v>
      </c>
    </row>
    <row r="1056" spans="1:49" hidden="1" x14ac:dyDescent="0.3">
      <c r="A1056" s="16" t="s">
        <v>874</v>
      </c>
      <c r="B1056" s="39" t="s">
        <v>1932</v>
      </c>
      <c r="C1056" s="39">
        <v>0</v>
      </c>
      <c r="D1056" s="340" t="s">
        <v>3484</v>
      </c>
      <c r="E1056" s="159" t="s">
        <v>1761</v>
      </c>
      <c r="F1056" s="159" t="s">
        <v>848</v>
      </c>
      <c r="G1056" s="159" t="s">
        <v>309</v>
      </c>
      <c r="H1056" s="159" t="s">
        <v>413</v>
      </c>
      <c r="I1056" s="159" t="s">
        <v>875</v>
      </c>
      <c r="J1056" s="159" t="s">
        <v>876</v>
      </c>
      <c r="K1056" s="159" t="s">
        <v>1849</v>
      </c>
      <c r="L1056" s="39" t="s">
        <v>879</v>
      </c>
      <c r="M1056" s="39" t="s">
        <v>880</v>
      </c>
      <c r="N1056" s="39">
        <v>11</v>
      </c>
      <c r="O1056" s="39">
        <v>0</v>
      </c>
      <c r="P1056" s="39">
        <v>0</v>
      </c>
      <c r="Q1056" s="39" t="s">
        <v>1932</v>
      </c>
      <c r="R1056" s="16" t="s">
        <v>874</v>
      </c>
      <c r="S1056" s="160">
        <v>0</v>
      </c>
      <c r="T1056" s="160">
        <v>0</v>
      </c>
      <c r="U1056" s="160">
        <v>0</v>
      </c>
      <c r="V1056" s="160">
        <v>0</v>
      </c>
      <c r="W1056" s="160">
        <v>0</v>
      </c>
      <c r="X1056" s="161">
        <v>0</v>
      </c>
      <c r="Y1056" s="160"/>
      <c r="Z1056" s="16">
        <v>0</v>
      </c>
      <c r="AA1056" s="162">
        <v>0</v>
      </c>
      <c r="AB1056" s="162">
        <v>0</v>
      </c>
      <c r="AC1056" s="162">
        <v>0</v>
      </c>
      <c r="AD1056" s="160"/>
      <c r="AE1056" s="145">
        <v>0</v>
      </c>
      <c r="AF1056" s="163">
        <v>1.0469999999999999</v>
      </c>
      <c r="AG1056" s="164">
        <v>1.046</v>
      </c>
      <c r="AH1056" s="164">
        <v>1.046</v>
      </c>
      <c r="AI1056" s="164">
        <v>0</v>
      </c>
      <c r="AJ1056" s="164">
        <f t="shared" si="152"/>
        <v>0</v>
      </c>
      <c r="AK1056" s="165">
        <v>0</v>
      </c>
      <c r="AL1056" s="165">
        <v>0</v>
      </c>
      <c r="AM1056" s="165">
        <f t="shared" si="156"/>
        <v>0</v>
      </c>
      <c r="AN1056" s="165">
        <f t="shared" si="157"/>
        <v>0</v>
      </c>
      <c r="AO1056" s="16"/>
      <c r="AP1056" s="231">
        <f t="shared" si="153"/>
        <v>0</v>
      </c>
      <c r="AR1056" s="231"/>
      <c r="AS1056" s="231"/>
      <c r="AU1056" s="230">
        <v>0</v>
      </c>
      <c r="AV1056" s="233">
        <v>0</v>
      </c>
      <c r="AW1056" s="230">
        <f t="shared" si="151"/>
        <v>0</v>
      </c>
    </row>
    <row r="1057" spans="1:49" hidden="1" x14ac:dyDescent="0.3">
      <c r="A1057" s="16" t="s">
        <v>1934</v>
      </c>
      <c r="B1057" s="39" t="s">
        <v>1933</v>
      </c>
      <c r="C1057" s="39" t="s">
        <v>82</v>
      </c>
      <c r="D1057" s="340" t="s">
        <v>3484</v>
      </c>
      <c r="E1057" s="159" t="s">
        <v>1761</v>
      </c>
      <c r="F1057" s="159" t="s">
        <v>848</v>
      </c>
      <c r="G1057" s="159" t="s">
        <v>309</v>
      </c>
      <c r="H1057" s="159" t="s">
        <v>334</v>
      </c>
      <c r="I1057" s="159" t="s">
        <v>885</v>
      </c>
      <c r="J1057" s="159" t="s">
        <v>387</v>
      </c>
      <c r="K1057" s="159" t="s">
        <v>1849</v>
      </c>
      <c r="L1057" s="39" t="s">
        <v>304</v>
      </c>
      <c r="M1057" s="39" t="s">
        <v>305</v>
      </c>
      <c r="N1057" s="39">
        <v>11</v>
      </c>
      <c r="O1057" s="39" t="s">
        <v>82</v>
      </c>
      <c r="P1057" s="39" t="s">
        <v>884</v>
      </c>
      <c r="Q1057" s="39" t="s">
        <v>1933</v>
      </c>
      <c r="R1057" s="16" t="s">
        <v>1934</v>
      </c>
      <c r="S1057" s="160">
        <v>0</v>
      </c>
      <c r="T1057" s="160">
        <v>0</v>
      </c>
      <c r="U1057" s="160">
        <v>0</v>
      </c>
      <c r="V1057" s="160">
        <v>0</v>
      </c>
      <c r="W1057" s="160">
        <v>0</v>
      </c>
      <c r="X1057" s="161">
        <v>0</v>
      </c>
      <c r="Y1057" s="160"/>
      <c r="Z1057" s="16">
        <v>0</v>
      </c>
      <c r="AA1057" s="162">
        <v>0</v>
      </c>
      <c r="AB1057" s="162">
        <v>0</v>
      </c>
      <c r="AC1057" s="162">
        <v>0</v>
      </c>
      <c r="AD1057" s="160"/>
      <c r="AE1057" s="145">
        <v>0</v>
      </c>
      <c r="AF1057" s="163">
        <v>1.0469999999999999</v>
      </c>
      <c r="AG1057" s="164">
        <v>1.046</v>
      </c>
      <c r="AH1057" s="164">
        <v>1.046</v>
      </c>
      <c r="AI1057" s="164">
        <v>0</v>
      </c>
      <c r="AJ1057" s="164">
        <f t="shared" si="152"/>
        <v>0</v>
      </c>
      <c r="AK1057" s="165">
        <v>0</v>
      </c>
      <c r="AL1057" s="165">
        <v>0</v>
      </c>
      <c r="AM1057" s="165">
        <f t="shared" si="156"/>
        <v>0</v>
      </c>
      <c r="AN1057" s="165">
        <f t="shared" si="157"/>
        <v>0</v>
      </c>
      <c r="AO1057" s="16"/>
      <c r="AP1057" s="231">
        <f t="shared" si="153"/>
        <v>0</v>
      </c>
      <c r="AR1057" s="231"/>
      <c r="AS1057" s="231"/>
      <c r="AU1057" s="230">
        <v>0</v>
      </c>
      <c r="AV1057" s="233">
        <v>0</v>
      </c>
      <c r="AW1057" s="230">
        <f t="shared" si="151"/>
        <v>0</v>
      </c>
    </row>
    <row r="1058" spans="1:49" hidden="1" x14ac:dyDescent="0.3">
      <c r="A1058" s="16" t="s">
        <v>1936</v>
      </c>
      <c r="B1058" s="39" t="s">
        <v>1935</v>
      </c>
      <c r="C1058" s="39" t="s">
        <v>82</v>
      </c>
      <c r="D1058" s="340" t="s">
        <v>3484</v>
      </c>
      <c r="E1058" s="159" t="s">
        <v>1761</v>
      </c>
      <c r="F1058" s="159" t="s">
        <v>848</v>
      </c>
      <c r="G1058" s="159" t="s">
        <v>309</v>
      </c>
      <c r="H1058" s="159" t="s">
        <v>334</v>
      </c>
      <c r="I1058" s="159" t="s">
        <v>1206</v>
      </c>
      <c r="J1058" s="159" t="s">
        <v>312</v>
      </c>
      <c r="K1058" s="159" t="s">
        <v>1849</v>
      </c>
      <c r="L1058" s="39" t="s">
        <v>304</v>
      </c>
      <c r="M1058" s="39" t="s">
        <v>305</v>
      </c>
      <c r="N1058" s="39">
        <v>11</v>
      </c>
      <c r="O1058" s="39" t="s">
        <v>82</v>
      </c>
      <c r="P1058" s="39" t="s">
        <v>1937</v>
      </c>
      <c r="Q1058" s="39" t="s">
        <v>1935</v>
      </c>
      <c r="R1058" s="16" t="s">
        <v>1936</v>
      </c>
      <c r="S1058" s="160">
        <v>0</v>
      </c>
      <c r="T1058" s="160">
        <v>0</v>
      </c>
      <c r="U1058" s="160">
        <v>0</v>
      </c>
      <c r="V1058" s="160">
        <v>0</v>
      </c>
      <c r="W1058" s="160">
        <v>0</v>
      </c>
      <c r="X1058" s="161">
        <v>0</v>
      </c>
      <c r="Y1058" s="160"/>
      <c r="Z1058" s="16">
        <v>0</v>
      </c>
      <c r="AA1058" s="162">
        <v>0</v>
      </c>
      <c r="AB1058" s="162">
        <v>0</v>
      </c>
      <c r="AC1058" s="162">
        <v>0</v>
      </c>
      <c r="AD1058" s="160"/>
      <c r="AE1058" s="145">
        <v>0</v>
      </c>
      <c r="AF1058" s="163">
        <v>1.0469999999999999</v>
      </c>
      <c r="AG1058" s="164">
        <v>1.046</v>
      </c>
      <c r="AH1058" s="164">
        <v>1.046</v>
      </c>
      <c r="AI1058" s="164">
        <v>0</v>
      </c>
      <c r="AJ1058" s="164">
        <f t="shared" si="152"/>
        <v>0</v>
      </c>
      <c r="AK1058" s="165">
        <v>0</v>
      </c>
      <c r="AL1058" s="165">
        <v>0</v>
      </c>
      <c r="AM1058" s="165">
        <f t="shared" si="156"/>
        <v>0</v>
      </c>
      <c r="AN1058" s="165">
        <f t="shared" si="157"/>
        <v>0</v>
      </c>
      <c r="AO1058" s="16"/>
      <c r="AP1058" s="231">
        <f t="shared" si="153"/>
        <v>0</v>
      </c>
      <c r="AR1058" s="231"/>
      <c r="AS1058" s="231"/>
      <c r="AU1058" s="230">
        <v>0</v>
      </c>
      <c r="AV1058" s="233">
        <v>0</v>
      </c>
      <c r="AW1058" s="230">
        <f t="shared" si="151"/>
        <v>0</v>
      </c>
    </row>
    <row r="1059" spans="1:49" hidden="1" x14ac:dyDescent="0.3">
      <c r="A1059" s="16" t="s">
        <v>1939</v>
      </c>
      <c r="B1059" s="39" t="s">
        <v>1938</v>
      </c>
      <c r="C1059" s="39" t="s">
        <v>82</v>
      </c>
      <c r="D1059" s="340" t="s">
        <v>3484</v>
      </c>
      <c r="E1059" s="159" t="s">
        <v>1761</v>
      </c>
      <c r="F1059" s="159" t="s">
        <v>848</v>
      </c>
      <c r="G1059" s="159" t="s">
        <v>309</v>
      </c>
      <c r="H1059" s="159" t="s">
        <v>334</v>
      </c>
      <c r="I1059" s="159" t="s">
        <v>414</v>
      </c>
      <c r="J1059" s="159" t="s">
        <v>582</v>
      </c>
      <c r="K1059" s="159" t="s">
        <v>1849</v>
      </c>
      <c r="L1059" s="39" t="s">
        <v>304</v>
      </c>
      <c r="M1059" s="39" t="s">
        <v>305</v>
      </c>
      <c r="N1059" s="39">
        <v>11</v>
      </c>
      <c r="O1059" s="39" t="s">
        <v>82</v>
      </c>
      <c r="P1059" s="39" t="s">
        <v>836</v>
      </c>
      <c r="Q1059" s="39" t="s">
        <v>1938</v>
      </c>
      <c r="R1059" s="16" t="s">
        <v>1939</v>
      </c>
      <c r="S1059" s="160">
        <v>0</v>
      </c>
      <c r="T1059" s="160">
        <v>0</v>
      </c>
      <c r="U1059" s="160">
        <v>0</v>
      </c>
      <c r="V1059" s="160">
        <v>0</v>
      </c>
      <c r="W1059" s="160">
        <v>0</v>
      </c>
      <c r="X1059" s="161">
        <v>0</v>
      </c>
      <c r="Y1059" s="160"/>
      <c r="Z1059" s="16">
        <v>0</v>
      </c>
      <c r="AA1059" s="162">
        <v>0</v>
      </c>
      <c r="AB1059" s="162">
        <v>0</v>
      </c>
      <c r="AC1059" s="162">
        <v>0</v>
      </c>
      <c r="AD1059" s="160"/>
      <c r="AE1059" s="145">
        <v>0</v>
      </c>
      <c r="AF1059" s="163">
        <v>1.0469999999999999</v>
      </c>
      <c r="AG1059" s="164">
        <v>1.046</v>
      </c>
      <c r="AH1059" s="164">
        <v>1.046</v>
      </c>
      <c r="AI1059" s="164">
        <v>0</v>
      </c>
      <c r="AJ1059" s="164">
        <f t="shared" si="152"/>
        <v>0</v>
      </c>
      <c r="AK1059" s="165">
        <v>0</v>
      </c>
      <c r="AL1059" s="165">
        <v>0</v>
      </c>
      <c r="AM1059" s="165">
        <f t="shared" si="156"/>
        <v>0</v>
      </c>
      <c r="AN1059" s="165">
        <f t="shared" si="157"/>
        <v>0</v>
      </c>
      <c r="AO1059" s="16"/>
      <c r="AP1059" s="231">
        <f t="shared" si="153"/>
        <v>0</v>
      </c>
      <c r="AR1059" s="231"/>
      <c r="AS1059" s="231"/>
      <c r="AU1059" s="230">
        <v>0</v>
      </c>
      <c r="AV1059" s="233">
        <v>0</v>
      </c>
      <c r="AW1059" s="230">
        <f t="shared" si="151"/>
        <v>0</v>
      </c>
    </row>
    <row r="1060" spans="1:49" hidden="1" x14ac:dyDescent="0.3">
      <c r="A1060" s="16" t="s">
        <v>341</v>
      </c>
      <c r="B1060" s="39" t="s">
        <v>1940</v>
      </c>
      <c r="C1060" s="39" t="s">
        <v>82</v>
      </c>
      <c r="D1060" s="340" t="s">
        <v>3484</v>
      </c>
      <c r="E1060" s="159" t="s">
        <v>1761</v>
      </c>
      <c r="F1060" s="159" t="s">
        <v>848</v>
      </c>
      <c r="G1060" s="159" t="s">
        <v>309</v>
      </c>
      <c r="H1060" s="159" t="s">
        <v>334</v>
      </c>
      <c r="I1060" s="159" t="s">
        <v>343</v>
      </c>
      <c r="J1060" s="159" t="s">
        <v>312</v>
      </c>
      <c r="K1060" s="159" t="s">
        <v>1849</v>
      </c>
      <c r="L1060" s="39" t="s">
        <v>304</v>
      </c>
      <c r="M1060" s="39" t="s">
        <v>305</v>
      </c>
      <c r="N1060" s="39">
        <v>11</v>
      </c>
      <c r="O1060" s="39" t="s">
        <v>82</v>
      </c>
      <c r="P1060" s="39" t="s">
        <v>342</v>
      </c>
      <c r="Q1060" s="39" t="s">
        <v>1940</v>
      </c>
      <c r="R1060" s="16" t="s">
        <v>341</v>
      </c>
      <c r="S1060" s="160">
        <v>0</v>
      </c>
      <c r="T1060" s="160">
        <v>3265.97</v>
      </c>
      <c r="U1060" s="160">
        <v>0</v>
      </c>
      <c r="V1060" s="160">
        <v>13779.14</v>
      </c>
      <c r="W1060" s="160">
        <v>-13779.14</v>
      </c>
      <c r="X1060" s="161">
        <v>0</v>
      </c>
      <c r="Y1060" s="160"/>
      <c r="Z1060" s="16">
        <v>0</v>
      </c>
      <c r="AA1060" s="162">
        <v>13779.14</v>
      </c>
      <c r="AB1060" s="162">
        <v>3444.7849999999999</v>
      </c>
      <c r="AC1060" s="162">
        <v>41337.42</v>
      </c>
      <c r="AD1060" s="160"/>
      <c r="AE1060" s="145">
        <v>0</v>
      </c>
      <c r="AF1060" s="163">
        <v>1.0469999999999999</v>
      </c>
      <c r="AG1060" s="164">
        <v>1.046</v>
      </c>
      <c r="AH1060" s="164">
        <v>1.046</v>
      </c>
      <c r="AI1060" s="164">
        <v>0</v>
      </c>
      <c r="AJ1060" s="164">
        <f t="shared" si="152"/>
        <v>0</v>
      </c>
      <c r="AK1060" s="165">
        <v>0</v>
      </c>
      <c r="AL1060" s="165">
        <v>0</v>
      </c>
      <c r="AM1060" s="165">
        <f t="shared" si="156"/>
        <v>0</v>
      </c>
      <c r="AN1060" s="165">
        <f t="shared" si="157"/>
        <v>0</v>
      </c>
      <c r="AO1060" s="16"/>
      <c r="AP1060" s="231">
        <f t="shared" si="153"/>
        <v>0</v>
      </c>
      <c r="AR1060" s="231"/>
      <c r="AS1060" s="231"/>
      <c r="AU1060" s="230">
        <v>0</v>
      </c>
      <c r="AV1060" s="233">
        <v>0</v>
      </c>
      <c r="AW1060" s="230">
        <f t="shared" si="151"/>
        <v>0</v>
      </c>
    </row>
    <row r="1061" spans="1:49" hidden="1" x14ac:dyDescent="0.3">
      <c r="A1061" s="16" t="s">
        <v>527</v>
      </c>
      <c r="B1061" s="39" t="s">
        <v>1941</v>
      </c>
      <c r="C1061" s="39" t="s">
        <v>82</v>
      </c>
      <c r="D1061" s="340" t="s">
        <v>3484</v>
      </c>
      <c r="E1061" s="159" t="s">
        <v>1761</v>
      </c>
      <c r="F1061" s="159" t="s">
        <v>848</v>
      </c>
      <c r="G1061" s="159" t="s">
        <v>309</v>
      </c>
      <c r="H1061" s="159" t="s">
        <v>334</v>
      </c>
      <c r="I1061" s="159" t="s">
        <v>529</v>
      </c>
      <c r="J1061" s="159" t="s">
        <v>312</v>
      </c>
      <c r="K1061" s="159" t="s">
        <v>1849</v>
      </c>
      <c r="L1061" s="39" t="s">
        <v>304</v>
      </c>
      <c r="M1061" s="39" t="s">
        <v>305</v>
      </c>
      <c r="N1061" s="39">
        <v>11</v>
      </c>
      <c r="O1061" s="39" t="s">
        <v>82</v>
      </c>
      <c r="P1061" s="39" t="s">
        <v>585</v>
      </c>
      <c r="Q1061" s="39" t="s">
        <v>1941</v>
      </c>
      <c r="R1061" s="16" t="s">
        <v>527</v>
      </c>
      <c r="S1061" s="160">
        <v>302000</v>
      </c>
      <c r="T1061" s="160">
        <v>0</v>
      </c>
      <c r="U1061" s="160">
        <v>0</v>
      </c>
      <c r="V1061" s="160">
        <v>16250.4</v>
      </c>
      <c r="W1061" s="160">
        <v>285749.59999999998</v>
      </c>
      <c r="X1061" s="161">
        <v>0</v>
      </c>
      <c r="Y1061" s="160"/>
      <c r="Z1061" s="16">
        <v>5.38</v>
      </c>
      <c r="AA1061" s="162">
        <v>16250.4</v>
      </c>
      <c r="AB1061" s="162">
        <v>4062.6</v>
      </c>
      <c r="AC1061" s="162">
        <v>48751.199999999997</v>
      </c>
      <c r="AD1061" s="160"/>
      <c r="AE1061" s="145">
        <v>302000</v>
      </c>
      <c r="AF1061" s="163">
        <v>1.0469999999999999</v>
      </c>
      <c r="AG1061" s="164">
        <v>1.046</v>
      </c>
      <c r="AH1061" s="164">
        <v>1.046</v>
      </c>
      <c r="AI1061" s="164">
        <v>302000</v>
      </c>
      <c r="AJ1061" s="164">
        <f t="shared" si="152"/>
        <v>0</v>
      </c>
      <c r="AK1061" s="165">
        <v>302000</v>
      </c>
      <c r="AL1061" s="165">
        <f t="shared" ref="AL1061:AL1062" si="158">AK1061</f>
        <v>302000</v>
      </c>
      <c r="AM1061" s="165">
        <f t="shared" si="156"/>
        <v>315892</v>
      </c>
      <c r="AN1061" s="165">
        <f t="shared" si="157"/>
        <v>330423.03200000001</v>
      </c>
      <c r="AO1061" s="16"/>
      <c r="AP1061" s="231">
        <f t="shared" si="153"/>
        <v>0</v>
      </c>
      <c r="AR1061" s="231"/>
      <c r="AS1061" s="231"/>
      <c r="AU1061" s="230">
        <v>302000</v>
      </c>
      <c r="AV1061" s="233">
        <v>302000</v>
      </c>
      <c r="AW1061" s="230">
        <f t="shared" si="151"/>
        <v>0</v>
      </c>
    </row>
    <row r="1062" spans="1:49" hidden="1" x14ac:dyDescent="0.3">
      <c r="A1062" s="16" t="s">
        <v>83</v>
      </c>
      <c r="B1062" s="39" t="s">
        <v>1942</v>
      </c>
      <c r="C1062" s="39" t="s">
        <v>423</v>
      </c>
      <c r="D1062" s="340" t="s">
        <v>3484</v>
      </c>
      <c r="E1062" s="159" t="s">
        <v>1761</v>
      </c>
      <c r="F1062" s="159" t="s">
        <v>848</v>
      </c>
      <c r="G1062" s="159" t="s">
        <v>309</v>
      </c>
      <c r="H1062" s="159" t="s">
        <v>424</v>
      </c>
      <c r="I1062" s="159" t="s">
        <v>425</v>
      </c>
      <c r="J1062" s="159" t="s">
        <v>426</v>
      </c>
      <c r="K1062" s="159" t="s">
        <v>1849</v>
      </c>
      <c r="L1062" s="39" t="s">
        <v>304</v>
      </c>
      <c r="M1062" s="39" t="s">
        <v>305</v>
      </c>
      <c r="N1062" s="39">
        <v>11</v>
      </c>
      <c r="O1062" s="39" t="s">
        <v>423</v>
      </c>
      <c r="P1062" s="39" t="s">
        <v>423</v>
      </c>
      <c r="Q1062" s="39" t="s">
        <v>1942</v>
      </c>
      <c r="R1062" s="16" t="s">
        <v>83</v>
      </c>
      <c r="S1062" s="160">
        <v>120000</v>
      </c>
      <c r="T1062" s="160">
        <v>2424.6999999999998</v>
      </c>
      <c r="U1062" s="160">
        <v>1425.45</v>
      </c>
      <c r="V1062" s="160">
        <v>14542.3</v>
      </c>
      <c r="W1062" s="160">
        <v>105457.7</v>
      </c>
      <c r="X1062" s="161">
        <v>1425.45</v>
      </c>
      <c r="Y1062" s="160"/>
      <c r="Z1062" s="16">
        <v>12.11</v>
      </c>
      <c r="AA1062" s="162">
        <v>15967.75</v>
      </c>
      <c r="AB1062" s="162">
        <v>3991.9375</v>
      </c>
      <c r="AC1062" s="162">
        <v>47903.25</v>
      </c>
      <c r="AD1062" s="160"/>
      <c r="AE1062" s="145">
        <v>120000</v>
      </c>
      <c r="AF1062" s="163">
        <v>1.0469999999999999</v>
      </c>
      <c r="AG1062" s="164">
        <v>1.046</v>
      </c>
      <c r="AH1062" s="164">
        <v>1.046</v>
      </c>
      <c r="AI1062" s="164">
        <v>120000</v>
      </c>
      <c r="AJ1062" s="164">
        <f t="shared" si="152"/>
        <v>0</v>
      </c>
      <c r="AK1062" s="165">
        <v>120000</v>
      </c>
      <c r="AL1062" s="165">
        <f t="shared" si="158"/>
        <v>120000</v>
      </c>
      <c r="AM1062" s="165">
        <f t="shared" si="156"/>
        <v>125520</v>
      </c>
      <c r="AN1062" s="165">
        <f t="shared" si="157"/>
        <v>131293.92000000001</v>
      </c>
      <c r="AO1062" s="16"/>
      <c r="AP1062" s="231">
        <f t="shared" si="153"/>
        <v>0</v>
      </c>
      <c r="AR1062" s="231"/>
      <c r="AS1062" s="231"/>
      <c r="AU1062" s="230">
        <v>120000</v>
      </c>
      <c r="AV1062" s="233">
        <v>120000</v>
      </c>
      <c r="AW1062" s="230">
        <f t="shared" si="151"/>
        <v>0</v>
      </c>
    </row>
    <row r="1063" spans="1:49" hidden="1" x14ac:dyDescent="0.3">
      <c r="A1063" s="16" t="s">
        <v>83</v>
      </c>
      <c r="B1063" s="39" t="s">
        <v>1943</v>
      </c>
      <c r="C1063" s="39" t="s">
        <v>423</v>
      </c>
      <c r="D1063" s="340" t="s">
        <v>3484</v>
      </c>
      <c r="E1063" s="159" t="s">
        <v>1761</v>
      </c>
      <c r="F1063" s="159" t="s">
        <v>848</v>
      </c>
      <c r="G1063" s="159" t="s">
        <v>309</v>
      </c>
      <c r="H1063" s="159" t="s">
        <v>424</v>
      </c>
      <c r="I1063" s="159" t="s">
        <v>425</v>
      </c>
      <c r="J1063" s="159" t="s">
        <v>1278</v>
      </c>
      <c r="K1063" s="159" t="s">
        <v>1849</v>
      </c>
      <c r="L1063" s="39" t="s">
        <v>304</v>
      </c>
      <c r="M1063" s="39" t="s">
        <v>305</v>
      </c>
      <c r="N1063" s="39">
        <v>11</v>
      </c>
      <c r="O1063" s="39" t="s">
        <v>423</v>
      </c>
      <c r="P1063" s="39" t="s">
        <v>423</v>
      </c>
      <c r="Q1063" s="39" t="s">
        <v>1943</v>
      </c>
      <c r="R1063" s="16" t="s">
        <v>83</v>
      </c>
      <c r="S1063" s="160">
        <v>0</v>
      </c>
      <c r="T1063" s="160">
        <v>0</v>
      </c>
      <c r="U1063" s="160">
        <v>0</v>
      </c>
      <c r="V1063" s="160">
        <v>0</v>
      </c>
      <c r="W1063" s="160">
        <v>0</v>
      </c>
      <c r="X1063" s="161">
        <v>0</v>
      </c>
      <c r="Y1063" s="160"/>
      <c r="Z1063" s="16">
        <v>0</v>
      </c>
      <c r="AA1063" s="162">
        <v>0</v>
      </c>
      <c r="AB1063" s="162">
        <v>0</v>
      </c>
      <c r="AC1063" s="162">
        <v>0</v>
      </c>
      <c r="AD1063" s="160"/>
      <c r="AE1063" s="145">
        <v>0</v>
      </c>
      <c r="AF1063" s="163">
        <v>1.0469999999999999</v>
      </c>
      <c r="AG1063" s="164">
        <v>1.046</v>
      </c>
      <c r="AH1063" s="164">
        <v>1.046</v>
      </c>
      <c r="AI1063" s="164">
        <v>0</v>
      </c>
      <c r="AJ1063" s="164">
        <f t="shared" si="152"/>
        <v>0</v>
      </c>
      <c r="AK1063" s="165">
        <v>0</v>
      </c>
      <c r="AL1063" s="165">
        <v>0</v>
      </c>
      <c r="AM1063" s="165">
        <f t="shared" si="156"/>
        <v>0</v>
      </c>
      <c r="AN1063" s="165">
        <f t="shared" si="157"/>
        <v>0</v>
      </c>
      <c r="AO1063" s="16"/>
      <c r="AP1063" s="231">
        <f t="shared" si="153"/>
        <v>0</v>
      </c>
      <c r="AR1063" s="231"/>
      <c r="AS1063" s="231"/>
      <c r="AU1063" s="230">
        <v>0</v>
      </c>
      <c r="AV1063" s="233">
        <v>0</v>
      </c>
      <c r="AW1063" s="230">
        <f t="shared" si="151"/>
        <v>0</v>
      </c>
    </row>
    <row r="1064" spans="1:49" hidden="1" x14ac:dyDescent="0.3">
      <c r="A1064" s="16" t="s">
        <v>897</v>
      </c>
      <c r="B1064" s="39" t="s">
        <v>1944</v>
      </c>
      <c r="C1064" s="39" t="s">
        <v>423</v>
      </c>
      <c r="D1064" s="340" t="s">
        <v>3484</v>
      </c>
      <c r="E1064" s="159" t="s">
        <v>1761</v>
      </c>
      <c r="F1064" s="159" t="s">
        <v>848</v>
      </c>
      <c r="G1064" s="159" t="s">
        <v>309</v>
      </c>
      <c r="H1064" s="159" t="s">
        <v>424</v>
      </c>
      <c r="I1064" s="159" t="s">
        <v>425</v>
      </c>
      <c r="J1064" s="159" t="s">
        <v>1280</v>
      </c>
      <c r="K1064" s="159" t="s">
        <v>1849</v>
      </c>
      <c r="L1064" s="39" t="s">
        <v>304</v>
      </c>
      <c r="M1064" s="39" t="s">
        <v>305</v>
      </c>
      <c r="N1064" s="39">
        <v>11</v>
      </c>
      <c r="O1064" s="39" t="s">
        <v>423</v>
      </c>
      <c r="P1064" s="39" t="s">
        <v>423</v>
      </c>
      <c r="Q1064" s="39" t="s">
        <v>1944</v>
      </c>
      <c r="R1064" s="16" t="s">
        <v>897</v>
      </c>
      <c r="S1064" s="160">
        <v>241905</v>
      </c>
      <c r="T1064" s="160">
        <v>0</v>
      </c>
      <c r="U1064" s="160">
        <v>0</v>
      </c>
      <c r="V1064" s="160">
        <v>0</v>
      </c>
      <c r="W1064" s="160">
        <v>241905</v>
      </c>
      <c r="X1064" s="161">
        <v>0</v>
      </c>
      <c r="Y1064" s="160"/>
      <c r="Z1064" s="16">
        <v>0</v>
      </c>
      <c r="AA1064" s="162">
        <v>0</v>
      </c>
      <c r="AB1064" s="162">
        <v>0</v>
      </c>
      <c r="AC1064" s="162">
        <v>0</v>
      </c>
      <c r="AD1064" s="160"/>
      <c r="AE1064" s="145">
        <v>241905</v>
      </c>
      <c r="AF1064" s="163">
        <v>1.0469999999999999</v>
      </c>
      <c r="AG1064" s="164">
        <v>1.046</v>
      </c>
      <c r="AH1064" s="164">
        <v>1.046</v>
      </c>
      <c r="AI1064" s="164">
        <v>241905</v>
      </c>
      <c r="AJ1064" s="164">
        <f t="shared" si="152"/>
        <v>0</v>
      </c>
      <c r="AK1064" s="165">
        <v>241905</v>
      </c>
      <c r="AL1064" s="165">
        <f t="shared" ref="AL1064:AL1066" si="159">AK1064</f>
        <v>241905</v>
      </c>
      <c r="AM1064" s="165">
        <f t="shared" si="156"/>
        <v>253032.63</v>
      </c>
      <c r="AN1064" s="165">
        <f t="shared" si="157"/>
        <v>264672.13098000002</v>
      </c>
      <c r="AO1064" s="16"/>
      <c r="AP1064" s="231">
        <f t="shared" si="153"/>
        <v>0</v>
      </c>
      <c r="AR1064" s="231"/>
      <c r="AS1064" s="231"/>
      <c r="AU1064" s="230">
        <v>241905</v>
      </c>
      <c r="AV1064" s="233">
        <v>241905</v>
      </c>
      <c r="AW1064" s="230">
        <f t="shared" si="151"/>
        <v>0</v>
      </c>
    </row>
    <row r="1065" spans="1:49" hidden="1" x14ac:dyDescent="0.3">
      <c r="A1065" s="16" t="s">
        <v>537</v>
      </c>
      <c r="B1065" s="39" t="s">
        <v>1945</v>
      </c>
      <c r="C1065" s="39" t="s">
        <v>423</v>
      </c>
      <c r="D1065" s="340" t="s">
        <v>3484</v>
      </c>
      <c r="E1065" s="159" t="s">
        <v>1761</v>
      </c>
      <c r="F1065" s="159" t="s">
        <v>848</v>
      </c>
      <c r="G1065" s="159" t="s">
        <v>309</v>
      </c>
      <c r="H1065" s="159" t="s">
        <v>424</v>
      </c>
      <c r="I1065" s="159" t="s">
        <v>425</v>
      </c>
      <c r="J1065" s="159" t="s">
        <v>538</v>
      </c>
      <c r="K1065" s="159" t="s">
        <v>1849</v>
      </c>
      <c r="L1065" s="39" t="s">
        <v>304</v>
      </c>
      <c r="M1065" s="39" t="s">
        <v>305</v>
      </c>
      <c r="N1065" s="39">
        <v>11</v>
      </c>
      <c r="O1065" s="39" t="s">
        <v>423</v>
      </c>
      <c r="P1065" s="39" t="s">
        <v>423</v>
      </c>
      <c r="Q1065" s="39" t="s">
        <v>1945</v>
      </c>
      <c r="R1065" s="16" t="s">
        <v>537</v>
      </c>
      <c r="S1065" s="160">
        <v>405055</v>
      </c>
      <c r="T1065" s="160">
        <v>8103.6</v>
      </c>
      <c r="U1065" s="160">
        <v>0</v>
      </c>
      <c r="V1065" s="160">
        <v>89503.73</v>
      </c>
      <c r="W1065" s="160">
        <v>315551.27</v>
      </c>
      <c r="X1065" s="161">
        <v>0</v>
      </c>
      <c r="Y1065" s="160"/>
      <c r="Z1065" s="16">
        <v>22.09</v>
      </c>
      <c r="AA1065" s="162">
        <v>89503.73</v>
      </c>
      <c r="AB1065" s="162">
        <v>22375.932499999999</v>
      </c>
      <c r="AC1065" s="162">
        <v>268511.19</v>
      </c>
      <c r="AD1065" s="160"/>
      <c r="AE1065" s="145">
        <v>405055</v>
      </c>
      <c r="AF1065" s="163">
        <v>1.0469999999999999</v>
      </c>
      <c r="AG1065" s="164">
        <v>1.046</v>
      </c>
      <c r="AH1065" s="164">
        <v>1.046</v>
      </c>
      <c r="AI1065" s="164">
        <v>405055</v>
      </c>
      <c r="AJ1065" s="164">
        <f t="shared" si="152"/>
        <v>0</v>
      </c>
      <c r="AK1065" s="165">
        <v>405055</v>
      </c>
      <c r="AL1065" s="165">
        <f t="shared" si="159"/>
        <v>405055</v>
      </c>
      <c r="AM1065" s="165">
        <f t="shared" si="156"/>
        <v>423687.53</v>
      </c>
      <c r="AN1065" s="165">
        <f t="shared" si="157"/>
        <v>443177.15638000006</v>
      </c>
      <c r="AO1065" s="16"/>
      <c r="AP1065" s="231">
        <f t="shared" si="153"/>
        <v>0</v>
      </c>
      <c r="AR1065" s="231"/>
      <c r="AS1065" s="231"/>
      <c r="AU1065" s="230">
        <v>405055</v>
      </c>
      <c r="AV1065" s="233">
        <v>405055</v>
      </c>
      <c r="AW1065" s="230">
        <f t="shared" si="151"/>
        <v>0</v>
      </c>
    </row>
    <row r="1066" spans="1:49" hidden="1" x14ac:dyDescent="0.3">
      <c r="A1066" s="16" t="s">
        <v>93</v>
      </c>
      <c r="B1066" s="39" t="s">
        <v>1946</v>
      </c>
      <c r="C1066" s="39" t="s">
        <v>1947</v>
      </c>
      <c r="D1066" s="340" t="s">
        <v>3484</v>
      </c>
      <c r="E1066" s="159" t="s">
        <v>1761</v>
      </c>
      <c r="F1066" s="159" t="s">
        <v>848</v>
      </c>
      <c r="G1066" s="159" t="s">
        <v>309</v>
      </c>
      <c r="H1066" s="159" t="s">
        <v>646</v>
      </c>
      <c r="I1066" s="159" t="s">
        <v>502</v>
      </c>
      <c r="J1066" s="159" t="s">
        <v>312</v>
      </c>
      <c r="K1066" s="159" t="s">
        <v>1849</v>
      </c>
      <c r="L1066" s="39" t="s">
        <v>304</v>
      </c>
      <c r="M1066" s="39" t="s">
        <v>305</v>
      </c>
      <c r="N1066" s="39">
        <v>11</v>
      </c>
      <c r="O1066" s="39" t="s">
        <v>1947</v>
      </c>
      <c r="P1066" s="39" t="s">
        <v>1947</v>
      </c>
      <c r="Q1066" s="39" t="s">
        <v>1946</v>
      </c>
      <c r="R1066" s="16" t="s">
        <v>93</v>
      </c>
      <c r="S1066" s="223">
        <v>500000</v>
      </c>
      <c r="T1066" s="160">
        <v>0</v>
      </c>
      <c r="U1066" s="160">
        <v>0</v>
      </c>
      <c r="V1066" s="160">
        <v>0</v>
      </c>
      <c r="W1066" s="160">
        <v>500000</v>
      </c>
      <c r="X1066" s="161">
        <v>0</v>
      </c>
      <c r="Y1066" s="160"/>
      <c r="Z1066" s="16">
        <v>0</v>
      </c>
      <c r="AA1066" s="162">
        <v>0</v>
      </c>
      <c r="AB1066" s="224">
        <v>0</v>
      </c>
      <c r="AC1066" s="224">
        <v>0</v>
      </c>
      <c r="AD1066" s="223">
        <v>500000</v>
      </c>
      <c r="AE1066" s="145">
        <v>150000</v>
      </c>
      <c r="AF1066" s="163">
        <v>1.0469999999999999</v>
      </c>
      <c r="AG1066" s="164">
        <v>1.046</v>
      </c>
      <c r="AH1066" s="164">
        <v>1.046</v>
      </c>
      <c r="AI1066" s="164">
        <v>1000000</v>
      </c>
      <c r="AJ1066" s="164">
        <f t="shared" si="152"/>
        <v>-850000</v>
      </c>
      <c r="AK1066" s="165">
        <f>AE1066</f>
        <v>150000</v>
      </c>
      <c r="AL1066" s="165">
        <f t="shared" si="159"/>
        <v>150000</v>
      </c>
      <c r="AM1066" s="165">
        <f t="shared" si="156"/>
        <v>156900</v>
      </c>
      <c r="AN1066" s="165">
        <f t="shared" si="157"/>
        <v>164117.4</v>
      </c>
      <c r="AO1066" s="16"/>
      <c r="AP1066" s="231">
        <f t="shared" si="153"/>
        <v>0</v>
      </c>
      <c r="AR1066" s="231"/>
      <c r="AS1066" s="231"/>
      <c r="AU1066" s="230">
        <v>500000</v>
      </c>
      <c r="AV1066" s="233">
        <v>1000000</v>
      </c>
      <c r="AW1066" s="230">
        <f t="shared" si="151"/>
        <v>0</v>
      </c>
    </row>
    <row r="1067" spans="1:49" hidden="1" x14ac:dyDescent="0.3">
      <c r="A1067" s="16" t="s">
        <v>1950</v>
      </c>
      <c r="B1067" s="39" t="s">
        <v>1948</v>
      </c>
      <c r="C1067" s="39" t="s">
        <v>1949</v>
      </c>
      <c r="D1067" s="340" t="s">
        <v>3484</v>
      </c>
      <c r="E1067" s="159" t="s">
        <v>1761</v>
      </c>
      <c r="F1067" s="159" t="s">
        <v>848</v>
      </c>
      <c r="G1067" s="159" t="s">
        <v>309</v>
      </c>
      <c r="H1067" s="159" t="s">
        <v>646</v>
      </c>
      <c r="I1067" s="159" t="s">
        <v>1951</v>
      </c>
      <c r="J1067" s="159" t="s">
        <v>1211</v>
      </c>
      <c r="K1067" s="159" t="s">
        <v>1849</v>
      </c>
      <c r="L1067" s="39" t="s">
        <v>304</v>
      </c>
      <c r="M1067" s="39" t="s">
        <v>305</v>
      </c>
      <c r="N1067" s="39">
        <v>11</v>
      </c>
      <c r="O1067" s="39" t="s">
        <v>1949</v>
      </c>
      <c r="P1067" s="39" t="s">
        <v>1949</v>
      </c>
      <c r="Q1067" s="39" t="s">
        <v>1948</v>
      </c>
      <c r="R1067" s="16" t="s">
        <v>1950</v>
      </c>
      <c r="S1067" s="160">
        <v>0</v>
      </c>
      <c r="T1067" s="160">
        <v>0</v>
      </c>
      <c r="U1067" s="160">
        <v>0</v>
      </c>
      <c r="V1067" s="160">
        <v>0</v>
      </c>
      <c r="W1067" s="160">
        <v>0</v>
      </c>
      <c r="X1067" s="161">
        <v>0</v>
      </c>
      <c r="Y1067" s="160"/>
      <c r="Z1067" s="16">
        <v>0</v>
      </c>
      <c r="AA1067" s="162">
        <v>0</v>
      </c>
      <c r="AB1067" s="162">
        <v>0</v>
      </c>
      <c r="AC1067" s="162">
        <v>0</v>
      </c>
      <c r="AD1067" s="160"/>
      <c r="AE1067" s="145">
        <v>0</v>
      </c>
      <c r="AF1067" s="163">
        <v>1.0469999999999999</v>
      </c>
      <c r="AG1067" s="164">
        <v>1.046</v>
      </c>
      <c r="AH1067" s="164">
        <v>1.046</v>
      </c>
      <c r="AI1067" s="164">
        <v>0</v>
      </c>
      <c r="AJ1067" s="164">
        <f t="shared" si="152"/>
        <v>0</v>
      </c>
      <c r="AK1067" s="165">
        <v>0</v>
      </c>
      <c r="AL1067" s="165">
        <v>0</v>
      </c>
      <c r="AM1067" s="165">
        <f t="shared" si="156"/>
        <v>0</v>
      </c>
      <c r="AN1067" s="165">
        <f t="shared" si="157"/>
        <v>0</v>
      </c>
      <c r="AO1067" s="16"/>
      <c r="AP1067" s="231">
        <f t="shared" si="153"/>
        <v>0</v>
      </c>
      <c r="AR1067" s="231"/>
      <c r="AS1067" s="231"/>
      <c r="AU1067" s="230">
        <v>0</v>
      </c>
      <c r="AV1067" s="233">
        <v>0</v>
      </c>
      <c r="AW1067" s="230">
        <f t="shared" si="151"/>
        <v>0</v>
      </c>
    </row>
    <row r="1068" spans="1:49" hidden="1" x14ac:dyDescent="0.3">
      <c r="A1068" s="16" t="s">
        <v>499</v>
      </c>
      <c r="B1068" s="39" t="s">
        <v>1952</v>
      </c>
      <c r="C1068" s="39" t="s">
        <v>95</v>
      </c>
      <c r="D1068" s="340" t="s">
        <v>3484</v>
      </c>
      <c r="E1068" s="159" t="s">
        <v>1761</v>
      </c>
      <c r="F1068" s="159" t="s">
        <v>848</v>
      </c>
      <c r="G1068" s="159" t="s">
        <v>309</v>
      </c>
      <c r="H1068" s="159" t="s">
        <v>501</v>
      </c>
      <c r="I1068" s="159" t="s">
        <v>502</v>
      </c>
      <c r="J1068" s="159" t="s">
        <v>312</v>
      </c>
      <c r="K1068" s="159" t="s">
        <v>1849</v>
      </c>
      <c r="L1068" s="39" t="s">
        <v>304</v>
      </c>
      <c r="M1068" s="39" t="s">
        <v>305</v>
      </c>
      <c r="N1068" s="39">
        <v>11</v>
      </c>
      <c r="O1068" s="39" t="s">
        <v>95</v>
      </c>
      <c r="P1068" s="39" t="s">
        <v>95</v>
      </c>
      <c r="Q1068" s="39" t="s">
        <v>1952</v>
      </c>
      <c r="R1068" s="16" t="s">
        <v>499</v>
      </c>
      <c r="S1068" s="160">
        <v>0</v>
      </c>
      <c r="T1068" s="160">
        <v>0</v>
      </c>
      <c r="U1068" s="160">
        <v>0</v>
      </c>
      <c r="V1068" s="160">
        <v>0</v>
      </c>
      <c r="W1068" s="160">
        <v>0</v>
      </c>
      <c r="X1068" s="161">
        <v>0</v>
      </c>
      <c r="Y1068" s="160"/>
      <c r="Z1068" s="16">
        <v>0</v>
      </c>
      <c r="AA1068" s="162">
        <v>0</v>
      </c>
      <c r="AB1068" s="162">
        <v>0</v>
      </c>
      <c r="AC1068" s="162">
        <v>0</v>
      </c>
      <c r="AD1068" s="160"/>
      <c r="AE1068" s="145">
        <v>0</v>
      </c>
      <c r="AF1068" s="163">
        <v>1.0469999999999999</v>
      </c>
      <c r="AG1068" s="164">
        <v>1.046</v>
      </c>
      <c r="AH1068" s="164">
        <v>1.046</v>
      </c>
      <c r="AI1068" s="164">
        <v>0</v>
      </c>
      <c r="AJ1068" s="164">
        <f t="shared" si="152"/>
        <v>0</v>
      </c>
      <c r="AK1068" s="165">
        <v>0</v>
      </c>
      <c r="AL1068" s="165">
        <v>0</v>
      </c>
      <c r="AM1068" s="165">
        <f t="shared" si="156"/>
        <v>0</v>
      </c>
      <c r="AN1068" s="165">
        <f t="shared" si="157"/>
        <v>0</v>
      </c>
      <c r="AO1068" s="16"/>
      <c r="AP1068" s="231">
        <f t="shared" si="153"/>
        <v>0</v>
      </c>
      <c r="AR1068" s="231"/>
      <c r="AS1068" s="231"/>
      <c r="AU1068" s="230">
        <v>0</v>
      </c>
      <c r="AV1068" s="233">
        <v>0</v>
      </c>
      <c r="AW1068" s="230">
        <f t="shared" si="151"/>
        <v>0</v>
      </c>
    </row>
    <row r="1069" spans="1:49" hidden="1" x14ac:dyDescent="0.3">
      <c r="A1069" s="16" t="s">
        <v>1473</v>
      </c>
      <c r="B1069" s="39" t="s">
        <v>1953</v>
      </c>
      <c r="C1069" s="39" t="s">
        <v>95</v>
      </c>
      <c r="D1069" s="340" t="s">
        <v>3484</v>
      </c>
      <c r="E1069" s="159" t="s">
        <v>1761</v>
      </c>
      <c r="F1069" s="159" t="s">
        <v>848</v>
      </c>
      <c r="G1069" s="159" t="s">
        <v>309</v>
      </c>
      <c r="H1069" s="159" t="s">
        <v>501</v>
      </c>
      <c r="I1069" s="159" t="s">
        <v>1475</v>
      </c>
      <c r="J1069" s="159" t="s">
        <v>312</v>
      </c>
      <c r="K1069" s="159" t="s">
        <v>1849</v>
      </c>
      <c r="L1069" s="39" t="s">
        <v>304</v>
      </c>
      <c r="M1069" s="39" t="s">
        <v>305</v>
      </c>
      <c r="N1069" s="39">
        <v>11</v>
      </c>
      <c r="O1069" s="39" t="s">
        <v>95</v>
      </c>
      <c r="P1069" s="39" t="s">
        <v>1474</v>
      </c>
      <c r="Q1069" s="39" t="s">
        <v>1953</v>
      </c>
      <c r="R1069" s="16" t="s">
        <v>1473</v>
      </c>
      <c r="S1069" s="160">
        <v>54401986</v>
      </c>
      <c r="T1069" s="160">
        <v>16971090.260000002</v>
      </c>
      <c r="U1069" s="160">
        <v>0</v>
      </c>
      <c r="V1069" s="160">
        <v>67823867.290000007</v>
      </c>
      <c r="W1069" s="160">
        <v>-13421881.289999999</v>
      </c>
      <c r="X1069" s="161">
        <v>0</v>
      </c>
      <c r="Y1069" s="160"/>
      <c r="Z1069" s="16">
        <v>124.67</v>
      </c>
      <c r="AA1069" s="162">
        <v>67823867.290000007</v>
      </c>
      <c r="AB1069" s="162">
        <v>16955966.822500002</v>
      </c>
      <c r="AC1069" s="162">
        <v>203471601.87</v>
      </c>
      <c r="AD1069" s="160"/>
      <c r="AE1069" s="145">
        <v>54401986</v>
      </c>
      <c r="AF1069" s="163">
        <v>1.0469999999999999</v>
      </c>
      <c r="AG1069" s="164">
        <v>1.046</v>
      </c>
      <c r="AH1069" s="164">
        <v>1.046</v>
      </c>
      <c r="AI1069" s="164">
        <v>54401986</v>
      </c>
      <c r="AJ1069" s="164">
        <f t="shared" si="152"/>
        <v>0</v>
      </c>
      <c r="AK1069" s="165">
        <v>54401986</v>
      </c>
      <c r="AL1069" s="165">
        <f t="shared" ref="AL1069" si="160">AK1069</f>
        <v>54401986</v>
      </c>
      <c r="AM1069" s="165">
        <f t="shared" si="156"/>
        <v>56904477.355999999</v>
      </c>
      <c r="AN1069" s="165">
        <f t="shared" si="157"/>
        <v>59522083.314376004</v>
      </c>
      <c r="AO1069" s="16"/>
      <c r="AP1069" s="231">
        <f t="shared" si="153"/>
        <v>0</v>
      </c>
      <c r="AR1069" s="231"/>
      <c r="AS1069" s="231"/>
      <c r="AU1069" s="230">
        <v>54401986</v>
      </c>
      <c r="AV1069" s="233">
        <v>54401986</v>
      </c>
      <c r="AW1069" s="230">
        <f t="shared" si="151"/>
        <v>0</v>
      </c>
    </row>
    <row r="1070" spans="1:49" hidden="1" x14ac:dyDescent="0.3">
      <c r="A1070" s="16" t="s">
        <v>931</v>
      </c>
      <c r="B1070" s="39" t="s">
        <v>1954</v>
      </c>
      <c r="C1070" s="39" t="s">
        <v>95</v>
      </c>
      <c r="D1070" s="340" t="s">
        <v>3484</v>
      </c>
      <c r="E1070" s="159" t="s">
        <v>1761</v>
      </c>
      <c r="F1070" s="159" t="s">
        <v>848</v>
      </c>
      <c r="G1070" s="159" t="s">
        <v>309</v>
      </c>
      <c r="H1070" s="159" t="s">
        <v>501</v>
      </c>
      <c r="I1070" s="159" t="s">
        <v>573</v>
      </c>
      <c r="J1070" s="159" t="s">
        <v>312</v>
      </c>
      <c r="K1070" s="159" t="s">
        <v>1849</v>
      </c>
      <c r="L1070" s="39" t="s">
        <v>304</v>
      </c>
      <c r="M1070" s="39" t="s">
        <v>305</v>
      </c>
      <c r="N1070" s="39">
        <v>11</v>
      </c>
      <c r="O1070" s="39" t="s">
        <v>95</v>
      </c>
      <c r="P1070" s="39" t="s">
        <v>932</v>
      </c>
      <c r="Q1070" s="39" t="s">
        <v>1954</v>
      </c>
      <c r="R1070" s="16" t="s">
        <v>931</v>
      </c>
      <c r="S1070" s="160">
        <v>0</v>
      </c>
      <c r="T1070" s="160">
        <v>0</v>
      </c>
      <c r="U1070" s="160">
        <v>0</v>
      </c>
      <c r="V1070" s="160">
        <v>0</v>
      </c>
      <c r="W1070" s="160">
        <v>0</v>
      </c>
      <c r="X1070" s="161">
        <v>0</v>
      </c>
      <c r="Y1070" s="160"/>
      <c r="Z1070" s="16">
        <v>0</v>
      </c>
      <c r="AA1070" s="162">
        <v>0</v>
      </c>
      <c r="AB1070" s="162">
        <v>0</v>
      </c>
      <c r="AC1070" s="162">
        <v>0</v>
      </c>
      <c r="AD1070" s="160"/>
      <c r="AE1070" s="145">
        <v>0</v>
      </c>
      <c r="AF1070" s="163">
        <v>1.0469999999999999</v>
      </c>
      <c r="AG1070" s="164">
        <v>1.046</v>
      </c>
      <c r="AH1070" s="164">
        <v>1.046</v>
      </c>
      <c r="AI1070" s="164">
        <v>0</v>
      </c>
      <c r="AJ1070" s="164">
        <f t="shared" si="152"/>
        <v>0</v>
      </c>
      <c r="AK1070" s="165">
        <v>0</v>
      </c>
      <c r="AL1070" s="165">
        <v>0</v>
      </c>
      <c r="AM1070" s="165">
        <f t="shared" si="156"/>
        <v>0</v>
      </c>
      <c r="AN1070" s="165">
        <f t="shared" si="157"/>
        <v>0</v>
      </c>
      <c r="AO1070" s="16"/>
      <c r="AP1070" s="231">
        <f t="shared" si="153"/>
        <v>0</v>
      </c>
      <c r="AR1070" s="231"/>
      <c r="AS1070" s="231"/>
      <c r="AU1070" s="230">
        <v>0</v>
      </c>
      <c r="AV1070" s="233">
        <v>0</v>
      </c>
      <c r="AW1070" s="230">
        <f t="shared" si="151"/>
        <v>0</v>
      </c>
    </row>
    <row r="1071" spans="1:49" hidden="1" x14ac:dyDescent="0.3">
      <c r="A1071" s="16" t="s">
        <v>1056</v>
      </c>
      <c r="B1071" s="39" t="s">
        <v>1955</v>
      </c>
      <c r="C1071" s="39" t="s">
        <v>95</v>
      </c>
      <c r="D1071" s="340" t="s">
        <v>3484</v>
      </c>
      <c r="E1071" s="159" t="s">
        <v>1761</v>
      </c>
      <c r="F1071" s="159" t="s">
        <v>848</v>
      </c>
      <c r="G1071" s="159" t="s">
        <v>309</v>
      </c>
      <c r="H1071" s="159" t="s">
        <v>501</v>
      </c>
      <c r="I1071" s="159" t="s">
        <v>1058</v>
      </c>
      <c r="J1071" s="159" t="s">
        <v>312</v>
      </c>
      <c r="K1071" s="159" t="s">
        <v>1849</v>
      </c>
      <c r="L1071" s="39" t="s">
        <v>304</v>
      </c>
      <c r="M1071" s="39" t="s">
        <v>305</v>
      </c>
      <c r="N1071" s="39">
        <v>11</v>
      </c>
      <c r="O1071" s="39" t="s">
        <v>95</v>
      </c>
      <c r="P1071" s="39" t="s">
        <v>1057</v>
      </c>
      <c r="Q1071" s="39" t="s">
        <v>1955</v>
      </c>
      <c r="R1071" s="16" t="s">
        <v>1056</v>
      </c>
      <c r="S1071" s="160">
        <v>0</v>
      </c>
      <c r="T1071" s="160">
        <v>0</v>
      </c>
      <c r="U1071" s="160">
        <v>0</v>
      </c>
      <c r="V1071" s="160">
        <v>0</v>
      </c>
      <c r="W1071" s="160">
        <v>0</v>
      </c>
      <c r="X1071" s="161">
        <v>0</v>
      </c>
      <c r="Y1071" s="160"/>
      <c r="Z1071" s="16">
        <v>0</v>
      </c>
      <c r="AA1071" s="162">
        <v>0</v>
      </c>
      <c r="AB1071" s="162">
        <v>0</v>
      </c>
      <c r="AC1071" s="162">
        <v>0</v>
      </c>
      <c r="AD1071" s="160"/>
      <c r="AE1071" s="145">
        <v>0</v>
      </c>
      <c r="AF1071" s="163">
        <v>1.0469999999999999</v>
      </c>
      <c r="AG1071" s="164">
        <v>1.046</v>
      </c>
      <c r="AH1071" s="164">
        <v>1.046</v>
      </c>
      <c r="AI1071" s="164">
        <v>0</v>
      </c>
      <c r="AJ1071" s="164">
        <f t="shared" si="152"/>
        <v>0</v>
      </c>
      <c r="AK1071" s="165">
        <v>0</v>
      </c>
      <c r="AL1071" s="165">
        <v>0</v>
      </c>
      <c r="AM1071" s="165">
        <f t="shared" si="156"/>
        <v>0</v>
      </c>
      <c r="AN1071" s="165">
        <f t="shared" si="157"/>
        <v>0</v>
      </c>
      <c r="AO1071" s="16"/>
      <c r="AP1071" s="231">
        <f t="shared" si="153"/>
        <v>0</v>
      </c>
      <c r="AR1071" s="231"/>
      <c r="AS1071" s="231"/>
      <c r="AU1071" s="230">
        <v>0</v>
      </c>
      <c r="AV1071" s="233">
        <v>0</v>
      </c>
      <c r="AW1071" s="230">
        <f t="shared" si="151"/>
        <v>0</v>
      </c>
    </row>
    <row r="1072" spans="1:49" s="250" customFormat="1" hidden="1" x14ac:dyDescent="0.3">
      <c r="A1072" s="241" t="s">
        <v>216</v>
      </c>
      <c r="B1072" s="242" t="s">
        <v>1956</v>
      </c>
      <c r="C1072" s="242" t="s">
        <v>1957</v>
      </c>
      <c r="D1072" s="340" t="s">
        <v>3484</v>
      </c>
      <c r="E1072" s="243" t="s">
        <v>1761</v>
      </c>
      <c r="F1072" s="243" t="s">
        <v>848</v>
      </c>
      <c r="G1072" s="243" t="s">
        <v>1078</v>
      </c>
      <c r="H1072" s="243" t="s">
        <v>1753</v>
      </c>
      <c r="I1072" s="243" t="s">
        <v>1080</v>
      </c>
      <c r="J1072" s="243" t="s">
        <v>312</v>
      </c>
      <c r="K1072" s="243" t="s">
        <v>1081</v>
      </c>
      <c r="L1072" s="242" t="s">
        <v>1958</v>
      </c>
      <c r="M1072" s="242" t="s">
        <v>305</v>
      </c>
      <c r="N1072" s="242">
        <v>11</v>
      </c>
      <c r="O1072" s="242" t="s">
        <v>1957</v>
      </c>
      <c r="P1072" s="242" t="s">
        <v>1957</v>
      </c>
      <c r="Q1072" s="242" t="s">
        <v>1956</v>
      </c>
      <c r="R1072" s="241" t="s">
        <v>216</v>
      </c>
      <c r="S1072" s="223">
        <v>8418850</v>
      </c>
      <c r="T1072" s="169">
        <v>142914.85</v>
      </c>
      <c r="U1072" s="169">
        <v>644111.51</v>
      </c>
      <c r="V1072" s="169">
        <v>142914.85</v>
      </c>
      <c r="W1072" s="169">
        <v>8275935.1500000004</v>
      </c>
      <c r="X1072" s="170">
        <v>792490.76</v>
      </c>
      <c r="Y1072" s="169"/>
      <c r="Z1072" s="166">
        <v>1.69</v>
      </c>
      <c r="AA1072" s="171">
        <v>787026.36</v>
      </c>
      <c r="AB1072" s="224">
        <v>196756.59</v>
      </c>
      <c r="AC1072" s="224">
        <v>2361079.08</v>
      </c>
      <c r="AD1072" s="223">
        <v>2000000</v>
      </c>
      <c r="AE1072" s="244">
        <v>5418850</v>
      </c>
      <c r="AF1072" s="220">
        <v>1.0469999999999999</v>
      </c>
      <c r="AG1072" s="221">
        <v>1.046</v>
      </c>
      <c r="AH1072" s="221">
        <v>1.046</v>
      </c>
      <c r="AI1072" s="245">
        <v>10418850</v>
      </c>
      <c r="AJ1072" s="164">
        <f t="shared" si="152"/>
        <v>-5000000</v>
      </c>
      <c r="AK1072" s="246">
        <f>AE1072</f>
        <v>5418850</v>
      </c>
      <c r="AL1072" s="246">
        <f t="shared" ref="AL1072" si="161">AK1072</f>
        <v>5418850</v>
      </c>
      <c r="AM1072" s="246">
        <f t="shared" si="156"/>
        <v>5668117.1000000006</v>
      </c>
      <c r="AN1072" s="246">
        <f t="shared" si="157"/>
        <v>5928850.4866000004</v>
      </c>
      <c r="AO1072" s="241" t="s">
        <v>2147</v>
      </c>
      <c r="AP1072" s="247">
        <f t="shared" si="153"/>
        <v>0</v>
      </c>
      <c r="AR1072" s="231"/>
      <c r="AS1072" s="231"/>
      <c r="AU1072" s="248">
        <v>8418850</v>
      </c>
      <c r="AV1072" s="249">
        <v>10418850</v>
      </c>
      <c r="AW1072" s="248">
        <f t="shared" si="151"/>
        <v>0</v>
      </c>
    </row>
    <row r="1073" spans="1:49" hidden="1" x14ac:dyDescent="0.3">
      <c r="A1073" s="16" t="s">
        <v>738</v>
      </c>
      <c r="B1073" s="39" t="s">
        <v>1959</v>
      </c>
      <c r="C1073" s="39" t="s">
        <v>110</v>
      </c>
      <c r="D1073" s="340" t="s">
        <v>3485</v>
      </c>
      <c r="E1073" s="159" t="s">
        <v>315</v>
      </c>
      <c r="F1073" s="159" t="s">
        <v>303</v>
      </c>
      <c r="G1073" s="159" t="s">
        <v>387</v>
      </c>
      <c r="H1073" s="159" t="s">
        <v>735</v>
      </c>
      <c r="I1073" s="159" t="s">
        <v>739</v>
      </c>
      <c r="J1073" s="159" t="s">
        <v>312</v>
      </c>
      <c r="K1073" s="159" t="s">
        <v>1998</v>
      </c>
      <c r="L1073" s="39" t="s">
        <v>556</v>
      </c>
      <c r="M1073" s="39" t="s">
        <v>305</v>
      </c>
      <c r="N1073" s="39">
        <v>11</v>
      </c>
      <c r="O1073" s="39" t="s">
        <v>110</v>
      </c>
      <c r="P1073" s="39" t="s">
        <v>110</v>
      </c>
      <c r="Q1073" s="39" t="s">
        <v>1959</v>
      </c>
      <c r="R1073" s="16" t="s">
        <v>738</v>
      </c>
      <c r="S1073" s="160">
        <v>0</v>
      </c>
      <c r="T1073" s="160">
        <v>0</v>
      </c>
      <c r="U1073" s="160">
        <v>0</v>
      </c>
      <c r="V1073" s="160">
        <v>0</v>
      </c>
      <c r="W1073" s="160">
        <v>0</v>
      </c>
      <c r="X1073" s="161" t="e">
        <v>#N/A</v>
      </c>
      <c r="Y1073" s="160"/>
      <c r="Z1073" s="16">
        <v>0</v>
      </c>
      <c r="AA1073" s="162">
        <v>0</v>
      </c>
      <c r="AB1073" s="162">
        <v>0</v>
      </c>
      <c r="AC1073" s="162">
        <v>0</v>
      </c>
      <c r="AD1073" s="160"/>
      <c r="AE1073" s="145">
        <v>0</v>
      </c>
      <c r="AF1073" s="163">
        <v>1.0469999999999999</v>
      </c>
      <c r="AG1073" s="164">
        <v>1.046</v>
      </c>
      <c r="AH1073" s="164">
        <v>1.046</v>
      </c>
      <c r="AI1073" s="164">
        <v>0</v>
      </c>
      <c r="AJ1073" s="164">
        <f t="shared" si="152"/>
        <v>0</v>
      </c>
      <c r="AK1073" s="165">
        <v>0</v>
      </c>
      <c r="AL1073" s="165">
        <v>0</v>
      </c>
      <c r="AM1073" s="165">
        <f t="shared" si="156"/>
        <v>0</v>
      </c>
      <c r="AN1073" s="165">
        <f t="shared" si="157"/>
        <v>0</v>
      </c>
      <c r="AO1073" s="16"/>
      <c r="AP1073" s="231">
        <f t="shared" si="153"/>
        <v>0</v>
      </c>
      <c r="AR1073" s="231"/>
      <c r="AS1073" s="231"/>
      <c r="AU1073" s="230">
        <v>0</v>
      </c>
      <c r="AV1073" s="233">
        <v>0</v>
      </c>
      <c r="AW1073" s="230">
        <f t="shared" si="151"/>
        <v>0</v>
      </c>
    </row>
    <row r="1074" spans="1:49" hidden="1" x14ac:dyDescent="0.3">
      <c r="A1074" s="16" t="s">
        <v>741</v>
      </c>
      <c r="B1074" s="39" t="s">
        <v>1960</v>
      </c>
      <c r="C1074" s="39" t="s">
        <v>110</v>
      </c>
      <c r="D1074" s="340" t="s">
        <v>3485</v>
      </c>
      <c r="E1074" s="159" t="s">
        <v>315</v>
      </c>
      <c r="F1074" s="159" t="s">
        <v>303</v>
      </c>
      <c r="G1074" s="159" t="s">
        <v>387</v>
      </c>
      <c r="H1074" s="159" t="s">
        <v>735</v>
      </c>
      <c r="I1074" s="159" t="s">
        <v>739</v>
      </c>
      <c r="J1074" s="159" t="s">
        <v>387</v>
      </c>
      <c r="K1074" s="159" t="s">
        <v>1999</v>
      </c>
      <c r="L1074" s="39" t="s">
        <v>556</v>
      </c>
      <c r="M1074" s="39" t="s">
        <v>305</v>
      </c>
      <c r="N1074" s="39">
        <v>11</v>
      </c>
      <c r="O1074" s="39" t="s">
        <v>110</v>
      </c>
      <c r="P1074" s="39" t="s">
        <v>110</v>
      </c>
      <c r="Q1074" s="39" t="s">
        <v>1960</v>
      </c>
      <c r="R1074" s="16" t="s">
        <v>741</v>
      </c>
      <c r="S1074" s="160">
        <v>0</v>
      </c>
      <c r="T1074" s="160">
        <v>0</v>
      </c>
      <c r="U1074" s="160">
        <v>0</v>
      </c>
      <c r="V1074" s="160">
        <v>0</v>
      </c>
      <c r="W1074" s="160">
        <v>0</v>
      </c>
      <c r="X1074" s="161" t="e">
        <v>#N/A</v>
      </c>
      <c r="Y1074" s="160"/>
      <c r="Z1074" s="16">
        <v>0</v>
      </c>
      <c r="AA1074" s="162">
        <v>0</v>
      </c>
      <c r="AB1074" s="162">
        <v>0</v>
      </c>
      <c r="AC1074" s="162">
        <v>0</v>
      </c>
      <c r="AD1074" s="160"/>
      <c r="AE1074" s="145">
        <v>0</v>
      </c>
      <c r="AF1074" s="163">
        <v>1.0469999999999999</v>
      </c>
      <c r="AG1074" s="164">
        <v>1.046</v>
      </c>
      <c r="AH1074" s="164">
        <v>1.046</v>
      </c>
      <c r="AI1074" s="164">
        <v>0</v>
      </c>
      <c r="AJ1074" s="164">
        <f t="shared" si="152"/>
        <v>0</v>
      </c>
      <c r="AK1074" s="165">
        <v>0</v>
      </c>
      <c r="AL1074" s="165">
        <v>0</v>
      </c>
      <c r="AM1074" s="165">
        <f t="shared" si="156"/>
        <v>0</v>
      </c>
      <c r="AN1074" s="165">
        <f t="shared" si="157"/>
        <v>0</v>
      </c>
      <c r="AO1074" s="16"/>
      <c r="AP1074" s="231">
        <f t="shared" si="153"/>
        <v>0</v>
      </c>
      <c r="AR1074" s="231"/>
      <c r="AS1074" s="231"/>
      <c r="AU1074" s="230">
        <v>0</v>
      </c>
      <c r="AV1074" s="233">
        <v>0</v>
      </c>
      <c r="AW1074" s="230">
        <f t="shared" si="151"/>
        <v>0</v>
      </c>
    </row>
    <row r="1075" spans="1:49" hidden="1" x14ac:dyDescent="0.3">
      <c r="A1075" s="16" t="s">
        <v>1962</v>
      </c>
      <c r="B1075" s="39" t="s">
        <v>1961</v>
      </c>
      <c r="C1075" s="39" t="s">
        <v>134</v>
      </c>
      <c r="D1075" s="340" t="s">
        <v>3485</v>
      </c>
      <c r="E1075" s="159" t="s">
        <v>315</v>
      </c>
      <c r="F1075" s="159" t="s">
        <v>303</v>
      </c>
      <c r="G1075" s="159" t="s">
        <v>387</v>
      </c>
      <c r="H1075" s="159" t="s">
        <v>424</v>
      </c>
      <c r="I1075" s="159" t="s">
        <v>1260</v>
      </c>
      <c r="J1075" s="159" t="s">
        <v>1306</v>
      </c>
      <c r="K1075" s="159" t="s">
        <v>1849</v>
      </c>
      <c r="L1075" s="39" t="s">
        <v>556</v>
      </c>
      <c r="M1075" s="39" t="s">
        <v>305</v>
      </c>
      <c r="N1075" s="39">
        <v>11</v>
      </c>
      <c r="O1075" s="167" t="s">
        <v>134</v>
      </c>
      <c r="P1075" s="39" t="s">
        <v>134</v>
      </c>
      <c r="Q1075" s="39" t="s">
        <v>1961</v>
      </c>
      <c r="R1075" s="16" t="s">
        <v>1962</v>
      </c>
      <c r="S1075" s="160">
        <v>0</v>
      </c>
      <c r="T1075" s="160">
        <v>0</v>
      </c>
      <c r="U1075" s="160">
        <v>0</v>
      </c>
      <c r="V1075" s="160">
        <v>0</v>
      </c>
      <c r="W1075" s="160">
        <v>0</v>
      </c>
      <c r="X1075" s="161" t="e">
        <v>#N/A</v>
      </c>
      <c r="Y1075" s="160"/>
      <c r="Z1075" s="16">
        <v>0</v>
      </c>
      <c r="AA1075" s="162">
        <v>0</v>
      </c>
      <c r="AB1075" s="162">
        <v>0</v>
      </c>
      <c r="AC1075" s="162">
        <v>0</v>
      </c>
      <c r="AD1075" s="160"/>
      <c r="AE1075" s="145">
        <v>0</v>
      </c>
      <c r="AF1075" s="163">
        <v>1.0469999999999999</v>
      </c>
      <c r="AG1075" s="164">
        <v>1.046</v>
      </c>
      <c r="AH1075" s="164">
        <v>1.046</v>
      </c>
      <c r="AI1075" s="164">
        <v>0</v>
      </c>
      <c r="AJ1075" s="164">
        <f t="shared" si="152"/>
        <v>0</v>
      </c>
      <c r="AK1075" s="165">
        <v>0</v>
      </c>
      <c r="AL1075" s="165">
        <v>0</v>
      </c>
      <c r="AM1075" s="165">
        <f t="shared" si="156"/>
        <v>0</v>
      </c>
      <c r="AN1075" s="165">
        <f t="shared" si="157"/>
        <v>0</v>
      </c>
      <c r="AO1075" s="16"/>
      <c r="AP1075" s="231">
        <f t="shared" si="153"/>
        <v>0</v>
      </c>
      <c r="AR1075" s="231"/>
      <c r="AS1075" s="231"/>
      <c r="AU1075" s="230">
        <v>0</v>
      </c>
      <c r="AV1075" s="233">
        <v>0</v>
      </c>
      <c r="AW1075" s="230">
        <f t="shared" si="151"/>
        <v>0</v>
      </c>
    </row>
    <row r="1076" spans="1:49" hidden="1" x14ac:dyDescent="0.3">
      <c r="A1076" s="16" t="s">
        <v>1964</v>
      </c>
      <c r="B1076" s="39" t="s">
        <v>1963</v>
      </c>
      <c r="C1076" s="39" t="s">
        <v>161</v>
      </c>
      <c r="D1076" s="340" t="s">
        <v>3485</v>
      </c>
      <c r="E1076" s="159" t="s">
        <v>315</v>
      </c>
      <c r="F1076" s="159" t="s">
        <v>303</v>
      </c>
      <c r="G1076" s="159" t="s">
        <v>387</v>
      </c>
      <c r="H1076" s="159" t="s">
        <v>745</v>
      </c>
      <c r="I1076" s="159" t="s">
        <v>746</v>
      </c>
      <c r="J1076" s="159" t="s">
        <v>312</v>
      </c>
      <c r="K1076" s="159" t="s">
        <v>373</v>
      </c>
      <c r="L1076" s="39" t="s">
        <v>556</v>
      </c>
      <c r="M1076" s="39" t="s">
        <v>305</v>
      </c>
      <c r="N1076" s="39">
        <v>11</v>
      </c>
      <c r="O1076" s="167" t="s">
        <v>161</v>
      </c>
      <c r="P1076" s="39" t="s">
        <v>161</v>
      </c>
      <c r="Q1076" s="39" t="s">
        <v>1963</v>
      </c>
      <c r="R1076" s="16" t="s">
        <v>1964</v>
      </c>
      <c r="S1076" s="160">
        <v>0</v>
      </c>
      <c r="T1076" s="160">
        <v>0</v>
      </c>
      <c r="U1076" s="160">
        <v>0</v>
      </c>
      <c r="V1076" s="160">
        <v>0</v>
      </c>
      <c r="W1076" s="160">
        <v>0</v>
      </c>
      <c r="X1076" s="161" t="e">
        <v>#N/A</v>
      </c>
      <c r="Y1076" s="160"/>
      <c r="Z1076" s="16">
        <v>0</v>
      </c>
      <c r="AA1076" s="162">
        <v>0</v>
      </c>
      <c r="AB1076" s="162">
        <v>0</v>
      </c>
      <c r="AC1076" s="162">
        <v>0</v>
      </c>
      <c r="AD1076" s="160"/>
      <c r="AE1076" s="145">
        <v>0</v>
      </c>
      <c r="AF1076" s="163">
        <v>1.0469999999999999</v>
      </c>
      <c r="AG1076" s="164">
        <v>1.046</v>
      </c>
      <c r="AH1076" s="164">
        <v>1.046</v>
      </c>
      <c r="AI1076" s="164">
        <v>0</v>
      </c>
      <c r="AJ1076" s="164">
        <f t="shared" si="152"/>
        <v>0</v>
      </c>
      <c r="AK1076" s="165">
        <v>0</v>
      </c>
      <c r="AL1076" s="165">
        <v>0</v>
      </c>
      <c r="AM1076" s="165">
        <f t="shared" si="156"/>
        <v>0</v>
      </c>
      <c r="AN1076" s="165">
        <f t="shared" si="157"/>
        <v>0</v>
      </c>
      <c r="AO1076" s="16"/>
      <c r="AP1076" s="231">
        <f t="shared" si="153"/>
        <v>0</v>
      </c>
      <c r="AR1076" s="231"/>
      <c r="AS1076" s="231"/>
      <c r="AU1076" s="230">
        <v>0</v>
      </c>
      <c r="AV1076" s="233">
        <v>0</v>
      </c>
      <c r="AW1076" s="230">
        <f t="shared" si="151"/>
        <v>0</v>
      </c>
    </row>
    <row r="1077" spans="1:49" hidden="1" x14ac:dyDescent="0.3">
      <c r="A1077" s="16" t="s">
        <v>749</v>
      </c>
      <c r="B1077" s="39" t="s">
        <v>1965</v>
      </c>
      <c r="C1077" s="39" t="s">
        <v>161</v>
      </c>
      <c r="D1077" s="340" t="s">
        <v>3485</v>
      </c>
      <c r="E1077" s="159" t="s">
        <v>315</v>
      </c>
      <c r="F1077" s="159" t="s">
        <v>303</v>
      </c>
      <c r="G1077" s="159" t="s">
        <v>387</v>
      </c>
      <c r="H1077" s="159" t="s">
        <v>745</v>
      </c>
      <c r="I1077" s="159" t="s">
        <v>746</v>
      </c>
      <c r="J1077" s="159" t="s">
        <v>750</v>
      </c>
      <c r="K1077" s="159" t="s">
        <v>373</v>
      </c>
      <c r="L1077" s="39" t="s">
        <v>556</v>
      </c>
      <c r="M1077" s="39" t="s">
        <v>305</v>
      </c>
      <c r="N1077" s="39">
        <v>11</v>
      </c>
      <c r="O1077" s="167" t="s">
        <v>161</v>
      </c>
      <c r="P1077" s="39" t="s">
        <v>161</v>
      </c>
      <c r="Q1077" s="39" t="s">
        <v>1965</v>
      </c>
      <c r="R1077" s="16" t="s">
        <v>749</v>
      </c>
      <c r="S1077" s="160">
        <v>0</v>
      </c>
      <c r="T1077" s="160">
        <v>0</v>
      </c>
      <c r="U1077" s="160">
        <v>0</v>
      </c>
      <c r="V1077" s="160">
        <v>0</v>
      </c>
      <c r="W1077" s="160">
        <v>0</v>
      </c>
      <c r="X1077" s="161" t="e">
        <v>#N/A</v>
      </c>
      <c r="Y1077" s="160"/>
      <c r="Z1077" s="16">
        <v>0</v>
      </c>
      <c r="AA1077" s="162">
        <v>0</v>
      </c>
      <c r="AB1077" s="162">
        <v>0</v>
      </c>
      <c r="AC1077" s="162">
        <v>0</v>
      </c>
      <c r="AD1077" s="160"/>
      <c r="AE1077" s="145">
        <v>0</v>
      </c>
      <c r="AF1077" s="163">
        <v>1.0469999999999999</v>
      </c>
      <c r="AG1077" s="164">
        <v>1.046</v>
      </c>
      <c r="AH1077" s="164">
        <v>1.046</v>
      </c>
      <c r="AI1077" s="164">
        <v>0</v>
      </c>
      <c r="AJ1077" s="164">
        <f t="shared" si="152"/>
        <v>0</v>
      </c>
      <c r="AK1077" s="165">
        <v>0</v>
      </c>
      <c r="AL1077" s="165">
        <v>0</v>
      </c>
      <c r="AM1077" s="165">
        <f t="shared" si="156"/>
        <v>0</v>
      </c>
      <c r="AN1077" s="165">
        <f t="shared" si="157"/>
        <v>0</v>
      </c>
      <c r="AO1077" s="16"/>
      <c r="AP1077" s="231">
        <f t="shared" si="153"/>
        <v>0</v>
      </c>
      <c r="AR1077" s="231"/>
      <c r="AS1077" s="231"/>
      <c r="AU1077" s="230">
        <v>0</v>
      </c>
      <c r="AV1077" s="233">
        <v>0</v>
      </c>
      <c r="AW1077" s="230">
        <f t="shared" si="151"/>
        <v>0</v>
      </c>
    </row>
    <row r="1078" spans="1:49" hidden="1" x14ac:dyDescent="0.3">
      <c r="A1078" s="16" t="s">
        <v>412</v>
      </c>
      <c r="B1078" s="39" t="s">
        <v>1966</v>
      </c>
      <c r="C1078" s="39" t="s">
        <v>80</v>
      </c>
      <c r="D1078" s="340" t="s">
        <v>3485</v>
      </c>
      <c r="E1078" s="159" t="s">
        <v>315</v>
      </c>
      <c r="F1078" s="159" t="s">
        <v>303</v>
      </c>
      <c r="G1078" s="159" t="s">
        <v>309</v>
      </c>
      <c r="H1078" s="159" t="s">
        <v>413</v>
      </c>
      <c r="I1078" s="159" t="s">
        <v>414</v>
      </c>
      <c r="J1078" s="159" t="s">
        <v>312</v>
      </c>
      <c r="K1078" s="159" t="s">
        <v>1849</v>
      </c>
      <c r="L1078" s="39" t="s">
        <v>1605</v>
      </c>
      <c r="M1078" s="39" t="s">
        <v>305</v>
      </c>
      <c r="N1078" s="39">
        <v>11</v>
      </c>
      <c r="O1078" s="39" t="s">
        <v>80</v>
      </c>
      <c r="P1078" s="39" t="s">
        <v>80</v>
      </c>
      <c r="Q1078" s="39" t="s">
        <v>1966</v>
      </c>
      <c r="R1078" s="16" t="s">
        <v>412</v>
      </c>
      <c r="S1078" s="160">
        <v>0</v>
      </c>
      <c r="T1078" s="160">
        <v>0</v>
      </c>
      <c r="U1078" s="160">
        <v>0</v>
      </c>
      <c r="V1078" s="160">
        <v>0</v>
      </c>
      <c r="W1078" s="160">
        <v>0</v>
      </c>
      <c r="X1078" s="161">
        <v>0</v>
      </c>
      <c r="Y1078" s="160"/>
      <c r="Z1078" s="16">
        <v>0</v>
      </c>
      <c r="AA1078" s="162">
        <v>0</v>
      </c>
      <c r="AB1078" s="162">
        <v>0</v>
      </c>
      <c r="AC1078" s="162">
        <v>0</v>
      </c>
      <c r="AD1078" s="160"/>
      <c r="AE1078" s="145">
        <v>0</v>
      </c>
      <c r="AF1078" s="163">
        <v>1.0469999999999999</v>
      </c>
      <c r="AG1078" s="164">
        <v>1.046</v>
      </c>
      <c r="AH1078" s="164">
        <v>1.046</v>
      </c>
      <c r="AI1078" s="164">
        <v>0</v>
      </c>
      <c r="AJ1078" s="164">
        <f t="shared" si="152"/>
        <v>0</v>
      </c>
      <c r="AK1078" s="165">
        <v>0</v>
      </c>
      <c r="AL1078" s="165">
        <v>0</v>
      </c>
      <c r="AM1078" s="165">
        <f t="shared" si="156"/>
        <v>0</v>
      </c>
      <c r="AN1078" s="165">
        <f t="shared" si="157"/>
        <v>0</v>
      </c>
      <c r="AO1078" s="16"/>
      <c r="AP1078" s="231">
        <f t="shared" si="153"/>
        <v>0</v>
      </c>
      <c r="AR1078" s="231"/>
      <c r="AS1078" s="231"/>
      <c r="AU1078" s="230">
        <v>0</v>
      </c>
      <c r="AV1078" s="233">
        <v>0</v>
      </c>
      <c r="AW1078" s="230">
        <f t="shared" si="151"/>
        <v>0</v>
      </c>
    </row>
    <row r="1079" spans="1:49" hidden="1" x14ac:dyDescent="0.3">
      <c r="A1079" s="16" t="s">
        <v>1399</v>
      </c>
      <c r="B1079" s="39" t="s">
        <v>1967</v>
      </c>
      <c r="C1079" s="39" t="s">
        <v>82</v>
      </c>
      <c r="D1079" s="340" t="s">
        <v>3485</v>
      </c>
      <c r="E1079" s="159" t="s">
        <v>315</v>
      </c>
      <c r="F1079" s="159" t="s">
        <v>303</v>
      </c>
      <c r="G1079" s="159" t="s">
        <v>309</v>
      </c>
      <c r="H1079" s="159" t="s">
        <v>334</v>
      </c>
      <c r="I1079" s="159" t="s">
        <v>846</v>
      </c>
      <c r="J1079" s="159" t="s">
        <v>312</v>
      </c>
      <c r="K1079" s="159" t="s">
        <v>1849</v>
      </c>
      <c r="L1079" s="39" t="s">
        <v>304</v>
      </c>
      <c r="M1079" s="39" t="s">
        <v>305</v>
      </c>
      <c r="N1079" s="39">
        <v>11</v>
      </c>
      <c r="O1079" s="39" t="s">
        <v>82</v>
      </c>
      <c r="P1079" s="39" t="s">
        <v>1400</v>
      </c>
      <c r="Q1079" s="39" t="s">
        <v>1967</v>
      </c>
      <c r="R1079" s="16" t="s">
        <v>1399</v>
      </c>
      <c r="S1079" s="160">
        <v>0</v>
      </c>
      <c r="T1079" s="160">
        <v>0</v>
      </c>
      <c r="U1079" s="160">
        <v>0</v>
      </c>
      <c r="V1079" s="160">
        <v>0</v>
      </c>
      <c r="W1079" s="160">
        <v>0</v>
      </c>
      <c r="X1079" s="161">
        <v>0</v>
      </c>
      <c r="Y1079" s="160"/>
      <c r="Z1079" s="16">
        <v>0</v>
      </c>
      <c r="AA1079" s="162">
        <v>0</v>
      </c>
      <c r="AB1079" s="162">
        <v>0</v>
      </c>
      <c r="AC1079" s="162">
        <v>0</v>
      </c>
      <c r="AD1079" s="160"/>
      <c r="AE1079" s="145">
        <v>0</v>
      </c>
      <c r="AF1079" s="163">
        <v>1.0469999999999999</v>
      </c>
      <c r="AG1079" s="164">
        <v>1.046</v>
      </c>
      <c r="AH1079" s="164">
        <v>1.046</v>
      </c>
      <c r="AI1079" s="164">
        <v>0</v>
      </c>
      <c r="AJ1079" s="164">
        <f t="shared" si="152"/>
        <v>0</v>
      </c>
      <c r="AK1079" s="165">
        <v>0</v>
      </c>
      <c r="AL1079" s="165">
        <v>0</v>
      </c>
      <c r="AM1079" s="165">
        <f t="shared" si="156"/>
        <v>0</v>
      </c>
      <c r="AN1079" s="165">
        <f t="shared" si="157"/>
        <v>0</v>
      </c>
      <c r="AO1079" s="16"/>
      <c r="AP1079" s="231">
        <f t="shared" si="153"/>
        <v>0</v>
      </c>
      <c r="AR1079" s="231"/>
      <c r="AS1079" s="231"/>
      <c r="AU1079" s="230">
        <v>0</v>
      </c>
      <c r="AV1079" s="233">
        <v>0</v>
      </c>
      <c r="AW1079" s="230">
        <f t="shared" si="151"/>
        <v>0</v>
      </c>
    </row>
    <row r="1080" spans="1:49" hidden="1" x14ac:dyDescent="0.3">
      <c r="A1080" s="16" t="s">
        <v>1969</v>
      </c>
      <c r="B1080" s="39" t="s">
        <v>1968</v>
      </c>
      <c r="C1080" s="39" t="s">
        <v>82</v>
      </c>
      <c r="D1080" s="340" t="s">
        <v>3485</v>
      </c>
      <c r="E1080" s="159" t="s">
        <v>315</v>
      </c>
      <c r="F1080" s="159" t="s">
        <v>303</v>
      </c>
      <c r="G1080" s="159" t="s">
        <v>309</v>
      </c>
      <c r="H1080" s="159" t="s">
        <v>334</v>
      </c>
      <c r="I1080" s="159" t="s">
        <v>637</v>
      </c>
      <c r="J1080" s="159" t="s">
        <v>1078</v>
      </c>
      <c r="K1080" s="159" t="s">
        <v>1849</v>
      </c>
      <c r="L1080" s="39" t="s">
        <v>304</v>
      </c>
      <c r="M1080" s="39" t="s">
        <v>305</v>
      </c>
      <c r="N1080" s="39">
        <v>11</v>
      </c>
      <c r="O1080" s="39" t="s">
        <v>82</v>
      </c>
      <c r="P1080" s="39" t="s">
        <v>636</v>
      </c>
      <c r="Q1080" s="39" t="s">
        <v>1968</v>
      </c>
      <c r="R1080" s="16" t="s">
        <v>1969</v>
      </c>
      <c r="S1080" s="160">
        <v>0</v>
      </c>
      <c r="T1080" s="160">
        <v>0</v>
      </c>
      <c r="U1080" s="160">
        <v>0</v>
      </c>
      <c r="V1080" s="160">
        <v>0</v>
      </c>
      <c r="W1080" s="160">
        <v>0</v>
      </c>
      <c r="X1080" s="161">
        <v>0</v>
      </c>
      <c r="Y1080" s="160"/>
      <c r="Z1080" s="16">
        <v>0</v>
      </c>
      <c r="AA1080" s="162">
        <v>0</v>
      </c>
      <c r="AB1080" s="162">
        <v>0</v>
      </c>
      <c r="AC1080" s="162">
        <v>0</v>
      </c>
      <c r="AD1080" s="160"/>
      <c r="AE1080" s="145">
        <v>0</v>
      </c>
      <c r="AF1080" s="163">
        <v>1.0469999999999999</v>
      </c>
      <c r="AG1080" s="164">
        <v>1.046</v>
      </c>
      <c r="AH1080" s="164">
        <v>1.046</v>
      </c>
      <c r="AI1080" s="164">
        <v>0</v>
      </c>
      <c r="AJ1080" s="164">
        <f t="shared" si="152"/>
        <v>0</v>
      </c>
      <c r="AK1080" s="165">
        <v>0</v>
      </c>
      <c r="AL1080" s="165">
        <v>0</v>
      </c>
      <c r="AM1080" s="165">
        <f t="shared" si="156"/>
        <v>0</v>
      </c>
      <c r="AN1080" s="165">
        <f t="shared" si="157"/>
        <v>0</v>
      </c>
      <c r="AO1080" s="16"/>
      <c r="AP1080" s="231">
        <f t="shared" si="153"/>
        <v>0</v>
      </c>
      <c r="AR1080" s="231"/>
      <c r="AS1080" s="231"/>
      <c r="AU1080" s="230">
        <v>0</v>
      </c>
      <c r="AV1080" s="233">
        <v>0</v>
      </c>
      <c r="AW1080" s="230">
        <f t="shared" si="151"/>
        <v>0</v>
      </c>
    </row>
    <row r="1081" spans="1:49" hidden="1" x14ac:dyDescent="0.3">
      <c r="A1081" s="16" t="s">
        <v>1842</v>
      </c>
      <c r="B1081" s="39" t="s">
        <v>1970</v>
      </c>
      <c r="C1081" s="39" t="s">
        <v>423</v>
      </c>
      <c r="D1081" s="340" t="s">
        <v>3485</v>
      </c>
      <c r="E1081" s="159" t="s">
        <v>315</v>
      </c>
      <c r="F1081" s="159" t="s">
        <v>303</v>
      </c>
      <c r="G1081" s="159" t="s">
        <v>309</v>
      </c>
      <c r="H1081" s="159" t="s">
        <v>424</v>
      </c>
      <c r="I1081" s="159" t="s">
        <v>425</v>
      </c>
      <c r="J1081" s="159" t="s">
        <v>387</v>
      </c>
      <c r="K1081" s="159" t="s">
        <v>1849</v>
      </c>
      <c r="L1081" s="39" t="s">
        <v>304</v>
      </c>
      <c r="M1081" s="39" t="s">
        <v>305</v>
      </c>
      <c r="N1081" s="39">
        <v>11</v>
      </c>
      <c r="O1081" s="39" t="s">
        <v>423</v>
      </c>
      <c r="P1081" s="39" t="s">
        <v>423</v>
      </c>
      <c r="Q1081" s="39" t="s">
        <v>1970</v>
      </c>
      <c r="R1081" s="16" t="s">
        <v>1842</v>
      </c>
      <c r="S1081" s="160">
        <v>0</v>
      </c>
      <c r="T1081" s="160">
        <v>0</v>
      </c>
      <c r="U1081" s="160">
        <v>0</v>
      </c>
      <c r="V1081" s="160">
        <v>0</v>
      </c>
      <c r="W1081" s="160">
        <v>0</v>
      </c>
      <c r="X1081" s="161">
        <v>0</v>
      </c>
      <c r="Y1081" s="160"/>
      <c r="Z1081" s="16">
        <v>0</v>
      </c>
      <c r="AA1081" s="162">
        <v>0</v>
      </c>
      <c r="AB1081" s="162">
        <v>0</v>
      </c>
      <c r="AC1081" s="162">
        <v>0</v>
      </c>
      <c r="AD1081" s="160"/>
      <c r="AE1081" s="145">
        <v>0</v>
      </c>
      <c r="AF1081" s="163">
        <v>1.0469999999999999</v>
      </c>
      <c r="AG1081" s="164">
        <v>1.046</v>
      </c>
      <c r="AH1081" s="164">
        <v>1.046</v>
      </c>
      <c r="AI1081" s="164">
        <v>0</v>
      </c>
      <c r="AJ1081" s="164">
        <f t="shared" si="152"/>
        <v>0</v>
      </c>
      <c r="AK1081" s="165">
        <v>0</v>
      </c>
      <c r="AL1081" s="165">
        <v>0</v>
      </c>
      <c r="AM1081" s="165">
        <f t="shared" si="156"/>
        <v>0</v>
      </c>
      <c r="AN1081" s="165">
        <f t="shared" si="157"/>
        <v>0</v>
      </c>
      <c r="AO1081" s="16"/>
      <c r="AP1081" s="231">
        <f t="shared" si="153"/>
        <v>0</v>
      </c>
      <c r="AR1081" s="231"/>
      <c r="AS1081" s="231"/>
      <c r="AU1081" s="230">
        <v>0</v>
      </c>
      <c r="AV1081" s="233">
        <v>0</v>
      </c>
      <c r="AW1081" s="230">
        <f t="shared" si="151"/>
        <v>0</v>
      </c>
    </row>
    <row r="1082" spans="1:49" hidden="1" x14ac:dyDescent="0.3">
      <c r="A1082" s="16" t="s">
        <v>83</v>
      </c>
      <c r="B1082" s="39" t="s">
        <v>1971</v>
      </c>
      <c r="C1082" s="39" t="s">
        <v>423</v>
      </c>
      <c r="D1082" s="340" t="s">
        <v>3485</v>
      </c>
      <c r="E1082" s="159" t="s">
        <v>315</v>
      </c>
      <c r="F1082" s="159" t="s">
        <v>303</v>
      </c>
      <c r="G1082" s="159" t="s">
        <v>309</v>
      </c>
      <c r="H1082" s="159" t="s">
        <v>424</v>
      </c>
      <c r="I1082" s="159" t="s">
        <v>425</v>
      </c>
      <c r="J1082" s="159" t="s">
        <v>426</v>
      </c>
      <c r="K1082" s="159" t="s">
        <v>1849</v>
      </c>
      <c r="L1082" s="39" t="s">
        <v>304</v>
      </c>
      <c r="M1082" s="39" t="s">
        <v>305</v>
      </c>
      <c r="N1082" s="39">
        <v>11</v>
      </c>
      <c r="O1082" s="39" t="s">
        <v>423</v>
      </c>
      <c r="P1082" s="39" t="s">
        <v>423</v>
      </c>
      <c r="Q1082" s="39" t="s">
        <v>1971</v>
      </c>
      <c r="R1082" s="16" t="s">
        <v>83</v>
      </c>
      <c r="S1082" s="160">
        <v>0</v>
      </c>
      <c r="T1082" s="160">
        <v>0</v>
      </c>
      <c r="U1082" s="160">
        <v>0</v>
      </c>
      <c r="V1082" s="160">
        <v>0</v>
      </c>
      <c r="W1082" s="160">
        <v>0</v>
      </c>
      <c r="X1082" s="161">
        <v>0</v>
      </c>
      <c r="Y1082" s="160"/>
      <c r="Z1082" s="16">
        <v>0</v>
      </c>
      <c r="AA1082" s="162">
        <v>0</v>
      </c>
      <c r="AB1082" s="162">
        <v>0</v>
      </c>
      <c r="AC1082" s="162">
        <v>0</v>
      </c>
      <c r="AD1082" s="160"/>
      <c r="AE1082" s="145">
        <v>0</v>
      </c>
      <c r="AF1082" s="163">
        <v>1.0469999999999999</v>
      </c>
      <c r="AG1082" s="164">
        <v>1.046</v>
      </c>
      <c r="AH1082" s="164">
        <v>1.046</v>
      </c>
      <c r="AI1082" s="164">
        <v>0</v>
      </c>
      <c r="AJ1082" s="164">
        <f t="shared" si="152"/>
        <v>0</v>
      </c>
      <c r="AK1082" s="165">
        <v>0</v>
      </c>
      <c r="AL1082" s="165">
        <v>0</v>
      </c>
      <c r="AM1082" s="165">
        <f t="shared" si="156"/>
        <v>0</v>
      </c>
      <c r="AN1082" s="165">
        <f t="shared" si="157"/>
        <v>0</v>
      </c>
      <c r="AO1082" s="16"/>
      <c r="AP1082" s="231">
        <f t="shared" si="153"/>
        <v>0</v>
      </c>
      <c r="AR1082" s="231"/>
      <c r="AS1082" s="231"/>
      <c r="AU1082" s="230">
        <v>0</v>
      </c>
      <c r="AV1082" s="233">
        <v>0</v>
      </c>
      <c r="AW1082" s="230">
        <f t="shared" si="151"/>
        <v>0</v>
      </c>
    </row>
    <row r="1083" spans="1:49" hidden="1" x14ac:dyDescent="0.3">
      <c r="A1083" s="16" t="s">
        <v>537</v>
      </c>
      <c r="B1083" s="39" t="s">
        <v>1972</v>
      </c>
      <c r="C1083" s="39" t="s">
        <v>423</v>
      </c>
      <c r="D1083" s="340" t="s">
        <v>3485</v>
      </c>
      <c r="E1083" s="159" t="s">
        <v>315</v>
      </c>
      <c r="F1083" s="159" t="s">
        <v>303</v>
      </c>
      <c r="G1083" s="159" t="s">
        <v>309</v>
      </c>
      <c r="H1083" s="159" t="s">
        <v>424</v>
      </c>
      <c r="I1083" s="159" t="s">
        <v>425</v>
      </c>
      <c r="J1083" s="159" t="s">
        <v>538</v>
      </c>
      <c r="K1083" s="159" t="s">
        <v>1849</v>
      </c>
      <c r="L1083" s="39" t="s">
        <v>304</v>
      </c>
      <c r="M1083" s="39" t="s">
        <v>305</v>
      </c>
      <c r="N1083" s="39">
        <v>11</v>
      </c>
      <c r="O1083" s="39" t="s">
        <v>423</v>
      </c>
      <c r="P1083" s="39" t="s">
        <v>423</v>
      </c>
      <c r="Q1083" s="39" t="s">
        <v>1972</v>
      </c>
      <c r="R1083" s="16" t="s">
        <v>537</v>
      </c>
      <c r="S1083" s="160">
        <v>0</v>
      </c>
      <c r="T1083" s="160">
        <v>0</v>
      </c>
      <c r="U1083" s="160">
        <v>0</v>
      </c>
      <c r="V1083" s="160">
        <v>0</v>
      </c>
      <c r="W1083" s="160">
        <v>0</v>
      </c>
      <c r="X1083" s="161">
        <v>0</v>
      </c>
      <c r="Y1083" s="160"/>
      <c r="Z1083" s="16">
        <v>0</v>
      </c>
      <c r="AA1083" s="162">
        <v>0</v>
      </c>
      <c r="AB1083" s="162">
        <v>0</v>
      </c>
      <c r="AC1083" s="162">
        <v>0</v>
      </c>
      <c r="AD1083" s="160"/>
      <c r="AE1083" s="145">
        <v>0</v>
      </c>
      <c r="AF1083" s="163">
        <v>1.0469999999999999</v>
      </c>
      <c r="AG1083" s="164">
        <v>1.046</v>
      </c>
      <c r="AH1083" s="164">
        <v>1.046</v>
      </c>
      <c r="AI1083" s="164">
        <v>0</v>
      </c>
      <c r="AJ1083" s="164">
        <f t="shared" si="152"/>
        <v>0</v>
      </c>
      <c r="AK1083" s="165">
        <v>0</v>
      </c>
      <c r="AL1083" s="165">
        <v>0</v>
      </c>
      <c r="AM1083" s="165">
        <f t="shared" si="156"/>
        <v>0</v>
      </c>
      <c r="AN1083" s="165">
        <f t="shared" si="157"/>
        <v>0</v>
      </c>
      <c r="AO1083" s="16"/>
      <c r="AP1083" s="231">
        <f t="shared" si="153"/>
        <v>0</v>
      </c>
      <c r="AR1083" s="231"/>
      <c r="AS1083" s="231"/>
      <c r="AU1083" s="230">
        <v>0</v>
      </c>
      <c r="AV1083" s="233">
        <v>0</v>
      </c>
      <c r="AW1083" s="230">
        <f t="shared" si="151"/>
        <v>0</v>
      </c>
    </row>
    <row r="1084" spans="1:49" hidden="1" x14ac:dyDescent="0.3">
      <c r="A1084" s="16" t="s">
        <v>1411</v>
      </c>
      <c r="B1084" s="39" t="s">
        <v>1973</v>
      </c>
      <c r="C1084" s="39" t="s">
        <v>86</v>
      </c>
      <c r="D1084" s="340" t="s">
        <v>3485</v>
      </c>
      <c r="E1084" s="159" t="s">
        <v>315</v>
      </c>
      <c r="F1084" s="159" t="s">
        <v>303</v>
      </c>
      <c r="G1084" s="159" t="s">
        <v>309</v>
      </c>
      <c r="H1084" s="159" t="s">
        <v>745</v>
      </c>
      <c r="I1084" s="159" t="s">
        <v>374</v>
      </c>
      <c r="J1084" s="159" t="s">
        <v>312</v>
      </c>
      <c r="K1084" s="159" t="s">
        <v>1849</v>
      </c>
      <c r="L1084" s="39" t="s">
        <v>304</v>
      </c>
      <c r="M1084" s="39" t="s">
        <v>305</v>
      </c>
      <c r="N1084" s="39">
        <v>11</v>
      </c>
      <c r="O1084" s="39" t="s">
        <v>86</v>
      </c>
      <c r="P1084" s="39" t="s">
        <v>86</v>
      </c>
      <c r="Q1084" s="39" t="s">
        <v>1973</v>
      </c>
      <c r="R1084" s="16" t="s">
        <v>1411</v>
      </c>
      <c r="S1084" s="160">
        <v>0</v>
      </c>
      <c r="T1084" s="160">
        <v>0</v>
      </c>
      <c r="U1084" s="160">
        <v>0</v>
      </c>
      <c r="V1084" s="160">
        <v>0</v>
      </c>
      <c r="W1084" s="160">
        <v>0</v>
      </c>
      <c r="X1084" s="161">
        <v>0</v>
      </c>
      <c r="Y1084" s="160"/>
      <c r="Z1084" s="16">
        <v>0</v>
      </c>
      <c r="AA1084" s="162">
        <v>0</v>
      </c>
      <c r="AB1084" s="162">
        <v>0</v>
      </c>
      <c r="AC1084" s="162">
        <v>0</v>
      </c>
      <c r="AD1084" s="160"/>
      <c r="AE1084" s="145">
        <v>0</v>
      </c>
      <c r="AF1084" s="163">
        <v>1.0469999999999999</v>
      </c>
      <c r="AG1084" s="164">
        <v>1.046</v>
      </c>
      <c r="AH1084" s="164">
        <v>1.046</v>
      </c>
      <c r="AI1084" s="164">
        <v>0</v>
      </c>
      <c r="AJ1084" s="164">
        <f t="shared" si="152"/>
        <v>0</v>
      </c>
      <c r="AK1084" s="165">
        <v>0</v>
      </c>
      <c r="AL1084" s="165">
        <v>0</v>
      </c>
      <c r="AM1084" s="165">
        <f t="shared" si="156"/>
        <v>0</v>
      </c>
      <c r="AN1084" s="165">
        <f t="shared" si="157"/>
        <v>0</v>
      </c>
      <c r="AO1084" s="16"/>
      <c r="AP1084" s="231">
        <f t="shared" si="153"/>
        <v>0</v>
      </c>
      <c r="AR1084" s="231"/>
      <c r="AS1084" s="231"/>
      <c r="AU1084" s="230">
        <v>0</v>
      </c>
      <c r="AV1084" s="233">
        <v>0</v>
      </c>
      <c r="AW1084" s="230">
        <f t="shared" si="151"/>
        <v>0</v>
      </c>
    </row>
    <row r="1085" spans="1:49" hidden="1" x14ac:dyDescent="0.3">
      <c r="D1085" s="340" t="s">
        <v>1074</v>
      </c>
      <c r="AJ1085" s="164">
        <f t="shared" si="152"/>
        <v>0</v>
      </c>
      <c r="AW1085" s="230">
        <f t="shared" si="151"/>
        <v>0</v>
      </c>
    </row>
    <row r="1086" spans="1:49" hidden="1" x14ac:dyDescent="0.3">
      <c r="D1086" s="340" t="s">
        <v>1074</v>
      </c>
      <c r="S1086" s="227"/>
      <c r="T1086" s="182">
        <v>55380873.419999965</v>
      </c>
      <c r="U1086" s="182">
        <v>102030204.30000001</v>
      </c>
      <c r="V1086" s="182">
        <v>117819026.93000008</v>
      </c>
      <c r="W1086" s="182">
        <v>-277868822.93000031</v>
      </c>
      <c r="X1086" s="182" t="e">
        <v>#N/A</v>
      </c>
      <c r="Y1086" s="182">
        <v>9483.0499999999993</v>
      </c>
      <c r="Z1086" s="182">
        <v>32953.12999999999</v>
      </c>
      <c r="AA1086" s="182">
        <v>219849231.23000014</v>
      </c>
      <c r="AB1086" s="182">
        <v>54962307.807500035</v>
      </c>
      <c r="AC1086" s="182">
        <v>659547693.69000149</v>
      </c>
      <c r="AD1086" s="182">
        <v>60137907.670000002</v>
      </c>
      <c r="AE1086" s="182">
        <f>SUM(AE2:AE1084)</f>
        <v>-98049795.99999994</v>
      </c>
      <c r="AF1086" s="182">
        <f t="shared" ref="AF1086:AI1086" si="162">SUM(AF2:AF1084)</f>
        <v>1136.5230000000174</v>
      </c>
      <c r="AG1086" s="182">
        <f t="shared" si="162"/>
        <v>1134.1290000000122</v>
      </c>
      <c r="AH1086" s="182">
        <f t="shared" si="162"/>
        <v>1133.255000000026</v>
      </c>
      <c r="AI1086" s="182">
        <f t="shared" si="162"/>
        <v>-99911888.329999894</v>
      </c>
      <c r="AJ1086" s="164">
        <f t="shared" si="152"/>
        <v>1862092.3299999535</v>
      </c>
      <c r="AK1086" s="182">
        <f>SUM(AK2:AK1084)</f>
        <v>21177284.054999873</v>
      </c>
      <c r="AL1086" s="182">
        <f ca="1">SUM(AL2:AL1084)</f>
        <v>138797249.19435164</v>
      </c>
      <c r="AM1086" s="182">
        <f ca="1">SUM(AM2:AM1084)</f>
        <v>145106169.21143189</v>
      </c>
      <c r="AN1086" s="182">
        <f ca="1">SUM(AN2:AN1084)</f>
        <v>151909587.87358999</v>
      </c>
      <c r="AU1086">
        <v>-160049796</v>
      </c>
      <c r="AV1086" s="233">
        <v>-99911888.329999894</v>
      </c>
      <c r="AW1086" s="230">
        <f t="shared" si="151"/>
        <v>-160049796</v>
      </c>
    </row>
    <row r="1087" spans="1:49" hidden="1" x14ac:dyDescent="0.3">
      <c r="D1087" s="340" t="s">
        <v>1074</v>
      </c>
      <c r="AJ1087" s="164">
        <f t="shared" si="152"/>
        <v>0</v>
      </c>
      <c r="AW1087" s="230">
        <f t="shared" si="151"/>
        <v>0</v>
      </c>
    </row>
    <row r="1088" spans="1:49" hidden="1" x14ac:dyDescent="0.3">
      <c r="D1088" s="340" t="s">
        <v>1074</v>
      </c>
      <c r="AB1088" s="225">
        <v>-160049796</v>
      </c>
      <c r="AC1088" s="226">
        <f>S1086-AB1088</f>
        <v>160049796</v>
      </c>
      <c r="AJ1088" s="164">
        <f t="shared" si="152"/>
        <v>0</v>
      </c>
      <c r="AW1088" s="230">
        <f t="shared" si="151"/>
        <v>0</v>
      </c>
    </row>
    <row r="1089" spans="38:40" x14ac:dyDescent="0.3">
      <c r="AL1089" s="190">
        <f ca="1">SUBTOTAL(9,AL2:AL1052)</f>
        <v>451415518.04700124</v>
      </c>
      <c r="AM1089" s="190">
        <f t="shared" ref="AM1089:AN1089" ca="1" si="163">SUBTOTAL(9,AM2:AM1052)</f>
        <v>473534878.4313038</v>
      </c>
      <c r="AN1089" s="190">
        <f t="shared" ca="1" si="163"/>
        <v>496244017.71757543</v>
      </c>
    </row>
    <row r="1090" spans="38:40" x14ac:dyDescent="0.3">
      <c r="AL1090" s="190">
        <f>'Total Emp Cost'!B9</f>
        <v>451415518.04699987</v>
      </c>
      <c r="AM1090" s="190">
        <f>'Total Emp Cost'!C9</f>
        <v>473534878.43130279</v>
      </c>
      <c r="AN1090" s="190">
        <f>'Total Emp Cost'!D9</f>
        <v>496244017.71757412</v>
      </c>
    </row>
    <row r="1091" spans="38:40" x14ac:dyDescent="0.3">
      <c r="AL1091" s="190">
        <f ca="1">AL1089-AL1090</f>
        <v>1.3709068298339844E-6</v>
      </c>
      <c r="AM1091" s="190">
        <f ca="1">AM1089-AM1090</f>
        <v>1.0132789611816406E-6</v>
      </c>
      <c r="AN1091" s="190">
        <f ca="1">AN1089-AN1090</f>
        <v>1.3113021850585938E-6</v>
      </c>
    </row>
  </sheetData>
  <autoFilter ref="A1:AW1088" xr:uid="{3CCBC268-B068-440C-8345-AE068AC5814F}">
    <filterColumn colId="17">
      <filters>
        <filter val="BM D01: SAL &amp; ALL - BASIC SALARY"/>
        <filter val="BM D02: SAL &amp; ALL - BASIC SALARY"/>
        <filter val="BM D03: SAL &amp; ALL - BASIC SALARY"/>
        <filter val="MS: ALL - ACCOMMODATION/TRVL/INCIDENTAL"/>
        <filter val="MS: ALL - CELLULAR &amp; TELEPHONE"/>
        <filter val="MS: ALL - LEAVE PAY"/>
        <filter val="MS: ALL - TRAVEL OR MOTOR VEHICLE"/>
        <filter val="MS: ALL - TRAVEL OR MOTOR VEHICLE (SUBS"/>
        <filter val="MS: HB &amp; INC: ESSENTIAL USER"/>
        <filter val="MS: HB &amp; INC: HOUSING BENEFITS"/>
        <filter val="MS: OVERTIME - NIGHT SHIFT"/>
        <filter val="MS: OVERTIME - NON STRUCTURED"/>
        <filter val="MS: OVERTIME - STRUCTURED"/>
        <filter val="MS: PAYMENTS - SHIFT ADD REMUNERATION"/>
        <filter val="MS: SAL &amp; ALL: BASIC SALARY &amp; WAGES"/>
        <filter val="MS: SOC CONTR - BARGAINING COUNCIL"/>
        <filter val="MS: SOC CONTR - GROUP LIFE INSURANCE"/>
        <filter val="MS: SOC CONTR - MEDICAL"/>
        <filter val="MS: SOC CONTR - PENSION"/>
        <filter val="MS: SOC CONTR - UNEMPLOYMENT INSUR FUND"/>
        <filter val="MS: SRB - ACTING ALLOWANCE"/>
        <filter val="MS: SRB - ANNUAL BONUS"/>
        <filter val="MS: SRB - LONG SERVICE AWARD"/>
        <filter val="MS: SRB - STANDBY ALLOWANCE"/>
        <filter val="MS: SRB - TOOLS ALLOWANCE"/>
        <filter val="MS: SRB - UNIFORM/SPEC/PROTEC CLOTHING"/>
        <filter val="SM CFO: ALLOW - CELLULAR &amp; TELEPHONE"/>
        <filter val="SM CFO: ALLOW - TRAVEL OR MOTOR VEHICLE"/>
        <filter val="SM CFO: SAL &amp; ALL -  BASIC SALARY"/>
        <filter val="SM CFO: SOC CONTR: MEDICAL"/>
        <filter val="SM CFO: SOC CONTR: PENSION FUNDS"/>
        <filter val="SM D10: ALLOW - CELLULAR &amp; TELEPHONE"/>
        <filter val="SM D10: SAL &amp; ALL -  BASIC SALARY"/>
        <filter val="SM D10: SOC CONTR: UIF"/>
        <filter val="SM D11: ALLOW - CELLULAR &amp; TELEPHONE"/>
        <filter val="SM D11: SAL &amp; ALL -  BASIC SALARY"/>
        <filter val="SM D11: SOC CONTR: UIF"/>
        <filter val="SM D12: ALLOW - CELLULAR &amp; TELEPHONE"/>
        <filter val="SM D12: ALLOW - TRAVEL OR MOTOR VEHICLE"/>
        <filter val="SM D12: SAL &amp; ALL -  BASIC SALARY"/>
        <filter val="SM D13: ALLOW - CELLULAR &amp; TELEPHONE"/>
        <filter val="SM D13: SOC CONTR: UIF"/>
        <filter val="SM D14: ALLOW - CELLULAR &amp; TELEPHONE"/>
        <filter val="SM D14: ALLOW - TRAVEL OR MOTOR VEHICLE"/>
        <filter val="SM D14: SAL &amp; ALL -  BASIC SALARY"/>
        <filter val="SM D14: SOC CONTR: UIF"/>
        <filter val="SM MM: ALLOW - CELLULAR &amp; TELEPHONE"/>
        <filter val="SM MM: SAL &amp; ALL -  BASIC SALARY"/>
        <filter val="SM MM: SOC CONTR: BARGAINING COUNCIL"/>
        <filter val="SM MM: SOC CONTR: MEDICAL"/>
        <filter val="SM MM: SOC CONTR: PENSION FUNDS"/>
        <filter val="SM MM: SOC CONTR: UIF"/>
      </filters>
    </filterColumn>
  </autoFilter>
  <conditionalFormatting sqref="O887">
    <cfRule type="duplicateValues" dxfId="8" priority="9"/>
  </conditionalFormatting>
  <conditionalFormatting sqref="O760:P760">
    <cfRule type="duplicateValues" dxfId="7" priority="8"/>
  </conditionalFormatting>
  <conditionalFormatting sqref="C760">
    <cfRule type="duplicateValues" dxfId="6" priority="7"/>
  </conditionalFormatting>
  <conditionalFormatting sqref="C769">
    <cfRule type="duplicateValues" dxfId="5" priority="6"/>
  </conditionalFormatting>
  <conditionalFormatting sqref="O769:P769">
    <cfRule type="duplicateValues" dxfId="4" priority="5"/>
  </conditionalFormatting>
  <conditionalFormatting sqref="C826">
    <cfRule type="duplicateValues" dxfId="3" priority="4"/>
  </conditionalFormatting>
  <conditionalFormatting sqref="O826:P826">
    <cfRule type="duplicateValues" dxfId="2" priority="3"/>
  </conditionalFormatting>
  <conditionalFormatting sqref="C915">
    <cfRule type="duplicateValues" dxfId="1" priority="2"/>
  </conditionalFormatting>
  <conditionalFormatting sqref="C277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FA3B2-904E-4910-86F9-481E63DE0C98}">
  <sheetPr>
    <tabColor rgb="FF00B0F0"/>
  </sheetPr>
  <dimension ref="A1:E21"/>
  <sheetViews>
    <sheetView zoomScaleNormal="100" workbookViewId="0">
      <selection activeCell="F23" sqref="F23"/>
    </sheetView>
  </sheetViews>
  <sheetFormatPr defaultRowHeight="14.4" x14ac:dyDescent="0.3"/>
  <cols>
    <col min="1" max="1" width="14.88671875" customWidth="1"/>
    <col min="2" max="2" width="15" bestFit="1" customWidth="1"/>
    <col min="3" max="3" width="16.21875" customWidth="1"/>
    <col min="4" max="4" width="14.6640625" bestFit="1" customWidth="1"/>
  </cols>
  <sheetData>
    <row r="1" spans="1:5" x14ac:dyDescent="0.3">
      <c r="A1" s="356" t="s">
        <v>3488</v>
      </c>
    </row>
    <row r="3" spans="1:5" x14ac:dyDescent="0.3">
      <c r="B3" t="s">
        <v>3490</v>
      </c>
      <c r="C3" t="s">
        <v>3491</v>
      </c>
      <c r="D3" t="s">
        <v>3507</v>
      </c>
    </row>
    <row r="4" spans="1:5" x14ac:dyDescent="0.3">
      <c r="A4" t="s">
        <v>2243</v>
      </c>
      <c r="B4" s="355">
        <f>'MS &amp; Vacancies combined'!L760</f>
        <v>436032156.57915986</v>
      </c>
      <c r="C4" s="355">
        <f>'MS &amp; Vacancies combined'!M760</f>
        <v>457397732.25153863</v>
      </c>
      <c r="D4" s="355">
        <f>'MS &amp; Vacancies combined'!N760</f>
        <v>479348425.66736102</v>
      </c>
      <c r="E4" s="355"/>
    </row>
    <row r="5" spans="1:5" x14ac:dyDescent="0.3">
      <c r="A5" t="s">
        <v>3249</v>
      </c>
      <c r="B5" s="355">
        <f>'SM &amp; Vacancies'!N17</f>
        <v>13093109.70084</v>
      </c>
      <c r="C5" s="355">
        <f>'SM &amp; Vacancies'!O17</f>
        <v>13734672.07618116</v>
      </c>
      <c r="D5" s="355">
        <f>'SM &amp; Vacancies'!P17</f>
        <v>14380201.663761673</v>
      </c>
      <c r="E5" s="355"/>
    </row>
    <row r="6" spans="1:5" ht="15" thickBot="1" x14ac:dyDescent="0.35">
      <c r="B6" s="357">
        <f>SUM(B4:B5)</f>
        <v>449125266.27999985</v>
      </c>
      <c r="C6" s="357">
        <f>SUM(C4:C5)</f>
        <v>471132404.32771981</v>
      </c>
      <c r="D6" s="357">
        <f>SUM(D4:D5)</f>
        <v>493728627.3311227</v>
      </c>
      <c r="E6" s="355"/>
    </row>
    <row r="7" spans="1:5" ht="15" thickTop="1" x14ac:dyDescent="0.3">
      <c r="A7" t="s">
        <v>3492</v>
      </c>
      <c r="B7" s="355">
        <f>DETAILED!AL6</f>
        <v>827126.23499999999</v>
      </c>
      <c r="C7" s="355">
        <f>DETAILED!AM6</f>
        <v>867655.42051499989</v>
      </c>
      <c r="D7" s="355">
        <f>DETAILED!AN6</f>
        <v>908435.22527920478</v>
      </c>
      <c r="E7" s="355"/>
    </row>
    <row r="8" spans="1:5" x14ac:dyDescent="0.3">
      <c r="A8" t="s">
        <v>3493</v>
      </c>
      <c r="B8" s="355">
        <f>DETAILED!AL303+DETAILED!AL395</f>
        <v>1463125.5320000001</v>
      </c>
      <c r="C8" s="355">
        <f>DETAILED!AM303+DETAILED!AM395</f>
        <v>1534818.683068</v>
      </c>
      <c r="D8" s="355">
        <f>DETAILED!AN303+DETAILED!AN395</f>
        <v>1606955.1611721958</v>
      </c>
      <c r="E8" s="355"/>
    </row>
    <row r="9" spans="1:5" ht="15" thickBot="1" x14ac:dyDescent="0.35">
      <c r="A9" t="s">
        <v>3494</v>
      </c>
      <c r="B9" s="359">
        <f>B6+B7+B8</f>
        <v>451415518.04699987</v>
      </c>
      <c r="C9" s="359">
        <f t="shared" ref="C9:D9" si="0">C6+C7+C8</f>
        <v>473534878.43130279</v>
      </c>
      <c r="D9" s="359">
        <f t="shared" si="0"/>
        <v>496244017.71757412</v>
      </c>
    </row>
    <row r="10" spans="1:5" ht="15" thickTop="1" x14ac:dyDescent="0.3"/>
    <row r="11" spans="1:5" x14ac:dyDescent="0.3">
      <c r="B11" s="358"/>
      <c r="C11" s="358"/>
      <c r="D11" s="358"/>
    </row>
    <row r="12" spans="1:5" x14ac:dyDescent="0.3">
      <c r="B12" s="230"/>
      <c r="C12" s="230"/>
      <c r="D12" s="230"/>
    </row>
    <row r="13" spans="1:5" hidden="1" x14ac:dyDescent="0.3"/>
    <row r="14" spans="1:5" hidden="1" x14ac:dyDescent="0.3">
      <c r="B14" s="358"/>
    </row>
    <row r="15" spans="1:5" hidden="1" x14ac:dyDescent="0.3"/>
    <row r="16" spans="1:5" x14ac:dyDescent="0.3">
      <c r="B16" s="189"/>
      <c r="C16" s="189"/>
      <c r="D16" s="189"/>
    </row>
    <row r="17" spans="2:4" x14ac:dyDescent="0.3">
      <c r="B17" s="230"/>
      <c r="C17" s="230"/>
      <c r="D17" s="230"/>
    </row>
    <row r="18" spans="2:4" x14ac:dyDescent="0.3">
      <c r="B18" s="189"/>
      <c r="C18" s="189"/>
      <c r="D18" s="189"/>
    </row>
    <row r="19" spans="2:4" x14ac:dyDescent="0.3">
      <c r="B19" s="182"/>
      <c r="C19" s="182"/>
      <c r="D19" s="182"/>
    </row>
    <row r="21" spans="2:4" x14ac:dyDescent="0.3">
      <c r="B21" s="182"/>
    </row>
  </sheetData>
  <pageMargins left="0.70866141732283472" right="0.70866141732283472" top="0.74803149606299213" bottom="0.74803149606299213" header="0.31496062992125984" footer="0.31496062992125984"/>
  <pageSetup paperSize="9" scale="1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266F3-778C-4654-99EF-A8E66B7C23A3}">
  <sheetPr>
    <tabColor rgb="FF00B0F0"/>
  </sheetPr>
  <dimension ref="A1:AQ775"/>
  <sheetViews>
    <sheetView tabSelected="1" zoomScale="70" zoomScaleNormal="70" workbookViewId="0">
      <pane ySplit="2" topLeftCell="A3" activePane="bottomLeft" state="frozen"/>
      <selection activeCell="I25" sqref="I25"/>
      <selection pane="bottomLeft" activeCell="P18" sqref="P18"/>
    </sheetView>
  </sheetViews>
  <sheetFormatPr defaultColWidth="9.109375" defaultRowHeight="12" x14ac:dyDescent="0.25"/>
  <cols>
    <col min="1" max="1" width="6.88671875" style="277" hidden="1" customWidth="1"/>
    <col min="2" max="2" width="4.6640625" style="277" hidden="1" customWidth="1"/>
    <col min="3" max="3" width="6.5546875" style="277" hidden="1" customWidth="1"/>
    <col min="4" max="4" width="5.109375" style="275" hidden="1" customWidth="1"/>
    <col min="5" max="5" width="7.5546875" style="275" hidden="1" customWidth="1"/>
    <col min="6" max="6" width="7.33203125" style="275" hidden="1" customWidth="1"/>
    <col min="7" max="7" width="9.109375" style="275" hidden="1" customWidth="1"/>
    <col min="8" max="8" width="16.33203125" style="275" hidden="1" customWidth="1"/>
    <col min="9" max="9" width="22.77734375" style="275" customWidth="1"/>
    <col min="10" max="10" width="61.5546875" style="452" bestFit="1" customWidth="1"/>
    <col min="11" max="11" width="23.88671875" style="453" customWidth="1"/>
    <col min="12" max="12" width="26.44140625" style="453" customWidth="1"/>
    <col min="13" max="13" width="17.5546875" style="452" customWidth="1"/>
    <col min="14" max="14" width="16.88671875" style="453" customWidth="1"/>
    <col min="15" max="15" width="18.6640625" style="452" customWidth="1"/>
    <col min="16" max="16" width="18.33203125" style="453" customWidth="1"/>
    <col min="17" max="17" width="19.6640625" style="452" bestFit="1" customWidth="1"/>
    <col min="18" max="18" width="19.6640625" style="453" bestFit="1" customWidth="1"/>
    <col min="19" max="19" width="18.21875" style="453" bestFit="1" customWidth="1"/>
    <col min="20" max="20" width="21.109375" style="453" bestFit="1" customWidth="1"/>
    <col min="21" max="21" width="42.109375" style="277" bestFit="1" customWidth="1"/>
    <col min="22" max="24" width="14.33203125" style="277" bestFit="1" customWidth="1"/>
    <col min="25" max="25" width="13.33203125" style="277" bestFit="1" customWidth="1"/>
    <col min="26" max="26" width="13.88671875" style="277" bestFit="1" customWidth="1"/>
    <col min="27" max="29" width="11.21875" style="277" bestFit="1" customWidth="1"/>
    <col min="30" max="30" width="10" style="277" bestFit="1" customWidth="1"/>
    <col min="31" max="31" width="12.21875" style="277" bestFit="1" customWidth="1"/>
    <col min="32" max="32" width="9.109375" style="277"/>
    <col min="33" max="33" width="13.21875" style="293" bestFit="1" customWidth="1"/>
    <col min="34" max="34" width="12.21875" style="293" bestFit="1" customWidth="1"/>
    <col min="35" max="35" width="11.21875" style="293" bestFit="1" customWidth="1"/>
    <col min="36" max="36" width="10" style="293" bestFit="1" customWidth="1"/>
    <col min="37" max="37" width="9.21875" style="293" bestFit="1" customWidth="1"/>
    <col min="38" max="41" width="12.21875" style="293" bestFit="1" customWidth="1"/>
    <col min="42" max="42" width="11.21875" style="293" bestFit="1" customWidth="1"/>
    <col min="43" max="43" width="12.77734375" style="293" bestFit="1" customWidth="1"/>
    <col min="44" max="16384" width="9.109375" style="277"/>
  </cols>
  <sheetData>
    <row r="1" spans="1:43" x14ac:dyDescent="0.25">
      <c r="U1" s="422"/>
      <c r="V1" s="423"/>
      <c r="W1" s="423"/>
      <c r="X1" s="422"/>
      <c r="Y1" s="423"/>
      <c r="Z1" s="422"/>
      <c r="AA1" s="423"/>
      <c r="AB1" s="422"/>
      <c r="AC1" s="423"/>
      <c r="AD1" s="423"/>
      <c r="AE1" s="423"/>
      <c r="AF1" s="424"/>
      <c r="AG1" s="423"/>
      <c r="AH1" s="423"/>
      <c r="AI1" s="423"/>
      <c r="AJ1" s="423"/>
      <c r="AK1" s="423"/>
      <c r="AL1" s="423"/>
      <c r="AM1" s="423"/>
      <c r="AN1" s="423"/>
      <c r="AO1" s="423"/>
      <c r="AP1" s="423"/>
      <c r="AQ1" s="423"/>
    </row>
    <row r="2" spans="1:43" s="266" customFormat="1" x14ac:dyDescent="0.25">
      <c r="A2" s="263" t="s">
        <v>2170</v>
      </c>
      <c r="B2" s="263" t="s">
        <v>2171</v>
      </c>
      <c r="C2" s="263" t="s">
        <v>2172</v>
      </c>
      <c r="D2" s="264" t="s">
        <v>2173</v>
      </c>
      <c r="E2" s="264" t="s">
        <v>2174</v>
      </c>
      <c r="F2" s="264" t="s">
        <v>2175</v>
      </c>
      <c r="G2" s="264" t="s">
        <v>2176</v>
      </c>
      <c r="H2" s="264" t="s">
        <v>2177</v>
      </c>
      <c r="I2" s="264" t="s">
        <v>2178</v>
      </c>
      <c r="J2" s="454" t="s">
        <v>2179</v>
      </c>
      <c r="K2" s="454" t="s">
        <v>2180</v>
      </c>
      <c r="L2" s="454" t="s">
        <v>2181</v>
      </c>
      <c r="M2" s="454" t="s">
        <v>2182</v>
      </c>
      <c r="N2" s="454" t="s">
        <v>2183</v>
      </c>
      <c r="O2" s="454" t="s">
        <v>2184</v>
      </c>
      <c r="P2" s="454" t="s">
        <v>2185</v>
      </c>
      <c r="Q2" s="454" t="s">
        <v>2186</v>
      </c>
      <c r="R2" s="454" t="s">
        <v>2187</v>
      </c>
      <c r="S2" s="454" t="s">
        <v>2188</v>
      </c>
      <c r="T2" s="455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5"/>
      <c r="AF2" s="426"/>
      <c r="AG2" s="427"/>
      <c r="AH2" s="427"/>
      <c r="AI2" s="427"/>
      <c r="AJ2" s="427"/>
      <c r="AK2" s="427"/>
      <c r="AL2" s="427"/>
      <c r="AM2" s="427"/>
      <c r="AN2" s="427"/>
      <c r="AO2" s="427"/>
      <c r="AP2" s="427"/>
      <c r="AQ2" s="427"/>
    </row>
    <row r="3" spans="1:43" s="270" customFormat="1" x14ac:dyDescent="0.25">
      <c r="A3" s="267">
        <v>501443</v>
      </c>
      <c r="B3" s="267">
        <v>1443</v>
      </c>
      <c r="C3" s="267">
        <v>53798</v>
      </c>
      <c r="D3" s="268" t="s">
        <v>894</v>
      </c>
      <c r="E3" s="268" t="s">
        <v>1290</v>
      </c>
      <c r="F3" s="268" t="s">
        <v>2189</v>
      </c>
      <c r="G3" s="268" t="s">
        <v>2190</v>
      </c>
      <c r="H3" s="268" t="s">
        <v>2191</v>
      </c>
      <c r="I3" s="268" t="s">
        <v>2192</v>
      </c>
      <c r="J3" s="456">
        <v>1452875.3114452029</v>
      </c>
      <c r="K3" s="456">
        <v>0</v>
      </c>
      <c r="L3" s="456">
        <v>0</v>
      </c>
      <c r="M3" s="456">
        <v>11064.531336864713</v>
      </c>
      <c r="N3" s="456">
        <v>0</v>
      </c>
      <c r="O3" s="456">
        <v>0</v>
      </c>
      <c r="P3" s="456">
        <v>0</v>
      </c>
      <c r="Q3" s="456">
        <v>0</v>
      </c>
      <c r="R3" s="456">
        <v>0</v>
      </c>
      <c r="S3" s="456">
        <v>0</v>
      </c>
      <c r="T3" s="457"/>
      <c r="U3" s="425"/>
      <c r="V3" s="425"/>
      <c r="W3" s="425"/>
      <c r="X3" s="425"/>
      <c r="Y3" s="425"/>
      <c r="Z3" s="425"/>
      <c r="AA3" s="425"/>
      <c r="AB3" s="425"/>
      <c r="AC3" s="425"/>
      <c r="AD3" s="425"/>
      <c r="AE3" s="425"/>
      <c r="AG3" s="425"/>
      <c r="AH3" s="425"/>
      <c r="AI3" s="425"/>
      <c r="AJ3" s="425"/>
      <c r="AK3" s="425"/>
      <c r="AL3" s="425"/>
      <c r="AM3" s="425"/>
      <c r="AN3" s="425"/>
      <c r="AO3" s="425"/>
      <c r="AP3" s="425"/>
      <c r="AQ3" s="425"/>
    </row>
    <row r="4" spans="1:43" s="270" customFormat="1" x14ac:dyDescent="0.25">
      <c r="A4" s="267">
        <v>501442</v>
      </c>
      <c r="B4" s="267">
        <v>1442</v>
      </c>
      <c r="C4" s="267">
        <v>26505</v>
      </c>
      <c r="D4" s="268" t="s">
        <v>894</v>
      </c>
      <c r="E4" s="268" t="s">
        <v>1290</v>
      </c>
      <c r="F4" s="268" t="s">
        <v>2193</v>
      </c>
      <c r="G4" s="268" t="s">
        <v>2190</v>
      </c>
      <c r="H4" s="268" t="s">
        <v>2194</v>
      </c>
      <c r="I4" s="268" t="s">
        <v>2195</v>
      </c>
      <c r="J4" s="456">
        <v>1452867.9350909784</v>
      </c>
      <c r="K4" s="456">
        <v>0</v>
      </c>
      <c r="L4" s="456">
        <v>0</v>
      </c>
      <c r="M4" s="456">
        <v>11064.531336864713</v>
      </c>
      <c r="N4" s="456">
        <v>0</v>
      </c>
      <c r="O4" s="456">
        <v>0</v>
      </c>
      <c r="P4" s="456">
        <v>0</v>
      </c>
      <c r="Q4" s="456">
        <v>0</v>
      </c>
      <c r="R4" s="456">
        <v>0</v>
      </c>
      <c r="S4" s="456">
        <v>0</v>
      </c>
      <c r="T4" s="457"/>
      <c r="U4" s="425"/>
      <c r="V4" s="425"/>
      <c r="W4" s="425"/>
      <c r="X4" s="425"/>
      <c r="Y4" s="425"/>
      <c r="Z4" s="425"/>
      <c r="AA4" s="425"/>
      <c r="AB4" s="425"/>
      <c r="AC4" s="425"/>
      <c r="AD4" s="425"/>
      <c r="AE4" s="425"/>
      <c r="AG4" s="425"/>
      <c r="AH4" s="425"/>
      <c r="AI4" s="425"/>
      <c r="AJ4" s="425"/>
      <c r="AK4" s="425"/>
      <c r="AL4" s="425"/>
      <c r="AM4" s="425"/>
      <c r="AN4" s="425"/>
      <c r="AO4" s="425"/>
      <c r="AP4" s="425"/>
      <c r="AQ4" s="425"/>
    </row>
    <row r="5" spans="1:43" s="270" customFormat="1" x14ac:dyDescent="0.25">
      <c r="A5" s="267">
        <v>501445</v>
      </c>
      <c r="B5" s="267">
        <v>1445</v>
      </c>
      <c r="C5" s="267">
        <v>54098</v>
      </c>
      <c r="D5" s="268" t="s">
        <v>894</v>
      </c>
      <c r="E5" s="268" t="s">
        <v>1290</v>
      </c>
      <c r="F5" s="268" t="s">
        <v>1298</v>
      </c>
      <c r="G5" s="268" t="s">
        <v>2190</v>
      </c>
      <c r="H5" s="268" t="s">
        <v>2196</v>
      </c>
      <c r="I5" s="268" t="s">
        <v>2197</v>
      </c>
      <c r="J5" s="456">
        <v>1452867.9350909784</v>
      </c>
      <c r="K5" s="456">
        <v>0</v>
      </c>
      <c r="L5" s="456">
        <v>0</v>
      </c>
      <c r="M5" s="456">
        <v>11064.531336864713</v>
      </c>
      <c r="N5" s="456">
        <v>0</v>
      </c>
      <c r="O5" s="456">
        <v>0</v>
      </c>
      <c r="P5" s="456">
        <v>0</v>
      </c>
      <c r="Q5" s="456">
        <v>0</v>
      </c>
      <c r="R5" s="456">
        <v>0</v>
      </c>
      <c r="S5" s="456">
        <v>0</v>
      </c>
      <c r="T5" s="457"/>
      <c r="U5" s="425"/>
      <c r="V5" s="425"/>
      <c r="W5" s="425"/>
      <c r="X5" s="425"/>
      <c r="Y5" s="425"/>
      <c r="Z5" s="425"/>
      <c r="AA5" s="425"/>
      <c r="AB5" s="425"/>
      <c r="AC5" s="425"/>
      <c r="AD5" s="425"/>
      <c r="AE5" s="425"/>
      <c r="AG5" s="425"/>
      <c r="AH5" s="425"/>
      <c r="AI5" s="425"/>
      <c r="AJ5" s="425"/>
      <c r="AK5" s="425"/>
      <c r="AL5" s="425"/>
      <c r="AM5" s="425"/>
      <c r="AN5" s="425"/>
      <c r="AO5" s="425"/>
      <c r="AP5" s="425"/>
      <c r="AQ5" s="425"/>
    </row>
    <row r="6" spans="1:43" s="270" customFormat="1" x14ac:dyDescent="0.25">
      <c r="A6" s="267">
        <v>501204</v>
      </c>
      <c r="B6" s="267">
        <v>1204</v>
      </c>
      <c r="C6" s="267">
        <v>200001</v>
      </c>
      <c r="D6" s="268" t="s">
        <v>894</v>
      </c>
      <c r="E6" s="268" t="s">
        <v>1278</v>
      </c>
      <c r="F6" s="268" t="s">
        <v>2193</v>
      </c>
      <c r="G6" s="268" t="s">
        <v>2190</v>
      </c>
      <c r="H6" s="268" t="s">
        <v>2198</v>
      </c>
      <c r="I6" s="268" t="s">
        <v>2199</v>
      </c>
      <c r="J6" s="456">
        <v>1452867.9350909784</v>
      </c>
      <c r="K6" s="456">
        <v>0</v>
      </c>
      <c r="L6" s="456">
        <v>0</v>
      </c>
      <c r="M6" s="456">
        <v>11064.531336864713</v>
      </c>
      <c r="N6" s="456">
        <v>0</v>
      </c>
      <c r="O6" s="456">
        <v>0</v>
      </c>
      <c r="P6" s="456">
        <v>0</v>
      </c>
      <c r="Q6" s="456">
        <v>0</v>
      </c>
      <c r="R6" s="456">
        <v>0</v>
      </c>
      <c r="S6" s="456">
        <v>0</v>
      </c>
      <c r="T6" s="457"/>
      <c r="U6" s="425"/>
      <c r="V6" s="425"/>
      <c r="W6" s="425"/>
      <c r="X6" s="425"/>
      <c r="Y6" s="425"/>
      <c r="Z6" s="425"/>
      <c r="AA6" s="425"/>
      <c r="AB6" s="425"/>
      <c r="AC6" s="425"/>
      <c r="AD6" s="425"/>
      <c r="AE6" s="425"/>
      <c r="AG6" s="425"/>
      <c r="AH6" s="425"/>
      <c r="AI6" s="425"/>
      <c r="AJ6" s="425"/>
      <c r="AK6" s="425"/>
      <c r="AL6" s="425"/>
      <c r="AM6" s="425"/>
      <c r="AN6" s="425"/>
      <c r="AO6" s="425"/>
      <c r="AP6" s="425"/>
      <c r="AQ6" s="425"/>
    </row>
    <row r="7" spans="1:43" s="270" customFormat="1" x14ac:dyDescent="0.25">
      <c r="A7" s="267">
        <v>501205</v>
      </c>
      <c r="B7" s="267">
        <v>1205</v>
      </c>
      <c r="C7" s="267">
        <v>200052</v>
      </c>
      <c r="D7" s="268" t="s">
        <v>894</v>
      </c>
      <c r="E7" s="268" t="s">
        <v>1290</v>
      </c>
      <c r="F7" s="268" t="s">
        <v>2200</v>
      </c>
      <c r="G7" s="268" t="s">
        <v>2190</v>
      </c>
      <c r="H7" s="268" t="s">
        <v>2201</v>
      </c>
      <c r="I7" s="268" t="s">
        <v>2202</v>
      </c>
      <c r="J7" s="456">
        <v>1452867.9350909784</v>
      </c>
      <c r="K7" s="456">
        <v>0</v>
      </c>
      <c r="L7" s="456">
        <v>0</v>
      </c>
      <c r="M7" s="456">
        <v>11064.531336864713</v>
      </c>
      <c r="N7" s="456">
        <v>0</v>
      </c>
      <c r="O7" s="456">
        <v>0</v>
      </c>
      <c r="P7" s="456">
        <v>0</v>
      </c>
      <c r="Q7" s="456">
        <v>0</v>
      </c>
      <c r="R7" s="456">
        <v>0</v>
      </c>
      <c r="S7" s="456">
        <v>0</v>
      </c>
      <c r="T7" s="457"/>
      <c r="U7" s="425"/>
      <c r="V7" s="425"/>
      <c r="W7" s="425"/>
      <c r="X7" s="425"/>
      <c r="Y7" s="425"/>
      <c r="Z7" s="425"/>
      <c r="AA7" s="425"/>
      <c r="AB7" s="425"/>
      <c r="AC7" s="425"/>
      <c r="AD7" s="425"/>
      <c r="AE7" s="425"/>
      <c r="AG7" s="425"/>
      <c r="AH7" s="425"/>
      <c r="AI7" s="425"/>
      <c r="AJ7" s="425"/>
      <c r="AK7" s="425"/>
      <c r="AL7" s="425"/>
      <c r="AM7" s="425"/>
      <c r="AN7" s="425"/>
      <c r="AO7" s="425"/>
      <c r="AP7" s="425"/>
      <c r="AQ7" s="425"/>
    </row>
    <row r="8" spans="1:43" s="270" customFormat="1" x14ac:dyDescent="0.25">
      <c r="A8" s="267">
        <v>501506</v>
      </c>
      <c r="B8" s="267">
        <v>1101</v>
      </c>
      <c r="C8" s="267">
        <v>3829</v>
      </c>
      <c r="D8" s="268" t="s">
        <v>894</v>
      </c>
      <c r="E8" s="268" t="s">
        <v>1290</v>
      </c>
      <c r="F8" s="268" t="s">
        <v>2203</v>
      </c>
      <c r="G8" s="268" t="s">
        <v>2190</v>
      </c>
      <c r="H8" s="268" t="s">
        <v>2204</v>
      </c>
      <c r="I8" s="268" t="s">
        <v>2205</v>
      </c>
      <c r="J8" s="456">
        <v>1341032.2625593401</v>
      </c>
      <c r="K8" s="456">
        <v>0</v>
      </c>
      <c r="L8" s="456">
        <v>0</v>
      </c>
      <c r="M8" s="456">
        <v>11064.531336864713</v>
      </c>
      <c r="N8" s="456">
        <v>0</v>
      </c>
      <c r="O8" s="456">
        <v>0</v>
      </c>
      <c r="P8" s="456">
        <v>0</v>
      </c>
      <c r="Q8" s="456">
        <v>0</v>
      </c>
      <c r="R8" s="456">
        <v>0</v>
      </c>
      <c r="S8" s="456">
        <v>0</v>
      </c>
      <c r="T8" s="457"/>
      <c r="U8" s="425"/>
      <c r="V8" s="425"/>
      <c r="W8" s="425"/>
      <c r="X8" s="425"/>
      <c r="Y8" s="425"/>
      <c r="Z8" s="425"/>
      <c r="AA8" s="425"/>
      <c r="AB8" s="425"/>
      <c r="AC8" s="425"/>
      <c r="AD8" s="425"/>
      <c r="AE8" s="425"/>
      <c r="AG8" s="425"/>
      <c r="AH8" s="425"/>
      <c r="AI8" s="425"/>
      <c r="AJ8" s="425"/>
      <c r="AK8" s="425"/>
      <c r="AL8" s="425"/>
      <c r="AM8" s="425"/>
      <c r="AN8" s="425"/>
      <c r="AO8" s="425"/>
      <c r="AP8" s="425"/>
      <c r="AQ8" s="425"/>
    </row>
    <row r="9" spans="1:43" s="270" customFormat="1" x14ac:dyDescent="0.25">
      <c r="A9" s="267">
        <v>501303</v>
      </c>
      <c r="B9" s="267">
        <v>1303</v>
      </c>
      <c r="C9" s="267">
        <v>45609</v>
      </c>
      <c r="D9" s="268" t="s">
        <v>894</v>
      </c>
      <c r="E9" s="268" t="s">
        <v>1278</v>
      </c>
      <c r="F9" s="268" t="s">
        <v>1290</v>
      </c>
      <c r="G9" s="268" t="s">
        <v>2190</v>
      </c>
      <c r="H9" s="268" t="s">
        <v>2206</v>
      </c>
      <c r="I9" s="268" t="s">
        <v>2207</v>
      </c>
      <c r="J9" s="456">
        <v>1341032.2625593401</v>
      </c>
      <c r="K9" s="456">
        <v>0</v>
      </c>
      <c r="L9" s="456">
        <v>0</v>
      </c>
      <c r="M9" s="456">
        <v>11064.531336864713</v>
      </c>
      <c r="N9" s="456">
        <v>0</v>
      </c>
      <c r="O9" s="456">
        <v>0</v>
      </c>
      <c r="P9" s="456">
        <v>0</v>
      </c>
      <c r="Q9" s="456">
        <v>0</v>
      </c>
      <c r="R9" s="456">
        <v>0</v>
      </c>
      <c r="S9" s="456">
        <v>0</v>
      </c>
      <c r="T9" s="457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G9" s="425"/>
      <c r="AH9" s="425"/>
      <c r="AI9" s="425"/>
      <c r="AJ9" s="425"/>
      <c r="AK9" s="425"/>
      <c r="AL9" s="425"/>
      <c r="AM9" s="425"/>
      <c r="AN9" s="425"/>
      <c r="AO9" s="425"/>
      <c r="AP9" s="425"/>
      <c r="AQ9" s="425"/>
    </row>
    <row r="10" spans="1:43" s="270" customFormat="1" x14ac:dyDescent="0.25">
      <c r="A10" s="267">
        <v>501406</v>
      </c>
      <c r="B10" s="267">
        <v>1406</v>
      </c>
      <c r="C10" s="267">
        <v>54917</v>
      </c>
      <c r="D10" s="268" t="s">
        <v>894</v>
      </c>
      <c r="E10" s="268" t="s">
        <v>1278</v>
      </c>
      <c r="F10" s="268" t="s">
        <v>2208</v>
      </c>
      <c r="G10" s="268" t="s">
        <v>2190</v>
      </c>
      <c r="H10" s="268" t="s">
        <v>2209</v>
      </c>
      <c r="I10" s="268" t="s">
        <v>2210</v>
      </c>
      <c r="J10" s="456">
        <v>1341032.2625593401</v>
      </c>
      <c r="K10" s="456">
        <v>0</v>
      </c>
      <c r="L10" s="456">
        <v>0</v>
      </c>
      <c r="M10" s="456">
        <v>11064.531336864713</v>
      </c>
      <c r="N10" s="456">
        <v>0</v>
      </c>
      <c r="O10" s="456">
        <v>0</v>
      </c>
      <c r="P10" s="456">
        <v>0</v>
      </c>
      <c r="Q10" s="456">
        <v>0</v>
      </c>
      <c r="R10" s="456">
        <v>0</v>
      </c>
      <c r="S10" s="456">
        <v>0</v>
      </c>
      <c r="T10" s="457"/>
      <c r="U10" s="425"/>
      <c r="V10" s="425"/>
      <c r="W10" s="425"/>
      <c r="X10" s="425"/>
      <c r="Y10" s="425"/>
      <c r="Z10" s="425"/>
      <c r="AA10" s="425"/>
      <c r="AB10" s="425"/>
      <c r="AC10" s="425"/>
      <c r="AD10" s="425"/>
      <c r="AE10" s="425"/>
      <c r="AG10" s="425"/>
      <c r="AH10" s="425"/>
      <c r="AI10" s="425"/>
      <c r="AJ10" s="425"/>
      <c r="AK10" s="425"/>
      <c r="AL10" s="425"/>
      <c r="AM10" s="425"/>
      <c r="AN10" s="425"/>
      <c r="AO10" s="425"/>
      <c r="AP10" s="425"/>
      <c r="AQ10" s="425"/>
    </row>
    <row r="11" spans="1:43" s="270" customFormat="1" x14ac:dyDescent="0.25">
      <c r="A11" s="267">
        <v>501107</v>
      </c>
      <c r="B11" s="267">
        <v>1107</v>
      </c>
      <c r="C11" s="267">
        <v>200390</v>
      </c>
      <c r="D11" s="268" t="s">
        <v>894</v>
      </c>
      <c r="E11" s="268" t="s">
        <v>1278</v>
      </c>
      <c r="F11" s="268" t="s">
        <v>2211</v>
      </c>
      <c r="G11" s="268" t="s">
        <v>2190</v>
      </c>
      <c r="H11" s="268" t="s">
        <v>2212</v>
      </c>
      <c r="I11" s="268" t="s">
        <v>2213</v>
      </c>
      <c r="J11" s="456">
        <v>1341032.2625593401</v>
      </c>
      <c r="K11" s="456">
        <v>0</v>
      </c>
      <c r="L11" s="456">
        <v>0</v>
      </c>
      <c r="M11" s="456">
        <v>11064.531336864713</v>
      </c>
      <c r="N11" s="456">
        <v>0</v>
      </c>
      <c r="O11" s="456">
        <v>0</v>
      </c>
      <c r="P11" s="456">
        <v>0</v>
      </c>
      <c r="Q11" s="456">
        <v>0</v>
      </c>
      <c r="R11" s="456">
        <v>0</v>
      </c>
      <c r="S11" s="456">
        <v>0</v>
      </c>
      <c r="T11" s="457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G11" s="425"/>
      <c r="AH11" s="425"/>
      <c r="AI11" s="425"/>
      <c r="AJ11" s="425"/>
      <c r="AK11" s="425"/>
      <c r="AL11" s="425"/>
      <c r="AM11" s="425"/>
      <c r="AN11" s="425"/>
      <c r="AO11" s="425"/>
      <c r="AP11" s="425"/>
      <c r="AQ11" s="425"/>
    </row>
    <row r="12" spans="1:43" s="270" customFormat="1" x14ac:dyDescent="0.25">
      <c r="A12" s="267">
        <v>501502</v>
      </c>
      <c r="B12" s="267">
        <v>1502</v>
      </c>
      <c r="C12" s="267">
        <v>59624</v>
      </c>
      <c r="D12" s="268" t="s">
        <v>894</v>
      </c>
      <c r="E12" s="268" t="s">
        <v>1290</v>
      </c>
      <c r="F12" s="268" t="s">
        <v>2214</v>
      </c>
      <c r="G12" s="268" t="s">
        <v>2190</v>
      </c>
      <c r="H12" s="268" t="s">
        <v>2215</v>
      </c>
      <c r="I12" s="268" t="s">
        <v>2216</v>
      </c>
      <c r="J12" s="456">
        <f>1230899.6058093-88.3421569581498</f>
        <v>1230811.2636523419</v>
      </c>
      <c r="K12" s="456">
        <v>0</v>
      </c>
      <c r="L12" s="456">
        <v>0</v>
      </c>
      <c r="M12" s="456">
        <v>8298.3985026485352</v>
      </c>
      <c r="N12" s="456">
        <v>0</v>
      </c>
      <c r="O12" s="456">
        <v>0</v>
      </c>
      <c r="P12" s="456">
        <v>0</v>
      </c>
      <c r="Q12" s="456">
        <v>0</v>
      </c>
      <c r="R12" s="456">
        <v>0</v>
      </c>
      <c r="S12" s="456">
        <v>0</v>
      </c>
      <c r="T12" s="457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G12" s="425"/>
      <c r="AH12" s="425"/>
      <c r="AI12" s="425"/>
      <c r="AJ12" s="425"/>
      <c r="AK12" s="425"/>
      <c r="AL12" s="425"/>
      <c r="AM12" s="425"/>
      <c r="AN12" s="425"/>
      <c r="AO12" s="425"/>
      <c r="AP12" s="425"/>
      <c r="AQ12" s="425"/>
    </row>
    <row r="13" spans="1:43" s="270" customFormat="1" x14ac:dyDescent="0.25">
      <c r="A13" s="271">
        <v>501304</v>
      </c>
      <c r="B13" s="271">
        <v>1304</v>
      </c>
      <c r="C13" s="271">
        <v>2134</v>
      </c>
      <c r="D13" s="268" t="s">
        <v>894</v>
      </c>
      <c r="E13" s="268" t="s">
        <v>1278</v>
      </c>
      <c r="F13" s="268" t="s">
        <v>2217</v>
      </c>
      <c r="G13" s="268">
        <v>3</v>
      </c>
      <c r="H13" s="268" t="s">
        <v>2218</v>
      </c>
      <c r="I13" s="268" t="s">
        <v>2219</v>
      </c>
      <c r="J13" s="458">
        <v>758141.68720197014</v>
      </c>
      <c r="K13" s="458">
        <v>63178.473933497517</v>
      </c>
      <c r="L13" s="458">
        <v>11194.760870699611</v>
      </c>
      <c r="M13" s="456">
        <v>8298.3985026485352</v>
      </c>
      <c r="N13" s="458">
        <v>119.49693843813893</v>
      </c>
      <c r="O13" s="458">
        <v>216023.90982094666</v>
      </c>
      <c r="P13" s="459">
        <v>13267.47952603448</v>
      </c>
      <c r="Q13" s="458">
        <v>55400.108403681625</v>
      </c>
      <c r="R13" s="458">
        <v>136996.20287739602</v>
      </c>
      <c r="S13" s="458">
        <v>1959.7497903854783</v>
      </c>
      <c r="T13" s="457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</row>
    <row r="14" spans="1:43" s="275" customFormat="1" ht="14.4" x14ac:dyDescent="0.3">
      <c r="A14" s="268">
        <v>501203</v>
      </c>
      <c r="B14" s="268">
        <v>1203</v>
      </c>
      <c r="C14" s="268">
        <v>200047</v>
      </c>
      <c r="D14" s="268" t="s">
        <v>876</v>
      </c>
      <c r="E14" s="268" t="s">
        <v>1278</v>
      </c>
      <c r="F14" s="268" t="s">
        <v>2220</v>
      </c>
      <c r="G14" s="268">
        <v>3</v>
      </c>
      <c r="H14" s="268" t="s">
        <v>2221</v>
      </c>
      <c r="I14" s="268" t="s">
        <v>2222</v>
      </c>
      <c r="J14" s="458">
        <v>758141.68720197014</v>
      </c>
      <c r="K14" s="458">
        <v>63178.473933497517</v>
      </c>
      <c r="L14" s="458">
        <v>11194.760870699611</v>
      </c>
      <c r="M14" s="458">
        <v>8298.3985026485352</v>
      </c>
      <c r="N14" s="458">
        <v>119.49693843813893</v>
      </c>
      <c r="O14" s="458">
        <v>216023.90982094666</v>
      </c>
      <c r="P14" s="456">
        <v>13267.47952603448</v>
      </c>
      <c r="Q14" s="456">
        <v>55400.108403681625</v>
      </c>
      <c r="R14" s="458">
        <v>136465.50369635463</v>
      </c>
      <c r="S14" s="456">
        <v>1959.7497903854783</v>
      </c>
      <c r="T14" s="460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</row>
    <row r="15" spans="1:43" x14ac:dyDescent="0.25">
      <c r="A15" s="276">
        <v>501445</v>
      </c>
      <c r="B15" s="276">
        <v>1445</v>
      </c>
      <c r="C15" s="276">
        <v>3586</v>
      </c>
      <c r="D15" s="268" t="s">
        <v>894</v>
      </c>
      <c r="E15" s="268" t="s">
        <v>1290</v>
      </c>
      <c r="F15" s="268" t="s">
        <v>2223</v>
      </c>
      <c r="G15" s="268">
        <v>3</v>
      </c>
      <c r="H15" s="268" t="s">
        <v>2224</v>
      </c>
      <c r="I15" s="268" t="s">
        <v>2225</v>
      </c>
      <c r="J15" s="456">
        <v>758141.68720197014</v>
      </c>
      <c r="K15" s="459">
        <v>63178.473933497517</v>
      </c>
      <c r="L15" s="458">
        <v>11194.760870699611</v>
      </c>
      <c r="M15" s="456">
        <v>8298.3985026485352</v>
      </c>
      <c r="N15" s="459">
        <v>119.49693843813893</v>
      </c>
      <c r="O15" s="456">
        <v>216023.90982094666</v>
      </c>
      <c r="P15" s="459">
        <v>13267.47952603448</v>
      </c>
      <c r="Q15" s="458">
        <v>55400.108403681625</v>
      </c>
      <c r="R15" s="459">
        <v>136996.20287739602</v>
      </c>
      <c r="S15" s="459">
        <v>1959.7497903854783</v>
      </c>
      <c r="T15" s="457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4"/>
      <c r="AG15" s="425"/>
      <c r="AH15" s="425"/>
      <c r="AI15" s="425"/>
      <c r="AJ15" s="425"/>
      <c r="AK15" s="425"/>
      <c r="AL15" s="425"/>
      <c r="AM15" s="425"/>
      <c r="AN15" s="425"/>
      <c r="AO15" s="425"/>
      <c r="AP15" s="425"/>
      <c r="AQ15" s="425"/>
    </row>
    <row r="16" spans="1:43" s="270" customFormat="1" x14ac:dyDescent="0.25">
      <c r="A16" s="271">
        <v>501443</v>
      </c>
      <c r="B16" s="271">
        <v>1443</v>
      </c>
      <c r="C16" s="271">
        <v>7689</v>
      </c>
      <c r="D16" s="268" t="s">
        <v>1698</v>
      </c>
      <c r="E16" s="268" t="s">
        <v>1290</v>
      </c>
      <c r="F16" s="268" t="s">
        <v>2226</v>
      </c>
      <c r="G16" s="268">
        <v>3</v>
      </c>
      <c r="H16" s="268" t="s">
        <v>2227</v>
      </c>
      <c r="I16" s="268" t="s">
        <v>2228</v>
      </c>
      <c r="J16" s="458">
        <v>758141.68720197014</v>
      </c>
      <c r="K16" s="458">
        <v>63178.473933497517</v>
      </c>
      <c r="L16" s="458">
        <v>11194.760870699611</v>
      </c>
      <c r="M16" s="456">
        <v>8298.3985026485352</v>
      </c>
      <c r="N16" s="458">
        <v>119.49693843813893</v>
      </c>
      <c r="O16" s="458">
        <v>216023.90982094666</v>
      </c>
      <c r="P16" s="459">
        <v>13267.47952603448</v>
      </c>
      <c r="Q16" s="458">
        <v>55400.108403681625</v>
      </c>
      <c r="R16" s="458">
        <v>136996.20287739602</v>
      </c>
      <c r="S16" s="458">
        <v>1959.7497903854783</v>
      </c>
      <c r="T16" s="457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G16" s="425"/>
      <c r="AH16" s="425"/>
      <c r="AI16" s="425"/>
      <c r="AJ16" s="425"/>
      <c r="AK16" s="425"/>
      <c r="AL16" s="425"/>
      <c r="AM16" s="425"/>
      <c r="AN16" s="425"/>
      <c r="AO16" s="425"/>
      <c r="AP16" s="425"/>
      <c r="AQ16" s="425"/>
    </row>
    <row r="17" spans="1:43" s="270" customFormat="1" x14ac:dyDescent="0.25">
      <c r="A17" s="271">
        <v>501445</v>
      </c>
      <c r="B17" s="271">
        <v>1445</v>
      </c>
      <c r="C17" s="271">
        <v>11882</v>
      </c>
      <c r="D17" s="268" t="s">
        <v>1698</v>
      </c>
      <c r="E17" s="268" t="s">
        <v>1290</v>
      </c>
      <c r="F17" s="268" t="s">
        <v>2229</v>
      </c>
      <c r="G17" s="268">
        <v>3</v>
      </c>
      <c r="H17" s="268" t="s">
        <v>2230</v>
      </c>
      <c r="I17" s="268" t="s">
        <v>2231</v>
      </c>
      <c r="J17" s="458">
        <v>758141.68720197014</v>
      </c>
      <c r="K17" s="458">
        <v>63178.473933497517</v>
      </c>
      <c r="L17" s="458">
        <v>11194.760870699611</v>
      </c>
      <c r="M17" s="456">
        <v>691.53320855404456</v>
      </c>
      <c r="N17" s="458">
        <v>119.49693843813893</v>
      </c>
      <c r="O17" s="458">
        <v>216023.90982094666</v>
      </c>
      <c r="P17" s="459">
        <v>13267.47952603448</v>
      </c>
      <c r="Q17" s="458">
        <v>55400.108403681625</v>
      </c>
      <c r="R17" s="458">
        <v>136996.20287739602</v>
      </c>
      <c r="S17" s="458">
        <v>1959.7497903854783</v>
      </c>
      <c r="T17" s="457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G17" s="425"/>
      <c r="AH17" s="425"/>
      <c r="AI17" s="425"/>
      <c r="AJ17" s="425"/>
      <c r="AK17" s="425"/>
      <c r="AL17" s="425"/>
      <c r="AM17" s="425"/>
      <c r="AN17" s="425"/>
      <c r="AO17" s="425"/>
      <c r="AP17" s="425"/>
      <c r="AQ17" s="425"/>
    </row>
    <row r="18" spans="1:43" s="270" customFormat="1" x14ac:dyDescent="0.25">
      <c r="A18" s="271">
        <v>501444</v>
      </c>
      <c r="B18" s="271">
        <v>1444</v>
      </c>
      <c r="C18" s="271">
        <v>19981</v>
      </c>
      <c r="D18" s="268" t="s">
        <v>1698</v>
      </c>
      <c r="E18" s="268" t="s">
        <v>1290</v>
      </c>
      <c r="F18" s="268" t="s">
        <v>2232</v>
      </c>
      <c r="G18" s="268">
        <v>3</v>
      </c>
      <c r="H18" s="268" t="s">
        <v>2233</v>
      </c>
      <c r="I18" s="268" t="s">
        <v>2234</v>
      </c>
      <c r="J18" s="458">
        <v>758141.68720197014</v>
      </c>
      <c r="K18" s="458">
        <v>63178.473933497517</v>
      </c>
      <c r="L18" s="458">
        <v>11194.760870699611</v>
      </c>
      <c r="M18" s="456">
        <v>8298.3985026485352</v>
      </c>
      <c r="N18" s="458">
        <v>119.49693843813893</v>
      </c>
      <c r="O18" s="458">
        <v>216023.90982094666</v>
      </c>
      <c r="P18" s="459">
        <v>13267.47952603448</v>
      </c>
      <c r="Q18" s="458">
        <v>55400.108403681625</v>
      </c>
      <c r="R18" s="458">
        <v>136996.20287739602</v>
      </c>
      <c r="S18" s="458">
        <v>1959.7497903854783</v>
      </c>
      <c r="T18" s="457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G18" s="425"/>
      <c r="AH18" s="425"/>
      <c r="AI18" s="425"/>
      <c r="AJ18" s="425"/>
      <c r="AK18" s="425"/>
      <c r="AL18" s="425"/>
      <c r="AM18" s="425"/>
      <c r="AN18" s="425"/>
      <c r="AO18" s="425"/>
      <c r="AP18" s="425"/>
      <c r="AQ18" s="425"/>
    </row>
    <row r="19" spans="1:43" s="270" customFormat="1" x14ac:dyDescent="0.25">
      <c r="A19" s="271">
        <v>501443</v>
      </c>
      <c r="B19" s="271">
        <v>1443</v>
      </c>
      <c r="C19" s="271">
        <v>26521</v>
      </c>
      <c r="D19" s="268" t="s">
        <v>894</v>
      </c>
      <c r="E19" s="268" t="s">
        <v>1290</v>
      </c>
      <c r="F19" s="268" t="s">
        <v>2193</v>
      </c>
      <c r="G19" s="268">
        <v>3</v>
      </c>
      <c r="H19" s="268" t="s">
        <v>2235</v>
      </c>
      <c r="I19" s="268" t="s">
        <v>2236</v>
      </c>
      <c r="J19" s="458">
        <v>758141.68720197014</v>
      </c>
      <c r="K19" s="458">
        <v>63178.473933497517</v>
      </c>
      <c r="L19" s="458">
        <v>11194.760870699611</v>
      </c>
      <c r="M19" s="456">
        <v>8298.3985026485352</v>
      </c>
      <c r="N19" s="458">
        <v>119.49693843813893</v>
      </c>
      <c r="O19" s="458">
        <v>216023.90982094666</v>
      </c>
      <c r="P19" s="459">
        <v>13267.47952603448</v>
      </c>
      <c r="Q19" s="458">
        <v>55400.108403681625</v>
      </c>
      <c r="R19" s="458">
        <v>136996.20287739602</v>
      </c>
      <c r="S19" s="458">
        <v>1959.7497903854783</v>
      </c>
      <c r="T19" s="457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G19" s="425"/>
      <c r="AH19" s="425"/>
      <c r="AI19" s="425"/>
      <c r="AJ19" s="425"/>
      <c r="AK19" s="425"/>
      <c r="AL19" s="425"/>
      <c r="AM19" s="425"/>
      <c r="AN19" s="425"/>
      <c r="AO19" s="425"/>
      <c r="AP19" s="425"/>
      <c r="AQ19" s="425"/>
    </row>
    <row r="20" spans="1:43" s="270" customFormat="1" x14ac:dyDescent="0.25">
      <c r="A20" s="418">
        <v>501406</v>
      </c>
      <c r="B20" s="271">
        <v>1412</v>
      </c>
      <c r="C20" s="271">
        <v>45269</v>
      </c>
      <c r="D20" s="268" t="s">
        <v>894</v>
      </c>
      <c r="E20" s="268" t="s">
        <v>1290</v>
      </c>
      <c r="F20" s="268" t="s">
        <v>2237</v>
      </c>
      <c r="G20" s="268">
        <v>3</v>
      </c>
      <c r="H20" s="268" t="s">
        <v>2238</v>
      </c>
      <c r="I20" s="268" t="s">
        <v>2239</v>
      </c>
      <c r="J20" s="458">
        <v>758141.68720197014</v>
      </c>
      <c r="K20" s="458">
        <v>63178.473933497517</v>
      </c>
      <c r="L20" s="458">
        <v>11194.760870699611</v>
      </c>
      <c r="M20" s="456">
        <v>0</v>
      </c>
      <c r="N20" s="458">
        <v>119.49693843813893</v>
      </c>
      <c r="O20" s="458">
        <v>18001.992485078888</v>
      </c>
      <c r="P20" s="459">
        <v>13267.47952603448</v>
      </c>
      <c r="Q20" s="458">
        <v>55400.108403681625</v>
      </c>
      <c r="R20" s="458">
        <v>136996.20287739602</v>
      </c>
      <c r="S20" s="458">
        <v>1959.7497903854783</v>
      </c>
      <c r="T20" s="457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</row>
    <row r="21" spans="1:43" x14ac:dyDescent="0.25">
      <c r="A21" s="276">
        <v>501108</v>
      </c>
      <c r="B21" s="276">
        <v>1108</v>
      </c>
      <c r="C21" s="276">
        <v>50270</v>
      </c>
      <c r="D21" s="268" t="s">
        <v>894</v>
      </c>
      <c r="E21" s="268" t="s">
        <v>1290</v>
      </c>
      <c r="F21" s="268" t="s">
        <v>2240</v>
      </c>
      <c r="G21" s="268">
        <v>3</v>
      </c>
      <c r="H21" s="268" t="s">
        <v>2241</v>
      </c>
      <c r="I21" s="268" t="s">
        <v>2242</v>
      </c>
      <c r="J21" s="456">
        <v>758141.68720197014</v>
      </c>
      <c r="K21" s="459">
        <v>63178.473933497517</v>
      </c>
      <c r="L21" s="458">
        <v>11194.760870699611</v>
      </c>
      <c r="M21" s="456">
        <v>8298.3985026485352</v>
      </c>
      <c r="N21" s="459">
        <v>119.49693843813893</v>
      </c>
      <c r="O21" s="456">
        <v>216023.90982094666</v>
      </c>
      <c r="P21" s="459">
        <v>13267.47952603448</v>
      </c>
      <c r="Q21" s="458">
        <v>55400.108403681625</v>
      </c>
      <c r="R21" s="459">
        <v>136996.20287739602</v>
      </c>
      <c r="S21" s="459">
        <v>1959.7497903854783</v>
      </c>
      <c r="T21" s="457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4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</row>
    <row r="22" spans="1:43" s="270" customFormat="1" x14ac:dyDescent="0.25">
      <c r="A22" s="271">
        <v>501443</v>
      </c>
      <c r="B22" s="271">
        <v>1443</v>
      </c>
      <c r="C22" s="271">
        <v>50445</v>
      </c>
      <c r="D22" s="268" t="s">
        <v>894</v>
      </c>
      <c r="E22" s="268" t="s">
        <v>1290</v>
      </c>
      <c r="F22" s="268" t="s">
        <v>2243</v>
      </c>
      <c r="G22" s="268">
        <v>3</v>
      </c>
      <c r="H22" s="268" t="s">
        <v>2244</v>
      </c>
      <c r="I22" s="268" t="s">
        <v>2245</v>
      </c>
      <c r="J22" s="458">
        <v>758141.68720197014</v>
      </c>
      <c r="K22" s="458">
        <v>63178.473933497517</v>
      </c>
      <c r="L22" s="458">
        <v>11194.760870699611</v>
      </c>
      <c r="M22" s="456">
        <v>8298.3985026485352</v>
      </c>
      <c r="N22" s="458">
        <v>119.49693843813893</v>
      </c>
      <c r="O22" s="458">
        <v>216023.90982094666</v>
      </c>
      <c r="P22" s="459">
        <v>13267.47952603448</v>
      </c>
      <c r="Q22" s="458">
        <v>55400.108403681625</v>
      </c>
      <c r="R22" s="458">
        <v>136996.20287739602</v>
      </c>
      <c r="S22" s="458">
        <v>1959.7497903854783</v>
      </c>
      <c r="T22" s="457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</row>
    <row r="23" spans="1:43" s="270" customFormat="1" x14ac:dyDescent="0.25">
      <c r="A23" s="271">
        <v>501443</v>
      </c>
      <c r="B23" s="418">
        <v>1443</v>
      </c>
      <c r="C23" s="271">
        <v>54195</v>
      </c>
      <c r="D23" s="268" t="s">
        <v>894</v>
      </c>
      <c r="E23" s="268" t="s">
        <v>1278</v>
      </c>
      <c r="F23" s="268" t="s">
        <v>2246</v>
      </c>
      <c r="G23" s="268">
        <v>3</v>
      </c>
      <c r="H23" s="268" t="s">
        <v>2247</v>
      </c>
      <c r="I23" s="268" t="s">
        <v>2228</v>
      </c>
      <c r="J23" s="458">
        <v>758141.68720197014</v>
      </c>
      <c r="K23" s="458">
        <v>63178.473933497517</v>
      </c>
      <c r="L23" s="458">
        <v>11194.760870699611</v>
      </c>
      <c r="M23" s="456">
        <v>8298.3985026485352</v>
      </c>
      <c r="N23" s="458">
        <v>119.49693843813893</v>
      </c>
      <c r="O23" s="458">
        <v>216023.90982094666</v>
      </c>
      <c r="P23" s="459">
        <v>13267.47952603448</v>
      </c>
      <c r="Q23" s="458">
        <v>55400.108403681625</v>
      </c>
      <c r="R23" s="458">
        <v>136996.20287739602</v>
      </c>
      <c r="S23" s="458">
        <v>1959.7497903854783</v>
      </c>
      <c r="T23" s="457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</row>
    <row r="24" spans="1:43" s="270" customFormat="1" x14ac:dyDescent="0.25">
      <c r="A24" s="271">
        <v>501406</v>
      </c>
      <c r="B24" s="271">
        <v>1406</v>
      </c>
      <c r="C24" s="271">
        <v>56672</v>
      </c>
      <c r="D24" s="268" t="s">
        <v>894</v>
      </c>
      <c r="E24" s="268" t="s">
        <v>1290</v>
      </c>
      <c r="F24" s="268" t="s">
        <v>2248</v>
      </c>
      <c r="G24" s="268">
        <v>3</v>
      </c>
      <c r="H24" s="268" t="s">
        <v>2249</v>
      </c>
      <c r="I24" s="268" t="s">
        <v>2250</v>
      </c>
      <c r="J24" s="458">
        <v>758141.68720197014</v>
      </c>
      <c r="K24" s="458">
        <v>63178.473933497517</v>
      </c>
      <c r="L24" s="458">
        <v>11194.760870699611</v>
      </c>
      <c r="M24" s="456">
        <v>8298.3985026485352</v>
      </c>
      <c r="N24" s="458">
        <v>119.49693843813893</v>
      </c>
      <c r="O24" s="458">
        <v>216023.90982094666</v>
      </c>
      <c r="P24" s="459">
        <v>13267.47952603448</v>
      </c>
      <c r="Q24" s="458">
        <v>55400.108403681625</v>
      </c>
      <c r="R24" s="458">
        <v>136996.20287739602</v>
      </c>
      <c r="S24" s="458">
        <v>1959.7497903854783</v>
      </c>
      <c r="T24" s="457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</row>
    <row r="25" spans="1:43" s="270" customFormat="1" x14ac:dyDescent="0.25">
      <c r="A25" s="271">
        <v>501304</v>
      </c>
      <c r="B25" s="271">
        <v>1304</v>
      </c>
      <c r="C25" s="271">
        <v>57639</v>
      </c>
      <c r="D25" s="268" t="s">
        <v>894</v>
      </c>
      <c r="E25" s="268" t="s">
        <v>1278</v>
      </c>
      <c r="F25" s="268" t="s">
        <v>2251</v>
      </c>
      <c r="G25" s="268">
        <v>3</v>
      </c>
      <c r="H25" s="268" t="s">
        <v>2252</v>
      </c>
      <c r="I25" s="268" t="s">
        <v>2253</v>
      </c>
      <c r="J25" s="458">
        <v>758141.68720197014</v>
      </c>
      <c r="K25" s="458">
        <v>63178.473933497517</v>
      </c>
      <c r="L25" s="458">
        <v>11194.760870699611</v>
      </c>
      <c r="M25" s="456">
        <v>8298.3985026485352</v>
      </c>
      <c r="N25" s="458">
        <v>119.49693843813893</v>
      </c>
      <c r="O25" s="458">
        <v>216023.90982094666</v>
      </c>
      <c r="P25" s="459">
        <v>13267.47952603448</v>
      </c>
      <c r="Q25" s="458">
        <v>55400.108403681625</v>
      </c>
      <c r="R25" s="458">
        <v>136996.20287739602</v>
      </c>
      <c r="S25" s="458">
        <v>1959.7497903854783</v>
      </c>
      <c r="T25" s="457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</row>
    <row r="26" spans="1:43" x14ac:dyDescent="0.25">
      <c r="A26" s="271">
        <v>501443</v>
      </c>
      <c r="B26" s="271">
        <v>1443</v>
      </c>
      <c r="C26" s="271">
        <v>90405</v>
      </c>
      <c r="D26" s="268" t="s">
        <v>876</v>
      </c>
      <c r="E26" s="268" t="s">
        <v>1290</v>
      </c>
      <c r="F26" s="268" t="s">
        <v>2254</v>
      </c>
      <c r="G26" s="268">
        <v>3</v>
      </c>
      <c r="H26" s="268" t="s">
        <v>2255</v>
      </c>
      <c r="I26" s="268" t="s">
        <v>2228</v>
      </c>
      <c r="J26" s="458">
        <v>758141.68720197014</v>
      </c>
      <c r="K26" s="458">
        <v>63178.473933497517</v>
      </c>
      <c r="L26" s="458">
        <v>11194.760870699611</v>
      </c>
      <c r="M26" s="456">
        <v>8298.3985026485352</v>
      </c>
      <c r="N26" s="458">
        <v>119.49693843813893</v>
      </c>
      <c r="O26" s="458">
        <v>216023.90982094666</v>
      </c>
      <c r="P26" s="459">
        <v>13267.47952603448</v>
      </c>
      <c r="Q26" s="458">
        <v>55400.108403681625</v>
      </c>
      <c r="R26" s="458">
        <v>136996.20287739602</v>
      </c>
      <c r="S26" s="458">
        <v>1959.7497903854783</v>
      </c>
      <c r="T26" s="457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4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</row>
    <row r="27" spans="1:43" x14ac:dyDescent="0.25">
      <c r="A27" s="271">
        <v>501503</v>
      </c>
      <c r="B27" s="271">
        <v>1503</v>
      </c>
      <c r="C27" s="271">
        <v>200008</v>
      </c>
      <c r="D27" s="268" t="s">
        <v>894</v>
      </c>
      <c r="E27" s="268" t="s">
        <v>1290</v>
      </c>
      <c r="F27" s="268" t="s">
        <v>2256</v>
      </c>
      <c r="G27" s="268">
        <v>3</v>
      </c>
      <c r="H27" s="268" t="s">
        <v>2257</v>
      </c>
      <c r="I27" s="268" t="s">
        <v>2258</v>
      </c>
      <c r="J27" s="458">
        <v>758141.68720197014</v>
      </c>
      <c r="K27" s="458">
        <v>63178.473933497517</v>
      </c>
      <c r="L27" s="458">
        <v>11194.760870699611</v>
      </c>
      <c r="M27" s="456">
        <v>8298.3985026485352</v>
      </c>
      <c r="N27" s="458">
        <v>119.49693843813893</v>
      </c>
      <c r="O27" s="458">
        <v>216023.90982094666</v>
      </c>
      <c r="P27" s="459">
        <v>13267.47952603448</v>
      </c>
      <c r="Q27" s="458">
        <v>55400.108403681625</v>
      </c>
      <c r="R27" s="458">
        <v>136996.20287739602</v>
      </c>
      <c r="S27" s="458">
        <v>1959.7497903854783</v>
      </c>
      <c r="T27" s="457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4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</row>
    <row r="28" spans="1:43" s="270" customFormat="1" x14ac:dyDescent="0.25">
      <c r="A28" s="418">
        <v>501208</v>
      </c>
      <c r="B28" s="271">
        <v>1203</v>
      </c>
      <c r="C28" s="271">
        <v>200048</v>
      </c>
      <c r="D28" s="268" t="s">
        <v>1698</v>
      </c>
      <c r="E28" s="268" t="s">
        <v>1290</v>
      </c>
      <c r="F28" s="268" t="s">
        <v>898</v>
      </c>
      <c r="G28" s="268">
        <v>3</v>
      </c>
      <c r="H28" s="268" t="s">
        <v>2259</v>
      </c>
      <c r="I28" s="268" t="s">
        <v>2260</v>
      </c>
      <c r="J28" s="458">
        <v>758141.68720197014</v>
      </c>
      <c r="K28" s="458">
        <v>63178.473933497517</v>
      </c>
      <c r="L28" s="458">
        <v>11194.760870699611</v>
      </c>
      <c r="M28" s="456">
        <v>11064.531336864713</v>
      </c>
      <c r="N28" s="458">
        <v>119.49693843813893</v>
      </c>
      <c r="O28" s="458">
        <v>216023.90982094666</v>
      </c>
      <c r="P28" s="459">
        <v>13267.47952603448</v>
      </c>
      <c r="Q28" s="458">
        <v>55400.108403681625</v>
      </c>
      <c r="R28" s="458">
        <v>136996.20287739602</v>
      </c>
      <c r="S28" s="458">
        <v>1959.7497903854783</v>
      </c>
      <c r="T28" s="457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</row>
    <row r="29" spans="1:43" s="270" customFormat="1" x14ac:dyDescent="0.25">
      <c r="A29" s="271">
        <v>501305</v>
      </c>
      <c r="B29" s="271">
        <v>1305</v>
      </c>
      <c r="C29" s="271">
        <v>200142</v>
      </c>
      <c r="D29" s="268" t="s">
        <v>894</v>
      </c>
      <c r="E29" s="268" t="s">
        <v>1290</v>
      </c>
      <c r="F29" s="268" t="s">
        <v>2261</v>
      </c>
      <c r="G29" s="268">
        <v>3</v>
      </c>
      <c r="H29" s="268" t="s">
        <v>2262</v>
      </c>
      <c r="I29" s="268" t="s">
        <v>2263</v>
      </c>
      <c r="J29" s="458">
        <v>758141.68720197014</v>
      </c>
      <c r="K29" s="458">
        <v>63178.473933497517</v>
      </c>
      <c r="L29" s="458">
        <v>11194.760870699611</v>
      </c>
      <c r="M29" s="456">
        <v>8298.3985026485352</v>
      </c>
      <c r="N29" s="458">
        <v>119.49693843813893</v>
      </c>
      <c r="O29" s="458">
        <v>216023.90982094666</v>
      </c>
      <c r="P29" s="459">
        <v>13267.47952603448</v>
      </c>
      <c r="Q29" s="458">
        <v>55400.108403681625</v>
      </c>
      <c r="R29" s="458">
        <v>136996.20287739602</v>
      </c>
      <c r="S29" s="458">
        <v>1959.7497903854783</v>
      </c>
      <c r="T29" s="457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G29" s="425"/>
      <c r="AH29" s="425"/>
      <c r="AI29" s="425"/>
      <c r="AJ29" s="425"/>
      <c r="AK29" s="425"/>
      <c r="AL29" s="425"/>
      <c r="AM29" s="425"/>
      <c r="AN29" s="425"/>
      <c r="AO29" s="425"/>
      <c r="AP29" s="425"/>
      <c r="AQ29" s="425"/>
    </row>
    <row r="30" spans="1:43" s="270" customFormat="1" x14ac:dyDescent="0.25">
      <c r="A30" s="271">
        <v>501205</v>
      </c>
      <c r="B30" s="271">
        <v>1205</v>
      </c>
      <c r="C30" s="271">
        <v>200185</v>
      </c>
      <c r="D30" s="268" t="s">
        <v>894</v>
      </c>
      <c r="E30" s="268" t="s">
        <v>1290</v>
      </c>
      <c r="F30" s="268" t="s">
        <v>731</v>
      </c>
      <c r="G30" s="268">
        <v>3</v>
      </c>
      <c r="H30" s="268" t="s">
        <v>2264</v>
      </c>
      <c r="I30" s="268" t="s">
        <v>2265</v>
      </c>
      <c r="J30" s="458">
        <v>758141.68720197014</v>
      </c>
      <c r="K30" s="458">
        <v>63178.473933497517</v>
      </c>
      <c r="L30" s="458">
        <v>11194.760870699611</v>
      </c>
      <c r="M30" s="456">
        <v>8298.3985026485352</v>
      </c>
      <c r="N30" s="458">
        <v>119.49693843813893</v>
      </c>
      <c r="O30" s="458">
        <v>216023.90982094666</v>
      </c>
      <c r="P30" s="459">
        <v>13267.47952603448</v>
      </c>
      <c r="Q30" s="458">
        <v>55400.108403681625</v>
      </c>
      <c r="R30" s="458">
        <v>136996.20287739602</v>
      </c>
      <c r="S30" s="458">
        <v>1959.7497903854783</v>
      </c>
      <c r="T30" s="457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G30" s="425"/>
      <c r="AH30" s="425"/>
      <c r="AI30" s="425"/>
      <c r="AJ30" s="425"/>
      <c r="AK30" s="425"/>
      <c r="AL30" s="425"/>
      <c r="AM30" s="425"/>
      <c r="AN30" s="425"/>
      <c r="AO30" s="425"/>
      <c r="AP30" s="425"/>
      <c r="AQ30" s="425"/>
    </row>
    <row r="31" spans="1:43" s="270" customFormat="1" x14ac:dyDescent="0.25">
      <c r="A31" s="417">
        <v>501502</v>
      </c>
      <c r="B31" s="276">
        <v>1502</v>
      </c>
      <c r="C31" s="276">
        <v>200407</v>
      </c>
      <c r="D31" s="268" t="s">
        <v>894</v>
      </c>
      <c r="E31" s="268" t="s">
        <v>1278</v>
      </c>
      <c r="F31" s="268" t="s">
        <v>2266</v>
      </c>
      <c r="G31" s="268">
        <v>3</v>
      </c>
      <c r="H31" s="268" t="s">
        <v>2267</v>
      </c>
      <c r="I31" s="268" t="s">
        <v>2268</v>
      </c>
      <c r="J31" s="456">
        <v>758141.68720197014</v>
      </c>
      <c r="K31" s="459">
        <v>63178.473933497517</v>
      </c>
      <c r="L31" s="458">
        <v>11194.760870699611</v>
      </c>
      <c r="M31" s="456">
        <v>8298.3985026485352</v>
      </c>
      <c r="N31" s="459">
        <v>119.49693843813893</v>
      </c>
      <c r="O31" s="456">
        <v>216023.90982094666</v>
      </c>
      <c r="P31" s="459">
        <v>13267.47952603448</v>
      </c>
      <c r="Q31" s="458">
        <v>55400.108403681625</v>
      </c>
      <c r="R31" s="459">
        <v>136996.20287739602</v>
      </c>
      <c r="S31" s="459">
        <v>1959.7497903854783</v>
      </c>
      <c r="T31" s="457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G31" s="425"/>
      <c r="AH31" s="425"/>
      <c r="AI31" s="425"/>
      <c r="AJ31" s="425"/>
      <c r="AK31" s="425"/>
      <c r="AL31" s="425"/>
      <c r="AM31" s="425"/>
      <c r="AN31" s="425"/>
      <c r="AO31" s="425"/>
      <c r="AP31" s="425"/>
      <c r="AQ31" s="425"/>
    </row>
    <row r="32" spans="1:43" s="270" customFormat="1" x14ac:dyDescent="0.25">
      <c r="A32" s="418">
        <v>501406</v>
      </c>
      <c r="B32" s="271">
        <v>1412</v>
      </c>
      <c r="C32" s="271">
        <v>52087</v>
      </c>
      <c r="D32" s="268" t="s">
        <v>894</v>
      </c>
      <c r="E32" s="268" t="s">
        <v>1278</v>
      </c>
      <c r="F32" s="268" t="s">
        <v>2193</v>
      </c>
      <c r="G32" s="268">
        <v>3</v>
      </c>
      <c r="H32" s="268" t="s">
        <v>2269</v>
      </c>
      <c r="I32" s="268" t="s">
        <v>2270</v>
      </c>
      <c r="J32" s="458">
        <v>712533.68903141387</v>
      </c>
      <c r="K32" s="458">
        <v>59377.807419284487</v>
      </c>
      <c r="L32" s="458">
        <v>11194.760870699611</v>
      </c>
      <c r="M32" s="456">
        <v>0</v>
      </c>
      <c r="N32" s="458">
        <v>119.49693843813893</v>
      </c>
      <c r="O32" s="458">
        <v>203366.08597157343</v>
      </c>
      <c r="P32" s="459">
        <v>12469.339558049744</v>
      </c>
      <c r="Q32" s="458">
        <v>55400.108403681625</v>
      </c>
      <c r="R32" s="458">
        <v>128754.83760797649</v>
      </c>
      <c r="S32" s="458">
        <v>1959.7497903854783</v>
      </c>
      <c r="T32" s="457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G32" s="425"/>
      <c r="AH32" s="425"/>
      <c r="AI32" s="425"/>
      <c r="AJ32" s="425"/>
      <c r="AK32" s="425"/>
      <c r="AL32" s="425"/>
      <c r="AM32" s="425"/>
      <c r="AN32" s="425"/>
      <c r="AO32" s="425"/>
      <c r="AP32" s="425"/>
      <c r="AQ32" s="425"/>
    </row>
    <row r="33" spans="1:43" s="270" customFormat="1" x14ac:dyDescent="0.25">
      <c r="A33" s="271">
        <v>501205</v>
      </c>
      <c r="B33" s="271">
        <v>1205</v>
      </c>
      <c r="C33" s="271">
        <v>86121</v>
      </c>
      <c r="D33" s="268" t="s">
        <v>894</v>
      </c>
      <c r="E33" s="268" t="s">
        <v>1278</v>
      </c>
      <c r="F33" s="268" t="s">
        <v>1304</v>
      </c>
      <c r="G33" s="268">
        <v>3</v>
      </c>
      <c r="H33" s="268" t="s">
        <v>2271</v>
      </c>
      <c r="I33" s="268" t="s">
        <v>2272</v>
      </c>
      <c r="J33" s="458">
        <v>689740.75447747251</v>
      </c>
      <c r="K33" s="458">
        <v>57478.396206456047</v>
      </c>
      <c r="L33" s="458">
        <v>11194.760870699611</v>
      </c>
      <c r="M33" s="456">
        <v>8298.3985026485352</v>
      </c>
      <c r="N33" s="458">
        <v>119.49693843813893</v>
      </c>
      <c r="O33" s="458">
        <v>195775.81747448424</v>
      </c>
      <c r="P33" s="459">
        <v>12070.46320335577</v>
      </c>
      <c r="Q33" s="458">
        <v>55400.108403681625</v>
      </c>
      <c r="R33" s="458">
        <v>124636.15433407929</v>
      </c>
      <c r="S33" s="458">
        <v>1959.7497903854783</v>
      </c>
      <c r="T33" s="457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G33" s="425"/>
      <c r="AH33" s="425"/>
      <c r="AI33" s="425"/>
      <c r="AJ33" s="425"/>
      <c r="AK33" s="425"/>
      <c r="AL33" s="425"/>
      <c r="AM33" s="425"/>
      <c r="AN33" s="425"/>
      <c r="AO33" s="425"/>
      <c r="AP33" s="425"/>
      <c r="AQ33" s="425"/>
    </row>
    <row r="34" spans="1:43" s="270" customFormat="1" x14ac:dyDescent="0.25">
      <c r="A34" s="276">
        <v>501304</v>
      </c>
      <c r="B34" s="276">
        <v>1304</v>
      </c>
      <c r="C34" s="276">
        <v>200035</v>
      </c>
      <c r="D34" s="268" t="s">
        <v>894</v>
      </c>
      <c r="E34" s="268" t="s">
        <v>1290</v>
      </c>
      <c r="F34" s="268" t="s">
        <v>2273</v>
      </c>
      <c r="G34" s="268">
        <v>3</v>
      </c>
      <c r="H34" s="268" t="s">
        <v>2274</v>
      </c>
      <c r="I34" s="268" t="s">
        <v>2275</v>
      </c>
      <c r="J34" s="456">
        <v>689740.75447747251</v>
      </c>
      <c r="K34" s="459">
        <v>57478.396206456047</v>
      </c>
      <c r="L34" s="458">
        <v>11194.760870699611</v>
      </c>
      <c r="M34" s="456">
        <v>8298.3985026485352</v>
      </c>
      <c r="N34" s="459">
        <v>119.49693843813893</v>
      </c>
      <c r="O34" s="456">
        <v>195775.81747448424</v>
      </c>
      <c r="P34" s="459">
        <v>12070.46320335577</v>
      </c>
      <c r="Q34" s="458">
        <v>55400.108403681625</v>
      </c>
      <c r="R34" s="459">
        <v>124636.15433407929</v>
      </c>
      <c r="S34" s="459">
        <v>1959.7497903854783</v>
      </c>
      <c r="T34" s="457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G34" s="425"/>
      <c r="AH34" s="425"/>
      <c r="AI34" s="425"/>
      <c r="AJ34" s="425"/>
      <c r="AK34" s="425"/>
      <c r="AL34" s="425"/>
      <c r="AM34" s="425"/>
      <c r="AN34" s="425"/>
      <c r="AO34" s="425"/>
      <c r="AP34" s="425"/>
      <c r="AQ34" s="425"/>
    </row>
    <row r="35" spans="1:43" s="270" customFormat="1" x14ac:dyDescent="0.25">
      <c r="A35" s="271">
        <v>501442</v>
      </c>
      <c r="B35" s="271">
        <v>1442</v>
      </c>
      <c r="C35" s="271">
        <v>8345</v>
      </c>
      <c r="D35" s="268" t="s">
        <v>1698</v>
      </c>
      <c r="E35" s="268" t="s">
        <v>1290</v>
      </c>
      <c r="F35" s="268" t="s">
        <v>1698</v>
      </c>
      <c r="G35" s="268">
        <v>5</v>
      </c>
      <c r="H35" s="268" t="s">
        <v>2276</v>
      </c>
      <c r="I35" s="268" t="s">
        <v>2277</v>
      </c>
      <c r="J35" s="458">
        <v>585258.38506345905</v>
      </c>
      <c r="K35" s="458">
        <v>48771.532088621585</v>
      </c>
      <c r="L35" s="458">
        <v>11194.760870699611</v>
      </c>
      <c r="M35" s="456">
        <v>5532.2656684323565</v>
      </c>
      <c r="N35" s="458">
        <v>119.49693843813893</v>
      </c>
      <c r="O35" s="458">
        <v>195775.81747448424</v>
      </c>
      <c r="P35" s="459">
        <v>10242.021738610534</v>
      </c>
      <c r="Q35" s="458">
        <v>55400.108403681625</v>
      </c>
      <c r="R35" s="458">
        <v>105756.19018096704</v>
      </c>
      <c r="S35" s="458">
        <v>1959.7497903854783</v>
      </c>
      <c r="T35" s="457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G35" s="425"/>
      <c r="AH35" s="425"/>
      <c r="AI35" s="425"/>
      <c r="AJ35" s="425"/>
      <c r="AK35" s="425"/>
      <c r="AL35" s="425"/>
      <c r="AM35" s="425"/>
      <c r="AN35" s="425"/>
      <c r="AO35" s="425"/>
      <c r="AP35" s="425"/>
      <c r="AQ35" s="425"/>
    </row>
    <row r="36" spans="1:43" x14ac:dyDescent="0.25">
      <c r="A36" s="271">
        <v>501204</v>
      </c>
      <c r="B36" s="271">
        <v>1204</v>
      </c>
      <c r="C36" s="271">
        <v>12632</v>
      </c>
      <c r="D36" s="268" t="s">
        <v>1698</v>
      </c>
      <c r="E36" s="268" t="s">
        <v>1290</v>
      </c>
      <c r="F36" s="268" t="s">
        <v>2278</v>
      </c>
      <c r="G36" s="268">
        <v>5</v>
      </c>
      <c r="H36" s="268" t="s">
        <v>2279</v>
      </c>
      <c r="I36" s="268" t="s">
        <v>2280</v>
      </c>
      <c r="J36" s="458">
        <v>585258.38506345905</v>
      </c>
      <c r="K36" s="458">
        <v>48771.532088621585</v>
      </c>
      <c r="L36" s="458">
        <v>11194.760870699611</v>
      </c>
      <c r="M36" s="456">
        <v>0</v>
      </c>
      <c r="N36" s="458">
        <v>119.49693843813893</v>
      </c>
      <c r="O36" s="458">
        <v>167948.52116226949</v>
      </c>
      <c r="P36" s="459">
        <v>10242.021738610534</v>
      </c>
      <c r="Q36" s="458">
        <v>55400.108403681625</v>
      </c>
      <c r="R36" s="458">
        <v>105756.19018096704</v>
      </c>
      <c r="S36" s="458">
        <v>1959.7497903854783</v>
      </c>
      <c r="T36" s="457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4"/>
      <c r="AG36" s="425"/>
      <c r="AH36" s="425"/>
      <c r="AI36" s="425"/>
      <c r="AJ36" s="425"/>
      <c r="AK36" s="425"/>
      <c r="AL36" s="425"/>
      <c r="AM36" s="425"/>
      <c r="AN36" s="425"/>
      <c r="AO36" s="425"/>
      <c r="AP36" s="425"/>
      <c r="AQ36" s="425"/>
    </row>
    <row r="37" spans="1:43" s="270" customFormat="1" x14ac:dyDescent="0.25">
      <c r="A37" s="271">
        <v>501445</v>
      </c>
      <c r="B37" s="271">
        <v>1445</v>
      </c>
      <c r="C37" s="271">
        <v>17996</v>
      </c>
      <c r="D37" s="268" t="s">
        <v>1698</v>
      </c>
      <c r="E37" s="268" t="s">
        <v>1290</v>
      </c>
      <c r="F37" s="268" t="s">
        <v>2281</v>
      </c>
      <c r="G37" s="268">
        <v>5</v>
      </c>
      <c r="H37" s="268" t="s">
        <v>2282</v>
      </c>
      <c r="I37" s="268" t="s">
        <v>2283</v>
      </c>
      <c r="J37" s="458">
        <v>585258.38506345905</v>
      </c>
      <c r="K37" s="458">
        <v>48771.532088621585</v>
      </c>
      <c r="L37" s="458">
        <v>11194.760870699611</v>
      </c>
      <c r="M37" s="456">
        <v>0</v>
      </c>
      <c r="N37" s="458">
        <v>119.49693843813893</v>
      </c>
      <c r="O37" s="458">
        <v>167948.52116226949</v>
      </c>
      <c r="P37" s="459">
        <v>10242.021738610534</v>
      </c>
      <c r="Q37" s="458">
        <v>55400.108403681625</v>
      </c>
      <c r="R37" s="458">
        <v>105756.19018096704</v>
      </c>
      <c r="S37" s="458">
        <v>1959.7497903854783</v>
      </c>
      <c r="T37" s="457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G37" s="425"/>
      <c r="AH37" s="425"/>
      <c r="AI37" s="425"/>
      <c r="AJ37" s="425"/>
      <c r="AK37" s="425"/>
      <c r="AL37" s="425"/>
      <c r="AM37" s="425"/>
      <c r="AN37" s="425"/>
      <c r="AO37" s="425"/>
      <c r="AP37" s="425"/>
      <c r="AQ37" s="425"/>
    </row>
    <row r="38" spans="1:43" s="270" customFormat="1" x14ac:dyDescent="0.25">
      <c r="A38" s="276">
        <v>501502</v>
      </c>
      <c r="B38" s="276">
        <v>1502</v>
      </c>
      <c r="C38" s="276">
        <v>23126</v>
      </c>
      <c r="D38" s="268" t="s">
        <v>1698</v>
      </c>
      <c r="E38" s="268" t="s">
        <v>1278</v>
      </c>
      <c r="F38" s="268" t="s">
        <v>876</v>
      </c>
      <c r="G38" s="268">
        <v>5</v>
      </c>
      <c r="H38" s="268" t="s">
        <v>2284</v>
      </c>
      <c r="I38" s="268" t="s">
        <v>2285</v>
      </c>
      <c r="J38" s="456">
        <v>585258.38506345905</v>
      </c>
      <c r="K38" s="459">
        <v>48771.532088621585</v>
      </c>
      <c r="L38" s="458">
        <v>11194.760870699611</v>
      </c>
      <c r="M38" s="456">
        <v>4979.0391015891209</v>
      </c>
      <c r="N38" s="459">
        <v>119.49693843813893</v>
      </c>
      <c r="O38" s="456">
        <v>167948.52116226949</v>
      </c>
      <c r="P38" s="459">
        <v>10242.021738610534</v>
      </c>
      <c r="Q38" s="458">
        <v>55400.108403681625</v>
      </c>
      <c r="R38" s="459">
        <v>105756.19018096704</v>
      </c>
      <c r="S38" s="459">
        <v>1959.7497903854783</v>
      </c>
      <c r="T38" s="457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G38" s="425"/>
      <c r="AH38" s="425"/>
      <c r="AI38" s="425"/>
      <c r="AJ38" s="425"/>
      <c r="AK38" s="425"/>
      <c r="AL38" s="425"/>
      <c r="AM38" s="425"/>
      <c r="AN38" s="425"/>
      <c r="AO38" s="425"/>
      <c r="AP38" s="425"/>
      <c r="AQ38" s="425"/>
    </row>
    <row r="39" spans="1:43" s="270" customFormat="1" x14ac:dyDescent="0.25">
      <c r="A39" s="271">
        <v>501407</v>
      </c>
      <c r="B39" s="271">
        <v>1407</v>
      </c>
      <c r="C39" s="271">
        <v>29078</v>
      </c>
      <c r="D39" s="268" t="s">
        <v>894</v>
      </c>
      <c r="E39" s="268" t="s">
        <v>1278</v>
      </c>
      <c r="F39" s="268" t="s">
        <v>2286</v>
      </c>
      <c r="G39" s="268">
        <v>5</v>
      </c>
      <c r="H39" s="268" t="s">
        <v>2287</v>
      </c>
      <c r="I39" s="268" t="s">
        <v>2288</v>
      </c>
      <c r="J39" s="458">
        <v>585258.38506345905</v>
      </c>
      <c r="K39" s="458">
        <v>48771.532088621585</v>
      </c>
      <c r="L39" s="458">
        <v>11194.760870699611</v>
      </c>
      <c r="M39" s="456">
        <v>8298.3985026485352</v>
      </c>
      <c r="N39" s="458">
        <v>119.49693843813893</v>
      </c>
      <c r="O39" s="458">
        <v>165680.29223821222</v>
      </c>
      <c r="P39" s="459">
        <v>10242.021738610534</v>
      </c>
      <c r="Q39" s="458">
        <v>55400.108403681625</v>
      </c>
      <c r="R39" s="458">
        <v>105756.19018096704</v>
      </c>
      <c r="S39" s="458">
        <v>1959.7497903854783</v>
      </c>
      <c r="T39" s="457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G39" s="425"/>
      <c r="AH39" s="425"/>
      <c r="AI39" s="425"/>
      <c r="AJ39" s="425"/>
      <c r="AK39" s="425"/>
      <c r="AL39" s="425"/>
      <c r="AM39" s="425"/>
      <c r="AN39" s="425"/>
      <c r="AO39" s="425"/>
      <c r="AP39" s="425"/>
      <c r="AQ39" s="425"/>
    </row>
    <row r="40" spans="1:43" s="270" customFormat="1" x14ac:dyDescent="0.25">
      <c r="A40" s="271">
        <v>501203</v>
      </c>
      <c r="B40" s="271">
        <v>1203</v>
      </c>
      <c r="C40" s="271">
        <v>29528</v>
      </c>
      <c r="D40" s="268" t="s">
        <v>894</v>
      </c>
      <c r="E40" s="268" t="s">
        <v>1278</v>
      </c>
      <c r="F40" s="268" t="s">
        <v>2289</v>
      </c>
      <c r="G40" s="268">
        <v>5</v>
      </c>
      <c r="H40" s="268" t="s">
        <v>2290</v>
      </c>
      <c r="I40" s="268" t="s">
        <v>2291</v>
      </c>
      <c r="J40" s="458">
        <v>585258.38506345905</v>
      </c>
      <c r="K40" s="458">
        <v>48771.532088621585</v>
      </c>
      <c r="L40" s="458">
        <v>11194.760870699611</v>
      </c>
      <c r="M40" s="456">
        <v>0</v>
      </c>
      <c r="N40" s="458">
        <v>119.49693843813893</v>
      </c>
      <c r="O40" s="459">
        <v>0</v>
      </c>
      <c r="P40" s="459">
        <v>10242.021738610534</v>
      </c>
      <c r="Q40" s="458">
        <v>55400.108403681625</v>
      </c>
      <c r="R40" s="458">
        <v>105756.19018096704</v>
      </c>
      <c r="S40" s="458">
        <v>1959.7497903854783</v>
      </c>
      <c r="T40" s="457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G40" s="425"/>
      <c r="AH40" s="425"/>
      <c r="AI40" s="425"/>
      <c r="AJ40" s="425"/>
      <c r="AK40" s="425"/>
      <c r="AL40" s="425"/>
      <c r="AM40" s="425"/>
      <c r="AN40" s="425"/>
      <c r="AO40" s="425"/>
      <c r="AP40" s="425"/>
      <c r="AQ40" s="425"/>
    </row>
    <row r="41" spans="1:43" s="270" customFormat="1" x14ac:dyDescent="0.25">
      <c r="A41" s="276">
        <v>501206</v>
      </c>
      <c r="B41" s="276">
        <v>1206</v>
      </c>
      <c r="C41" s="276">
        <v>38593</v>
      </c>
      <c r="D41" s="268" t="s">
        <v>876</v>
      </c>
      <c r="E41" s="268" t="s">
        <v>1290</v>
      </c>
      <c r="F41" s="268" t="s">
        <v>2292</v>
      </c>
      <c r="G41" s="268">
        <v>5</v>
      </c>
      <c r="H41" s="268" t="s">
        <v>2293</v>
      </c>
      <c r="I41" s="268" t="s">
        <v>2294</v>
      </c>
      <c r="J41" s="456">
        <v>585258.38506345905</v>
      </c>
      <c r="K41" s="459">
        <v>48771.532088621585</v>
      </c>
      <c r="L41" s="458">
        <v>11194.760870699611</v>
      </c>
      <c r="M41" s="456">
        <v>8298.3985026485352</v>
      </c>
      <c r="N41" s="459">
        <v>119.49693843813893</v>
      </c>
      <c r="O41" s="456">
        <v>195775.81747448424</v>
      </c>
      <c r="P41" s="459">
        <v>10242.021738610534</v>
      </c>
      <c r="Q41" s="458">
        <v>55400.108403681625</v>
      </c>
      <c r="R41" s="459">
        <v>105756.19018096704</v>
      </c>
      <c r="S41" s="459">
        <v>1959.7497903854783</v>
      </c>
      <c r="T41" s="457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G41" s="425"/>
      <c r="AH41" s="425"/>
      <c r="AI41" s="425"/>
      <c r="AJ41" s="425"/>
      <c r="AK41" s="425"/>
      <c r="AL41" s="425"/>
      <c r="AM41" s="425"/>
      <c r="AN41" s="425"/>
      <c r="AO41" s="425"/>
      <c r="AP41" s="425"/>
      <c r="AQ41" s="425"/>
    </row>
    <row r="42" spans="1:43" s="270" customFormat="1" x14ac:dyDescent="0.25">
      <c r="A42" s="276">
        <v>501502</v>
      </c>
      <c r="B42" s="276">
        <v>1502</v>
      </c>
      <c r="C42" s="276">
        <v>43643</v>
      </c>
      <c r="D42" s="268" t="s">
        <v>894</v>
      </c>
      <c r="E42" s="268" t="s">
        <v>1278</v>
      </c>
      <c r="F42" s="268" t="s">
        <v>2266</v>
      </c>
      <c r="G42" s="268">
        <v>5</v>
      </c>
      <c r="H42" s="268" t="s">
        <v>2295</v>
      </c>
      <c r="I42" s="268" t="s">
        <v>2296</v>
      </c>
      <c r="J42" s="456">
        <v>585258.38506345905</v>
      </c>
      <c r="K42" s="459">
        <v>48771.532088621585</v>
      </c>
      <c r="L42" s="458">
        <v>11194.760870699611</v>
      </c>
      <c r="M42" s="456">
        <v>3872.5859679026498</v>
      </c>
      <c r="N42" s="459">
        <v>119.49693843813893</v>
      </c>
      <c r="O42" s="456">
        <v>167948.52116226949</v>
      </c>
      <c r="P42" s="459">
        <v>10242.021738610534</v>
      </c>
      <c r="Q42" s="458">
        <v>55400.108403681625</v>
      </c>
      <c r="R42" s="459">
        <v>105756.19018096704</v>
      </c>
      <c r="S42" s="459">
        <v>1959.7497903854783</v>
      </c>
      <c r="T42" s="457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G42" s="425"/>
      <c r="AH42" s="425"/>
      <c r="AI42" s="425"/>
      <c r="AJ42" s="425"/>
      <c r="AK42" s="425"/>
      <c r="AL42" s="425"/>
      <c r="AM42" s="425"/>
      <c r="AN42" s="425"/>
      <c r="AO42" s="425"/>
      <c r="AP42" s="425"/>
      <c r="AQ42" s="425"/>
    </row>
    <row r="43" spans="1:43" s="270" customFormat="1" x14ac:dyDescent="0.25">
      <c r="A43" s="271">
        <v>501442</v>
      </c>
      <c r="B43" s="271">
        <v>1442</v>
      </c>
      <c r="C43" s="271">
        <v>50322</v>
      </c>
      <c r="D43" s="268" t="s">
        <v>894</v>
      </c>
      <c r="E43" s="268" t="s">
        <v>1278</v>
      </c>
      <c r="F43" s="268" t="s">
        <v>2297</v>
      </c>
      <c r="G43" s="268">
        <v>5</v>
      </c>
      <c r="H43" s="268" t="s">
        <v>2298</v>
      </c>
      <c r="I43" s="268" t="s">
        <v>2277</v>
      </c>
      <c r="J43" s="458">
        <v>585258.38506345905</v>
      </c>
      <c r="K43" s="458">
        <v>48771.532088621585</v>
      </c>
      <c r="L43" s="458">
        <v>11194.760870699611</v>
      </c>
      <c r="M43" s="456">
        <v>0</v>
      </c>
      <c r="N43" s="458">
        <v>119.49693843813893</v>
      </c>
      <c r="O43" s="458">
        <v>167948.52116226949</v>
      </c>
      <c r="P43" s="459">
        <v>10242.021738610534</v>
      </c>
      <c r="Q43" s="458">
        <v>55400.108403681625</v>
      </c>
      <c r="R43" s="458">
        <v>105756.19018096704</v>
      </c>
      <c r="S43" s="458">
        <v>1959.7497903854783</v>
      </c>
      <c r="T43" s="457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G43" s="425"/>
      <c r="AH43" s="425"/>
      <c r="AI43" s="425"/>
      <c r="AJ43" s="425"/>
      <c r="AK43" s="425"/>
      <c r="AL43" s="425"/>
      <c r="AM43" s="425"/>
      <c r="AN43" s="425"/>
      <c r="AO43" s="425"/>
      <c r="AP43" s="425"/>
      <c r="AQ43" s="425"/>
    </row>
    <row r="44" spans="1:43" s="270" customFormat="1" x14ac:dyDescent="0.25">
      <c r="A44" s="276">
        <v>501101</v>
      </c>
      <c r="B44" s="276">
        <v>1101</v>
      </c>
      <c r="C44" s="276">
        <v>51677</v>
      </c>
      <c r="D44" s="268" t="s">
        <v>894</v>
      </c>
      <c r="E44" s="268" t="s">
        <v>1290</v>
      </c>
      <c r="F44" s="268" t="s">
        <v>2299</v>
      </c>
      <c r="G44" s="268">
        <v>5</v>
      </c>
      <c r="H44" s="268" t="s">
        <v>2300</v>
      </c>
      <c r="I44" s="268" t="s">
        <v>2301</v>
      </c>
      <c r="J44" s="456">
        <v>585258.38506345905</v>
      </c>
      <c r="K44" s="459">
        <v>48771.532088621585</v>
      </c>
      <c r="L44" s="458">
        <v>11194.760870699611</v>
      </c>
      <c r="M44" s="456">
        <v>3872.5859679026498</v>
      </c>
      <c r="N44" s="459">
        <v>119.49693843813893</v>
      </c>
      <c r="O44" s="456">
        <v>167948.52116226949</v>
      </c>
      <c r="P44" s="459">
        <v>10242.021738610534</v>
      </c>
      <c r="Q44" s="458">
        <v>55400.108403681625</v>
      </c>
      <c r="R44" s="459">
        <v>105756.19018096704</v>
      </c>
      <c r="S44" s="459">
        <v>1959.7497903854783</v>
      </c>
      <c r="T44" s="457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G44" s="425"/>
      <c r="AH44" s="425"/>
      <c r="AI44" s="425"/>
      <c r="AJ44" s="425"/>
      <c r="AK44" s="425"/>
      <c r="AL44" s="425"/>
      <c r="AM44" s="425"/>
      <c r="AN44" s="425"/>
      <c r="AO44" s="425"/>
      <c r="AP44" s="425"/>
      <c r="AQ44" s="425"/>
    </row>
    <row r="45" spans="1:43" s="270" customFormat="1" x14ac:dyDescent="0.25">
      <c r="A45" s="276">
        <v>501101</v>
      </c>
      <c r="B45" s="276">
        <v>1101</v>
      </c>
      <c r="C45" s="276">
        <v>51761</v>
      </c>
      <c r="D45" s="268" t="s">
        <v>894</v>
      </c>
      <c r="E45" s="268" t="s">
        <v>1290</v>
      </c>
      <c r="F45" s="268" t="s">
        <v>2302</v>
      </c>
      <c r="G45" s="268">
        <v>5</v>
      </c>
      <c r="H45" s="268" t="s">
        <v>2303</v>
      </c>
      <c r="I45" s="268" t="s">
        <v>2301</v>
      </c>
      <c r="J45" s="456">
        <v>585258.38506345905</v>
      </c>
      <c r="K45" s="459">
        <v>48771.532088621585</v>
      </c>
      <c r="L45" s="458">
        <v>11194.760870699611</v>
      </c>
      <c r="M45" s="456">
        <v>3872.5859679026498</v>
      </c>
      <c r="N45" s="459">
        <v>119.49693843813893</v>
      </c>
      <c r="O45" s="456">
        <v>167948.52116226949</v>
      </c>
      <c r="P45" s="459">
        <v>10242.021738610534</v>
      </c>
      <c r="Q45" s="458">
        <v>55400.108403681625</v>
      </c>
      <c r="R45" s="459">
        <v>105756.19018096704</v>
      </c>
      <c r="S45" s="459">
        <v>1959.7497903854783</v>
      </c>
      <c r="T45" s="457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G45" s="425"/>
      <c r="AH45" s="425"/>
      <c r="AI45" s="425"/>
      <c r="AJ45" s="425"/>
      <c r="AK45" s="425"/>
      <c r="AL45" s="425"/>
      <c r="AM45" s="425"/>
      <c r="AN45" s="425"/>
      <c r="AO45" s="425"/>
      <c r="AP45" s="425"/>
      <c r="AQ45" s="425"/>
    </row>
    <row r="46" spans="1:43" x14ac:dyDescent="0.25">
      <c r="A46" s="271">
        <v>501442</v>
      </c>
      <c r="B46" s="271">
        <v>1442</v>
      </c>
      <c r="C46" s="271">
        <v>54563</v>
      </c>
      <c r="D46" s="268" t="s">
        <v>894</v>
      </c>
      <c r="E46" s="268" t="s">
        <v>1290</v>
      </c>
      <c r="F46" s="268" t="s">
        <v>2304</v>
      </c>
      <c r="G46" s="268">
        <v>5</v>
      </c>
      <c r="H46" s="268" t="s">
        <v>2305</v>
      </c>
      <c r="I46" s="268" t="s">
        <v>2277</v>
      </c>
      <c r="J46" s="458">
        <v>585258.38506345905</v>
      </c>
      <c r="K46" s="458">
        <v>48771.532088621585</v>
      </c>
      <c r="L46" s="458">
        <v>11194.760870699611</v>
      </c>
      <c r="M46" s="456">
        <v>0</v>
      </c>
      <c r="N46" s="458">
        <v>119.49693843813893</v>
      </c>
      <c r="O46" s="458">
        <v>167948.52116226949</v>
      </c>
      <c r="P46" s="459">
        <v>10242.021738610534</v>
      </c>
      <c r="Q46" s="458">
        <v>55400.108403681625</v>
      </c>
      <c r="R46" s="458">
        <v>105756.19018096704</v>
      </c>
      <c r="S46" s="458">
        <v>1959.7497903854783</v>
      </c>
      <c r="T46" s="457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4"/>
      <c r="AG46" s="425"/>
      <c r="AH46" s="425"/>
      <c r="AI46" s="425"/>
      <c r="AJ46" s="425"/>
      <c r="AK46" s="425"/>
      <c r="AL46" s="425"/>
      <c r="AM46" s="425"/>
      <c r="AN46" s="425"/>
      <c r="AO46" s="425"/>
      <c r="AP46" s="425"/>
      <c r="AQ46" s="425"/>
    </row>
    <row r="47" spans="1:43" s="270" customFormat="1" x14ac:dyDescent="0.25">
      <c r="A47" s="271">
        <v>501304</v>
      </c>
      <c r="B47" s="271">
        <v>1304</v>
      </c>
      <c r="C47" s="271">
        <v>59190</v>
      </c>
      <c r="D47" s="268" t="s">
        <v>894</v>
      </c>
      <c r="E47" s="268" t="s">
        <v>1278</v>
      </c>
      <c r="F47" s="268" t="s">
        <v>2306</v>
      </c>
      <c r="G47" s="268">
        <v>5</v>
      </c>
      <c r="H47" s="268" t="s">
        <v>2307</v>
      </c>
      <c r="I47" s="268" t="s">
        <v>2308</v>
      </c>
      <c r="J47" s="458">
        <v>585258.38506345905</v>
      </c>
      <c r="K47" s="458">
        <v>48771.532088621585</v>
      </c>
      <c r="L47" s="458">
        <v>11194.760870699611</v>
      </c>
      <c r="M47" s="456">
        <v>0</v>
      </c>
      <c r="N47" s="458">
        <v>119.49693843813893</v>
      </c>
      <c r="O47" s="458">
        <v>167948.52116226949</v>
      </c>
      <c r="P47" s="459">
        <v>10242.021738610534</v>
      </c>
      <c r="Q47" s="458">
        <v>55400.108403681625</v>
      </c>
      <c r="R47" s="458">
        <v>105756.19018096704</v>
      </c>
      <c r="S47" s="458">
        <v>1959.7497903854783</v>
      </c>
      <c r="T47" s="457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G47" s="425"/>
      <c r="AH47" s="425"/>
      <c r="AI47" s="425"/>
      <c r="AJ47" s="425"/>
      <c r="AK47" s="425"/>
      <c r="AL47" s="425"/>
      <c r="AM47" s="425"/>
      <c r="AN47" s="425"/>
      <c r="AO47" s="425"/>
      <c r="AP47" s="425"/>
      <c r="AQ47" s="425"/>
    </row>
    <row r="48" spans="1:43" s="270" customFormat="1" x14ac:dyDescent="0.25">
      <c r="A48" s="271">
        <v>501202</v>
      </c>
      <c r="B48" s="271">
        <v>1202</v>
      </c>
      <c r="C48" s="271">
        <v>59323</v>
      </c>
      <c r="D48" s="268" t="s">
        <v>894</v>
      </c>
      <c r="E48" s="268" t="s">
        <v>1278</v>
      </c>
      <c r="F48" s="268" t="s">
        <v>2243</v>
      </c>
      <c r="G48" s="268">
        <v>5</v>
      </c>
      <c r="H48" s="268" t="s">
        <v>2309</v>
      </c>
      <c r="I48" s="268" t="s">
        <v>2310</v>
      </c>
      <c r="J48" s="458">
        <v>585258.38506345905</v>
      </c>
      <c r="K48" s="458">
        <v>48771.532088621585</v>
      </c>
      <c r="L48" s="458">
        <v>11194.760870699611</v>
      </c>
      <c r="M48" s="456">
        <v>8298.3985026485352</v>
      </c>
      <c r="N48" s="458">
        <v>119.49693843813893</v>
      </c>
      <c r="O48" s="458">
        <v>167948.52116226949</v>
      </c>
      <c r="P48" s="459">
        <v>10242.021738610534</v>
      </c>
      <c r="Q48" s="458">
        <v>55400.108403681625</v>
      </c>
      <c r="R48" s="458">
        <v>105756.19018096704</v>
      </c>
      <c r="S48" s="458">
        <v>1959.7497903854783</v>
      </c>
      <c r="T48" s="457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G48" s="425"/>
      <c r="AH48" s="425"/>
      <c r="AI48" s="425"/>
      <c r="AJ48" s="425"/>
      <c r="AK48" s="425"/>
      <c r="AL48" s="425"/>
      <c r="AM48" s="425"/>
      <c r="AN48" s="425"/>
      <c r="AO48" s="425"/>
      <c r="AP48" s="425"/>
      <c r="AQ48" s="425"/>
    </row>
    <row r="49" spans="1:43" s="270" customFormat="1" x14ac:dyDescent="0.25">
      <c r="A49" s="271">
        <v>501204</v>
      </c>
      <c r="B49" s="271">
        <v>1204</v>
      </c>
      <c r="C49" s="271">
        <v>59860</v>
      </c>
      <c r="D49" s="268" t="s">
        <v>894</v>
      </c>
      <c r="E49" s="268" t="s">
        <v>1290</v>
      </c>
      <c r="F49" s="268" t="s">
        <v>2311</v>
      </c>
      <c r="G49" s="268">
        <v>5</v>
      </c>
      <c r="H49" s="268" t="s">
        <v>2312</v>
      </c>
      <c r="I49" s="268" t="s">
        <v>2313</v>
      </c>
      <c r="J49" s="458">
        <v>585258.38506345905</v>
      </c>
      <c r="K49" s="458">
        <v>48771.532088621585</v>
      </c>
      <c r="L49" s="458">
        <v>11194.760870699611</v>
      </c>
      <c r="M49" s="456">
        <v>0</v>
      </c>
      <c r="N49" s="458">
        <v>119.49693843813893</v>
      </c>
      <c r="O49" s="458">
        <v>167948.52116226949</v>
      </c>
      <c r="P49" s="459">
        <v>10242.021738610534</v>
      </c>
      <c r="Q49" s="458">
        <v>55400.108403681625</v>
      </c>
      <c r="R49" s="458">
        <v>105756.19018096704</v>
      </c>
      <c r="S49" s="458">
        <v>1959.7497903854783</v>
      </c>
      <c r="T49" s="457"/>
      <c r="U49" s="425"/>
      <c r="V49" s="425"/>
      <c r="W49" s="425"/>
      <c r="X49" s="425"/>
      <c r="Y49" s="425"/>
      <c r="Z49" s="425"/>
      <c r="AA49" s="425"/>
      <c r="AB49" s="425"/>
      <c r="AC49" s="425"/>
      <c r="AD49" s="425"/>
      <c r="AE49" s="425"/>
      <c r="AG49" s="425"/>
      <c r="AH49" s="425"/>
      <c r="AI49" s="425"/>
      <c r="AJ49" s="425"/>
      <c r="AK49" s="425"/>
      <c r="AL49" s="425"/>
      <c r="AM49" s="425"/>
      <c r="AN49" s="425"/>
      <c r="AO49" s="425"/>
      <c r="AP49" s="425"/>
      <c r="AQ49" s="425"/>
    </row>
    <row r="50" spans="1:43" s="270" customFormat="1" x14ac:dyDescent="0.25">
      <c r="A50" s="271">
        <v>501407</v>
      </c>
      <c r="B50" s="271">
        <v>1407</v>
      </c>
      <c r="C50" s="271">
        <v>84547</v>
      </c>
      <c r="D50" s="268" t="s">
        <v>894</v>
      </c>
      <c r="E50" s="268" t="s">
        <v>1290</v>
      </c>
      <c r="F50" s="268" t="s">
        <v>2314</v>
      </c>
      <c r="G50" s="268">
        <v>5</v>
      </c>
      <c r="H50" s="268" t="s">
        <v>2315</v>
      </c>
      <c r="I50" s="268" t="s">
        <v>2277</v>
      </c>
      <c r="J50" s="458">
        <v>585258.38506345905</v>
      </c>
      <c r="K50" s="458">
        <v>48771.532088621585</v>
      </c>
      <c r="L50" s="458">
        <v>11194.760870699611</v>
      </c>
      <c r="M50" s="456">
        <v>0</v>
      </c>
      <c r="N50" s="458">
        <v>119.49693843813893</v>
      </c>
      <c r="O50" s="458">
        <v>167948.52116226949</v>
      </c>
      <c r="P50" s="459">
        <v>10242.021738610534</v>
      </c>
      <c r="Q50" s="458">
        <v>55400.108403681625</v>
      </c>
      <c r="R50" s="458">
        <v>105756.19018096704</v>
      </c>
      <c r="S50" s="458">
        <v>1959.7497903854783</v>
      </c>
      <c r="T50" s="457"/>
      <c r="U50" s="425"/>
      <c r="V50" s="425"/>
      <c r="W50" s="425"/>
      <c r="X50" s="425"/>
      <c r="Y50" s="425"/>
      <c r="Z50" s="425"/>
      <c r="AA50" s="425"/>
      <c r="AB50" s="425"/>
      <c r="AC50" s="425"/>
      <c r="AD50" s="425"/>
      <c r="AE50" s="425"/>
      <c r="AG50" s="425"/>
      <c r="AH50" s="425"/>
      <c r="AI50" s="425"/>
      <c r="AJ50" s="425"/>
      <c r="AK50" s="425"/>
      <c r="AL50" s="425"/>
      <c r="AM50" s="425"/>
      <c r="AN50" s="425"/>
      <c r="AO50" s="425"/>
      <c r="AP50" s="425"/>
      <c r="AQ50" s="425"/>
    </row>
    <row r="51" spans="1:43" s="270" customFormat="1" x14ac:dyDescent="0.25">
      <c r="A51" s="271">
        <v>501204</v>
      </c>
      <c r="B51" s="271">
        <v>1204</v>
      </c>
      <c r="C51" s="271">
        <v>200002</v>
      </c>
      <c r="D51" s="268" t="s">
        <v>894</v>
      </c>
      <c r="E51" s="268" t="s">
        <v>1290</v>
      </c>
      <c r="F51" s="268" t="s">
        <v>2217</v>
      </c>
      <c r="G51" s="268">
        <v>5</v>
      </c>
      <c r="H51" s="268" t="s">
        <v>2316</v>
      </c>
      <c r="I51" s="268" t="s">
        <v>2317</v>
      </c>
      <c r="J51" s="458">
        <v>585258.38506345905</v>
      </c>
      <c r="K51" s="458">
        <v>48771.532088621585</v>
      </c>
      <c r="L51" s="458">
        <v>11194.760870699611</v>
      </c>
      <c r="M51" s="456">
        <v>0</v>
      </c>
      <c r="N51" s="458">
        <v>119.49693843813893</v>
      </c>
      <c r="O51" s="458">
        <v>167948.52116226949</v>
      </c>
      <c r="P51" s="459">
        <v>10242.021738610534</v>
      </c>
      <c r="Q51" s="458">
        <v>55400.108403681625</v>
      </c>
      <c r="R51" s="458">
        <v>105756.19018096704</v>
      </c>
      <c r="S51" s="458">
        <v>1959.7497903854783</v>
      </c>
      <c r="T51" s="457"/>
      <c r="U51" s="425"/>
      <c r="V51" s="425"/>
      <c r="W51" s="425"/>
      <c r="X51" s="425"/>
      <c r="Y51" s="425"/>
      <c r="Z51" s="425"/>
      <c r="AA51" s="425"/>
      <c r="AB51" s="425"/>
      <c r="AC51" s="425"/>
      <c r="AD51" s="425"/>
      <c r="AE51" s="425"/>
      <c r="AG51" s="425"/>
      <c r="AH51" s="425"/>
      <c r="AI51" s="425"/>
      <c r="AJ51" s="425"/>
      <c r="AK51" s="425"/>
      <c r="AL51" s="425"/>
      <c r="AM51" s="425"/>
      <c r="AN51" s="425"/>
      <c r="AO51" s="425"/>
      <c r="AP51" s="425"/>
      <c r="AQ51" s="425"/>
    </row>
    <row r="52" spans="1:43" s="270" customFormat="1" x14ac:dyDescent="0.25">
      <c r="A52" s="271">
        <v>501205</v>
      </c>
      <c r="B52" s="271">
        <v>1205</v>
      </c>
      <c r="C52" s="271">
        <v>200003</v>
      </c>
      <c r="D52" s="268" t="s">
        <v>894</v>
      </c>
      <c r="E52" s="268" t="s">
        <v>1290</v>
      </c>
      <c r="F52" s="268" t="s">
        <v>2318</v>
      </c>
      <c r="G52" s="268">
        <v>5</v>
      </c>
      <c r="H52" s="268" t="s">
        <v>2319</v>
      </c>
      <c r="I52" s="268" t="s">
        <v>2320</v>
      </c>
      <c r="J52" s="458">
        <v>585258.38506345905</v>
      </c>
      <c r="K52" s="458">
        <v>48771.532088621585</v>
      </c>
      <c r="L52" s="458">
        <v>11194.760870699611</v>
      </c>
      <c r="M52" s="456">
        <v>0</v>
      </c>
      <c r="N52" s="458">
        <v>119.49693843813893</v>
      </c>
      <c r="O52" s="458">
        <v>167948.52116226949</v>
      </c>
      <c r="P52" s="459">
        <v>10242.021738610534</v>
      </c>
      <c r="Q52" s="458">
        <v>55400.108403681625</v>
      </c>
      <c r="R52" s="458">
        <v>105756.19018096704</v>
      </c>
      <c r="S52" s="458">
        <v>1959.7497903854783</v>
      </c>
      <c r="T52" s="457"/>
      <c r="U52" s="425"/>
      <c r="V52" s="425"/>
      <c r="W52" s="425"/>
      <c r="X52" s="425"/>
      <c r="Y52" s="425"/>
      <c r="Z52" s="425"/>
      <c r="AA52" s="425"/>
      <c r="AB52" s="425"/>
      <c r="AC52" s="425"/>
      <c r="AD52" s="425"/>
      <c r="AE52" s="425"/>
      <c r="AG52" s="425"/>
      <c r="AH52" s="425"/>
      <c r="AI52" s="425"/>
      <c r="AJ52" s="425"/>
      <c r="AK52" s="425"/>
      <c r="AL52" s="425"/>
      <c r="AM52" s="425"/>
      <c r="AN52" s="425"/>
      <c r="AO52" s="425"/>
      <c r="AP52" s="425"/>
      <c r="AQ52" s="425"/>
    </row>
    <row r="53" spans="1:43" s="270" customFormat="1" x14ac:dyDescent="0.25">
      <c r="A53" s="271">
        <v>501205</v>
      </c>
      <c r="B53" s="271">
        <v>1205</v>
      </c>
      <c r="C53" s="271">
        <v>200004</v>
      </c>
      <c r="D53" s="268" t="s">
        <v>894</v>
      </c>
      <c r="E53" s="268" t="s">
        <v>1290</v>
      </c>
      <c r="F53" s="268" t="s">
        <v>2321</v>
      </c>
      <c r="G53" s="268">
        <v>5</v>
      </c>
      <c r="H53" s="268" t="s">
        <v>2322</v>
      </c>
      <c r="I53" s="268" t="s">
        <v>2323</v>
      </c>
      <c r="J53" s="458">
        <v>585258.38506345905</v>
      </c>
      <c r="K53" s="458">
        <v>48771.532088621585</v>
      </c>
      <c r="L53" s="458">
        <v>11194.760870699611</v>
      </c>
      <c r="M53" s="456">
        <v>0</v>
      </c>
      <c r="N53" s="458">
        <v>119.49693843813893</v>
      </c>
      <c r="O53" s="458">
        <v>167948.52116226949</v>
      </c>
      <c r="P53" s="459">
        <v>10242.021738610534</v>
      </c>
      <c r="Q53" s="458">
        <v>55400.108403681625</v>
      </c>
      <c r="R53" s="458">
        <v>105756.19018096704</v>
      </c>
      <c r="S53" s="458">
        <v>1959.7497903854783</v>
      </c>
      <c r="T53" s="457"/>
      <c r="U53" s="425"/>
      <c r="V53" s="425"/>
      <c r="W53" s="425"/>
      <c r="X53" s="425"/>
      <c r="Y53" s="425"/>
      <c r="Z53" s="425"/>
      <c r="AA53" s="425"/>
      <c r="AB53" s="425"/>
      <c r="AC53" s="425"/>
      <c r="AD53" s="425"/>
      <c r="AE53" s="425"/>
      <c r="AG53" s="425"/>
      <c r="AH53" s="425"/>
      <c r="AI53" s="425"/>
      <c r="AJ53" s="425"/>
      <c r="AK53" s="425"/>
      <c r="AL53" s="425"/>
      <c r="AM53" s="425"/>
      <c r="AN53" s="425"/>
      <c r="AO53" s="425"/>
      <c r="AP53" s="425"/>
      <c r="AQ53" s="425"/>
    </row>
    <row r="54" spans="1:43" s="270" customFormat="1" x14ac:dyDescent="0.25">
      <c r="A54" s="271">
        <v>501203</v>
      </c>
      <c r="B54" s="271">
        <v>1203</v>
      </c>
      <c r="C54" s="271">
        <v>200005</v>
      </c>
      <c r="D54" s="268" t="s">
        <v>894</v>
      </c>
      <c r="E54" s="268" t="s">
        <v>1290</v>
      </c>
      <c r="F54" s="268" t="s">
        <v>2324</v>
      </c>
      <c r="G54" s="268">
        <v>5</v>
      </c>
      <c r="H54" s="268" t="s">
        <v>2325</v>
      </c>
      <c r="I54" s="268" t="s">
        <v>2326</v>
      </c>
      <c r="J54" s="458">
        <v>585258.38506345905</v>
      </c>
      <c r="K54" s="458">
        <v>48771.532088621585</v>
      </c>
      <c r="L54" s="458">
        <v>11194.760870699611</v>
      </c>
      <c r="M54" s="456">
        <v>0</v>
      </c>
      <c r="N54" s="458">
        <v>119.49693843813893</v>
      </c>
      <c r="O54" s="458">
        <v>167948.52116226949</v>
      </c>
      <c r="P54" s="459">
        <v>10242.021738610534</v>
      </c>
      <c r="Q54" s="458">
        <v>55400.108403681625</v>
      </c>
      <c r="R54" s="458">
        <v>105756.19018096704</v>
      </c>
      <c r="S54" s="458">
        <v>1959.7497903854783</v>
      </c>
      <c r="T54" s="457"/>
      <c r="U54" s="425"/>
      <c r="V54" s="425"/>
      <c r="W54" s="425"/>
      <c r="X54" s="425"/>
      <c r="Y54" s="425"/>
      <c r="Z54" s="425"/>
      <c r="AA54" s="425"/>
      <c r="AB54" s="425"/>
      <c r="AC54" s="425"/>
      <c r="AD54" s="425"/>
      <c r="AE54" s="425"/>
      <c r="AG54" s="425"/>
      <c r="AH54" s="425"/>
      <c r="AI54" s="425"/>
      <c r="AJ54" s="425"/>
      <c r="AK54" s="425"/>
      <c r="AL54" s="425"/>
      <c r="AM54" s="425"/>
      <c r="AN54" s="425"/>
      <c r="AO54" s="425"/>
      <c r="AP54" s="425"/>
      <c r="AQ54" s="425"/>
    </row>
    <row r="55" spans="1:43" s="270" customFormat="1" x14ac:dyDescent="0.25">
      <c r="A55" s="271">
        <v>501204</v>
      </c>
      <c r="B55" s="271">
        <v>1204</v>
      </c>
      <c r="C55" s="271">
        <v>200006</v>
      </c>
      <c r="D55" s="268" t="s">
        <v>894</v>
      </c>
      <c r="E55" s="268" t="s">
        <v>1290</v>
      </c>
      <c r="F55" s="268" t="s">
        <v>2327</v>
      </c>
      <c r="G55" s="268">
        <v>5</v>
      </c>
      <c r="H55" s="268" t="s">
        <v>2328</v>
      </c>
      <c r="I55" s="268" t="s">
        <v>2329</v>
      </c>
      <c r="J55" s="458">
        <v>585258.38506345905</v>
      </c>
      <c r="K55" s="458">
        <v>48771.532088621585</v>
      </c>
      <c r="L55" s="458">
        <v>11194.760870699611</v>
      </c>
      <c r="M55" s="456">
        <v>0</v>
      </c>
      <c r="N55" s="458">
        <v>119.49693843813893</v>
      </c>
      <c r="O55" s="458">
        <v>167948.52116226949</v>
      </c>
      <c r="P55" s="459">
        <v>10242.021738610534</v>
      </c>
      <c r="Q55" s="458">
        <v>55400.108403681625</v>
      </c>
      <c r="R55" s="458">
        <v>105756.19018096704</v>
      </c>
      <c r="S55" s="458">
        <v>1959.7497903854783</v>
      </c>
      <c r="T55" s="457"/>
      <c r="U55" s="425"/>
      <c r="V55" s="425"/>
      <c r="W55" s="425"/>
      <c r="X55" s="425"/>
      <c r="Y55" s="425"/>
      <c r="Z55" s="425"/>
      <c r="AA55" s="425"/>
      <c r="AB55" s="425"/>
      <c r="AC55" s="425"/>
      <c r="AD55" s="425"/>
      <c r="AE55" s="425"/>
      <c r="AG55" s="425"/>
      <c r="AH55" s="425"/>
      <c r="AI55" s="425"/>
      <c r="AJ55" s="425"/>
      <c r="AK55" s="425"/>
      <c r="AL55" s="425"/>
      <c r="AM55" s="425"/>
      <c r="AN55" s="425"/>
      <c r="AO55" s="425"/>
      <c r="AP55" s="425"/>
      <c r="AQ55" s="425"/>
    </row>
    <row r="56" spans="1:43" s="270" customFormat="1" x14ac:dyDescent="0.25">
      <c r="A56" s="271">
        <v>501407</v>
      </c>
      <c r="B56" s="271">
        <v>1407</v>
      </c>
      <c r="C56" s="271">
        <v>200024</v>
      </c>
      <c r="D56" s="268" t="s">
        <v>894</v>
      </c>
      <c r="E56" s="268" t="s">
        <v>1290</v>
      </c>
      <c r="F56" s="268" t="s">
        <v>2330</v>
      </c>
      <c r="G56" s="268">
        <v>5</v>
      </c>
      <c r="H56" s="268" t="s">
        <v>2331</v>
      </c>
      <c r="I56" s="268" t="s">
        <v>2332</v>
      </c>
      <c r="J56" s="458">
        <v>585258.38506345905</v>
      </c>
      <c r="K56" s="458">
        <v>48771.532088621585</v>
      </c>
      <c r="L56" s="458">
        <v>11194.760870699611</v>
      </c>
      <c r="M56" s="456">
        <v>0</v>
      </c>
      <c r="N56" s="458">
        <v>119.49693843813893</v>
      </c>
      <c r="O56" s="458">
        <v>167948.52116226949</v>
      </c>
      <c r="P56" s="459">
        <v>10242.021738610534</v>
      </c>
      <c r="Q56" s="458">
        <v>55400.108403681625</v>
      </c>
      <c r="R56" s="458">
        <v>105756.19018096704</v>
      </c>
      <c r="S56" s="458">
        <v>1959.7497903854783</v>
      </c>
      <c r="T56" s="457"/>
      <c r="U56" s="425"/>
      <c r="V56" s="425"/>
      <c r="W56" s="425"/>
      <c r="X56" s="425"/>
      <c r="Y56" s="425"/>
      <c r="Z56" s="425"/>
      <c r="AA56" s="425"/>
      <c r="AB56" s="425"/>
      <c r="AC56" s="425"/>
      <c r="AD56" s="425"/>
      <c r="AE56" s="425"/>
      <c r="AG56" s="425"/>
      <c r="AH56" s="425"/>
      <c r="AI56" s="425"/>
      <c r="AJ56" s="425"/>
      <c r="AK56" s="425"/>
      <c r="AL56" s="425"/>
      <c r="AM56" s="425"/>
      <c r="AN56" s="425"/>
      <c r="AO56" s="425"/>
      <c r="AP56" s="425"/>
      <c r="AQ56" s="425"/>
    </row>
    <row r="57" spans="1:43" s="270" customFormat="1" x14ac:dyDescent="0.25">
      <c r="A57" s="271">
        <v>501204</v>
      </c>
      <c r="B57" s="271">
        <v>1204</v>
      </c>
      <c r="C57" s="271">
        <v>200180</v>
      </c>
      <c r="D57" s="268" t="s">
        <v>894</v>
      </c>
      <c r="E57" s="268" t="s">
        <v>1278</v>
      </c>
      <c r="F57" s="268" t="s">
        <v>2333</v>
      </c>
      <c r="G57" s="268">
        <v>5</v>
      </c>
      <c r="H57" s="268" t="s">
        <v>2334</v>
      </c>
      <c r="I57" s="268" t="s">
        <v>2335</v>
      </c>
      <c r="J57" s="458">
        <v>585258.38506345905</v>
      </c>
      <c r="K57" s="458">
        <v>48771.532088621585</v>
      </c>
      <c r="L57" s="458">
        <v>11194.760870699611</v>
      </c>
      <c r="M57" s="456">
        <v>0</v>
      </c>
      <c r="N57" s="458">
        <v>119.49693843813893</v>
      </c>
      <c r="O57" s="458">
        <v>167948.52116226949</v>
      </c>
      <c r="P57" s="459">
        <v>10242.021738610534</v>
      </c>
      <c r="Q57" s="458">
        <v>55400.108403681625</v>
      </c>
      <c r="R57" s="458">
        <v>105756.19018096704</v>
      </c>
      <c r="S57" s="458">
        <v>1959.7497903854783</v>
      </c>
      <c r="T57" s="457"/>
      <c r="U57" s="425"/>
      <c r="V57" s="425"/>
      <c r="W57" s="425"/>
      <c r="X57" s="425"/>
      <c r="Y57" s="425"/>
      <c r="Z57" s="425"/>
      <c r="AA57" s="425"/>
      <c r="AB57" s="425"/>
      <c r="AC57" s="425"/>
      <c r="AD57" s="425"/>
      <c r="AE57" s="425"/>
      <c r="AG57" s="425"/>
      <c r="AH57" s="425"/>
      <c r="AI57" s="425"/>
      <c r="AJ57" s="425"/>
      <c r="AK57" s="425"/>
      <c r="AL57" s="425"/>
      <c r="AM57" s="425"/>
      <c r="AN57" s="425"/>
      <c r="AO57" s="425"/>
      <c r="AP57" s="425"/>
      <c r="AQ57" s="425"/>
    </row>
    <row r="58" spans="1:43" s="270" customFormat="1" x14ac:dyDescent="0.25">
      <c r="A58" s="416">
        <v>501408</v>
      </c>
      <c r="B58" s="271">
        <v>1408</v>
      </c>
      <c r="C58" s="271">
        <v>200387</v>
      </c>
      <c r="D58" s="268" t="s">
        <v>894</v>
      </c>
      <c r="E58" s="268" t="s">
        <v>1290</v>
      </c>
      <c r="F58" s="268" t="s">
        <v>2336</v>
      </c>
      <c r="G58" s="268">
        <v>5</v>
      </c>
      <c r="H58" s="268" t="s">
        <v>2337</v>
      </c>
      <c r="I58" s="268" t="s">
        <v>2338</v>
      </c>
      <c r="J58" s="458">
        <v>585258.38506345905</v>
      </c>
      <c r="K58" s="458">
        <v>48771.532088621585</v>
      </c>
      <c r="L58" s="458">
        <v>11194.760870699611</v>
      </c>
      <c r="M58" s="456">
        <v>0</v>
      </c>
      <c r="N58" s="458">
        <v>119.49693843813893</v>
      </c>
      <c r="O58" s="458">
        <v>167948.52116226949</v>
      </c>
      <c r="P58" s="459">
        <v>10242.021738610534</v>
      </c>
      <c r="Q58" s="458">
        <v>55400.108403681625</v>
      </c>
      <c r="R58" s="458">
        <v>105756.19018096704</v>
      </c>
      <c r="S58" s="458">
        <v>1959.7497903854783</v>
      </c>
      <c r="T58" s="457"/>
      <c r="U58" s="425"/>
      <c r="V58" s="425"/>
      <c r="W58" s="425"/>
      <c r="X58" s="425"/>
      <c r="Y58" s="425"/>
      <c r="Z58" s="425"/>
      <c r="AA58" s="425"/>
      <c r="AB58" s="425"/>
      <c r="AC58" s="425"/>
      <c r="AD58" s="425"/>
      <c r="AE58" s="425"/>
      <c r="AG58" s="425"/>
      <c r="AH58" s="425"/>
      <c r="AI58" s="425"/>
      <c r="AJ58" s="425"/>
      <c r="AK58" s="425"/>
      <c r="AL58" s="425"/>
      <c r="AM58" s="425"/>
      <c r="AN58" s="425"/>
      <c r="AO58" s="425"/>
      <c r="AP58" s="425"/>
      <c r="AQ58" s="425"/>
    </row>
    <row r="59" spans="1:43" s="270" customFormat="1" x14ac:dyDescent="0.25">
      <c r="A59" s="271">
        <v>501107</v>
      </c>
      <c r="B59" s="271">
        <v>1107</v>
      </c>
      <c r="C59" s="271">
        <v>200392</v>
      </c>
      <c r="D59" s="268" t="s">
        <v>894</v>
      </c>
      <c r="E59" s="268" t="s">
        <v>1290</v>
      </c>
      <c r="F59" s="268" t="s">
        <v>2339</v>
      </c>
      <c r="G59" s="268">
        <v>5</v>
      </c>
      <c r="H59" s="268" t="s">
        <v>2340</v>
      </c>
      <c r="I59" s="268" t="s">
        <v>2341</v>
      </c>
      <c r="J59" s="458">
        <v>585258.38506345905</v>
      </c>
      <c r="K59" s="458">
        <v>48771.532088621585</v>
      </c>
      <c r="L59" s="458">
        <v>11194.760870699611</v>
      </c>
      <c r="M59" s="456">
        <v>0</v>
      </c>
      <c r="N59" s="458">
        <v>119.49693843813893</v>
      </c>
      <c r="O59" s="458">
        <v>167948.52116226949</v>
      </c>
      <c r="P59" s="459">
        <v>10242.021738610534</v>
      </c>
      <c r="Q59" s="458">
        <v>55400.108403681625</v>
      </c>
      <c r="R59" s="458">
        <v>105756.19018096704</v>
      </c>
      <c r="S59" s="458">
        <v>1959.7497903854783</v>
      </c>
      <c r="T59" s="457"/>
      <c r="U59" s="425"/>
      <c r="V59" s="425"/>
      <c r="W59" s="425"/>
      <c r="X59" s="425"/>
      <c r="Y59" s="425"/>
      <c r="Z59" s="425"/>
      <c r="AA59" s="425"/>
      <c r="AB59" s="425"/>
      <c r="AC59" s="425"/>
      <c r="AD59" s="425"/>
      <c r="AE59" s="425"/>
      <c r="AG59" s="425"/>
      <c r="AH59" s="425"/>
      <c r="AI59" s="425"/>
      <c r="AJ59" s="425"/>
      <c r="AK59" s="425"/>
      <c r="AL59" s="425"/>
      <c r="AM59" s="425"/>
      <c r="AN59" s="425"/>
      <c r="AO59" s="425"/>
      <c r="AP59" s="425"/>
      <c r="AQ59" s="425"/>
    </row>
    <row r="60" spans="1:43" s="270" customFormat="1" x14ac:dyDescent="0.25">
      <c r="A60" s="271">
        <v>501407</v>
      </c>
      <c r="B60" s="271">
        <v>1407</v>
      </c>
      <c r="C60" s="271">
        <v>59705</v>
      </c>
      <c r="D60" s="268" t="s">
        <v>894</v>
      </c>
      <c r="E60" s="268" t="s">
        <v>1290</v>
      </c>
      <c r="F60" s="268" t="s">
        <v>2342</v>
      </c>
      <c r="G60" s="268">
        <v>6</v>
      </c>
      <c r="H60" s="268" t="s">
        <v>2343</v>
      </c>
      <c r="I60" s="268" t="s">
        <v>2344</v>
      </c>
      <c r="J60" s="458">
        <v>585258.38506345905</v>
      </c>
      <c r="K60" s="458">
        <v>48771.532088621585</v>
      </c>
      <c r="L60" s="458">
        <v>11194.760870699611</v>
      </c>
      <c r="M60" s="456">
        <v>0</v>
      </c>
      <c r="N60" s="458">
        <v>119.49693843813893</v>
      </c>
      <c r="O60" s="458">
        <v>167948.52116226949</v>
      </c>
      <c r="P60" s="459">
        <v>10242.021738610534</v>
      </c>
      <c r="Q60" s="458">
        <v>55400.108403681625</v>
      </c>
      <c r="R60" s="458">
        <v>105756.19018096704</v>
      </c>
      <c r="S60" s="458">
        <v>1959.7497903854783</v>
      </c>
      <c r="T60" s="457"/>
      <c r="U60" s="425"/>
      <c r="V60" s="425"/>
      <c r="W60" s="425"/>
      <c r="X60" s="425"/>
      <c r="Y60" s="425"/>
      <c r="Z60" s="425"/>
      <c r="AA60" s="425"/>
      <c r="AB60" s="425"/>
      <c r="AC60" s="425"/>
      <c r="AD60" s="425"/>
      <c r="AE60" s="425"/>
      <c r="AG60" s="425"/>
      <c r="AH60" s="425"/>
      <c r="AI60" s="425"/>
      <c r="AJ60" s="425"/>
      <c r="AK60" s="425"/>
      <c r="AL60" s="425"/>
      <c r="AM60" s="425"/>
      <c r="AN60" s="425"/>
      <c r="AO60" s="425"/>
      <c r="AP60" s="425"/>
      <c r="AQ60" s="425"/>
    </row>
    <row r="61" spans="1:43" s="270" customFormat="1" x14ac:dyDescent="0.25">
      <c r="A61" s="276">
        <v>501501</v>
      </c>
      <c r="B61" s="276">
        <v>1501</v>
      </c>
      <c r="C61" s="276">
        <v>2781</v>
      </c>
      <c r="D61" s="268" t="s">
        <v>876</v>
      </c>
      <c r="E61" s="268" t="s">
        <v>1278</v>
      </c>
      <c r="F61" s="268" t="s">
        <v>2345</v>
      </c>
      <c r="G61" s="268" t="s">
        <v>2190</v>
      </c>
      <c r="H61" s="268" t="s">
        <v>2346</v>
      </c>
      <c r="I61" s="268" t="s">
        <v>2347</v>
      </c>
      <c r="J61" s="456">
        <v>561650.363367702</v>
      </c>
      <c r="K61" s="459">
        <v>0</v>
      </c>
      <c r="L61" s="458">
        <v>0</v>
      </c>
      <c r="M61" s="456">
        <v>3548.3951997325134</v>
      </c>
      <c r="N61" s="458">
        <v>0</v>
      </c>
      <c r="O61" s="459">
        <v>0</v>
      </c>
      <c r="P61" s="459">
        <v>0</v>
      </c>
      <c r="Q61" s="458">
        <v>0</v>
      </c>
      <c r="R61" s="459">
        <v>0</v>
      </c>
      <c r="S61" s="459">
        <v>0</v>
      </c>
      <c r="T61" s="457"/>
      <c r="U61" s="425"/>
      <c r="V61" s="425"/>
      <c r="W61" s="425"/>
      <c r="X61" s="425"/>
      <c r="Y61" s="425"/>
      <c r="Z61" s="425"/>
      <c r="AA61" s="425"/>
      <c r="AB61" s="425"/>
      <c r="AC61" s="425"/>
      <c r="AD61" s="425"/>
      <c r="AE61" s="425"/>
      <c r="AG61" s="425"/>
      <c r="AH61" s="425"/>
      <c r="AI61" s="425"/>
      <c r="AJ61" s="425"/>
      <c r="AK61" s="425"/>
      <c r="AL61" s="425"/>
      <c r="AM61" s="425"/>
      <c r="AN61" s="425"/>
      <c r="AO61" s="425"/>
      <c r="AP61" s="425"/>
      <c r="AQ61" s="425"/>
    </row>
    <row r="62" spans="1:43" s="270" customFormat="1" x14ac:dyDescent="0.25">
      <c r="A62" s="271">
        <v>501406</v>
      </c>
      <c r="B62" s="271">
        <v>1406</v>
      </c>
      <c r="C62" s="271">
        <v>33433</v>
      </c>
      <c r="D62" s="268" t="s">
        <v>894</v>
      </c>
      <c r="E62" s="268" t="s">
        <v>1278</v>
      </c>
      <c r="F62" s="268" t="s">
        <v>2348</v>
      </c>
      <c r="G62" s="268">
        <v>5</v>
      </c>
      <c r="H62" s="268" t="s">
        <v>2349</v>
      </c>
      <c r="I62" s="268" t="s">
        <v>2350</v>
      </c>
      <c r="J62" s="458">
        <v>552618.01761970809</v>
      </c>
      <c r="K62" s="458">
        <v>46051.501468309012</v>
      </c>
      <c r="L62" s="458">
        <v>11194.760870699611</v>
      </c>
      <c r="M62" s="456">
        <v>0</v>
      </c>
      <c r="N62" s="458">
        <v>119.49693843813893</v>
      </c>
      <c r="O62" s="458">
        <v>157824.47498903828</v>
      </c>
      <c r="P62" s="459">
        <v>9670.8153083448924</v>
      </c>
      <c r="Q62" s="458">
        <v>55400.108403681625</v>
      </c>
      <c r="R62" s="458">
        <v>99858.075783881257</v>
      </c>
      <c r="S62" s="458">
        <v>1959.7497903854783</v>
      </c>
      <c r="T62" s="457"/>
      <c r="U62" s="425"/>
      <c r="V62" s="425"/>
      <c r="W62" s="425"/>
      <c r="X62" s="425"/>
      <c r="Y62" s="425"/>
      <c r="Z62" s="425"/>
      <c r="AA62" s="425"/>
      <c r="AB62" s="425"/>
      <c r="AC62" s="425"/>
      <c r="AD62" s="425"/>
      <c r="AE62" s="425"/>
      <c r="AG62" s="425"/>
      <c r="AH62" s="425"/>
      <c r="AI62" s="425"/>
      <c r="AJ62" s="425"/>
      <c r="AK62" s="425"/>
      <c r="AL62" s="425"/>
      <c r="AM62" s="425"/>
      <c r="AN62" s="425"/>
      <c r="AO62" s="425"/>
      <c r="AP62" s="425"/>
      <c r="AQ62" s="425"/>
    </row>
    <row r="63" spans="1:43" s="270" customFormat="1" x14ac:dyDescent="0.25">
      <c r="A63" s="271">
        <v>501406</v>
      </c>
      <c r="B63" s="271">
        <v>1406</v>
      </c>
      <c r="C63" s="271">
        <v>200442</v>
      </c>
      <c r="D63" s="268" t="s">
        <v>1698</v>
      </c>
      <c r="E63" s="268" t="s">
        <v>1278</v>
      </c>
      <c r="F63" s="268" t="s">
        <v>2351</v>
      </c>
      <c r="G63" s="268">
        <v>5</v>
      </c>
      <c r="H63" s="268" t="s">
        <v>2352</v>
      </c>
      <c r="I63" s="268" t="s">
        <v>2350</v>
      </c>
      <c r="J63" s="458">
        <v>552618.01761970809</v>
      </c>
      <c r="K63" s="458">
        <v>46051.501468309012</v>
      </c>
      <c r="L63" s="458">
        <v>11194.760870699611</v>
      </c>
      <c r="M63" s="456">
        <v>0</v>
      </c>
      <c r="N63" s="458">
        <v>119.49693843813893</v>
      </c>
      <c r="O63" s="458">
        <v>157824.47498903828</v>
      </c>
      <c r="P63" s="459">
        <v>9670.8153083448924</v>
      </c>
      <c r="Q63" s="458">
        <v>55400.108403681625</v>
      </c>
      <c r="R63" s="458">
        <v>99858.075783881257</v>
      </c>
      <c r="S63" s="458">
        <v>1959.7497903854783</v>
      </c>
      <c r="T63" s="457"/>
      <c r="U63" s="425"/>
      <c r="V63" s="425"/>
      <c r="W63" s="425"/>
      <c r="X63" s="425"/>
      <c r="Y63" s="425"/>
      <c r="Z63" s="425"/>
      <c r="AA63" s="425"/>
      <c r="AB63" s="425"/>
      <c r="AC63" s="425"/>
      <c r="AD63" s="425"/>
      <c r="AE63" s="425"/>
      <c r="AG63" s="425"/>
      <c r="AH63" s="425"/>
      <c r="AI63" s="425"/>
      <c r="AJ63" s="425"/>
      <c r="AK63" s="425"/>
      <c r="AL63" s="425"/>
      <c r="AM63" s="425"/>
      <c r="AN63" s="425"/>
      <c r="AO63" s="425"/>
      <c r="AP63" s="425"/>
      <c r="AQ63" s="425"/>
    </row>
    <row r="64" spans="1:43" s="270" customFormat="1" x14ac:dyDescent="0.25">
      <c r="A64" s="271">
        <v>501101</v>
      </c>
      <c r="B64" s="271">
        <v>1101</v>
      </c>
      <c r="C64" s="271">
        <v>19790</v>
      </c>
      <c r="D64" s="268" t="s">
        <v>1698</v>
      </c>
      <c r="E64" s="268" t="s">
        <v>1278</v>
      </c>
      <c r="F64" s="268" t="s">
        <v>1286</v>
      </c>
      <c r="G64" s="268" t="s">
        <v>2190</v>
      </c>
      <c r="H64" s="268" t="s">
        <v>2353</v>
      </c>
      <c r="I64" s="268" t="s">
        <v>2354</v>
      </c>
      <c r="J64" s="458">
        <v>542897.82684027252</v>
      </c>
      <c r="K64" s="458">
        <v>0</v>
      </c>
      <c r="L64" s="458">
        <v>0</v>
      </c>
      <c r="M64" s="456">
        <v>0</v>
      </c>
      <c r="N64" s="458">
        <v>0</v>
      </c>
      <c r="O64" s="459">
        <v>0</v>
      </c>
      <c r="P64" s="459">
        <v>0</v>
      </c>
      <c r="Q64" s="458">
        <v>0</v>
      </c>
      <c r="R64" s="458">
        <v>0</v>
      </c>
      <c r="S64" s="458">
        <v>0</v>
      </c>
      <c r="T64" s="457"/>
      <c r="U64" s="425"/>
      <c r="V64" s="425"/>
      <c r="W64" s="425"/>
      <c r="X64" s="425"/>
      <c r="Y64" s="425"/>
      <c r="Z64" s="425"/>
      <c r="AA64" s="425"/>
      <c r="AB64" s="425"/>
      <c r="AC64" s="425"/>
      <c r="AD64" s="425"/>
      <c r="AE64" s="425"/>
      <c r="AG64" s="425"/>
      <c r="AH64" s="425"/>
      <c r="AI64" s="425"/>
      <c r="AJ64" s="425"/>
      <c r="AK64" s="425"/>
      <c r="AL64" s="425"/>
      <c r="AM64" s="425"/>
      <c r="AN64" s="425"/>
      <c r="AO64" s="425"/>
      <c r="AP64" s="425"/>
      <c r="AQ64" s="425"/>
    </row>
    <row r="65" spans="1:43" s="270" customFormat="1" x14ac:dyDescent="0.25">
      <c r="A65" s="271">
        <v>501445</v>
      </c>
      <c r="B65" s="271">
        <v>1445</v>
      </c>
      <c r="C65" s="271">
        <v>16379</v>
      </c>
      <c r="D65" s="268" t="s">
        <v>1698</v>
      </c>
      <c r="E65" s="268" t="s">
        <v>1290</v>
      </c>
      <c r="F65" s="268" t="s">
        <v>2355</v>
      </c>
      <c r="G65" s="268">
        <v>5</v>
      </c>
      <c r="H65" s="268" t="s">
        <v>2356</v>
      </c>
      <c r="I65" s="268" t="s">
        <v>2357</v>
      </c>
      <c r="J65" s="458">
        <v>536242.51124114834</v>
      </c>
      <c r="K65" s="458">
        <v>44686.875936762364</v>
      </c>
      <c r="L65" s="458">
        <v>11194.760870699611</v>
      </c>
      <c r="M65" s="456">
        <v>4979.0391015891209</v>
      </c>
      <c r="N65" s="458">
        <v>119.49693843813893</v>
      </c>
      <c r="O65" s="458">
        <v>154029.34074049367</v>
      </c>
      <c r="P65" s="459">
        <v>9384.2439467200984</v>
      </c>
      <c r="Q65" s="458">
        <v>55400.108403681625</v>
      </c>
      <c r="R65" s="458">
        <v>96899.0217812755</v>
      </c>
      <c r="S65" s="458">
        <v>1959.7497903854783</v>
      </c>
      <c r="T65" s="457"/>
      <c r="U65" s="425"/>
      <c r="V65" s="425"/>
      <c r="W65" s="425"/>
      <c r="X65" s="425"/>
      <c r="Y65" s="425"/>
      <c r="Z65" s="425"/>
      <c r="AA65" s="425"/>
      <c r="AB65" s="425"/>
      <c r="AC65" s="425"/>
      <c r="AD65" s="425"/>
      <c r="AE65" s="425"/>
      <c r="AG65" s="425"/>
      <c r="AH65" s="425"/>
      <c r="AI65" s="425"/>
      <c r="AJ65" s="425"/>
      <c r="AK65" s="425"/>
      <c r="AL65" s="425"/>
      <c r="AM65" s="425"/>
      <c r="AN65" s="425"/>
      <c r="AO65" s="425"/>
      <c r="AP65" s="425"/>
      <c r="AQ65" s="425"/>
    </row>
    <row r="66" spans="1:43" s="270" customFormat="1" x14ac:dyDescent="0.25">
      <c r="A66" s="271">
        <v>501442</v>
      </c>
      <c r="B66" s="271">
        <v>1442</v>
      </c>
      <c r="C66" s="271">
        <v>35172</v>
      </c>
      <c r="D66" s="268" t="s">
        <v>894</v>
      </c>
      <c r="E66" s="268" t="s">
        <v>1290</v>
      </c>
      <c r="F66" s="268" t="s">
        <v>2358</v>
      </c>
      <c r="G66" s="268">
        <v>5</v>
      </c>
      <c r="H66" s="268" t="s">
        <v>2359</v>
      </c>
      <c r="I66" s="268" t="s">
        <v>2357</v>
      </c>
      <c r="J66" s="458">
        <v>536242.51124114834</v>
      </c>
      <c r="K66" s="458">
        <v>44686.875936762364</v>
      </c>
      <c r="L66" s="458">
        <v>11194.760870699611</v>
      </c>
      <c r="M66" s="456">
        <v>5532.2656684323565</v>
      </c>
      <c r="N66" s="458">
        <v>119.49693843813893</v>
      </c>
      <c r="O66" s="458">
        <v>154029.34074049367</v>
      </c>
      <c r="P66" s="459">
        <v>9384.2439467200984</v>
      </c>
      <c r="Q66" s="458">
        <v>55400.108403681625</v>
      </c>
      <c r="R66" s="458">
        <v>96899.0217812755</v>
      </c>
      <c r="S66" s="458">
        <v>1959.7497903854783</v>
      </c>
      <c r="T66" s="457"/>
      <c r="U66" s="425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G66" s="425"/>
      <c r="AH66" s="425"/>
      <c r="AI66" s="425"/>
      <c r="AJ66" s="425"/>
      <c r="AK66" s="425"/>
      <c r="AL66" s="425"/>
      <c r="AM66" s="425"/>
      <c r="AN66" s="425"/>
      <c r="AO66" s="425"/>
      <c r="AP66" s="425"/>
      <c r="AQ66" s="425"/>
    </row>
    <row r="67" spans="1:43" s="270" customFormat="1" x14ac:dyDescent="0.25">
      <c r="A67" s="271">
        <v>501445</v>
      </c>
      <c r="B67" s="271">
        <v>1445</v>
      </c>
      <c r="C67" s="271">
        <v>58793</v>
      </c>
      <c r="D67" s="268" t="s">
        <v>894</v>
      </c>
      <c r="E67" s="268" t="s">
        <v>1290</v>
      </c>
      <c r="F67" s="268" t="s">
        <v>2360</v>
      </c>
      <c r="G67" s="268">
        <v>5</v>
      </c>
      <c r="H67" s="268" t="s">
        <v>2361</v>
      </c>
      <c r="I67" s="268" t="s">
        <v>2357</v>
      </c>
      <c r="J67" s="458">
        <v>536242.51124114834</v>
      </c>
      <c r="K67" s="458">
        <v>44686.875936762364</v>
      </c>
      <c r="L67" s="458">
        <v>11194.760870699611</v>
      </c>
      <c r="M67" s="456">
        <v>4979.0391015891209</v>
      </c>
      <c r="N67" s="458">
        <v>119.49693843813893</v>
      </c>
      <c r="O67" s="458">
        <v>154029.34074049367</v>
      </c>
      <c r="P67" s="459">
        <v>9384.2439467200984</v>
      </c>
      <c r="Q67" s="458">
        <v>55400.108403681625</v>
      </c>
      <c r="R67" s="458">
        <v>96899.0217812755</v>
      </c>
      <c r="S67" s="458">
        <v>1959.7497903854783</v>
      </c>
      <c r="T67" s="457"/>
      <c r="U67" s="425"/>
      <c r="V67" s="425"/>
      <c r="W67" s="425"/>
      <c r="X67" s="425"/>
      <c r="Y67" s="425"/>
      <c r="Z67" s="425"/>
      <c r="AA67" s="425"/>
      <c r="AB67" s="425"/>
      <c r="AC67" s="425"/>
      <c r="AD67" s="425"/>
      <c r="AE67" s="425"/>
      <c r="AG67" s="425"/>
      <c r="AH67" s="425"/>
      <c r="AI67" s="425"/>
      <c r="AJ67" s="425"/>
      <c r="AK67" s="425"/>
      <c r="AL67" s="425"/>
      <c r="AM67" s="425"/>
      <c r="AN67" s="425"/>
      <c r="AO67" s="425"/>
      <c r="AP67" s="425"/>
      <c r="AQ67" s="425"/>
    </row>
    <row r="68" spans="1:43" x14ac:dyDescent="0.25">
      <c r="A68" s="271">
        <v>501101</v>
      </c>
      <c r="B68" s="271">
        <v>1101</v>
      </c>
      <c r="C68" s="271">
        <v>83768</v>
      </c>
      <c r="D68" s="268" t="s">
        <v>894</v>
      </c>
      <c r="E68" s="268" t="s">
        <v>1290</v>
      </c>
      <c r="F68" s="268" t="s">
        <v>2362</v>
      </c>
      <c r="G68" s="268">
        <v>5</v>
      </c>
      <c r="H68" s="268" t="s">
        <v>2363</v>
      </c>
      <c r="I68" s="268" t="s">
        <v>2301</v>
      </c>
      <c r="J68" s="458">
        <v>536242.51124114834</v>
      </c>
      <c r="K68" s="458">
        <v>44686.875936762364</v>
      </c>
      <c r="L68" s="458">
        <v>11194.760870699611</v>
      </c>
      <c r="M68" s="456">
        <v>0</v>
      </c>
      <c r="N68" s="458">
        <v>119.49693843813893</v>
      </c>
      <c r="O68" s="458">
        <v>154029.34074049367</v>
      </c>
      <c r="P68" s="459">
        <v>9384.2439467200984</v>
      </c>
      <c r="Q68" s="458">
        <v>55400.108403681625</v>
      </c>
      <c r="R68" s="458">
        <v>96899.0217812755</v>
      </c>
      <c r="S68" s="458">
        <v>1959.7497903854783</v>
      </c>
      <c r="T68" s="457"/>
      <c r="U68" s="425"/>
      <c r="V68" s="425"/>
      <c r="W68" s="425"/>
      <c r="X68" s="425"/>
      <c r="Y68" s="425"/>
      <c r="Z68" s="425"/>
      <c r="AA68" s="425"/>
      <c r="AB68" s="425"/>
      <c r="AC68" s="425"/>
      <c r="AD68" s="425"/>
      <c r="AE68" s="425"/>
      <c r="AF68" s="424"/>
      <c r="AG68" s="425"/>
      <c r="AH68" s="425"/>
      <c r="AI68" s="425"/>
      <c r="AJ68" s="425"/>
      <c r="AK68" s="425"/>
      <c r="AL68" s="425"/>
      <c r="AM68" s="425"/>
      <c r="AN68" s="425"/>
      <c r="AO68" s="425"/>
      <c r="AP68" s="425"/>
      <c r="AQ68" s="425"/>
    </row>
    <row r="69" spans="1:43" s="270" customFormat="1" x14ac:dyDescent="0.25">
      <c r="A69" s="271">
        <v>501445</v>
      </c>
      <c r="B69" s="271">
        <v>1445</v>
      </c>
      <c r="C69" s="271">
        <v>84107</v>
      </c>
      <c r="D69" s="268" t="s">
        <v>894</v>
      </c>
      <c r="E69" s="268" t="s">
        <v>1290</v>
      </c>
      <c r="F69" s="268" t="s">
        <v>2364</v>
      </c>
      <c r="G69" s="268">
        <v>5</v>
      </c>
      <c r="H69" s="268" t="s">
        <v>2365</v>
      </c>
      <c r="I69" s="268" t="s">
        <v>2366</v>
      </c>
      <c r="J69" s="458">
        <v>536242.51124114834</v>
      </c>
      <c r="K69" s="458">
        <v>44686.875936762364</v>
      </c>
      <c r="L69" s="458">
        <v>11194.760870699611</v>
      </c>
      <c r="M69" s="456">
        <v>0</v>
      </c>
      <c r="N69" s="458">
        <v>119.49693843813893</v>
      </c>
      <c r="O69" s="458">
        <v>154029.34074049367</v>
      </c>
      <c r="P69" s="459">
        <v>9384.2439467200984</v>
      </c>
      <c r="Q69" s="458">
        <v>55400.108403681625</v>
      </c>
      <c r="R69" s="458">
        <v>96899.0217812755</v>
      </c>
      <c r="S69" s="458">
        <v>1959.7497903854783</v>
      </c>
      <c r="T69" s="457"/>
      <c r="U69" s="425"/>
      <c r="V69" s="425"/>
      <c r="W69" s="425"/>
      <c r="X69" s="425"/>
      <c r="Y69" s="425"/>
      <c r="Z69" s="425"/>
      <c r="AA69" s="425"/>
      <c r="AB69" s="425"/>
      <c r="AC69" s="425"/>
      <c r="AD69" s="425"/>
      <c r="AE69" s="425"/>
      <c r="AG69" s="425"/>
      <c r="AH69" s="425"/>
      <c r="AI69" s="425"/>
      <c r="AJ69" s="425"/>
      <c r="AK69" s="425"/>
      <c r="AL69" s="425"/>
      <c r="AM69" s="425"/>
      <c r="AN69" s="425"/>
      <c r="AO69" s="425"/>
      <c r="AP69" s="425"/>
      <c r="AQ69" s="425"/>
    </row>
    <row r="70" spans="1:43" s="270" customFormat="1" x14ac:dyDescent="0.25">
      <c r="A70" s="271">
        <v>501406</v>
      </c>
      <c r="B70" s="271">
        <v>1406</v>
      </c>
      <c r="C70" s="271">
        <v>200124</v>
      </c>
      <c r="D70" s="268" t="s">
        <v>894</v>
      </c>
      <c r="E70" s="268" t="s">
        <v>1278</v>
      </c>
      <c r="F70" s="268" t="s">
        <v>2367</v>
      </c>
      <c r="G70" s="268">
        <v>5</v>
      </c>
      <c r="H70" s="268" t="s">
        <v>2368</v>
      </c>
      <c r="I70" s="268" t="s">
        <v>2369</v>
      </c>
      <c r="J70" s="458">
        <v>536242.51124114834</v>
      </c>
      <c r="K70" s="458">
        <v>44686.875936762364</v>
      </c>
      <c r="L70" s="458">
        <v>11194.760870699611</v>
      </c>
      <c r="M70" s="456">
        <v>0</v>
      </c>
      <c r="N70" s="458">
        <v>119.49693843813893</v>
      </c>
      <c r="O70" s="459">
        <v>0</v>
      </c>
      <c r="P70" s="459">
        <v>9384.2439467200984</v>
      </c>
      <c r="Q70" s="458">
        <v>55400.108403681625</v>
      </c>
      <c r="R70" s="458">
        <v>96899.0217812755</v>
      </c>
      <c r="S70" s="458">
        <v>1959.7497903854783</v>
      </c>
      <c r="T70" s="457"/>
      <c r="U70" s="425"/>
      <c r="V70" s="425"/>
      <c r="W70" s="425"/>
      <c r="X70" s="425"/>
      <c r="Y70" s="425"/>
      <c r="Z70" s="425"/>
      <c r="AA70" s="425"/>
      <c r="AB70" s="425"/>
      <c r="AC70" s="425"/>
      <c r="AD70" s="425"/>
      <c r="AE70" s="425"/>
      <c r="AG70" s="425"/>
      <c r="AH70" s="425"/>
      <c r="AI70" s="425"/>
      <c r="AJ70" s="425"/>
      <c r="AK70" s="425"/>
      <c r="AL70" s="425"/>
      <c r="AM70" s="425"/>
      <c r="AN70" s="425"/>
      <c r="AO70" s="425"/>
      <c r="AP70" s="425"/>
      <c r="AQ70" s="425"/>
    </row>
    <row r="71" spans="1:43" x14ac:dyDescent="0.25">
      <c r="A71" s="271">
        <v>501406</v>
      </c>
      <c r="B71" s="271">
        <v>1406</v>
      </c>
      <c r="C71" s="271">
        <v>200157</v>
      </c>
      <c r="D71" s="268" t="s">
        <v>894</v>
      </c>
      <c r="E71" s="268" t="s">
        <v>1278</v>
      </c>
      <c r="F71" s="268" t="s">
        <v>2370</v>
      </c>
      <c r="G71" s="268">
        <v>5</v>
      </c>
      <c r="H71" s="268" t="s">
        <v>2371</v>
      </c>
      <c r="I71" s="268" t="s">
        <v>2369</v>
      </c>
      <c r="J71" s="458">
        <v>536242.51124114834</v>
      </c>
      <c r="K71" s="458">
        <v>44686.875936762364</v>
      </c>
      <c r="L71" s="458">
        <v>11194.760870699611</v>
      </c>
      <c r="M71" s="456">
        <v>0</v>
      </c>
      <c r="N71" s="458">
        <v>119.49693843813893</v>
      </c>
      <c r="O71" s="459">
        <v>0</v>
      </c>
      <c r="P71" s="459">
        <v>9384.2439467200984</v>
      </c>
      <c r="Q71" s="458">
        <v>55400.108403681625</v>
      </c>
      <c r="R71" s="458">
        <v>96899.0217812755</v>
      </c>
      <c r="S71" s="458">
        <v>1959.7497903854783</v>
      </c>
      <c r="T71" s="457"/>
      <c r="U71" s="425"/>
      <c r="V71" s="425"/>
      <c r="W71" s="425"/>
      <c r="X71" s="425"/>
      <c r="Y71" s="425"/>
      <c r="Z71" s="425"/>
      <c r="AA71" s="425"/>
      <c r="AB71" s="425"/>
      <c r="AC71" s="425"/>
      <c r="AD71" s="425"/>
      <c r="AE71" s="425"/>
      <c r="AF71" s="424"/>
      <c r="AG71" s="425"/>
      <c r="AH71" s="425"/>
      <c r="AI71" s="425"/>
      <c r="AJ71" s="425"/>
      <c r="AK71" s="425"/>
      <c r="AL71" s="425"/>
      <c r="AM71" s="425"/>
      <c r="AN71" s="425"/>
      <c r="AO71" s="425"/>
      <c r="AP71" s="425"/>
      <c r="AQ71" s="425"/>
    </row>
    <row r="72" spans="1:43" s="270" customFormat="1" x14ac:dyDescent="0.25">
      <c r="A72" s="416">
        <v>501445</v>
      </c>
      <c r="B72" s="271">
        <v>1445</v>
      </c>
      <c r="C72" s="271">
        <v>200386</v>
      </c>
      <c r="D72" s="268" t="s">
        <v>894</v>
      </c>
      <c r="E72" s="268" t="s">
        <v>1290</v>
      </c>
      <c r="F72" s="268" t="s">
        <v>1304</v>
      </c>
      <c r="G72" s="268">
        <v>5</v>
      </c>
      <c r="H72" s="268" t="s">
        <v>2293</v>
      </c>
      <c r="I72" s="268" t="s">
        <v>2372</v>
      </c>
      <c r="J72" s="458">
        <v>536242.51124114834</v>
      </c>
      <c r="K72" s="458">
        <v>44686.875936762364</v>
      </c>
      <c r="L72" s="458">
        <v>11194.760870699611</v>
      </c>
      <c r="M72" s="456">
        <v>0</v>
      </c>
      <c r="N72" s="458">
        <v>119.49693843813893</v>
      </c>
      <c r="O72" s="458">
        <v>154029.34074049367</v>
      </c>
      <c r="P72" s="459">
        <v>9384.2439467200984</v>
      </c>
      <c r="Q72" s="458">
        <v>55400.108403681625</v>
      </c>
      <c r="R72" s="458">
        <v>96899.0217812755</v>
      </c>
      <c r="S72" s="458">
        <v>1959.7497903854783</v>
      </c>
      <c r="T72" s="457"/>
      <c r="U72" s="425"/>
      <c r="V72" s="425"/>
      <c r="W72" s="425"/>
      <c r="X72" s="425"/>
      <c r="Y72" s="425"/>
      <c r="Z72" s="425"/>
      <c r="AA72" s="425"/>
      <c r="AB72" s="425"/>
      <c r="AC72" s="425"/>
      <c r="AD72" s="425"/>
      <c r="AE72" s="425"/>
      <c r="AG72" s="425"/>
      <c r="AH72" s="425"/>
      <c r="AI72" s="425"/>
      <c r="AJ72" s="425"/>
      <c r="AK72" s="425"/>
      <c r="AL72" s="425"/>
      <c r="AM72" s="425"/>
      <c r="AN72" s="425"/>
      <c r="AO72" s="425"/>
      <c r="AP72" s="425"/>
      <c r="AQ72" s="425"/>
    </row>
    <row r="73" spans="1:43" s="270" customFormat="1" x14ac:dyDescent="0.25">
      <c r="A73" s="271">
        <v>501206</v>
      </c>
      <c r="B73" s="271">
        <v>1206</v>
      </c>
      <c r="C73" s="271">
        <v>12360</v>
      </c>
      <c r="D73" s="268" t="s">
        <v>1698</v>
      </c>
      <c r="E73" s="268" t="s">
        <v>1290</v>
      </c>
      <c r="F73" s="268" t="s">
        <v>2373</v>
      </c>
      <c r="G73" s="268">
        <v>6</v>
      </c>
      <c r="H73" s="268" t="s">
        <v>2374</v>
      </c>
      <c r="I73" s="268" t="s">
        <v>2375</v>
      </c>
      <c r="J73" s="458">
        <v>519878.06939392543</v>
      </c>
      <c r="K73" s="458">
        <v>43323.172449493788</v>
      </c>
      <c r="L73" s="458">
        <v>11194.760870699611</v>
      </c>
      <c r="M73" s="456">
        <v>0</v>
      </c>
      <c r="N73" s="458">
        <v>119.49693843813893</v>
      </c>
      <c r="O73" s="459">
        <v>0</v>
      </c>
      <c r="P73" s="459">
        <v>9097.8662143936963</v>
      </c>
      <c r="Q73" s="458">
        <v>55400.108403681625</v>
      </c>
      <c r="R73" s="458">
        <v>93941.967139482324</v>
      </c>
      <c r="S73" s="458">
        <v>1959.7497903854783</v>
      </c>
      <c r="T73" s="457"/>
      <c r="U73" s="425"/>
      <c r="V73" s="425"/>
      <c r="W73" s="425"/>
      <c r="X73" s="425"/>
      <c r="Y73" s="425"/>
      <c r="Z73" s="425"/>
      <c r="AA73" s="425"/>
      <c r="AB73" s="425"/>
      <c r="AC73" s="425"/>
      <c r="AD73" s="425"/>
      <c r="AE73" s="425"/>
      <c r="AG73" s="425"/>
      <c r="AH73" s="425"/>
      <c r="AI73" s="425"/>
      <c r="AJ73" s="425"/>
      <c r="AK73" s="425"/>
      <c r="AL73" s="425"/>
      <c r="AM73" s="425"/>
      <c r="AN73" s="425"/>
      <c r="AO73" s="425"/>
      <c r="AP73" s="425"/>
      <c r="AQ73" s="425"/>
    </row>
    <row r="74" spans="1:43" s="270" customFormat="1" x14ac:dyDescent="0.25">
      <c r="A74" s="271">
        <v>501445</v>
      </c>
      <c r="B74" s="271">
        <v>1445</v>
      </c>
      <c r="C74" s="271">
        <v>14805</v>
      </c>
      <c r="D74" s="268" t="s">
        <v>1698</v>
      </c>
      <c r="E74" s="268" t="s">
        <v>1290</v>
      </c>
      <c r="F74" s="268" t="s">
        <v>327</v>
      </c>
      <c r="G74" s="268">
        <v>6</v>
      </c>
      <c r="H74" s="268" t="s">
        <v>2376</v>
      </c>
      <c r="I74" s="268" t="s">
        <v>2377</v>
      </c>
      <c r="J74" s="458">
        <v>519878.06939392543</v>
      </c>
      <c r="K74" s="458">
        <v>43323.172449493788</v>
      </c>
      <c r="L74" s="458">
        <v>11194.760870699611</v>
      </c>
      <c r="M74" s="456">
        <v>4979.0391015891209</v>
      </c>
      <c r="N74" s="458">
        <v>119.49693843813893</v>
      </c>
      <c r="O74" s="458">
        <v>111729.63743965988</v>
      </c>
      <c r="P74" s="459">
        <v>9097.8662143936963</v>
      </c>
      <c r="Q74" s="458">
        <v>55400.108403681625</v>
      </c>
      <c r="R74" s="458">
        <v>93941.967139482324</v>
      </c>
      <c r="S74" s="458">
        <v>1959.7497903854783</v>
      </c>
      <c r="T74" s="457"/>
      <c r="U74" s="425"/>
      <c r="V74" s="425"/>
      <c r="W74" s="425"/>
      <c r="X74" s="425"/>
      <c r="Y74" s="425"/>
      <c r="Z74" s="425"/>
      <c r="AA74" s="425"/>
      <c r="AB74" s="425"/>
      <c r="AC74" s="425"/>
      <c r="AD74" s="425"/>
      <c r="AE74" s="425"/>
      <c r="AG74" s="425"/>
      <c r="AH74" s="425"/>
      <c r="AI74" s="425"/>
      <c r="AJ74" s="425"/>
      <c r="AK74" s="425"/>
      <c r="AL74" s="425"/>
      <c r="AM74" s="425"/>
      <c r="AN74" s="425"/>
      <c r="AO74" s="425"/>
      <c r="AP74" s="425"/>
      <c r="AQ74" s="425"/>
    </row>
    <row r="75" spans="1:43" s="270" customFormat="1" x14ac:dyDescent="0.25">
      <c r="A75" s="271">
        <v>501203</v>
      </c>
      <c r="B75" s="271">
        <v>1203</v>
      </c>
      <c r="C75" s="271">
        <v>23469</v>
      </c>
      <c r="D75" s="268" t="s">
        <v>894</v>
      </c>
      <c r="E75" s="268" t="s">
        <v>1278</v>
      </c>
      <c r="F75" s="268" t="s">
        <v>2378</v>
      </c>
      <c r="G75" s="268">
        <v>6</v>
      </c>
      <c r="H75" s="268" t="s">
        <v>2379</v>
      </c>
      <c r="I75" s="268" t="s">
        <v>2380</v>
      </c>
      <c r="J75" s="458">
        <v>519878.06939392543</v>
      </c>
      <c r="K75" s="458">
        <v>43323.172449493788</v>
      </c>
      <c r="L75" s="458">
        <v>11194.760870699611</v>
      </c>
      <c r="M75" s="456">
        <v>0</v>
      </c>
      <c r="N75" s="458">
        <v>119.49693843813893</v>
      </c>
      <c r="O75" s="459">
        <v>0</v>
      </c>
      <c r="P75" s="459">
        <v>9097.8662143936963</v>
      </c>
      <c r="Q75" s="458">
        <v>55400.108403681625</v>
      </c>
      <c r="R75" s="458">
        <v>93941.967139482324</v>
      </c>
      <c r="S75" s="458">
        <v>1959.7497903854783</v>
      </c>
      <c r="T75" s="457"/>
      <c r="U75" s="425"/>
      <c r="V75" s="425"/>
      <c r="W75" s="425"/>
      <c r="X75" s="425"/>
      <c r="Y75" s="425"/>
      <c r="Z75" s="425"/>
      <c r="AA75" s="425"/>
      <c r="AB75" s="425"/>
      <c r="AC75" s="425"/>
      <c r="AD75" s="425"/>
      <c r="AE75" s="425"/>
      <c r="AG75" s="425"/>
      <c r="AH75" s="425"/>
      <c r="AI75" s="425"/>
      <c r="AJ75" s="425"/>
      <c r="AK75" s="425"/>
      <c r="AL75" s="425"/>
      <c r="AM75" s="425"/>
      <c r="AN75" s="425"/>
      <c r="AO75" s="425"/>
      <c r="AP75" s="425"/>
      <c r="AQ75" s="425"/>
    </row>
    <row r="76" spans="1:43" s="270" customFormat="1" x14ac:dyDescent="0.25">
      <c r="A76" s="271">
        <v>501442</v>
      </c>
      <c r="B76" s="271">
        <v>1442</v>
      </c>
      <c r="C76" s="271">
        <v>27892</v>
      </c>
      <c r="D76" s="268" t="s">
        <v>894</v>
      </c>
      <c r="E76" s="268" t="s">
        <v>1290</v>
      </c>
      <c r="F76" s="268" t="s">
        <v>2381</v>
      </c>
      <c r="G76" s="268">
        <v>6</v>
      </c>
      <c r="H76" s="268" t="s">
        <v>2382</v>
      </c>
      <c r="I76" s="268" t="s">
        <v>2288</v>
      </c>
      <c r="J76" s="458">
        <v>519878.06939392543</v>
      </c>
      <c r="K76" s="458">
        <v>43323.172449493788</v>
      </c>
      <c r="L76" s="458">
        <v>11194.760870699611</v>
      </c>
      <c r="M76" s="456">
        <v>0</v>
      </c>
      <c r="N76" s="458">
        <v>119.49693843813893</v>
      </c>
      <c r="O76" s="458">
        <v>111729.63743965988</v>
      </c>
      <c r="P76" s="459">
        <v>9097.8662143936963</v>
      </c>
      <c r="Q76" s="458">
        <v>55400.108403681625</v>
      </c>
      <c r="R76" s="458">
        <v>93941.967139482324</v>
      </c>
      <c r="S76" s="458">
        <v>1959.7497903854783</v>
      </c>
      <c r="T76" s="457"/>
      <c r="U76" s="425"/>
      <c r="V76" s="425"/>
      <c r="W76" s="425"/>
      <c r="X76" s="425"/>
      <c r="Y76" s="425"/>
      <c r="Z76" s="425"/>
      <c r="AA76" s="425"/>
      <c r="AB76" s="425"/>
      <c r="AC76" s="425"/>
      <c r="AD76" s="425"/>
      <c r="AE76" s="425"/>
      <c r="AG76" s="425"/>
      <c r="AH76" s="425"/>
      <c r="AI76" s="425"/>
      <c r="AJ76" s="425"/>
      <c r="AK76" s="425"/>
      <c r="AL76" s="425"/>
      <c r="AM76" s="425"/>
      <c r="AN76" s="425"/>
      <c r="AO76" s="425"/>
      <c r="AP76" s="425"/>
      <c r="AQ76" s="425"/>
    </row>
    <row r="77" spans="1:43" s="270" customFormat="1" x14ac:dyDescent="0.25">
      <c r="A77" s="276">
        <v>501103</v>
      </c>
      <c r="B77" s="276">
        <v>1103</v>
      </c>
      <c r="C77" s="276">
        <v>29719</v>
      </c>
      <c r="D77" s="268" t="s">
        <v>894</v>
      </c>
      <c r="E77" s="268" t="s">
        <v>1278</v>
      </c>
      <c r="F77" s="268" t="s">
        <v>2383</v>
      </c>
      <c r="G77" s="268">
        <v>6</v>
      </c>
      <c r="H77" s="268" t="s">
        <v>2384</v>
      </c>
      <c r="I77" s="268" t="s">
        <v>2385</v>
      </c>
      <c r="J77" s="456">
        <v>519878.06939392543</v>
      </c>
      <c r="K77" s="459">
        <v>43323.172449493788</v>
      </c>
      <c r="L77" s="458">
        <v>11194.760870699611</v>
      </c>
      <c r="M77" s="456">
        <v>4979.0391015891209</v>
      </c>
      <c r="N77" s="459">
        <v>119.49693843813893</v>
      </c>
      <c r="O77" s="456">
        <v>111729.63743965988</v>
      </c>
      <c r="P77" s="459">
        <v>9097.8662143936963</v>
      </c>
      <c r="Q77" s="458">
        <v>55400.108403681625</v>
      </c>
      <c r="R77" s="459">
        <v>93941.967139482324</v>
      </c>
      <c r="S77" s="459">
        <v>1959.7497903854783</v>
      </c>
      <c r="T77" s="457"/>
      <c r="U77" s="425"/>
      <c r="V77" s="425"/>
      <c r="W77" s="425"/>
      <c r="X77" s="425"/>
      <c r="Y77" s="425"/>
      <c r="Z77" s="425"/>
      <c r="AA77" s="425"/>
      <c r="AB77" s="425"/>
      <c r="AC77" s="425"/>
      <c r="AD77" s="425"/>
      <c r="AE77" s="425"/>
      <c r="AG77" s="425"/>
      <c r="AH77" s="425"/>
      <c r="AI77" s="425"/>
      <c r="AJ77" s="425"/>
      <c r="AK77" s="425"/>
      <c r="AL77" s="425"/>
      <c r="AM77" s="425"/>
      <c r="AN77" s="425"/>
      <c r="AO77" s="425"/>
      <c r="AP77" s="425"/>
      <c r="AQ77" s="425"/>
    </row>
    <row r="78" spans="1:43" s="270" customFormat="1" x14ac:dyDescent="0.25">
      <c r="A78" s="271">
        <v>501445</v>
      </c>
      <c r="B78" s="271">
        <v>1445</v>
      </c>
      <c r="C78" s="271">
        <v>35473</v>
      </c>
      <c r="D78" s="268" t="s">
        <v>894</v>
      </c>
      <c r="E78" s="268" t="s">
        <v>1290</v>
      </c>
      <c r="F78" s="268" t="s">
        <v>2386</v>
      </c>
      <c r="G78" s="268">
        <v>6</v>
      </c>
      <c r="H78" s="268" t="s">
        <v>2387</v>
      </c>
      <c r="I78" s="268" t="s">
        <v>2288</v>
      </c>
      <c r="J78" s="458">
        <v>519878.06939392543</v>
      </c>
      <c r="K78" s="458">
        <v>43323.172449493788</v>
      </c>
      <c r="L78" s="458">
        <v>11194.760870699611</v>
      </c>
      <c r="M78" s="456">
        <v>4979.0391015891209</v>
      </c>
      <c r="N78" s="458">
        <v>119.49693843813893</v>
      </c>
      <c r="O78" s="458">
        <v>111729.63743965988</v>
      </c>
      <c r="P78" s="459">
        <v>9097.8662143936963</v>
      </c>
      <c r="Q78" s="458">
        <v>55400.108403681625</v>
      </c>
      <c r="R78" s="458">
        <v>93941.967139482324</v>
      </c>
      <c r="S78" s="458">
        <v>1959.7497903854783</v>
      </c>
      <c r="T78" s="457"/>
      <c r="U78" s="425"/>
      <c r="V78" s="425"/>
      <c r="W78" s="425"/>
      <c r="X78" s="425"/>
      <c r="Y78" s="425"/>
      <c r="Z78" s="425"/>
      <c r="AA78" s="425"/>
      <c r="AB78" s="425"/>
      <c r="AC78" s="425"/>
      <c r="AD78" s="425"/>
      <c r="AE78" s="425"/>
      <c r="AG78" s="425"/>
      <c r="AH78" s="425"/>
      <c r="AI78" s="425"/>
      <c r="AJ78" s="425"/>
      <c r="AK78" s="425"/>
      <c r="AL78" s="425"/>
      <c r="AM78" s="425"/>
      <c r="AN78" s="425"/>
      <c r="AO78" s="425"/>
      <c r="AP78" s="425"/>
      <c r="AQ78" s="425"/>
    </row>
    <row r="79" spans="1:43" s="270" customFormat="1" x14ac:dyDescent="0.25">
      <c r="A79" s="271">
        <v>501103</v>
      </c>
      <c r="B79" s="271">
        <v>1103</v>
      </c>
      <c r="C79" s="271">
        <v>36715</v>
      </c>
      <c r="D79" s="268" t="s">
        <v>894</v>
      </c>
      <c r="E79" s="268" t="s">
        <v>1290</v>
      </c>
      <c r="F79" s="268" t="s">
        <v>2388</v>
      </c>
      <c r="G79" s="268">
        <v>6</v>
      </c>
      <c r="H79" s="268" t="s">
        <v>2389</v>
      </c>
      <c r="I79" s="268" t="s">
        <v>2390</v>
      </c>
      <c r="J79" s="458">
        <v>519878.06939392543</v>
      </c>
      <c r="K79" s="458">
        <v>43323.172449493788</v>
      </c>
      <c r="L79" s="458">
        <v>11194.760870699611</v>
      </c>
      <c r="M79" s="456">
        <v>5532.2656684323565</v>
      </c>
      <c r="N79" s="458">
        <v>119.49693843813893</v>
      </c>
      <c r="O79" s="458">
        <v>111729.63743965988</v>
      </c>
      <c r="P79" s="459">
        <v>9097.8662143936963</v>
      </c>
      <c r="Q79" s="458">
        <v>55400.108403681625</v>
      </c>
      <c r="R79" s="458">
        <v>93941.967139482324</v>
      </c>
      <c r="S79" s="458">
        <v>1959.7497903854783</v>
      </c>
      <c r="T79" s="457"/>
      <c r="U79" s="425"/>
      <c r="V79" s="425"/>
      <c r="W79" s="425"/>
      <c r="X79" s="425"/>
      <c r="Y79" s="425"/>
      <c r="Z79" s="425"/>
      <c r="AA79" s="425"/>
      <c r="AB79" s="425"/>
      <c r="AC79" s="425"/>
      <c r="AD79" s="425"/>
      <c r="AE79" s="425"/>
      <c r="AG79" s="425"/>
      <c r="AH79" s="425"/>
      <c r="AI79" s="425"/>
      <c r="AJ79" s="425"/>
      <c r="AK79" s="425"/>
      <c r="AL79" s="425"/>
      <c r="AM79" s="425"/>
      <c r="AN79" s="425"/>
      <c r="AO79" s="425"/>
      <c r="AP79" s="425"/>
      <c r="AQ79" s="425"/>
    </row>
    <row r="80" spans="1:43" s="270" customFormat="1" x14ac:dyDescent="0.25">
      <c r="A80" s="271">
        <v>501204</v>
      </c>
      <c r="B80" s="271">
        <v>1204</v>
      </c>
      <c r="C80" s="271">
        <v>38399</v>
      </c>
      <c r="D80" s="268" t="s">
        <v>894</v>
      </c>
      <c r="E80" s="268" t="s">
        <v>1278</v>
      </c>
      <c r="F80" s="268" t="s">
        <v>2391</v>
      </c>
      <c r="G80" s="268">
        <v>6</v>
      </c>
      <c r="H80" s="268" t="s">
        <v>2392</v>
      </c>
      <c r="I80" s="268" t="s">
        <v>2393</v>
      </c>
      <c r="J80" s="458">
        <v>519878.06939392543</v>
      </c>
      <c r="K80" s="458">
        <v>43323.172449493788</v>
      </c>
      <c r="L80" s="458">
        <v>11194.760870699611</v>
      </c>
      <c r="M80" s="456">
        <v>0</v>
      </c>
      <c r="N80" s="458">
        <v>119.49693843813893</v>
      </c>
      <c r="O80" s="459">
        <v>0</v>
      </c>
      <c r="P80" s="459">
        <v>9097.8662143936963</v>
      </c>
      <c r="Q80" s="458">
        <v>55400.108403681625</v>
      </c>
      <c r="R80" s="458">
        <v>93941.967139482324</v>
      </c>
      <c r="S80" s="458">
        <v>1959.7497903854783</v>
      </c>
      <c r="T80" s="457"/>
      <c r="U80" s="425"/>
      <c r="V80" s="425"/>
      <c r="W80" s="425"/>
      <c r="X80" s="425"/>
      <c r="Y80" s="425"/>
      <c r="Z80" s="425"/>
      <c r="AA80" s="425"/>
      <c r="AB80" s="425"/>
      <c r="AC80" s="425"/>
      <c r="AD80" s="425"/>
      <c r="AE80" s="425"/>
      <c r="AG80" s="425"/>
      <c r="AH80" s="425"/>
      <c r="AI80" s="425"/>
      <c r="AJ80" s="425"/>
      <c r="AK80" s="425"/>
      <c r="AL80" s="425"/>
      <c r="AM80" s="425"/>
      <c r="AN80" s="425"/>
      <c r="AO80" s="425"/>
      <c r="AP80" s="425"/>
      <c r="AQ80" s="425"/>
    </row>
    <row r="81" spans="1:43" x14ac:dyDescent="0.25">
      <c r="A81" s="271">
        <v>501443</v>
      </c>
      <c r="B81" s="271">
        <v>1443</v>
      </c>
      <c r="C81" s="271">
        <v>43889</v>
      </c>
      <c r="D81" s="268" t="s">
        <v>894</v>
      </c>
      <c r="E81" s="268" t="s">
        <v>1290</v>
      </c>
      <c r="F81" s="268" t="s">
        <v>2394</v>
      </c>
      <c r="G81" s="268">
        <v>6</v>
      </c>
      <c r="H81" s="268" t="s">
        <v>2395</v>
      </c>
      <c r="I81" s="268" t="s">
        <v>2396</v>
      </c>
      <c r="J81" s="458">
        <v>519878.06939392543</v>
      </c>
      <c r="K81" s="458">
        <v>43323.172449493788</v>
      </c>
      <c r="L81" s="458">
        <v>11194.760870699611</v>
      </c>
      <c r="M81" s="456">
        <v>5532.2656684323565</v>
      </c>
      <c r="N81" s="458">
        <v>119.49693843813893</v>
      </c>
      <c r="O81" s="458">
        <v>111729.63743965988</v>
      </c>
      <c r="P81" s="459">
        <v>9097.8662143936963</v>
      </c>
      <c r="Q81" s="458">
        <v>55400.108403681625</v>
      </c>
      <c r="R81" s="458">
        <v>93941.967139482324</v>
      </c>
      <c r="S81" s="458">
        <v>1959.7497903854783</v>
      </c>
      <c r="T81" s="457"/>
      <c r="U81" s="425"/>
      <c r="V81" s="425"/>
      <c r="W81" s="425"/>
      <c r="X81" s="425"/>
      <c r="Y81" s="425"/>
      <c r="Z81" s="425"/>
      <c r="AA81" s="425"/>
      <c r="AB81" s="425"/>
      <c r="AC81" s="425"/>
      <c r="AD81" s="425"/>
      <c r="AE81" s="425"/>
      <c r="AF81" s="424"/>
      <c r="AG81" s="425"/>
      <c r="AH81" s="425"/>
      <c r="AI81" s="425"/>
      <c r="AJ81" s="425"/>
      <c r="AK81" s="425"/>
      <c r="AL81" s="425"/>
      <c r="AM81" s="425"/>
      <c r="AN81" s="425"/>
      <c r="AO81" s="425"/>
      <c r="AP81" s="425"/>
      <c r="AQ81" s="425"/>
    </row>
    <row r="82" spans="1:43" s="270" customFormat="1" x14ac:dyDescent="0.25">
      <c r="A82" s="271">
        <v>501442</v>
      </c>
      <c r="B82" s="271">
        <v>1442</v>
      </c>
      <c r="C82" s="271">
        <v>47775</v>
      </c>
      <c r="D82" s="268" t="s">
        <v>894</v>
      </c>
      <c r="E82" s="268" t="s">
        <v>1278</v>
      </c>
      <c r="F82" s="268" t="s">
        <v>2397</v>
      </c>
      <c r="G82" s="268">
        <v>6</v>
      </c>
      <c r="H82" s="268" t="s">
        <v>2398</v>
      </c>
      <c r="I82" s="268" t="s">
        <v>2399</v>
      </c>
      <c r="J82" s="458">
        <v>519878.06939392543</v>
      </c>
      <c r="K82" s="458">
        <v>43323.172449493788</v>
      </c>
      <c r="L82" s="458">
        <v>11194.760870699611</v>
      </c>
      <c r="M82" s="456">
        <v>0</v>
      </c>
      <c r="N82" s="458">
        <v>119.49693843813893</v>
      </c>
      <c r="O82" s="458">
        <v>111729.63743965988</v>
      </c>
      <c r="P82" s="459">
        <v>9097.8662143936963</v>
      </c>
      <c r="Q82" s="458">
        <v>55400.108403681625</v>
      </c>
      <c r="R82" s="458">
        <v>93941.967139482324</v>
      </c>
      <c r="S82" s="458">
        <v>1959.7497903854783</v>
      </c>
      <c r="T82" s="457"/>
      <c r="U82" s="425"/>
      <c r="V82" s="425"/>
      <c r="W82" s="425"/>
      <c r="X82" s="425"/>
      <c r="Y82" s="425"/>
      <c r="Z82" s="425"/>
      <c r="AA82" s="425"/>
      <c r="AB82" s="425"/>
      <c r="AC82" s="425"/>
      <c r="AD82" s="425"/>
      <c r="AE82" s="425"/>
      <c r="AG82" s="425"/>
      <c r="AH82" s="425"/>
      <c r="AI82" s="425"/>
      <c r="AJ82" s="425"/>
      <c r="AK82" s="425"/>
      <c r="AL82" s="425"/>
      <c r="AM82" s="425"/>
      <c r="AN82" s="425"/>
      <c r="AO82" s="425"/>
      <c r="AP82" s="425"/>
      <c r="AQ82" s="425"/>
    </row>
    <row r="83" spans="1:43" x14ac:dyDescent="0.25">
      <c r="A83" s="271">
        <v>501445</v>
      </c>
      <c r="B83" s="271">
        <v>1445</v>
      </c>
      <c r="C83" s="271">
        <v>50283</v>
      </c>
      <c r="D83" s="268" t="s">
        <v>894</v>
      </c>
      <c r="E83" s="268" t="s">
        <v>1278</v>
      </c>
      <c r="F83" s="268" t="s">
        <v>426</v>
      </c>
      <c r="G83" s="268">
        <v>6</v>
      </c>
      <c r="H83" s="268" t="s">
        <v>2400</v>
      </c>
      <c r="I83" s="268" t="s">
        <v>2401</v>
      </c>
      <c r="J83" s="458">
        <v>519878.06939392543</v>
      </c>
      <c r="K83" s="458">
        <v>43323.172449493788</v>
      </c>
      <c r="L83" s="458">
        <v>11194.760870699611</v>
      </c>
      <c r="M83" s="456">
        <v>0</v>
      </c>
      <c r="N83" s="458">
        <v>119.49693843813893</v>
      </c>
      <c r="O83" s="458">
        <v>111729.63743965988</v>
      </c>
      <c r="P83" s="459">
        <v>9097.8662143936963</v>
      </c>
      <c r="Q83" s="458">
        <v>55400.108403681625</v>
      </c>
      <c r="R83" s="458">
        <v>93941.967139482324</v>
      </c>
      <c r="S83" s="458">
        <v>1959.7497903854783</v>
      </c>
      <c r="T83" s="457"/>
      <c r="U83" s="425"/>
      <c r="V83" s="425"/>
      <c r="W83" s="425"/>
      <c r="X83" s="425"/>
      <c r="Y83" s="425"/>
      <c r="Z83" s="425"/>
      <c r="AA83" s="425"/>
      <c r="AB83" s="425"/>
      <c r="AC83" s="425"/>
      <c r="AD83" s="425"/>
      <c r="AE83" s="425"/>
      <c r="AF83" s="424"/>
      <c r="AG83" s="425"/>
      <c r="AH83" s="425"/>
      <c r="AI83" s="425"/>
      <c r="AJ83" s="425"/>
      <c r="AK83" s="425"/>
      <c r="AL83" s="425"/>
      <c r="AM83" s="425"/>
      <c r="AN83" s="425"/>
      <c r="AO83" s="425"/>
      <c r="AP83" s="425"/>
      <c r="AQ83" s="425"/>
    </row>
    <row r="84" spans="1:43" s="270" customFormat="1" x14ac:dyDescent="0.25">
      <c r="A84" s="271">
        <v>501305</v>
      </c>
      <c r="B84" s="271">
        <v>1305</v>
      </c>
      <c r="C84" s="271">
        <v>51994</v>
      </c>
      <c r="D84" s="268" t="s">
        <v>894</v>
      </c>
      <c r="E84" s="268" t="s">
        <v>1290</v>
      </c>
      <c r="F84" s="268" t="s">
        <v>2402</v>
      </c>
      <c r="G84" s="268">
        <v>6</v>
      </c>
      <c r="H84" s="268" t="s">
        <v>2403</v>
      </c>
      <c r="I84" s="268" t="s">
        <v>2404</v>
      </c>
      <c r="J84" s="458">
        <v>519878.06939392543</v>
      </c>
      <c r="K84" s="458">
        <v>43323.172449493788</v>
      </c>
      <c r="L84" s="458">
        <v>11194.760870699611</v>
      </c>
      <c r="M84" s="456">
        <v>0</v>
      </c>
      <c r="N84" s="458">
        <v>119.49693843813893</v>
      </c>
      <c r="O84" s="459">
        <v>0</v>
      </c>
      <c r="P84" s="459">
        <v>9097.8662143936963</v>
      </c>
      <c r="Q84" s="458">
        <v>55400.108403681625</v>
      </c>
      <c r="R84" s="458">
        <v>93941.967139482324</v>
      </c>
      <c r="S84" s="458">
        <v>1959.7497903854783</v>
      </c>
      <c r="T84" s="457"/>
      <c r="U84" s="425"/>
      <c r="V84" s="425"/>
      <c r="W84" s="425"/>
      <c r="X84" s="425"/>
      <c r="Y84" s="425"/>
      <c r="Z84" s="425"/>
      <c r="AA84" s="425"/>
      <c r="AB84" s="425"/>
      <c r="AC84" s="425"/>
      <c r="AD84" s="425"/>
      <c r="AE84" s="425"/>
      <c r="AG84" s="425"/>
      <c r="AH84" s="425"/>
      <c r="AI84" s="425"/>
      <c r="AJ84" s="425"/>
      <c r="AK84" s="425"/>
      <c r="AL84" s="425"/>
      <c r="AM84" s="425"/>
      <c r="AN84" s="425"/>
      <c r="AO84" s="425"/>
      <c r="AP84" s="425"/>
      <c r="AQ84" s="425"/>
    </row>
    <row r="85" spans="1:43" x14ac:dyDescent="0.25">
      <c r="A85" s="271">
        <v>501304</v>
      </c>
      <c r="B85" s="271">
        <v>1304</v>
      </c>
      <c r="C85" s="271">
        <v>54577</v>
      </c>
      <c r="D85" s="268" t="s">
        <v>894</v>
      </c>
      <c r="E85" s="268" t="s">
        <v>1290</v>
      </c>
      <c r="F85" s="268" t="s">
        <v>2405</v>
      </c>
      <c r="G85" s="268">
        <v>6</v>
      </c>
      <c r="H85" s="268" t="s">
        <v>2406</v>
      </c>
      <c r="I85" s="268" t="s">
        <v>2407</v>
      </c>
      <c r="J85" s="458">
        <v>519878.06939392543</v>
      </c>
      <c r="K85" s="458">
        <v>43323.172449493788</v>
      </c>
      <c r="L85" s="458">
        <v>11194.760870699611</v>
      </c>
      <c r="M85" s="456">
        <v>0</v>
      </c>
      <c r="N85" s="458">
        <v>119.49693843813893</v>
      </c>
      <c r="O85" s="458">
        <v>154029.34074049367</v>
      </c>
      <c r="P85" s="459">
        <v>9097.8662143936963</v>
      </c>
      <c r="Q85" s="458">
        <v>55400.108403681625</v>
      </c>
      <c r="R85" s="458">
        <v>93941.967139482324</v>
      </c>
      <c r="S85" s="458">
        <v>1959.7497903854783</v>
      </c>
      <c r="T85" s="457"/>
      <c r="U85" s="425"/>
      <c r="V85" s="425"/>
      <c r="W85" s="425"/>
      <c r="X85" s="425"/>
      <c r="Y85" s="425"/>
      <c r="Z85" s="425"/>
      <c r="AA85" s="425"/>
      <c r="AB85" s="425"/>
      <c r="AC85" s="425"/>
      <c r="AD85" s="425"/>
      <c r="AE85" s="425"/>
      <c r="AF85" s="424"/>
      <c r="AG85" s="425"/>
      <c r="AH85" s="425"/>
      <c r="AI85" s="425"/>
      <c r="AJ85" s="425"/>
      <c r="AK85" s="425"/>
      <c r="AL85" s="425"/>
      <c r="AM85" s="425"/>
      <c r="AN85" s="425"/>
      <c r="AO85" s="425"/>
      <c r="AP85" s="425"/>
      <c r="AQ85" s="425"/>
    </row>
    <row r="86" spans="1:43" s="270" customFormat="1" x14ac:dyDescent="0.25">
      <c r="A86" s="271">
        <v>501442</v>
      </c>
      <c r="B86" s="271">
        <v>1442</v>
      </c>
      <c r="C86" s="271">
        <v>84589</v>
      </c>
      <c r="D86" s="268" t="s">
        <v>894</v>
      </c>
      <c r="E86" s="268" t="s">
        <v>1290</v>
      </c>
      <c r="F86" s="268" t="s">
        <v>2408</v>
      </c>
      <c r="G86" s="268">
        <v>6</v>
      </c>
      <c r="H86" s="268" t="s">
        <v>2409</v>
      </c>
      <c r="I86" s="268" t="s">
        <v>2410</v>
      </c>
      <c r="J86" s="458">
        <v>519878.06939392543</v>
      </c>
      <c r="K86" s="458">
        <v>43323.172449493788</v>
      </c>
      <c r="L86" s="458">
        <v>11194.760870699611</v>
      </c>
      <c r="M86" s="456">
        <v>0</v>
      </c>
      <c r="N86" s="458">
        <v>119.49693843813893</v>
      </c>
      <c r="O86" s="458">
        <v>111729.63743965988</v>
      </c>
      <c r="P86" s="459">
        <v>9097.8662143936963</v>
      </c>
      <c r="Q86" s="458">
        <v>55400.108403681625</v>
      </c>
      <c r="R86" s="458">
        <v>93941.967139482324</v>
      </c>
      <c r="S86" s="458">
        <v>1959.7497903854783</v>
      </c>
      <c r="T86" s="457"/>
      <c r="U86" s="425"/>
      <c r="V86" s="425"/>
      <c r="W86" s="425"/>
      <c r="X86" s="425"/>
      <c r="Y86" s="425"/>
      <c r="Z86" s="425"/>
      <c r="AA86" s="425"/>
      <c r="AB86" s="425"/>
      <c r="AC86" s="425"/>
      <c r="AD86" s="425"/>
      <c r="AE86" s="425"/>
      <c r="AG86" s="425"/>
      <c r="AH86" s="425"/>
      <c r="AI86" s="425"/>
      <c r="AJ86" s="425"/>
      <c r="AK86" s="425"/>
      <c r="AL86" s="425"/>
      <c r="AM86" s="425"/>
      <c r="AN86" s="425"/>
      <c r="AO86" s="425"/>
      <c r="AP86" s="425"/>
      <c r="AQ86" s="425"/>
    </row>
    <row r="87" spans="1:43" s="270" customFormat="1" x14ac:dyDescent="0.25">
      <c r="A87" s="271">
        <v>501206</v>
      </c>
      <c r="B87" s="271">
        <v>1206</v>
      </c>
      <c r="C87" s="271">
        <v>85672</v>
      </c>
      <c r="D87" s="268" t="s">
        <v>894</v>
      </c>
      <c r="E87" s="268" t="s">
        <v>1278</v>
      </c>
      <c r="F87" s="268" t="s">
        <v>2411</v>
      </c>
      <c r="G87" s="268">
        <v>6</v>
      </c>
      <c r="H87" s="268" t="s">
        <v>2412</v>
      </c>
      <c r="I87" s="268" t="s">
        <v>2375</v>
      </c>
      <c r="J87" s="458">
        <v>519878.06939392543</v>
      </c>
      <c r="K87" s="458">
        <v>43323.172449493788</v>
      </c>
      <c r="L87" s="458">
        <v>11194.760870699611</v>
      </c>
      <c r="M87" s="456">
        <v>0</v>
      </c>
      <c r="N87" s="458">
        <v>119.49693843813893</v>
      </c>
      <c r="O87" s="459">
        <v>0</v>
      </c>
      <c r="P87" s="459">
        <v>9097.8662143936963</v>
      </c>
      <c r="Q87" s="458">
        <v>55400.108403681625</v>
      </c>
      <c r="R87" s="458">
        <v>93941.967139482324</v>
      </c>
      <c r="S87" s="458">
        <v>1959.7497903854783</v>
      </c>
      <c r="T87" s="457"/>
      <c r="U87" s="425"/>
      <c r="V87" s="425"/>
      <c r="W87" s="425"/>
      <c r="X87" s="425"/>
      <c r="Y87" s="425"/>
      <c r="Z87" s="425"/>
      <c r="AA87" s="425"/>
      <c r="AB87" s="425"/>
      <c r="AC87" s="425"/>
      <c r="AD87" s="425"/>
      <c r="AE87" s="425"/>
      <c r="AG87" s="425"/>
      <c r="AH87" s="425"/>
      <c r="AI87" s="425"/>
      <c r="AJ87" s="425"/>
      <c r="AK87" s="425"/>
      <c r="AL87" s="425"/>
      <c r="AM87" s="425"/>
      <c r="AN87" s="425"/>
      <c r="AO87" s="425"/>
      <c r="AP87" s="425"/>
      <c r="AQ87" s="425"/>
    </row>
    <row r="88" spans="1:43" s="270" customFormat="1" x14ac:dyDescent="0.25">
      <c r="A88" s="271">
        <v>501206</v>
      </c>
      <c r="B88" s="271">
        <v>1206</v>
      </c>
      <c r="C88" s="271">
        <v>87256</v>
      </c>
      <c r="D88" s="268" t="s">
        <v>894</v>
      </c>
      <c r="E88" s="268" t="s">
        <v>1290</v>
      </c>
      <c r="F88" s="268" t="s">
        <v>2413</v>
      </c>
      <c r="G88" s="268">
        <v>6</v>
      </c>
      <c r="H88" s="268" t="s">
        <v>2414</v>
      </c>
      <c r="I88" s="268" t="s">
        <v>2375</v>
      </c>
      <c r="J88" s="458">
        <v>519878.06939392543</v>
      </c>
      <c r="K88" s="458">
        <v>43323.172449493788</v>
      </c>
      <c r="L88" s="458">
        <v>11194.760870699611</v>
      </c>
      <c r="M88" s="456">
        <v>0</v>
      </c>
      <c r="N88" s="458">
        <v>119.49693843813893</v>
      </c>
      <c r="O88" s="459">
        <v>0</v>
      </c>
      <c r="P88" s="459">
        <v>9097.8662143936963</v>
      </c>
      <c r="Q88" s="458">
        <v>55400.108403681625</v>
      </c>
      <c r="R88" s="458">
        <v>93941.967139482324</v>
      </c>
      <c r="S88" s="458">
        <v>1959.7497903854783</v>
      </c>
      <c r="T88" s="457"/>
      <c r="U88" s="425"/>
      <c r="V88" s="425"/>
      <c r="W88" s="425"/>
      <c r="X88" s="425"/>
      <c r="Y88" s="425"/>
      <c r="Z88" s="425"/>
      <c r="AA88" s="425"/>
      <c r="AB88" s="425"/>
      <c r="AC88" s="425"/>
      <c r="AD88" s="425"/>
      <c r="AE88" s="425"/>
      <c r="AG88" s="425"/>
      <c r="AH88" s="425"/>
      <c r="AI88" s="425"/>
      <c r="AJ88" s="425"/>
      <c r="AK88" s="425"/>
      <c r="AL88" s="425"/>
      <c r="AM88" s="425"/>
      <c r="AN88" s="425"/>
      <c r="AO88" s="425"/>
      <c r="AP88" s="425"/>
      <c r="AQ88" s="425"/>
    </row>
    <row r="89" spans="1:43" s="270" customFormat="1" x14ac:dyDescent="0.25">
      <c r="A89" s="271">
        <v>501105</v>
      </c>
      <c r="B89" s="271">
        <v>1105</v>
      </c>
      <c r="C89" s="271">
        <v>88640</v>
      </c>
      <c r="D89" s="268" t="s">
        <v>894</v>
      </c>
      <c r="E89" s="268" t="s">
        <v>1290</v>
      </c>
      <c r="F89" s="268" t="s">
        <v>2415</v>
      </c>
      <c r="G89" s="268">
        <v>6</v>
      </c>
      <c r="H89" s="268" t="s">
        <v>2416</v>
      </c>
      <c r="I89" s="268" t="s">
        <v>2417</v>
      </c>
      <c r="J89" s="458">
        <v>519878.06939392543</v>
      </c>
      <c r="K89" s="458">
        <v>43323.172449493788</v>
      </c>
      <c r="L89" s="458">
        <v>11194.760870699611</v>
      </c>
      <c r="M89" s="456">
        <v>3872.5859679026498</v>
      </c>
      <c r="N89" s="458">
        <v>119.49693843813893</v>
      </c>
      <c r="O89" s="458">
        <v>111729.63743965988</v>
      </c>
      <c r="P89" s="459">
        <v>9097.8662143936963</v>
      </c>
      <c r="Q89" s="458">
        <v>55400.108403681625</v>
      </c>
      <c r="R89" s="458">
        <v>93941.967139482324</v>
      </c>
      <c r="S89" s="458">
        <v>1959.7497903854783</v>
      </c>
      <c r="T89" s="457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G89" s="425"/>
      <c r="AH89" s="425"/>
      <c r="AI89" s="425"/>
      <c r="AJ89" s="425"/>
      <c r="AK89" s="425"/>
      <c r="AL89" s="425"/>
      <c r="AM89" s="425"/>
      <c r="AN89" s="425"/>
      <c r="AO89" s="425"/>
      <c r="AP89" s="425"/>
      <c r="AQ89" s="425"/>
    </row>
    <row r="90" spans="1:43" s="270" customFormat="1" x14ac:dyDescent="0.25">
      <c r="A90" s="271">
        <v>501206</v>
      </c>
      <c r="B90" s="271">
        <v>1206</v>
      </c>
      <c r="C90" s="271">
        <v>92652</v>
      </c>
      <c r="D90" s="268" t="s">
        <v>876</v>
      </c>
      <c r="E90" s="268" t="s">
        <v>1290</v>
      </c>
      <c r="F90" s="268" t="s">
        <v>898</v>
      </c>
      <c r="G90" s="268">
        <v>6</v>
      </c>
      <c r="H90" s="268" t="s">
        <v>2418</v>
      </c>
      <c r="I90" s="268" t="s">
        <v>2375</v>
      </c>
      <c r="J90" s="458">
        <v>519878.06939392543</v>
      </c>
      <c r="K90" s="458">
        <v>43323.172449493788</v>
      </c>
      <c r="L90" s="458">
        <v>11194.760870699611</v>
      </c>
      <c r="M90" s="456">
        <v>0</v>
      </c>
      <c r="N90" s="458">
        <v>119.49693843813893</v>
      </c>
      <c r="O90" s="459">
        <v>0</v>
      </c>
      <c r="P90" s="459">
        <v>9097.8662143936963</v>
      </c>
      <c r="Q90" s="458">
        <v>55400.108403681625</v>
      </c>
      <c r="R90" s="458">
        <v>93941.967139482324</v>
      </c>
      <c r="S90" s="458">
        <v>1959.7497903854783</v>
      </c>
      <c r="T90" s="457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G90" s="425"/>
      <c r="AH90" s="425"/>
      <c r="AI90" s="425"/>
      <c r="AJ90" s="425"/>
      <c r="AK90" s="425"/>
      <c r="AL90" s="425"/>
      <c r="AM90" s="425"/>
      <c r="AN90" s="425"/>
      <c r="AO90" s="425"/>
      <c r="AP90" s="425"/>
      <c r="AQ90" s="425"/>
    </row>
    <row r="91" spans="1:43" x14ac:dyDescent="0.25">
      <c r="A91" s="276">
        <v>501002</v>
      </c>
      <c r="B91" s="276">
        <v>1002</v>
      </c>
      <c r="C91" s="276">
        <v>200049</v>
      </c>
      <c r="D91" s="268" t="s">
        <v>894</v>
      </c>
      <c r="E91" s="268" t="s">
        <v>1278</v>
      </c>
      <c r="F91" s="268" t="s">
        <v>2419</v>
      </c>
      <c r="G91" s="268">
        <v>6</v>
      </c>
      <c r="H91" s="268" t="s">
        <v>2420</v>
      </c>
      <c r="I91" s="268" t="s">
        <v>2421</v>
      </c>
      <c r="J91" s="456">
        <v>519878.06939392543</v>
      </c>
      <c r="K91" s="459">
        <v>43323.172449493788</v>
      </c>
      <c r="L91" s="458">
        <v>11194.760870699611</v>
      </c>
      <c r="M91" s="456">
        <v>8298.3985026485352</v>
      </c>
      <c r="N91" s="459">
        <v>119.49693843813893</v>
      </c>
      <c r="O91" s="459">
        <v>0</v>
      </c>
      <c r="P91" s="459">
        <v>9097.8662143936963</v>
      </c>
      <c r="Q91" s="458">
        <v>55400.108403681625</v>
      </c>
      <c r="R91" s="459">
        <v>93941.967139482324</v>
      </c>
      <c r="S91" s="459">
        <v>1959.7497903854783</v>
      </c>
      <c r="T91" s="457"/>
      <c r="U91" s="425"/>
      <c r="V91" s="425"/>
      <c r="W91" s="425"/>
      <c r="X91" s="425"/>
      <c r="Y91" s="425"/>
      <c r="Z91" s="425"/>
      <c r="AA91" s="425"/>
      <c r="AB91" s="425"/>
      <c r="AC91" s="425"/>
      <c r="AD91" s="425"/>
      <c r="AE91" s="425"/>
      <c r="AF91" s="424"/>
      <c r="AG91" s="425"/>
      <c r="AH91" s="425"/>
      <c r="AI91" s="425"/>
      <c r="AJ91" s="425"/>
      <c r="AK91" s="425"/>
      <c r="AL91" s="425"/>
      <c r="AM91" s="425"/>
      <c r="AN91" s="425"/>
      <c r="AO91" s="425"/>
      <c r="AP91" s="425"/>
      <c r="AQ91" s="425"/>
    </row>
    <row r="92" spans="1:43" s="270" customFormat="1" x14ac:dyDescent="0.25">
      <c r="A92" s="271">
        <v>501506</v>
      </c>
      <c r="B92" s="271">
        <v>1506</v>
      </c>
      <c r="C92" s="271">
        <v>200053</v>
      </c>
      <c r="D92" s="268" t="s">
        <v>894</v>
      </c>
      <c r="E92" s="268" t="s">
        <v>1278</v>
      </c>
      <c r="F92" s="268" t="s">
        <v>2422</v>
      </c>
      <c r="G92" s="268">
        <v>6</v>
      </c>
      <c r="H92" s="268" t="s">
        <v>2423</v>
      </c>
      <c r="I92" s="268" t="s">
        <v>2424</v>
      </c>
      <c r="J92" s="458">
        <v>519878.06939392543</v>
      </c>
      <c r="K92" s="458">
        <v>43323.172449493788</v>
      </c>
      <c r="L92" s="458">
        <v>11194.760870699611</v>
      </c>
      <c r="M92" s="456">
        <v>0</v>
      </c>
      <c r="N92" s="458">
        <v>119.49693843813893</v>
      </c>
      <c r="O92" s="458">
        <v>111729.63743965988</v>
      </c>
      <c r="P92" s="459">
        <v>9097.8662143936963</v>
      </c>
      <c r="Q92" s="458">
        <v>55400.108403681625</v>
      </c>
      <c r="R92" s="458">
        <v>93941.967139482324</v>
      </c>
      <c r="S92" s="458">
        <v>1959.7497903854783</v>
      </c>
      <c r="T92" s="457"/>
      <c r="U92" s="425"/>
      <c r="V92" s="425"/>
      <c r="W92" s="425"/>
      <c r="X92" s="425"/>
      <c r="Y92" s="425"/>
      <c r="Z92" s="425"/>
      <c r="AA92" s="425"/>
      <c r="AB92" s="425"/>
      <c r="AC92" s="425"/>
      <c r="AD92" s="425"/>
      <c r="AE92" s="425"/>
      <c r="AG92" s="425"/>
      <c r="AH92" s="425"/>
      <c r="AI92" s="425"/>
      <c r="AJ92" s="425"/>
      <c r="AK92" s="425"/>
      <c r="AL92" s="425"/>
      <c r="AM92" s="425"/>
      <c r="AN92" s="425"/>
      <c r="AO92" s="425"/>
      <c r="AP92" s="425"/>
      <c r="AQ92" s="425"/>
    </row>
    <row r="93" spans="1:43" s="270" customFormat="1" x14ac:dyDescent="0.25">
      <c r="A93" s="271">
        <v>501442</v>
      </c>
      <c r="B93" s="271">
        <v>1442</v>
      </c>
      <c r="C93" s="271">
        <v>200105</v>
      </c>
      <c r="D93" s="268" t="s">
        <v>894</v>
      </c>
      <c r="E93" s="268" t="s">
        <v>1290</v>
      </c>
      <c r="F93" s="268" t="s">
        <v>2425</v>
      </c>
      <c r="G93" s="268">
        <v>6</v>
      </c>
      <c r="H93" s="268" t="s">
        <v>2426</v>
      </c>
      <c r="I93" s="268" t="s">
        <v>2427</v>
      </c>
      <c r="J93" s="458">
        <v>519878.06939392543</v>
      </c>
      <c r="K93" s="458">
        <v>43323.172449493788</v>
      </c>
      <c r="L93" s="458">
        <v>11194.760870699611</v>
      </c>
      <c r="M93" s="456">
        <v>0</v>
      </c>
      <c r="N93" s="458">
        <v>119.49693843813893</v>
      </c>
      <c r="O93" s="458">
        <v>111729.63743965988</v>
      </c>
      <c r="P93" s="459">
        <v>9097.8662143936963</v>
      </c>
      <c r="Q93" s="458">
        <v>55400.108403681625</v>
      </c>
      <c r="R93" s="458">
        <v>93941.967139482324</v>
      </c>
      <c r="S93" s="458">
        <v>1959.7497903854783</v>
      </c>
      <c r="T93" s="457"/>
      <c r="U93" s="425"/>
      <c r="V93" s="425"/>
      <c r="W93" s="425"/>
      <c r="X93" s="425"/>
      <c r="Y93" s="425"/>
      <c r="Z93" s="425"/>
      <c r="AA93" s="425"/>
      <c r="AB93" s="425"/>
      <c r="AC93" s="425"/>
      <c r="AD93" s="425"/>
      <c r="AE93" s="425"/>
      <c r="AG93" s="425"/>
      <c r="AH93" s="425"/>
      <c r="AI93" s="425"/>
      <c r="AJ93" s="425"/>
      <c r="AK93" s="425"/>
      <c r="AL93" s="425"/>
      <c r="AM93" s="425"/>
      <c r="AN93" s="425"/>
      <c r="AO93" s="425"/>
      <c r="AP93" s="425"/>
      <c r="AQ93" s="425"/>
    </row>
    <row r="94" spans="1:43" s="270" customFormat="1" x14ac:dyDescent="0.25">
      <c r="A94" s="271">
        <v>501205</v>
      </c>
      <c r="B94" s="271">
        <v>1205</v>
      </c>
      <c r="C94" s="271">
        <v>200177</v>
      </c>
      <c r="D94" s="268" t="s">
        <v>894</v>
      </c>
      <c r="E94" s="268" t="s">
        <v>1290</v>
      </c>
      <c r="F94" s="268" t="s">
        <v>2428</v>
      </c>
      <c r="G94" s="268">
        <v>6</v>
      </c>
      <c r="H94" s="268" t="s">
        <v>2429</v>
      </c>
      <c r="I94" s="268" t="s">
        <v>2430</v>
      </c>
      <c r="J94" s="458">
        <v>519878.06939392543</v>
      </c>
      <c r="K94" s="458">
        <v>43323.172449493788</v>
      </c>
      <c r="L94" s="458">
        <v>11194.760870699611</v>
      </c>
      <c r="M94" s="456">
        <v>0</v>
      </c>
      <c r="N94" s="458">
        <v>119.49693843813893</v>
      </c>
      <c r="O94" s="459">
        <v>0</v>
      </c>
      <c r="P94" s="459">
        <v>9097.8662143936963</v>
      </c>
      <c r="Q94" s="458">
        <v>55400.108403681625</v>
      </c>
      <c r="R94" s="458">
        <v>93941.967139482324</v>
      </c>
      <c r="S94" s="458">
        <v>1959.7497903854783</v>
      </c>
      <c r="T94" s="457"/>
      <c r="U94" s="425"/>
      <c r="V94" s="425"/>
      <c r="W94" s="425"/>
      <c r="X94" s="425"/>
      <c r="Y94" s="425"/>
      <c r="Z94" s="425"/>
      <c r="AA94" s="425"/>
      <c r="AB94" s="425"/>
      <c r="AC94" s="425"/>
      <c r="AD94" s="425"/>
      <c r="AE94" s="425"/>
      <c r="AG94" s="425"/>
      <c r="AH94" s="425"/>
      <c r="AI94" s="425"/>
      <c r="AJ94" s="425"/>
      <c r="AK94" s="425"/>
      <c r="AL94" s="425"/>
      <c r="AM94" s="425"/>
      <c r="AN94" s="425"/>
      <c r="AO94" s="425"/>
      <c r="AP94" s="425"/>
      <c r="AQ94" s="425"/>
    </row>
    <row r="95" spans="1:43" s="270" customFormat="1" x14ac:dyDescent="0.25">
      <c r="A95" s="271">
        <v>501204</v>
      </c>
      <c r="B95" s="271">
        <v>1204</v>
      </c>
      <c r="C95" s="271">
        <v>200178</v>
      </c>
      <c r="D95" s="268" t="s">
        <v>894</v>
      </c>
      <c r="E95" s="268" t="s">
        <v>1290</v>
      </c>
      <c r="F95" s="268" t="s">
        <v>2431</v>
      </c>
      <c r="G95" s="268">
        <v>6</v>
      </c>
      <c r="H95" s="268" t="s">
        <v>2432</v>
      </c>
      <c r="I95" s="268" t="s">
        <v>2433</v>
      </c>
      <c r="J95" s="458">
        <v>519878.06939392543</v>
      </c>
      <c r="K95" s="458">
        <v>43323.172449493788</v>
      </c>
      <c r="L95" s="458">
        <v>11194.760870699611</v>
      </c>
      <c r="M95" s="456">
        <v>0</v>
      </c>
      <c r="N95" s="458">
        <v>119.49693843813893</v>
      </c>
      <c r="O95" s="459">
        <v>0</v>
      </c>
      <c r="P95" s="459">
        <v>9097.8662143936963</v>
      </c>
      <c r="Q95" s="458">
        <v>55400.108403681625</v>
      </c>
      <c r="R95" s="458">
        <v>93941.967139482324</v>
      </c>
      <c r="S95" s="458">
        <v>1959.7497903854783</v>
      </c>
      <c r="T95" s="457"/>
      <c r="U95" s="425"/>
      <c r="V95" s="425"/>
      <c r="W95" s="425"/>
      <c r="X95" s="425"/>
      <c r="Y95" s="425"/>
      <c r="Z95" s="425"/>
      <c r="AA95" s="425"/>
      <c r="AB95" s="425"/>
      <c r="AC95" s="425"/>
      <c r="AD95" s="425"/>
      <c r="AE95" s="425"/>
      <c r="AG95" s="425"/>
      <c r="AH95" s="425"/>
      <c r="AI95" s="425"/>
      <c r="AJ95" s="425"/>
      <c r="AK95" s="425"/>
      <c r="AL95" s="425"/>
      <c r="AM95" s="425"/>
      <c r="AN95" s="425"/>
      <c r="AO95" s="425"/>
      <c r="AP95" s="425"/>
      <c r="AQ95" s="425"/>
    </row>
    <row r="96" spans="1:43" s="270" customFormat="1" x14ac:dyDescent="0.25">
      <c r="A96" s="271">
        <v>501205</v>
      </c>
      <c r="B96" s="271">
        <v>1205</v>
      </c>
      <c r="C96" s="271">
        <v>200184</v>
      </c>
      <c r="D96" s="268" t="s">
        <v>894</v>
      </c>
      <c r="E96" s="268" t="s">
        <v>1278</v>
      </c>
      <c r="F96" s="268" t="s">
        <v>2434</v>
      </c>
      <c r="G96" s="268">
        <v>6</v>
      </c>
      <c r="H96" s="268" t="s">
        <v>2435</v>
      </c>
      <c r="I96" s="268" t="s">
        <v>2436</v>
      </c>
      <c r="J96" s="458">
        <v>519878.06939392543</v>
      </c>
      <c r="K96" s="458">
        <v>43323.172449493788</v>
      </c>
      <c r="L96" s="458">
        <v>11194.760870699611</v>
      </c>
      <c r="M96" s="456">
        <v>0</v>
      </c>
      <c r="N96" s="458">
        <v>119.49693843813893</v>
      </c>
      <c r="O96" s="458">
        <v>154029.34074049367</v>
      </c>
      <c r="P96" s="459">
        <v>9097.8662143936963</v>
      </c>
      <c r="Q96" s="458">
        <v>55400.108403681625</v>
      </c>
      <c r="R96" s="458">
        <v>93941.967139482324</v>
      </c>
      <c r="S96" s="458">
        <v>1959.7497903854783</v>
      </c>
      <c r="T96" s="457"/>
      <c r="U96" s="425"/>
      <c r="V96" s="425"/>
      <c r="W96" s="425"/>
      <c r="X96" s="425"/>
      <c r="Y96" s="425"/>
      <c r="Z96" s="425"/>
      <c r="AA96" s="425"/>
      <c r="AB96" s="425"/>
      <c r="AC96" s="425"/>
      <c r="AD96" s="425"/>
      <c r="AE96" s="425"/>
      <c r="AG96" s="425"/>
      <c r="AH96" s="425"/>
      <c r="AI96" s="425"/>
      <c r="AJ96" s="425"/>
      <c r="AK96" s="425"/>
      <c r="AL96" s="425"/>
      <c r="AM96" s="425"/>
      <c r="AN96" s="425"/>
      <c r="AO96" s="425"/>
      <c r="AP96" s="425"/>
      <c r="AQ96" s="425"/>
    </row>
    <row r="97" spans="1:43" x14ac:dyDescent="0.25">
      <c r="A97" s="271">
        <v>501206</v>
      </c>
      <c r="B97" s="271">
        <v>1206</v>
      </c>
      <c r="C97" s="271">
        <v>200195</v>
      </c>
      <c r="D97" s="268" t="s">
        <v>894</v>
      </c>
      <c r="E97" s="268" t="s">
        <v>1278</v>
      </c>
      <c r="F97" s="268" t="s">
        <v>2437</v>
      </c>
      <c r="G97" s="268">
        <v>6</v>
      </c>
      <c r="H97" s="268" t="s">
        <v>2438</v>
      </c>
      <c r="I97" s="268" t="s">
        <v>2375</v>
      </c>
      <c r="J97" s="458">
        <v>519878.06939392543</v>
      </c>
      <c r="K97" s="458">
        <v>43323.172449493788</v>
      </c>
      <c r="L97" s="458">
        <v>11194.760870699611</v>
      </c>
      <c r="M97" s="456">
        <v>0</v>
      </c>
      <c r="N97" s="458">
        <v>119.49693843813893</v>
      </c>
      <c r="O97" s="458">
        <v>154029.34074049367</v>
      </c>
      <c r="P97" s="459">
        <v>9097.8662143936963</v>
      </c>
      <c r="Q97" s="458">
        <v>55400.108403681625</v>
      </c>
      <c r="R97" s="458">
        <v>93941.967139482324</v>
      </c>
      <c r="S97" s="458">
        <v>1959.7497903854783</v>
      </c>
      <c r="T97" s="457"/>
      <c r="U97" s="425"/>
      <c r="V97" s="425"/>
      <c r="W97" s="425"/>
      <c r="X97" s="425"/>
      <c r="Y97" s="425"/>
      <c r="Z97" s="425"/>
      <c r="AA97" s="425"/>
      <c r="AB97" s="425"/>
      <c r="AC97" s="425"/>
      <c r="AD97" s="425"/>
      <c r="AE97" s="425"/>
      <c r="AF97" s="424"/>
      <c r="AG97" s="425"/>
      <c r="AH97" s="425"/>
      <c r="AI97" s="425"/>
      <c r="AJ97" s="425"/>
      <c r="AK97" s="425"/>
      <c r="AL97" s="425"/>
      <c r="AM97" s="425"/>
      <c r="AN97" s="425"/>
      <c r="AO97" s="425"/>
      <c r="AP97" s="425"/>
      <c r="AQ97" s="425"/>
    </row>
    <row r="98" spans="1:43" x14ac:dyDescent="0.25">
      <c r="A98" s="271">
        <v>501204</v>
      </c>
      <c r="B98" s="271">
        <v>1204</v>
      </c>
      <c r="C98" s="271">
        <v>200197</v>
      </c>
      <c r="D98" s="268" t="s">
        <v>894</v>
      </c>
      <c r="E98" s="268" t="s">
        <v>1278</v>
      </c>
      <c r="F98" s="268" t="s">
        <v>2439</v>
      </c>
      <c r="G98" s="268">
        <v>6</v>
      </c>
      <c r="H98" s="268" t="s">
        <v>2440</v>
      </c>
      <c r="I98" s="268" t="s">
        <v>2441</v>
      </c>
      <c r="J98" s="458">
        <v>519878.06939392543</v>
      </c>
      <c r="K98" s="458">
        <v>43323.172449493788</v>
      </c>
      <c r="L98" s="458">
        <v>11194.760870699611</v>
      </c>
      <c r="M98" s="456">
        <v>0</v>
      </c>
      <c r="N98" s="458">
        <v>119.49693843813893</v>
      </c>
      <c r="O98" s="459">
        <v>0</v>
      </c>
      <c r="P98" s="459">
        <v>9097.8662143936963</v>
      </c>
      <c r="Q98" s="458">
        <v>55400.108403681625</v>
      </c>
      <c r="R98" s="458">
        <v>93941.967139482324</v>
      </c>
      <c r="S98" s="458">
        <v>1959.7497903854783</v>
      </c>
      <c r="T98" s="457"/>
      <c r="U98" s="425"/>
      <c r="V98" s="425"/>
      <c r="W98" s="425"/>
      <c r="X98" s="425"/>
      <c r="Y98" s="425"/>
      <c r="Z98" s="425"/>
      <c r="AA98" s="425"/>
      <c r="AB98" s="425"/>
      <c r="AC98" s="425"/>
      <c r="AD98" s="425"/>
      <c r="AE98" s="425"/>
      <c r="AF98" s="424"/>
      <c r="AG98" s="425"/>
      <c r="AH98" s="425"/>
      <c r="AI98" s="425"/>
      <c r="AJ98" s="425"/>
      <c r="AK98" s="425"/>
      <c r="AL98" s="425"/>
      <c r="AM98" s="425"/>
      <c r="AN98" s="425"/>
      <c r="AO98" s="425"/>
      <c r="AP98" s="425"/>
      <c r="AQ98" s="425"/>
    </row>
    <row r="99" spans="1:43" s="270" customFormat="1" x14ac:dyDescent="0.25">
      <c r="A99" s="416">
        <v>501305</v>
      </c>
      <c r="B99" s="271">
        <v>1305</v>
      </c>
      <c r="C99" s="271">
        <v>200238</v>
      </c>
      <c r="D99" s="268" t="s">
        <v>1698</v>
      </c>
      <c r="E99" s="268" t="s">
        <v>1290</v>
      </c>
      <c r="F99" s="268" t="s">
        <v>2442</v>
      </c>
      <c r="G99" s="268">
        <v>6</v>
      </c>
      <c r="H99" s="268" t="s">
        <v>2443</v>
      </c>
      <c r="I99" s="268" t="s">
        <v>2444</v>
      </c>
      <c r="J99" s="458">
        <v>519878.06939392543</v>
      </c>
      <c r="K99" s="458">
        <v>43323.172449493788</v>
      </c>
      <c r="L99" s="458">
        <v>11194.760870699611</v>
      </c>
      <c r="M99" s="456">
        <v>0</v>
      </c>
      <c r="N99" s="458">
        <v>119.49693843813893</v>
      </c>
      <c r="O99" s="458">
        <v>154029.34074049367</v>
      </c>
      <c r="P99" s="459">
        <v>9097.8662143936963</v>
      </c>
      <c r="Q99" s="458">
        <v>55400.108403681625</v>
      </c>
      <c r="R99" s="458">
        <v>93941.967139482324</v>
      </c>
      <c r="S99" s="458">
        <v>1959.7497903854783</v>
      </c>
      <c r="T99" s="457"/>
      <c r="U99" s="425"/>
      <c r="V99" s="425"/>
      <c r="W99" s="425"/>
      <c r="X99" s="425"/>
      <c r="Y99" s="425"/>
      <c r="Z99" s="425"/>
      <c r="AA99" s="425"/>
      <c r="AB99" s="425"/>
      <c r="AC99" s="425"/>
      <c r="AD99" s="425"/>
      <c r="AE99" s="425"/>
      <c r="AG99" s="425"/>
      <c r="AH99" s="425"/>
      <c r="AI99" s="425"/>
      <c r="AJ99" s="425"/>
      <c r="AK99" s="425"/>
      <c r="AL99" s="425"/>
      <c r="AM99" s="425"/>
      <c r="AN99" s="425"/>
      <c r="AO99" s="425"/>
      <c r="AP99" s="425"/>
      <c r="AQ99" s="425"/>
    </row>
    <row r="100" spans="1:43" s="270" customFormat="1" x14ac:dyDescent="0.25">
      <c r="A100" s="416">
        <v>501442</v>
      </c>
      <c r="B100" s="271">
        <v>1442</v>
      </c>
      <c r="C100" s="271">
        <v>200389</v>
      </c>
      <c r="D100" s="268" t="s">
        <v>894</v>
      </c>
      <c r="E100" s="268" t="s">
        <v>1290</v>
      </c>
      <c r="F100" s="268" t="s">
        <v>2386</v>
      </c>
      <c r="G100" s="268">
        <v>6</v>
      </c>
      <c r="H100" s="268" t="s">
        <v>2445</v>
      </c>
      <c r="I100" s="268" t="s">
        <v>2446</v>
      </c>
      <c r="J100" s="458">
        <v>519878.06939392543</v>
      </c>
      <c r="K100" s="458">
        <v>43323.172449493788</v>
      </c>
      <c r="L100" s="458">
        <v>11194.760870699611</v>
      </c>
      <c r="M100" s="456">
        <v>0</v>
      </c>
      <c r="N100" s="458">
        <v>119.49693843813893</v>
      </c>
      <c r="O100" s="458">
        <v>111729.63743965988</v>
      </c>
      <c r="P100" s="459">
        <v>9097.8662143936963</v>
      </c>
      <c r="Q100" s="458">
        <v>55400.108403681625</v>
      </c>
      <c r="R100" s="458">
        <v>93941.967139482324</v>
      </c>
      <c r="S100" s="458">
        <v>1959.7497903854783</v>
      </c>
      <c r="T100" s="457"/>
      <c r="U100" s="425"/>
      <c r="V100" s="425"/>
      <c r="W100" s="425"/>
      <c r="X100" s="425"/>
      <c r="Y100" s="425"/>
      <c r="Z100" s="425"/>
      <c r="AA100" s="425"/>
      <c r="AB100" s="425"/>
      <c r="AC100" s="425"/>
      <c r="AD100" s="425"/>
      <c r="AE100" s="425"/>
      <c r="AG100" s="425"/>
      <c r="AH100" s="425"/>
      <c r="AI100" s="425"/>
      <c r="AJ100" s="425"/>
      <c r="AK100" s="425"/>
      <c r="AL100" s="425"/>
      <c r="AM100" s="425"/>
      <c r="AN100" s="425"/>
      <c r="AO100" s="425"/>
      <c r="AP100" s="425"/>
      <c r="AQ100" s="425"/>
    </row>
    <row r="101" spans="1:43" x14ac:dyDescent="0.25">
      <c r="A101" s="271">
        <v>501304</v>
      </c>
      <c r="B101" s="271">
        <v>1304</v>
      </c>
      <c r="C101" s="271">
        <v>200036</v>
      </c>
      <c r="D101" s="268" t="s">
        <v>894</v>
      </c>
      <c r="E101" s="268" t="s">
        <v>1290</v>
      </c>
      <c r="F101" s="268" t="s">
        <v>2447</v>
      </c>
      <c r="G101" s="268">
        <v>5</v>
      </c>
      <c r="H101" s="268" t="s">
        <v>2448</v>
      </c>
      <c r="I101" s="268" t="s">
        <v>2449</v>
      </c>
      <c r="J101" s="458">
        <v>506312.95397492929</v>
      </c>
      <c r="K101" s="458">
        <v>42192.746164577438</v>
      </c>
      <c r="L101" s="458">
        <v>11194.760870699611</v>
      </c>
      <c r="M101" s="456">
        <v>0</v>
      </c>
      <c r="N101" s="458">
        <v>119.49693843813893</v>
      </c>
      <c r="O101" s="459">
        <v>0</v>
      </c>
      <c r="P101" s="459">
        <v>8860.4766945612628</v>
      </c>
      <c r="Q101" s="458">
        <v>55400.108403681625</v>
      </c>
      <c r="R101" s="458">
        <v>91490.75078326973</v>
      </c>
      <c r="S101" s="458">
        <v>1959.7497903854783</v>
      </c>
      <c r="T101" s="457"/>
      <c r="U101" s="425"/>
      <c r="V101" s="425"/>
      <c r="W101" s="425"/>
      <c r="X101" s="425"/>
      <c r="Y101" s="425"/>
      <c r="Z101" s="425"/>
      <c r="AA101" s="425"/>
      <c r="AB101" s="425"/>
      <c r="AC101" s="425"/>
      <c r="AD101" s="425"/>
      <c r="AE101" s="425"/>
      <c r="AF101" s="424"/>
      <c r="AG101" s="425"/>
      <c r="AH101" s="425"/>
      <c r="AI101" s="425"/>
      <c r="AJ101" s="425"/>
      <c r="AK101" s="425"/>
      <c r="AL101" s="425"/>
      <c r="AM101" s="425"/>
      <c r="AN101" s="425"/>
      <c r="AO101" s="425"/>
      <c r="AP101" s="425"/>
      <c r="AQ101" s="425"/>
    </row>
    <row r="102" spans="1:43" s="270" customFormat="1" x14ac:dyDescent="0.25">
      <c r="A102" s="271">
        <v>501304</v>
      </c>
      <c r="B102" s="271">
        <v>1304</v>
      </c>
      <c r="C102" s="271">
        <v>88831</v>
      </c>
      <c r="D102" s="268" t="s">
        <v>894</v>
      </c>
      <c r="E102" s="268" t="s">
        <v>1278</v>
      </c>
      <c r="F102" s="268" t="s">
        <v>2450</v>
      </c>
      <c r="G102" s="268">
        <v>6</v>
      </c>
      <c r="H102" s="268" t="s">
        <v>2451</v>
      </c>
      <c r="I102" s="268" t="s">
        <v>2449</v>
      </c>
      <c r="J102" s="458">
        <v>506312.95397492929</v>
      </c>
      <c r="K102" s="458">
        <v>42192.746164577438</v>
      </c>
      <c r="L102" s="458">
        <v>11194.760870699611</v>
      </c>
      <c r="M102" s="456">
        <v>0</v>
      </c>
      <c r="N102" s="458">
        <v>119.49693843813893</v>
      </c>
      <c r="O102" s="459">
        <v>0</v>
      </c>
      <c r="P102" s="459">
        <v>8860.4766945612628</v>
      </c>
      <c r="Q102" s="458">
        <v>55400.108403681625</v>
      </c>
      <c r="R102" s="458">
        <v>91490.75078326973</v>
      </c>
      <c r="S102" s="458">
        <v>1959.7497903854783</v>
      </c>
      <c r="T102" s="457"/>
      <c r="U102" s="425"/>
      <c r="V102" s="425"/>
      <c r="W102" s="425"/>
      <c r="X102" s="425"/>
      <c r="Y102" s="425"/>
      <c r="Z102" s="425"/>
      <c r="AA102" s="425"/>
      <c r="AB102" s="425"/>
      <c r="AC102" s="425"/>
      <c r="AD102" s="425"/>
      <c r="AE102" s="425"/>
      <c r="AG102" s="425"/>
      <c r="AH102" s="425"/>
      <c r="AI102" s="425"/>
      <c r="AJ102" s="425"/>
      <c r="AK102" s="425"/>
      <c r="AL102" s="425"/>
      <c r="AM102" s="425"/>
      <c r="AN102" s="425"/>
      <c r="AO102" s="425"/>
      <c r="AP102" s="425"/>
      <c r="AQ102" s="425"/>
    </row>
    <row r="103" spans="1:43" s="270" customFormat="1" x14ac:dyDescent="0.25">
      <c r="A103" s="271">
        <v>501304</v>
      </c>
      <c r="B103" s="271">
        <v>1304</v>
      </c>
      <c r="C103" s="271">
        <v>44749</v>
      </c>
      <c r="D103" s="268" t="s">
        <v>894</v>
      </c>
      <c r="E103" s="268" t="s">
        <v>1290</v>
      </c>
      <c r="F103" s="268" t="s">
        <v>1286</v>
      </c>
      <c r="G103" s="268">
        <v>6</v>
      </c>
      <c r="H103" s="268" t="s">
        <v>2452</v>
      </c>
      <c r="I103" s="268" t="s">
        <v>2449</v>
      </c>
      <c r="J103" s="458">
        <v>506312.95397492929</v>
      </c>
      <c r="K103" s="458">
        <v>42192.746164577438</v>
      </c>
      <c r="L103" s="458">
        <v>11194.760870699611</v>
      </c>
      <c r="M103" s="456">
        <v>0</v>
      </c>
      <c r="N103" s="458">
        <v>119.49693843813893</v>
      </c>
      <c r="O103" s="458">
        <v>154029.34074049367</v>
      </c>
      <c r="P103" s="459">
        <v>8860.4766945612628</v>
      </c>
      <c r="Q103" s="458">
        <v>55400.108403681625</v>
      </c>
      <c r="R103" s="458">
        <v>91490.75078326973</v>
      </c>
      <c r="S103" s="458">
        <v>1959.7497903854783</v>
      </c>
      <c r="T103" s="457"/>
      <c r="U103" s="425"/>
      <c r="V103" s="425"/>
      <c r="W103" s="425"/>
      <c r="X103" s="425"/>
      <c r="Y103" s="425"/>
      <c r="Z103" s="425"/>
      <c r="AA103" s="425"/>
      <c r="AB103" s="425"/>
      <c r="AC103" s="425"/>
      <c r="AD103" s="425"/>
      <c r="AE103" s="425"/>
      <c r="AG103" s="425"/>
      <c r="AH103" s="425"/>
      <c r="AI103" s="425"/>
      <c r="AJ103" s="425"/>
      <c r="AK103" s="425"/>
      <c r="AL103" s="425"/>
      <c r="AM103" s="425"/>
      <c r="AN103" s="425"/>
      <c r="AO103" s="425"/>
      <c r="AP103" s="425"/>
      <c r="AQ103" s="425"/>
    </row>
    <row r="104" spans="1:43" s="270" customFormat="1" x14ac:dyDescent="0.25">
      <c r="A104" s="271">
        <v>501304</v>
      </c>
      <c r="B104" s="271">
        <v>1304</v>
      </c>
      <c r="C104" s="271">
        <v>29861</v>
      </c>
      <c r="D104" s="268" t="s">
        <v>894</v>
      </c>
      <c r="E104" s="268" t="s">
        <v>1278</v>
      </c>
      <c r="F104" s="268" t="s">
        <v>1306</v>
      </c>
      <c r="G104" s="268">
        <v>6</v>
      </c>
      <c r="H104" s="268" t="s">
        <v>2398</v>
      </c>
      <c r="I104" s="268" t="s">
        <v>2449</v>
      </c>
      <c r="J104" s="458">
        <v>506312.95397492929</v>
      </c>
      <c r="K104" s="458">
        <v>42192.746164577438</v>
      </c>
      <c r="L104" s="458">
        <v>11194.760870699611</v>
      </c>
      <c r="M104" s="456">
        <v>0</v>
      </c>
      <c r="N104" s="458">
        <v>119.49693843813893</v>
      </c>
      <c r="O104" s="458">
        <v>154029.34074049367</v>
      </c>
      <c r="P104" s="459">
        <v>8860.4766945612628</v>
      </c>
      <c r="Q104" s="458">
        <v>55400.108403681625</v>
      </c>
      <c r="R104" s="458">
        <v>91490.75078326973</v>
      </c>
      <c r="S104" s="458">
        <v>1959.7497903854783</v>
      </c>
      <c r="T104" s="457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G104" s="425"/>
      <c r="AH104" s="425"/>
      <c r="AI104" s="425"/>
      <c r="AJ104" s="425"/>
      <c r="AK104" s="425"/>
      <c r="AL104" s="425"/>
      <c r="AM104" s="425"/>
      <c r="AN104" s="425"/>
      <c r="AO104" s="425"/>
      <c r="AP104" s="425"/>
      <c r="AQ104" s="425"/>
    </row>
    <row r="105" spans="1:43" s="270" customFormat="1" x14ac:dyDescent="0.25">
      <c r="A105" s="271">
        <v>501443</v>
      </c>
      <c r="B105" s="271">
        <v>1443</v>
      </c>
      <c r="C105" s="271">
        <v>34076</v>
      </c>
      <c r="D105" s="268" t="s">
        <v>894</v>
      </c>
      <c r="E105" s="268" t="s">
        <v>1290</v>
      </c>
      <c r="F105" s="268" t="s">
        <v>2453</v>
      </c>
      <c r="G105" s="268">
        <v>6</v>
      </c>
      <c r="H105" s="268" t="s">
        <v>2454</v>
      </c>
      <c r="I105" s="268" t="s">
        <v>2396</v>
      </c>
      <c r="J105" s="458">
        <v>492659.32230523822</v>
      </c>
      <c r="K105" s="458">
        <v>41054.943525436523</v>
      </c>
      <c r="L105" s="458">
        <v>11194.760870699611</v>
      </c>
      <c r="M105" s="456">
        <v>5532.2656684323565</v>
      </c>
      <c r="N105" s="458">
        <v>119.49693843813893</v>
      </c>
      <c r="O105" s="458">
        <v>106036.93606684299</v>
      </c>
      <c r="P105" s="459">
        <v>8621.5381403416704</v>
      </c>
      <c r="Q105" s="458">
        <v>55400.108403681625</v>
      </c>
      <c r="R105" s="458">
        <v>89023.53954055655</v>
      </c>
      <c r="S105" s="458">
        <v>1959.7497903854783</v>
      </c>
      <c r="T105" s="457"/>
      <c r="U105" s="425"/>
      <c r="V105" s="425"/>
      <c r="W105" s="425"/>
      <c r="X105" s="425"/>
      <c r="Y105" s="425"/>
      <c r="Z105" s="425"/>
      <c r="AA105" s="425"/>
      <c r="AB105" s="425"/>
      <c r="AC105" s="425"/>
      <c r="AD105" s="425"/>
      <c r="AE105" s="425"/>
      <c r="AG105" s="425"/>
      <c r="AH105" s="425"/>
      <c r="AI105" s="425"/>
      <c r="AJ105" s="425"/>
      <c r="AK105" s="425"/>
      <c r="AL105" s="425"/>
      <c r="AM105" s="425"/>
      <c r="AN105" s="425"/>
      <c r="AO105" s="425"/>
      <c r="AP105" s="425"/>
      <c r="AQ105" s="425"/>
    </row>
    <row r="106" spans="1:43" s="270" customFormat="1" x14ac:dyDescent="0.25">
      <c r="A106" s="271">
        <v>501205</v>
      </c>
      <c r="B106" s="271">
        <v>1205</v>
      </c>
      <c r="C106" s="271">
        <v>84039</v>
      </c>
      <c r="D106" s="268" t="s">
        <v>894</v>
      </c>
      <c r="E106" s="268" t="s">
        <v>1290</v>
      </c>
      <c r="F106" s="268" t="s">
        <v>2455</v>
      </c>
      <c r="G106" s="268">
        <v>6</v>
      </c>
      <c r="H106" s="268" t="s">
        <v>2456</v>
      </c>
      <c r="I106" s="268" t="s">
        <v>2457</v>
      </c>
      <c r="J106" s="458">
        <v>492659.32230523822</v>
      </c>
      <c r="K106" s="458">
        <v>41054.943525436523</v>
      </c>
      <c r="L106" s="458">
        <v>11194.760870699611</v>
      </c>
      <c r="M106" s="456">
        <v>0</v>
      </c>
      <c r="N106" s="458">
        <v>119.49693843813893</v>
      </c>
      <c r="O106" s="458">
        <v>154029.34074049367</v>
      </c>
      <c r="P106" s="459">
        <v>8621.5381403416704</v>
      </c>
      <c r="Q106" s="458">
        <v>55400.108403681625</v>
      </c>
      <c r="R106" s="458">
        <v>89023.53954055655</v>
      </c>
      <c r="S106" s="458">
        <v>1959.7497903854783</v>
      </c>
      <c r="T106" s="457"/>
      <c r="U106" s="425"/>
      <c r="V106" s="425"/>
      <c r="W106" s="425"/>
      <c r="X106" s="425"/>
      <c r="Y106" s="425"/>
      <c r="Z106" s="425"/>
      <c r="AA106" s="425"/>
      <c r="AB106" s="425"/>
      <c r="AC106" s="425"/>
      <c r="AD106" s="425"/>
      <c r="AE106" s="425"/>
      <c r="AG106" s="425"/>
      <c r="AH106" s="425"/>
      <c r="AI106" s="425"/>
      <c r="AJ106" s="425"/>
      <c r="AK106" s="425"/>
      <c r="AL106" s="425"/>
      <c r="AM106" s="425"/>
      <c r="AN106" s="425"/>
      <c r="AO106" s="425"/>
      <c r="AP106" s="425"/>
      <c r="AQ106" s="425"/>
    </row>
    <row r="107" spans="1:43" s="270" customFormat="1" x14ac:dyDescent="0.25">
      <c r="A107" s="271">
        <v>501204</v>
      </c>
      <c r="B107" s="271">
        <v>1204</v>
      </c>
      <c r="C107" s="271">
        <v>200179</v>
      </c>
      <c r="D107" s="268" t="s">
        <v>894</v>
      </c>
      <c r="E107" s="268" t="s">
        <v>1290</v>
      </c>
      <c r="F107" s="268" t="s">
        <v>2458</v>
      </c>
      <c r="G107" s="268">
        <v>6</v>
      </c>
      <c r="H107" s="268" t="s">
        <v>2459</v>
      </c>
      <c r="I107" s="268" t="s">
        <v>2460</v>
      </c>
      <c r="J107" s="458">
        <v>492659.32230523822</v>
      </c>
      <c r="K107" s="458">
        <v>41054.943525436523</v>
      </c>
      <c r="L107" s="458">
        <v>11194.760870699611</v>
      </c>
      <c r="M107" s="456">
        <v>0</v>
      </c>
      <c r="N107" s="458">
        <v>119.49693843813893</v>
      </c>
      <c r="O107" s="459">
        <v>0</v>
      </c>
      <c r="P107" s="459">
        <v>8621.5381403416704</v>
      </c>
      <c r="Q107" s="458">
        <v>55400.108403681625</v>
      </c>
      <c r="R107" s="458">
        <v>89023.53954055655</v>
      </c>
      <c r="S107" s="458">
        <v>1959.7497903854783</v>
      </c>
      <c r="T107" s="457"/>
      <c r="U107" s="425"/>
      <c r="V107" s="425"/>
      <c r="W107" s="425"/>
      <c r="X107" s="425"/>
      <c r="Y107" s="425"/>
      <c r="Z107" s="425"/>
      <c r="AA107" s="425"/>
      <c r="AB107" s="425"/>
      <c r="AC107" s="425"/>
      <c r="AD107" s="425"/>
      <c r="AE107" s="425"/>
      <c r="AG107" s="425"/>
      <c r="AH107" s="425"/>
      <c r="AI107" s="425"/>
      <c r="AJ107" s="425"/>
      <c r="AK107" s="425"/>
      <c r="AL107" s="425"/>
      <c r="AM107" s="425"/>
      <c r="AN107" s="425"/>
      <c r="AO107" s="425"/>
      <c r="AP107" s="425"/>
      <c r="AQ107" s="425"/>
    </row>
    <row r="108" spans="1:43" s="270" customFormat="1" x14ac:dyDescent="0.25">
      <c r="A108" s="271">
        <v>501205</v>
      </c>
      <c r="B108" s="271">
        <v>1205</v>
      </c>
      <c r="C108" s="271">
        <v>200189</v>
      </c>
      <c r="D108" s="268" t="s">
        <v>894</v>
      </c>
      <c r="E108" s="268" t="s">
        <v>1278</v>
      </c>
      <c r="F108" s="268" t="s">
        <v>2461</v>
      </c>
      <c r="G108" s="268">
        <v>6</v>
      </c>
      <c r="H108" s="268" t="s">
        <v>2359</v>
      </c>
      <c r="I108" s="268" t="s">
        <v>2462</v>
      </c>
      <c r="J108" s="458">
        <v>492659.32230523822</v>
      </c>
      <c r="K108" s="458">
        <v>41054.943525436523</v>
      </c>
      <c r="L108" s="458">
        <v>11194.760870699611</v>
      </c>
      <c r="M108" s="456">
        <v>0</v>
      </c>
      <c r="N108" s="458">
        <v>119.49693843813893</v>
      </c>
      <c r="O108" s="459">
        <v>0</v>
      </c>
      <c r="P108" s="459">
        <v>8621.5381403416704</v>
      </c>
      <c r="Q108" s="458">
        <v>55400.108403681625</v>
      </c>
      <c r="R108" s="458">
        <v>89023.53954055655</v>
      </c>
      <c r="S108" s="458">
        <v>1959.7497903854783</v>
      </c>
      <c r="T108" s="457"/>
      <c r="U108" s="425"/>
      <c r="V108" s="425"/>
      <c r="W108" s="425"/>
      <c r="X108" s="425"/>
      <c r="Y108" s="425"/>
      <c r="Z108" s="425"/>
      <c r="AA108" s="425"/>
      <c r="AB108" s="425"/>
      <c r="AC108" s="425"/>
      <c r="AD108" s="425"/>
      <c r="AE108" s="425"/>
      <c r="AG108" s="425"/>
      <c r="AH108" s="425"/>
      <c r="AI108" s="425"/>
      <c r="AJ108" s="425"/>
      <c r="AK108" s="425"/>
      <c r="AL108" s="425"/>
      <c r="AM108" s="425"/>
      <c r="AN108" s="425"/>
      <c r="AO108" s="425"/>
      <c r="AP108" s="425"/>
      <c r="AQ108" s="425"/>
    </row>
    <row r="109" spans="1:43" s="270" customFormat="1" x14ac:dyDescent="0.25">
      <c r="A109" s="271">
        <v>501204</v>
      </c>
      <c r="B109" s="271">
        <v>1204</v>
      </c>
      <c r="C109" s="271">
        <v>200191</v>
      </c>
      <c r="D109" s="268" t="s">
        <v>894</v>
      </c>
      <c r="E109" s="268" t="s">
        <v>1290</v>
      </c>
      <c r="F109" s="268" t="s">
        <v>1306</v>
      </c>
      <c r="G109" s="268">
        <v>6</v>
      </c>
      <c r="H109" s="268" t="s">
        <v>2463</v>
      </c>
      <c r="I109" s="268" t="s">
        <v>2464</v>
      </c>
      <c r="J109" s="458">
        <v>492659.32230523822</v>
      </c>
      <c r="K109" s="458">
        <v>41054.943525436523</v>
      </c>
      <c r="L109" s="458">
        <v>11194.760870699611</v>
      </c>
      <c r="M109" s="456">
        <v>0</v>
      </c>
      <c r="N109" s="458">
        <v>119.49693843813893</v>
      </c>
      <c r="O109" s="459">
        <v>0</v>
      </c>
      <c r="P109" s="459">
        <v>8621.5381403416704</v>
      </c>
      <c r="Q109" s="458">
        <v>55400.108403681625</v>
      </c>
      <c r="R109" s="458">
        <v>89023.53954055655</v>
      </c>
      <c r="S109" s="458">
        <v>1959.7497903854783</v>
      </c>
      <c r="T109" s="457"/>
      <c r="U109" s="425"/>
      <c r="V109" s="425"/>
      <c r="W109" s="425"/>
      <c r="X109" s="425"/>
      <c r="Y109" s="425"/>
      <c r="Z109" s="425"/>
      <c r="AA109" s="425"/>
      <c r="AB109" s="425"/>
      <c r="AC109" s="425"/>
      <c r="AD109" s="425"/>
      <c r="AE109" s="425"/>
      <c r="AG109" s="425"/>
      <c r="AH109" s="425"/>
      <c r="AI109" s="425"/>
      <c r="AJ109" s="425"/>
      <c r="AK109" s="425"/>
      <c r="AL109" s="425"/>
      <c r="AM109" s="425"/>
      <c r="AN109" s="425"/>
      <c r="AO109" s="425"/>
      <c r="AP109" s="425"/>
      <c r="AQ109" s="425"/>
    </row>
    <row r="110" spans="1:43" s="270" customFormat="1" x14ac:dyDescent="0.25">
      <c r="A110" s="271">
        <v>501204</v>
      </c>
      <c r="B110" s="271">
        <v>1204</v>
      </c>
      <c r="C110" s="271">
        <v>200245</v>
      </c>
      <c r="D110" s="268" t="s">
        <v>894</v>
      </c>
      <c r="E110" s="268" t="s">
        <v>1278</v>
      </c>
      <c r="F110" s="268" t="s">
        <v>2465</v>
      </c>
      <c r="G110" s="268">
        <v>6</v>
      </c>
      <c r="H110" s="268" t="s">
        <v>2466</v>
      </c>
      <c r="I110" s="268" t="s">
        <v>2460</v>
      </c>
      <c r="J110" s="458">
        <v>492659.32230523822</v>
      </c>
      <c r="K110" s="458">
        <v>41054.943525436523</v>
      </c>
      <c r="L110" s="458">
        <v>11194.760870699611</v>
      </c>
      <c r="M110" s="456">
        <v>0</v>
      </c>
      <c r="N110" s="458">
        <v>119.49693843813893</v>
      </c>
      <c r="O110" s="459">
        <v>0</v>
      </c>
      <c r="P110" s="459">
        <v>8621.5381403416704</v>
      </c>
      <c r="Q110" s="458">
        <v>55400.108403681625</v>
      </c>
      <c r="R110" s="458">
        <v>89023.53954055655</v>
      </c>
      <c r="S110" s="458">
        <v>1959.7497903854783</v>
      </c>
      <c r="T110" s="457"/>
      <c r="U110" s="425"/>
      <c r="V110" s="425"/>
      <c r="W110" s="425"/>
      <c r="X110" s="425"/>
      <c r="Y110" s="425"/>
      <c r="Z110" s="425"/>
      <c r="AA110" s="425"/>
      <c r="AB110" s="425"/>
      <c r="AC110" s="425"/>
      <c r="AD110" s="425"/>
      <c r="AE110" s="425"/>
      <c r="AG110" s="425"/>
      <c r="AH110" s="425"/>
      <c r="AI110" s="425"/>
      <c r="AJ110" s="425"/>
      <c r="AK110" s="425"/>
      <c r="AL110" s="425"/>
      <c r="AM110" s="425"/>
      <c r="AN110" s="425"/>
      <c r="AO110" s="425"/>
      <c r="AP110" s="425"/>
      <c r="AQ110" s="425"/>
    </row>
    <row r="111" spans="1:43" s="270" customFormat="1" x14ac:dyDescent="0.25">
      <c r="A111" s="271">
        <v>501108</v>
      </c>
      <c r="B111" s="271">
        <v>1108</v>
      </c>
      <c r="C111" s="271">
        <v>200304</v>
      </c>
      <c r="D111" s="268" t="s">
        <v>894</v>
      </c>
      <c r="E111" s="268" t="s">
        <v>1290</v>
      </c>
      <c r="F111" s="268" t="s">
        <v>2450</v>
      </c>
      <c r="G111" s="268">
        <v>6</v>
      </c>
      <c r="H111" s="268" t="s">
        <v>2467</v>
      </c>
      <c r="I111" s="268" t="s">
        <v>2468</v>
      </c>
      <c r="J111" s="458">
        <v>492659.32230523822</v>
      </c>
      <c r="K111" s="458">
        <v>41054.943525436523</v>
      </c>
      <c r="L111" s="458">
        <v>11194.760870699611</v>
      </c>
      <c r="M111" s="456">
        <v>0</v>
      </c>
      <c r="N111" s="458">
        <v>119.49693843813893</v>
      </c>
      <c r="O111" s="458">
        <v>106036.93606684299</v>
      </c>
      <c r="P111" s="459">
        <v>8621.5381403416704</v>
      </c>
      <c r="Q111" s="458">
        <v>55400.108403681625</v>
      </c>
      <c r="R111" s="458">
        <v>89023.53954055655</v>
      </c>
      <c r="S111" s="458">
        <v>1959.7497903854783</v>
      </c>
      <c r="T111" s="457"/>
      <c r="U111" s="425"/>
      <c r="V111" s="425"/>
      <c r="W111" s="425"/>
      <c r="X111" s="425"/>
      <c r="Y111" s="425"/>
      <c r="Z111" s="425"/>
      <c r="AA111" s="425"/>
      <c r="AB111" s="425"/>
      <c r="AC111" s="425"/>
      <c r="AD111" s="425"/>
      <c r="AE111" s="425"/>
      <c r="AG111" s="425"/>
      <c r="AH111" s="425"/>
      <c r="AI111" s="425"/>
      <c r="AJ111" s="425"/>
      <c r="AK111" s="425"/>
      <c r="AL111" s="425"/>
      <c r="AM111" s="425"/>
      <c r="AN111" s="425"/>
      <c r="AO111" s="425"/>
      <c r="AP111" s="425"/>
      <c r="AQ111" s="425"/>
    </row>
    <row r="112" spans="1:43" s="270" customFormat="1" x14ac:dyDescent="0.25">
      <c r="A112" s="416">
        <v>501502</v>
      </c>
      <c r="B112" s="271">
        <v>1502</v>
      </c>
      <c r="C112" s="271">
        <v>200311</v>
      </c>
      <c r="D112" s="268" t="s">
        <v>894</v>
      </c>
      <c r="E112" s="268" t="s">
        <v>1278</v>
      </c>
      <c r="F112" s="268" t="s">
        <v>2391</v>
      </c>
      <c r="G112" s="268">
        <v>6</v>
      </c>
      <c r="H112" s="268" t="s">
        <v>2305</v>
      </c>
      <c r="I112" s="268" t="s">
        <v>2469</v>
      </c>
      <c r="J112" s="458">
        <v>492659.32230523822</v>
      </c>
      <c r="K112" s="458">
        <v>41054.943525436523</v>
      </c>
      <c r="L112" s="458">
        <v>11194.760870699611</v>
      </c>
      <c r="M112" s="456">
        <v>0</v>
      </c>
      <c r="N112" s="458">
        <v>119.49693843813893</v>
      </c>
      <c r="O112" s="459">
        <v>0</v>
      </c>
      <c r="P112" s="459">
        <v>8621.5381403416704</v>
      </c>
      <c r="Q112" s="458">
        <v>55400.108403681625</v>
      </c>
      <c r="R112" s="458">
        <v>89023.53954055655</v>
      </c>
      <c r="S112" s="458">
        <v>1959.7497903854783</v>
      </c>
      <c r="T112" s="457"/>
      <c r="U112" s="425"/>
      <c r="V112" s="425"/>
      <c r="W112" s="425"/>
      <c r="X112" s="425"/>
      <c r="Y112" s="425"/>
      <c r="Z112" s="425"/>
      <c r="AA112" s="425"/>
      <c r="AB112" s="425"/>
      <c r="AC112" s="425"/>
      <c r="AD112" s="425"/>
      <c r="AE112" s="425"/>
      <c r="AG112" s="425"/>
      <c r="AH112" s="425"/>
      <c r="AI112" s="425"/>
      <c r="AJ112" s="425"/>
      <c r="AK112" s="425"/>
      <c r="AL112" s="425"/>
      <c r="AM112" s="425"/>
      <c r="AN112" s="425"/>
      <c r="AO112" s="425"/>
      <c r="AP112" s="425"/>
      <c r="AQ112" s="425"/>
    </row>
    <row r="113" spans="1:43" s="270" customFormat="1" x14ac:dyDescent="0.25">
      <c r="A113" s="271">
        <v>501101</v>
      </c>
      <c r="B113" s="271">
        <v>1101</v>
      </c>
      <c r="C113" s="271">
        <v>200396</v>
      </c>
      <c r="D113" s="268" t="s">
        <v>894</v>
      </c>
      <c r="E113" s="268" t="s">
        <v>1278</v>
      </c>
      <c r="F113" s="268" t="s">
        <v>2470</v>
      </c>
      <c r="G113" s="268">
        <v>6</v>
      </c>
      <c r="H113" s="268" t="s">
        <v>2471</v>
      </c>
      <c r="I113" s="268" t="s">
        <v>2472</v>
      </c>
      <c r="J113" s="458">
        <v>492659.32230523822</v>
      </c>
      <c r="K113" s="458">
        <v>41054.943525436523</v>
      </c>
      <c r="L113" s="458">
        <v>11194.760870699611</v>
      </c>
      <c r="M113" s="456">
        <v>8298.3985026485352</v>
      </c>
      <c r="N113" s="458">
        <v>119.49693843813893</v>
      </c>
      <c r="O113" s="458">
        <v>195775.81747448424</v>
      </c>
      <c r="P113" s="459">
        <v>8621.5381403416704</v>
      </c>
      <c r="Q113" s="458">
        <v>55400.108403681625</v>
      </c>
      <c r="R113" s="458">
        <v>89023.53954055655</v>
      </c>
      <c r="S113" s="458">
        <v>1959.7497903854783</v>
      </c>
      <c r="T113" s="457"/>
      <c r="U113" s="425"/>
      <c r="V113" s="425"/>
      <c r="W113" s="425"/>
      <c r="X113" s="425"/>
      <c r="Y113" s="425"/>
      <c r="Z113" s="425"/>
      <c r="AA113" s="425"/>
      <c r="AB113" s="425"/>
      <c r="AC113" s="425"/>
      <c r="AD113" s="425"/>
      <c r="AE113" s="425"/>
      <c r="AG113" s="425"/>
      <c r="AH113" s="425"/>
      <c r="AI113" s="425"/>
      <c r="AJ113" s="425"/>
      <c r="AK113" s="425"/>
      <c r="AL113" s="425"/>
      <c r="AM113" s="425"/>
      <c r="AN113" s="425"/>
      <c r="AO113" s="425"/>
      <c r="AP113" s="425"/>
      <c r="AQ113" s="425"/>
    </row>
    <row r="114" spans="1:43" s="270" customFormat="1" x14ac:dyDescent="0.25">
      <c r="A114" s="271">
        <v>501445</v>
      </c>
      <c r="B114" s="271">
        <v>1445</v>
      </c>
      <c r="C114" s="271">
        <v>3492</v>
      </c>
      <c r="D114" s="268" t="s">
        <v>1698</v>
      </c>
      <c r="E114" s="268" t="s">
        <v>1290</v>
      </c>
      <c r="F114" s="268" t="s">
        <v>2473</v>
      </c>
      <c r="G114" s="268">
        <v>6</v>
      </c>
      <c r="H114" s="268" t="s">
        <v>2474</v>
      </c>
      <c r="I114" s="268" t="s">
        <v>2475</v>
      </c>
      <c r="J114" s="458">
        <v>478640.56110143068</v>
      </c>
      <c r="K114" s="458">
        <v>39886.713425119218</v>
      </c>
      <c r="L114" s="458">
        <v>11194.760870699611</v>
      </c>
      <c r="M114" s="456">
        <v>0</v>
      </c>
      <c r="N114" s="458">
        <v>119.49693843813893</v>
      </c>
      <c r="O114" s="458">
        <v>103190.58538043454</v>
      </c>
      <c r="P114" s="459">
        <v>8376.2098192750382</v>
      </c>
      <c r="Q114" s="458">
        <v>55400.108403681625</v>
      </c>
      <c r="R114" s="458">
        <v>86490.349391028518</v>
      </c>
      <c r="S114" s="458">
        <v>1959.7497903854783</v>
      </c>
      <c r="T114" s="457"/>
      <c r="U114" s="425"/>
      <c r="V114" s="425"/>
      <c r="W114" s="425"/>
      <c r="X114" s="425"/>
      <c r="Y114" s="425"/>
      <c r="Z114" s="425"/>
      <c r="AA114" s="425"/>
      <c r="AB114" s="425"/>
      <c r="AC114" s="425"/>
      <c r="AD114" s="425"/>
      <c r="AE114" s="425"/>
      <c r="AG114" s="425"/>
      <c r="AH114" s="425"/>
      <c r="AI114" s="425"/>
      <c r="AJ114" s="425"/>
      <c r="AK114" s="425"/>
      <c r="AL114" s="425"/>
      <c r="AM114" s="425"/>
      <c r="AN114" s="425"/>
      <c r="AO114" s="425"/>
      <c r="AP114" s="425"/>
      <c r="AQ114" s="425"/>
    </row>
    <row r="115" spans="1:43" s="270" customFormat="1" x14ac:dyDescent="0.25">
      <c r="A115" s="271">
        <v>501445</v>
      </c>
      <c r="B115" s="271">
        <v>1445</v>
      </c>
      <c r="C115" s="271">
        <v>4763</v>
      </c>
      <c r="D115" s="268" t="s">
        <v>1698</v>
      </c>
      <c r="E115" s="268" t="s">
        <v>1290</v>
      </c>
      <c r="F115" s="268" t="s">
        <v>2476</v>
      </c>
      <c r="G115" s="268">
        <v>6</v>
      </c>
      <c r="H115" s="268" t="s">
        <v>2477</v>
      </c>
      <c r="I115" s="268" t="s">
        <v>2478</v>
      </c>
      <c r="J115" s="458">
        <v>478640.56110143068</v>
      </c>
      <c r="K115" s="458">
        <v>39886.713425119218</v>
      </c>
      <c r="L115" s="458">
        <v>11194.760870699611</v>
      </c>
      <c r="M115" s="456">
        <v>0</v>
      </c>
      <c r="N115" s="458">
        <v>119.49693843813893</v>
      </c>
      <c r="O115" s="458">
        <v>103190.58538043454</v>
      </c>
      <c r="P115" s="459">
        <v>8376.2098192750382</v>
      </c>
      <c r="Q115" s="458">
        <v>55400.108403681625</v>
      </c>
      <c r="R115" s="458">
        <v>86490.349391028518</v>
      </c>
      <c r="S115" s="458">
        <v>1959.7497903854783</v>
      </c>
      <c r="T115" s="457"/>
      <c r="U115" s="425"/>
      <c r="V115" s="425"/>
      <c r="W115" s="425"/>
      <c r="X115" s="425"/>
      <c r="Y115" s="425"/>
      <c r="Z115" s="425"/>
      <c r="AA115" s="425"/>
      <c r="AB115" s="425"/>
      <c r="AC115" s="425"/>
      <c r="AD115" s="425"/>
      <c r="AE115" s="425"/>
      <c r="AG115" s="425"/>
      <c r="AH115" s="425"/>
      <c r="AI115" s="425"/>
      <c r="AJ115" s="425"/>
      <c r="AK115" s="425"/>
      <c r="AL115" s="425"/>
      <c r="AM115" s="425"/>
      <c r="AN115" s="425"/>
      <c r="AO115" s="425"/>
      <c r="AP115" s="425"/>
      <c r="AQ115" s="425"/>
    </row>
    <row r="116" spans="1:43" x14ac:dyDescent="0.25">
      <c r="A116" s="271">
        <v>501445</v>
      </c>
      <c r="B116" s="271">
        <v>1445</v>
      </c>
      <c r="C116" s="271">
        <v>12616</v>
      </c>
      <c r="D116" s="268" t="s">
        <v>1698</v>
      </c>
      <c r="E116" s="268" t="s">
        <v>1290</v>
      </c>
      <c r="F116" s="268" t="s">
        <v>2479</v>
      </c>
      <c r="G116" s="268">
        <v>6</v>
      </c>
      <c r="H116" s="268" t="s">
        <v>2480</v>
      </c>
      <c r="I116" s="268" t="s">
        <v>2481</v>
      </c>
      <c r="J116" s="458">
        <v>478640.56110143068</v>
      </c>
      <c r="K116" s="458">
        <v>39886.713425119218</v>
      </c>
      <c r="L116" s="458">
        <v>11194.760870699611</v>
      </c>
      <c r="M116" s="456">
        <v>0</v>
      </c>
      <c r="N116" s="458">
        <v>119.49693843813893</v>
      </c>
      <c r="O116" s="458">
        <v>103190.58538043454</v>
      </c>
      <c r="P116" s="459">
        <v>8376.2098192750382</v>
      </c>
      <c r="Q116" s="458">
        <v>55400.108403681625</v>
      </c>
      <c r="R116" s="458">
        <v>86490.349391028518</v>
      </c>
      <c r="S116" s="458">
        <v>1959.7497903854783</v>
      </c>
      <c r="T116" s="457"/>
      <c r="U116" s="425"/>
      <c r="V116" s="425"/>
      <c r="W116" s="425"/>
      <c r="X116" s="425"/>
      <c r="Y116" s="425"/>
      <c r="Z116" s="425"/>
      <c r="AA116" s="425"/>
      <c r="AB116" s="425"/>
      <c r="AC116" s="425"/>
      <c r="AD116" s="425"/>
      <c r="AE116" s="425"/>
      <c r="AF116" s="424"/>
      <c r="AG116" s="425"/>
      <c r="AH116" s="425"/>
      <c r="AI116" s="425"/>
      <c r="AJ116" s="425"/>
      <c r="AK116" s="425"/>
      <c r="AL116" s="425"/>
      <c r="AM116" s="425"/>
      <c r="AN116" s="425"/>
      <c r="AO116" s="425"/>
      <c r="AP116" s="425"/>
      <c r="AQ116" s="425"/>
    </row>
    <row r="117" spans="1:43" x14ac:dyDescent="0.25">
      <c r="A117" s="271">
        <v>501442</v>
      </c>
      <c r="B117" s="271">
        <v>1442</v>
      </c>
      <c r="C117" s="271">
        <v>16007</v>
      </c>
      <c r="D117" s="268" t="s">
        <v>1698</v>
      </c>
      <c r="E117" s="268" t="s">
        <v>1290</v>
      </c>
      <c r="F117" s="268" t="s">
        <v>538</v>
      </c>
      <c r="G117" s="268">
        <v>6</v>
      </c>
      <c r="H117" s="268" t="s">
        <v>2482</v>
      </c>
      <c r="I117" s="268" t="s">
        <v>2483</v>
      </c>
      <c r="J117" s="458">
        <v>478640.56110143068</v>
      </c>
      <c r="K117" s="458">
        <v>39886.713425119218</v>
      </c>
      <c r="L117" s="458">
        <v>11194.760870699611</v>
      </c>
      <c r="M117" s="456">
        <v>0</v>
      </c>
      <c r="N117" s="458">
        <v>119.49693843813893</v>
      </c>
      <c r="O117" s="458">
        <v>103190.58538043454</v>
      </c>
      <c r="P117" s="459">
        <v>8376.2098192750382</v>
      </c>
      <c r="Q117" s="458">
        <v>55400.108403681625</v>
      </c>
      <c r="R117" s="458">
        <v>86490.349391028518</v>
      </c>
      <c r="S117" s="458">
        <v>1959.7497903854783</v>
      </c>
      <c r="T117" s="457"/>
      <c r="U117" s="425"/>
      <c r="V117" s="425"/>
      <c r="W117" s="425"/>
      <c r="X117" s="425"/>
      <c r="Y117" s="425"/>
      <c r="Z117" s="425"/>
      <c r="AA117" s="425"/>
      <c r="AB117" s="425"/>
      <c r="AC117" s="425"/>
      <c r="AD117" s="425"/>
      <c r="AE117" s="425"/>
      <c r="AF117" s="424"/>
      <c r="AG117" s="425"/>
      <c r="AH117" s="425"/>
      <c r="AI117" s="425"/>
      <c r="AJ117" s="425"/>
      <c r="AK117" s="425"/>
      <c r="AL117" s="425"/>
      <c r="AM117" s="425"/>
      <c r="AN117" s="425"/>
      <c r="AO117" s="425"/>
      <c r="AP117" s="425"/>
      <c r="AQ117" s="425"/>
    </row>
    <row r="118" spans="1:43" s="270" customFormat="1" x14ac:dyDescent="0.25">
      <c r="A118" s="271">
        <v>501443</v>
      </c>
      <c r="B118" s="271">
        <v>1443</v>
      </c>
      <c r="C118" s="271">
        <v>27562</v>
      </c>
      <c r="D118" s="268" t="s">
        <v>894</v>
      </c>
      <c r="E118" s="268" t="s">
        <v>1290</v>
      </c>
      <c r="F118" s="268" t="s">
        <v>2484</v>
      </c>
      <c r="G118" s="268">
        <v>6</v>
      </c>
      <c r="H118" s="268" t="s">
        <v>2485</v>
      </c>
      <c r="I118" s="268" t="s">
        <v>2486</v>
      </c>
      <c r="J118" s="458">
        <v>478640.56110143068</v>
      </c>
      <c r="K118" s="458">
        <v>39886.713425119218</v>
      </c>
      <c r="L118" s="458">
        <v>11194.760870699611</v>
      </c>
      <c r="M118" s="456">
        <v>0</v>
      </c>
      <c r="N118" s="458">
        <v>119.49693843813893</v>
      </c>
      <c r="O118" s="458">
        <v>103190.58538043454</v>
      </c>
      <c r="P118" s="459">
        <v>8376.2098192750382</v>
      </c>
      <c r="Q118" s="458">
        <v>55400.108403681625</v>
      </c>
      <c r="R118" s="458">
        <v>86490.349391028518</v>
      </c>
      <c r="S118" s="458">
        <v>1959.7497903854783</v>
      </c>
      <c r="T118" s="457"/>
      <c r="U118" s="425"/>
      <c r="V118" s="425"/>
      <c r="W118" s="425"/>
      <c r="X118" s="425"/>
      <c r="Y118" s="425"/>
      <c r="Z118" s="425"/>
      <c r="AA118" s="425"/>
      <c r="AB118" s="425"/>
      <c r="AC118" s="425"/>
      <c r="AD118" s="425"/>
      <c r="AE118" s="425"/>
      <c r="AG118" s="425"/>
      <c r="AH118" s="425"/>
      <c r="AI118" s="425"/>
      <c r="AJ118" s="425"/>
      <c r="AK118" s="425"/>
      <c r="AL118" s="425"/>
      <c r="AM118" s="425"/>
      <c r="AN118" s="425"/>
      <c r="AO118" s="425"/>
      <c r="AP118" s="425"/>
      <c r="AQ118" s="425"/>
    </row>
    <row r="119" spans="1:43" x14ac:dyDescent="0.25">
      <c r="A119" s="271">
        <v>501442</v>
      </c>
      <c r="B119" s="271">
        <v>1442</v>
      </c>
      <c r="C119" s="271">
        <v>50254</v>
      </c>
      <c r="D119" s="268" t="s">
        <v>894</v>
      </c>
      <c r="E119" s="268" t="s">
        <v>1290</v>
      </c>
      <c r="F119" s="268" t="s">
        <v>2487</v>
      </c>
      <c r="G119" s="268">
        <v>6</v>
      </c>
      <c r="H119" s="268" t="s">
        <v>2488</v>
      </c>
      <c r="I119" s="268" t="s">
        <v>2489</v>
      </c>
      <c r="J119" s="458">
        <v>478640.56110143068</v>
      </c>
      <c r="K119" s="458">
        <v>39886.713425119218</v>
      </c>
      <c r="L119" s="458">
        <v>11194.760870699611</v>
      </c>
      <c r="M119" s="456">
        <v>0</v>
      </c>
      <c r="N119" s="458">
        <v>119.49693843813893</v>
      </c>
      <c r="O119" s="458">
        <v>103190.58538043454</v>
      </c>
      <c r="P119" s="459">
        <v>8376.2098192750382</v>
      </c>
      <c r="Q119" s="458">
        <v>55400.108403681625</v>
      </c>
      <c r="R119" s="458">
        <v>86490.349391028518</v>
      </c>
      <c r="S119" s="458">
        <v>1959.7497903854783</v>
      </c>
      <c r="T119" s="457"/>
      <c r="U119" s="425"/>
      <c r="V119" s="425"/>
      <c r="W119" s="425"/>
      <c r="X119" s="425"/>
      <c r="Y119" s="425"/>
      <c r="Z119" s="425"/>
      <c r="AA119" s="425"/>
      <c r="AB119" s="425"/>
      <c r="AC119" s="425"/>
      <c r="AD119" s="425"/>
      <c r="AE119" s="425"/>
      <c r="AF119" s="424"/>
      <c r="AG119" s="425"/>
      <c r="AH119" s="425"/>
      <c r="AI119" s="425"/>
      <c r="AJ119" s="425"/>
      <c r="AK119" s="425"/>
      <c r="AL119" s="425"/>
      <c r="AM119" s="425"/>
      <c r="AN119" s="425"/>
      <c r="AO119" s="425"/>
      <c r="AP119" s="425"/>
      <c r="AQ119" s="425"/>
    </row>
    <row r="120" spans="1:43" s="270" customFormat="1" x14ac:dyDescent="0.25">
      <c r="A120" s="276">
        <v>501445</v>
      </c>
      <c r="B120" s="276">
        <v>1445</v>
      </c>
      <c r="C120" s="276">
        <v>50342</v>
      </c>
      <c r="D120" s="268" t="s">
        <v>894</v>
      </c>
      <c r="E120" s="268" t="s">
        <v>1278</v>
      </c>
      <c r="F120" s="268" t="s">
        <v>2490</v>
      </c>
      <c r="G120" s="268">
        <v>6</v>
      </c>
      <c r="H120" s="268" t="s">
        <v>2491</v>
      </c>
      <c r="I120" s="268" t="s">
        <v>2475</v>
      </c>
      <c r="J120" s="456">
        <v>478640.56110143068</v>
      </c>
      <c r="K120" s="459">
        <v>39886.713425119218</v>
      </c>
      <c r="L120" s="458">
        <v>11194.760870699611</v>
      </c>
      <c r="M120" s="456">
        <v>4979.0391015891209</v>
      </c>
      <c r="N120" s="459">
        <v>119.49693843813893</v>
      </c>
      <c r="O120" s="456">
        <v>103190.58538043454</v>
      </c>
      <c r="P120" s="459">
        <v>8376.2098192750382</v>
      </c>
      <c r="Q120" s="458">
        <v>55400.108403681625</v>
      </c>
      <c r="R120" s="459">
        <v>86490.349391028518</v>
      </c>
      <c r="S120" s="459">
        <v>1959.7497903854783</v>
      </c>
      <c r="T120" s="457"/>
      <c r="U120" s="425"/>
      <c r="V120" s="425"/>
      <c r="W120" s="425"/>
      <c r="X120" s="425"/>
      <c r="Y120" s="425"/>
      <c r="Z120" s="425"/>
      <c r="AA120" s="425"/>
      <c r="AB120" s="425"/>
      <c r="AC120" s="425"/>
      <c r="AD120" s="425"/>
      <c r="AE120" s="425"/>
      <c r="AG120" s="425"/>
      <c r="AH120" s="425"/>
      <c r="AI120" s="425"/>
      <c r="AJ120" s="425"/>
      <c r="AK120" s="425"/>
      <c r="AL120" s="425"/>
      <c r="AM120" s="425"/>
      <c r="AN120" s="425"/>
      <c r="AO120" s="425"/>
      <c r="AP120" s="425"/>
      <c r="AQ120" s="425"/>
    </row>
    <row r="121" spans="1:43" s="270" customFormat="1" x14ac:dyDescent="0.25">
      <c r="A121" s="271">
        <v>501204</v>
      </c>
      <c r="B121" s="271">
        <v>1204</v>
      </c>
      <c r="C121" s="271">
        <v>59284</v>
      </c>
      <c r="D121" s="268" t="s">
        <v>894</v>
      </c>
      <c r="E121" s="268" t="s">
        <v>1278</v>
      </c>
      <c r="F121" s="268" t="s">
        <v>2492</v>
      </c>
      <c r="G121" s="268">
        <v>6</v>
      </c>
      <c r="H121" s="268" t="s">
        <v>2493</v>
      </c>
      <c r="I121" s="268" t="s">
        <v>2494</v>
      </c>
      <c r="J121" s="458">
        <v>478640.56110143068</v>
      </c>
      <c r="K121" s="458">
        <v>39886.713425119218</v>
      </c>
      <c r="L121" s="458">
        <v>11194.760870699611</v>
      </c>
      <c r="M121" s="456">
        <v>0</v>
      </c>
      <c r="N121" s="458">
        <v>119.49693843813893</v>
      </c>
      <c r="O121" s="459">
        <v>0</v>
      </c>
      <c r="P121" s="459">
        <v>8376.2098192750382</v>
      </c>
      <c r="Q121" s="458">
        <v>55400.108403681625</v>
      </c>
      <c r="R121" s="458">
        <v>86490.349391028518</v>
      </c>
      <c r="S121" s="458">
        <v>1959.7497903854783</v>
      </c>
      <c r="T121" s="457"/>
      <c r="U121" s="425"/>
      <c r="V121" s="425"/>
      <c r="W121" s="425"/>
      <c r="X121" s="425"/>
      <c r="Y121" s="425"/>
      <c r="Z121" s="425"/>
      <c r="AA121" s="425"/>
      <c r="AB121" s="425"/>
      <c r="AC121" s="425"/>
      <c r="AD121" s="425"/>
      <c r="AE121" s="425"/>
      <c r="AG121" s="425"/>
      <c r="AH121" s="425"/>
      <c r="AI121" s="425"/>
      <c r="AJ121" s="425"/>
      <c r="AK121" s="425"/>
      <c r="AL121" s="425"/>
      <c r="AM121" s="425"/>
      <c r="AN121" s="425"/>
      <c r="AO121" s="425"/>
      <c r="AP121" s="425"/>
      <c r="AQ121" s="425"/>
    </row>
    <row r="122" spans="1:43" s="270" customFormat="1" x14ac:dyDescent="0.25">
      <c r="A122" s="271">
        <v>501445</v>
      </c>
      <c r="B122" s="271">
        <v>1445</v>
      </c>
      <c r="C122" s="271">
        <v>84550</v>
      </c>
      <c r="D122" s="268" t="s">
        <v>894</v>
      </c>
      <c r="E122" s="268" t="s">
        <v>1290</v>
      </c>
      <c r="F122" s="268" t="s">
        <v>2362</v>
      </c>
      <c r="G122" s="268">
        <v>6</v>
      </c>
      <c r="H122" s="268" t="s">
        <v>2495</v>
      </c>
      <c r="I122" s="268" t="s">
        <v>2481</v>
      </c>
      <c r="J122" s="458">
        <v>478640.56110143068</v>
      </c>
      <c r="K122" s="458">
        <v>39886.713425119218</v>
      </c>
      <c r="L122" s="458">
        <v>11194.760870699611</v>
      </c>
      <c r="M122" s="456">
        <v>0</v>
      </c>
      <c r="N122" s="458">
        <v>119.49693843813893</v>
      </c>
      <c r="O122" s="458">
        <v>103190.58538043454</v>
      </c>
      <c r="P122" s="459">
        <v>8376.2098192750382</v>
      </c>
      <c r="Q122" s="458">
        <v>55400.108403681625</v>
      </c>
      <c r="R122" s="458">
        <v>86490.349391028518</v>
      </c>
      <c r="S122" s="458">
        <v>1959.7497903854783</v>
      </c>
      <c r="T122" s="457"/>
      <c r="U122" s="425"/>
      <c r="V122" s="425"/>
      <c r="W122" s="425"/>
      <c r="X122" s="425"/>
      <c r="Y122" s="425"/>
      <c r="Z122" s="425"/>
      <c r="AA122" s="425"/>
      <c r="AB122" s="425"/>
      <c r="AC122" s="425"/>
      <c r="AD122" s="425"/>
      <c r="AE122" s="425"/>
      <c r="AG122" s="425"/>
      <c r="AH122" s="425"/>
      <c r="AI122" s="425"/>
      <c r="AJ122" s="425"/>
      <c r="AK122" s="425"/>
      <c r="AL122" s="425"/>
      <c r="AM122" s="425"/>
      <c r="AN122" s="425"/>
      <c r="AO122" s="425"/>
      <c r="AP122" s="425"/>
      <c r="AQ122" s="425"/>
    </row>
    <row r="123" spans="1:43" s="270" customFormat="1" x14ac:dyDescent="0.25">
      <c r="A123" s="271">
        <v>501442</v>
      </c>
      <c r="B123" s="271">
        <v>1442</v>
      </c>
      <c r="C123" s="271">
        <v>84576</v>
      </c>
      <c r="D123" s="268" t="s">
        <v>894</v>
      </c>
      <c r="E123" s="268" t="s">
        <v>1278</v>
      </c>
      <c r="F123" s="268" t="s">
        <v>1304</v>
      </c>
      <c r="G123" s="268">
        <v>6</v>
      </c>
      <c r="H123" s="268" t="s">
        <v>2496</v>
      </c>
      <c r="I123" s="268" t="s">
        <v>2475</v>
      </c>
      <c r="J123" s="458">
        <v>478640.56110143068</v>
      </c>
      <c r="K123" s="458">
        <v>39886.713425119218</v>
      </c>
      <c r="L123" s="458">
        <v>11194.760870699611</v>
      </c>
      <c r="M123" s="456">
        <v>0</v>
      </c>
      <c r="N123" s="458">
        <v>119.49693843813893</v>
      </c>
      <c r="O123" s="458">
        <v>103190.58538043454</v>
      </c>
      <c r="P123" s="459">
        <v>8376.2098192750382</v>
      </c>
      <c r="Q123" s="458">
        <v>55400.108403681625</v>
      </c>
      <c r="R123" s="458">
        <v>86490.349391028518</v>
      </c>
      <c r="S123" s="458">
        <v>1959.7497903854783</v>
      </c>
      <c r="T123" s="457"/>
      <c r="U123" s="425"/>
      <c r="V123" s="425"/>
      <c r="W123" s="425"/>
      <c r="X123" s="425"/>
      <c r="Y123" s="425"/>
      <c r="Z123" s="425"/>
      <c r="AA123" s="425"/>
      <c r="AB123" s="425"/>
      <c r="AC123" s="425"/>
      <c r="AD123" s="425"/>
      <c r="AE123" s="425"/>
      <c r="AG123" s="425"/>
      <c r="AH123" s="425"/>
      <c r="AI123" s="425"/>
      <c r="AJ123" s="425"/>
      <c r="AK123" s="425"/>
      <c r="AL123" s="425"/>
      <c r="AM123" s="425"/>
      <c r="AN123" s="425"/>
      <c r="AO123" s="425"/>
      <c r="AP123" s="425"/>
      <c r="AQ123" s="425"/>
    </row>
    <row r="124" spans="1:43" s="270" customFormat="1" x14ac:dyDescent="0.25">
      <c r="A124" s="271">
        <v>501107</v>
      </c>
      <c r="B124" s="271">
        <v>1107</v>
      </c>
      <c r="C124" s="271">
        <v>200398</v>
      </c>
      <c r="D124" s="268" t="s">
        <v>894</v>
      </c>
      <c r="E124" s="268" t="s">
        <v>1278</v>
      </c>
      <c r="F124" s="268" t="s">
        <v>2497</v>
      </c>
      <c r="G124" s="268">
        <v>6</v>
      </c>
      <c r="H124" s="268" t="s">
        <v>2498</v>
      </c>
      <c r="I124" s="268" t="s">
        <v>2499</v>
      </c>
      <c r="J124" s="458">
        <v>478640.56110143068</v>
      </c>
      <c r="K124" s="458">
        <v>39886.713425119218</v>
      </c>
      <c r="L124" s="458">
        <v>11194.760870699611</v>
      </c>
      <c r="M124" s="456">
        <v>0</v>
      </c>
      <c r="N124" s="458">
        <v>119.49693843813893</v>
      </c>
      <c r="O124" s="459">
        <v>0</v>
      </c>
      <c r="P124" s="459">
        <v>8376.2098192750382</v>
      </c>
      <c r="Q124" s="458">
        <v>55400.108403681625</v>
      </c>
      <c r="R124" s="458">
        <v>86490.349391028518</v>
      </c>
      <c r="S124" s="458">
        <v>1959.7497903854783</v>
      </c>
      <c r="T124" s="457"/>
      <c r="U124" s="425"/>
      <c r="V124" s="425"/>
      <c r="W124" s="425"/>
      <c r="X124" s="425"/>
      <c r="Y124" s="425"/>
      <c r="Z124" s="425"/>
      <c r="AA124" s="425"/>
      <c r="AB124" s="425"/>
      <c r="AC124" s="425"/>
      <c r="AD124" s="425"/>
      <c r="AE124" s="425"/>
      <c r="AG124" s="425"/>
      <c r="AH124" s="425"/>
      <c r="AI124" s="425"/>
      <c r="AJ124" s="425"/>
      <c r="AK124" s="425"/>
      <c r="AL124" s="425"/>
      <c r="AM124" s="425"/>
      <c r="AN124" s="425"/>
      <c r="AO124" s="425"/>
      <c r="AP124" s="425"/>
      <c r="AQ124" s="425"/>
    </row>
    <row r="125" spans="1:43" s="270" customFormat="1" x14ac:dyDescent="0.25">
      <c r="A125" s="271">
        <v>501442</v>
      </c>
      <c r="B125" s="271">
        <v>1442</v>
      </c>
      <c r="C125" s="271">
        <v>200399</v>
      </c>
      <c r="D125" s="268" t="s">
        <v>894</v>
      </c>
      <c r="E125" s="268" t="s">
        <v>1290</v>
      </c>
      <c r="F125" s="268" t="s">
        <v>2411</v>
      </c>
      <c r="G125" s="268">
        <v>6</v>
      </c>
      <c r="H125" s="268" t="s">
        <v>2500</v>
      </c>
      <c r="I125" s="268" t="s">
        <v>2501</v>
      </c>
      <c r="J125" s="458">
        <v>478640.56110143068</v>
      </c>
      <c r="K125" s="458">
        <v>39886.713425119218</v>
      </c>
      <c r="L125" s="458">
        <v>11194.760870699611</v>
      </c>
      <c r="M125" s="456">
        <v>0</v>
      </c>
      <c r="N125" s="458">
        <v>119.49693843813893</v>
      </c>
      <c r="O125" s="459">
        <v>0</v>
      </c>
      <c r="P125" s="459">
        <v>8376.2098192750382</v>
      </c>
      <c r="Q125" s="458">
        <v>55400.108403681625</v>
      </c>
      <c r="R125" s="458">
        <v>86490.349391028518</v>
      </c>
      <c r="S125" s="458">
        <v>1959.7497903854783</v>
      </c>
      <c r="T125" s="457"/>
      <c r="U125" s="425"/>
      <c r="V125" s="425"/>
      <c r="W125" s="425"/>
      <c r="X125" s="425"/>
      <c r="Y125" s="425"/>
      <c r="Z125" s="425"/>
      <c r="AA125" s="425"/>
      <c r="AB125" s="425"/>
      <c r="AC125" s="425"/>
      <c r="AD125" s="425"/>
      <c r="AE125" s="425"/>
      <c r="AG125" s="425"/>
      <c r="AH125" s="425"/>
      <c r="AI125" s="425"/>
      <c r="AJ125" s="425"/>
      <c r="AK125" s="425"/>
      <c r="AL125" s="425"/>
      <c r="AM125" s="425"/>
      <c r="AN125" s="425"/>
      <c r="AO125" s="425"/>
      <c r="AP125" s="425"/>
      <c r="AQ125" s="425"/>
    </row>
    <row r="126" spans="1:43" s="270" customFormat="1" x14ac:dyDescent="0.25">
      <c r="A126" s="271">
        <v>501107</v>
      </c>
      <c r="B126" s="271">
        <v>1107</v>
      </c>
      <c r="C126" s="271">
        <v>200410</v>
      </c>
      <c r="D126" s="268" t="s">
        <v>894</v>
      </c>
      <c r="E126" s="268" t="s">
        <v>1278</v>
      </c>
      <c r="F126" s="268" t="s">
        <v>2502</v>
      </c>
      <c r="G126" s="268">
        <v>6</v>
      </c>
      <c r="H126" s="268" t="s">
        <v>2503</v>
      </c>
      <c r="I126" s="268" t="s">
        <v>2504</v>
      </c>
      <c r="J126" s="458">
        <v>478640.56110143068</v>
      </c>
      <c r="K126" s="458">
        <v>39886.713425119218</v>
      </c>
      <c r="L126" s="458">
        <v>11194.760870699611</v>
      </c>
      <c r="M126" s="456">
        <v>0</v>
      </c>
      <c r="N126" s="458">
        <v>119.49693843813893</v>
      </c>
      <c r="O126" s="459">
        <v>0</v>
      </c>
      <c r="P126" s="459">
        <v>8376.2098192750382</v>
      </c>
      <c r="Q126" s="458">
        <v>55400.108403681625</v>
      </c>
      <c r="R126" s="458">
        <v>86490.349391028518</v>
      </c>
      <c r="S126" s="458">
        <v>1959.7497903854783</v>
      </c>
      <c r="T126" s="457"/>
      <c r="U126" s="425"/>
      <c r="V126" s="425"/>
      <c r="W126" s="425"/>
      <c r="X126" s="425"/>
      <c r="Y126" s="425"/>
      <c r="Z126" s="425"/>
      <c r="AA126" s="425"/>
      <c r="AB126" s="425"/>
      <c r="AC126" s="425"/>
      <c r="AD126" s="425"/>
      <c r="AE126" s="425"/>
      <c r="AG126" s="425"/>
      <c r="AH126" s="425"/>
      <c r="AI126" s="425"/>
      <c r="AJ126" s="425"/>
      <c r="AK126" s="425"/>
      <c r="AL126" s="425"/>
      <c r="AM126" s="425"/>
      <c r="AN126" s="425"/>
      <c r="AO126" s="425"/>
      <c r="AP126" s="425"/>
      <c r="AQ126" s="425"/>
    </row>
    <row r="127" spans="1:43" s="270" customFormat="1" x14ac:dyDescent="0.25">
      <c r="A127" s="271">
        <v>501305</v>
      </c>
      <c r="B127" s="271">
        <v>1305</v>
      </c>
      <c r="C127" s="271">
        <v>19114</v>
      </c>
      <c r="D127" s="268" t="s">
        <v>1698</v>
      </c>
      <c r="E127" s="268" t="s">
        <v>1290</v>
      </c>
      <c r="F127" s="268" t="s">
        <v>894</v>
      </c>
      <c r="G127" s="268">
        <v>6</v>
      </c>
      <c r="H127" s="268" t="s">
        <v>2505</v>
      </c>
      <c r="I127" s="268" t="s">
        <v>2444</v>
      </c>
      <c r="J127" s="458">
        <v>465363.12349719298</v>
      </c>
      <c r="K127" s="458">
        <v>38780.260291432751</v>
      </c>
      <c r="L127" s="458">
        <v>11194.760870699611</v>
      </c>
      <c r="M127" s="456">
        <v>0</v>
      </c>
      <c r="N127" s="458">
        <v>119.49693843813893</v>
      </c>
      <c r="O127" s="459">
        <v>0</v>
      </c>
      <c r="P127" s="459">
        <v>8143.8546612008786</v>
      </c>
      <c r="Q127" s="458">
        <v>55400.108403681625</v>
      </c>
      <c r="R127" s="458">
        <v>84091.116415942772</v>
      </c>
      <c r="S127" s="458">
        <v>1959.7497903854783</v>
      </c>
      <c r="T127" s="457"/>
      <c r="U127" s="425"/>
      <c r="V127" s="425"/>
      <c r="W127" s="425"/>
      <c r="X127" s="425"/>
      <c r="Y127" s="425"/>
      <c r="Z127" s="425"/>
      <c r="AA127" s="425"/>
      <c r="AB127" s="425"/>
      <c r="AC127" s="425"/>
      <c r="AD127" s="425"/>
      <c r="AE127" s="425"/>
      <c r="AG127" s="425"/>
      <c r="AH127" s="425"/>
      <c r="AI127" s="425"/>
      <c r="AJ127" s="425"/>
      <c r="AK127" s="425"/>
      <c r="AL127" s="425"/>
      <c r="AM127" s="425"/>
      <c r="AN127" s="425"/>
      <c r="AO127" s="425"/>
      <c r="AP127" s="425"/>
      <c r="AQ127" s="425"/>
    </row>
    <row r="128" spans="1:43" x14ac:dyDescent="0.25">
      <c r="A128" s="271">
        <v>501305</v>
      </c>
      <c r="B128" s="271">
        <v>1305</v>
      </c>
      <c r="C128" s="271">
        <v>36375</v>
      </c>
      <c r="D128" s="268" t="s">
        <v>894</v>
      </c>
      <c r="E128" s="268" t="s">
        <v>1278</v>
      </c>
      <c r="F128" s="268" t="s">
        <v>2506</v>
      </c>
      <c r="G128" s="268">
        <v>6</v>
      </c>
      <c r="H128" s="268" t="s">
        <v>2507</v>
      </c>
      <c r="I128" s="268" t="s">
        <v>2444</v>
      </c>
      <c r="J128" s="458">
        <v>465363.12349719298</v>
      </c>
      <c r="K128" s="458">
        <v>38780.260291432751</v>
      </c>
      <c r="L128" s="458">
        <v>11194.760870699611</v>
      </c>
      <c r="M128" s="456">
        <v>0</v>
      </c>
      <c r="N128" s="458">
        <v>119.49693843813893</v>
      </c>
      <c r="O128" s="459">
        <v>0</v>
      </c>
      <c r="P128" s="459">
        <v>8143.8546612008786</v>
      </c>
      <c r="Q128" s="458">
        <v>55400.108403681625</v>
      </c>
      <c r="R128" s="458">
        <v>84091.116415942772</v>
      </c>
      <c r="S128" s="458">
        <v>1959.7497903854783</v>
      </c>
      <c r="T128" s="457"/>
      <c r="U128" s="425"/>
      <c r="V128" s="425"/>
      <c r="W128" s="425"/>
      <c r="X128" s="425"/>
      <c r="Y128" s="425"/>
      <c r="Z128" s="425"/>
      <c r="AA128" s="425"/>
      <c r="AB128" s="425"/>
      <c r="AC128" s="425"/>
      <c r="AD128" s="425"/>
      <c r="AE128" s="425"/>
      <c r="AF128" s="424"/>
      <c r="AG128" s="425"/>
      <c r="AH128" s="425"/>
      <c r="AI128" s="425"/>
      <c r="AJ128" s="425"/>
      <c r="AK128" s="425"/>
      <c r="AL128" s="425"/>
      <c r="AM128" s="425"/>
      <c r="AN128" s="425"/>
      <c r="AO128" s="425"/>
      <c r="AP128" s="425"/>
      <c r="AQ128" s="425"/>
    </row>
    <row r="129" spans="1:43" s="270" customFormat="1" x14ac:dyDescent="0.25">
      <c r="A129" s="276">
        <v>501444</v>
      </c>
      <c r="B129" s="276">
        <v>1444</v>
      </c>
      <c r="C129" s="276">
        <v>262</v>
      </c>
      <c r="D129" s="268" t="s">
        <v>894</v>
      </c>
      <c r="E129" s="268" t="s">
        <v>1290</v>
      </c>
      <c r="F129" s="268" t="s">
        <v>2508</v>
      </c>
      <c r="G129" s="268">
        <v>6</v>
      </c>
      <c r="H129" s="268" t="s">
        <v>2509</v>
      </c>
      <c r="I129" s="268" t="s">
        <v>2396</v>
      </c>
      <c r="J129" s="456">
        <v>452517.20261509309</v>
      </c>
      <c r="K129" s="459">
        <v>37709.766884591088</v>
      </c>
      <c r="L129" s="458">
        <v>11194.760870699611</v>
      </c>
      <c r="M129" s="456">
        <v>5532.2656684323565</v>
      </c>
      <c r="N129" s="459">
        <v>119.49693843813893</v>
      </c>
      <c r="O129" s="456">
        <v>88336.452060693657</v>
      </c>
      <c r="P129" s="459">
        <v>7919.0510457641285</v>
      </c>
      <c r="Q129" s="458">
        <v>55400.108403681625</v>
      </c>
      <c r="R129" s="459">
        <v>81769.858512547304</v>
      </c>
      <c r="S129" s="459">
        <v>1959.7497903854783</v>
      </c>
      <c r="T129" s="457"/>
      <c r="U129" s="425"/>
      <c r="V129" s="425"/>
      <c r="W129" s="425"/>
      <c r="X129" s="425"/>
      <c r="Y129" s="425"/>
      <c r="Z129" s="425"/>
      <c r="AA129" s="425"/>
      <c r="AB129" s="425"/>
      <c r="AC129" s="425"/>
      <c r="AD129" s="425"/>
      <c r="AE129" s="425"/>
      <c r="AG129" s="425"/>
      <c r="AH129" s="425"/>
      <c r="AI129" s="425"/>
      <c r="AJ129" s="425"/>
      <c r="AK129" s="425"/>
      <c r="AL129" s="425"/>
      <c r="AM129" s="425"/>
      <c r="AN129" s="425"/>
      <c r="AO129" s="425"/>
      <c r="AP129" s="425"/>
      <c r="AQ129" s="425"/>
    </row>
    <row r="130" spans="1:43" s="270" customFormat="1" x14ac:dyDescent="0.25">
      <c r="A130" s="271">
        <v>501103</v>
      </c>
      <c r="B130" s="271">
        <v>1103</v>
      </c>
      <c r="C130" s="271">
        <v>44066</v>
      </c>
      <c r="D130" s="268" t="s">
        <v>894</v>
      </c>
      <c r="E130" s="268" t="s">
        <v>1278</v>
      </c>
      <c r="F130" s="268" t="s">
        <v>1290</v>
      </c>
      <c r="G130" s="268">
        <v>6</v>
      </c>
      <c r="H130" s="268" t="s">
        <v>2510</v>
      </c>
      <c r="I130" s="268" t="s">
        <v>2511</v>
      </c>
      <c r="J130" s="458">
        <v>452517.20261509309</v>
      </c>
      <c r="K130" s="458">
        <v>37709.766884591088</v>
      </c>
      <c r="L130" s="458">
        <v>11194.760870699611</v>
      </c>
      <c r="M130" s="456">
        <v>6085.492235275593</v>
      </c>
      <c r="N130" s="458">
        <v>119.49693843813893</v>
      </c>
      <c r="O130" s="461">
        <v>98443.901436919579</v>
      </c>
      <c r="P130" s="459">
        <v>7919.0510457641285</v>
      </c>
      <c r="Q130" s="458">
        <v>55400.108403681625</v>
      </c>
      <c r="R130" s="458">
        <v>81769.858512547304</v>
      </c>
      <c r="S130" s="458">
        <v>1959.7497903854783</v>
      </c>
      <c r="T130" s="457"/>
      <c r="U130" s="425"/>
      <c r="V130" s="425"/>
      <c r="W130" s="425"/>
      <c r="X130" s="425"/>
      <c r="Y130" s="425"/>
      <c r="Z130" s="425"/>
      <c r="AA130" s="425"/>
      <c r="AB130" s="425"/>
      <c r="AC130" s="425"/>
      <c r="AD130" s="425"/>
      <c r="AE130" s="425"/>
      <c r="AG130" s="425"/>
      <c r="AH130" s="425"/>
      <c r="AI130" s="425"/>
      <c r="AJ130" s="425"/>
      <c r="AK130" s="425"/>
      <c r="AL130" s="425"/>
      <c r="AM130" s="425"/>
      <c r="AN130" s="425"/>
      <c r="AO130" s="425"/>
      <c r="AP130" s="425"/>
      <c r="AQ130" s="425"/>
    </row>
    <row r="131" spans="1:43" s="270" customFormat="1" x14ac:dyDescent="0.25">
      <c r="A131" s="271">
        <v>501442</v>
      </c>
      <c r="B131" s="271">
        <v>1442</v>
      </c>
      <c r="C131" s="271">
        <v>200027</v>
      </c>
      <c r="D131" s="268" t="s">
        <v>894</v>
      </c>
      <c r="E131" s="268" t="s">
        <v>1278</v>
      </c>
      <c r="F131" s="268" t="s">
        <v>2512</v>
      </c>
      <c r="G131" s="268">
        <v>6</v>
      </c>
      <c r="H131" s="268" t="s">
        <v>2513</v>
      </c>
      <c r="I131" s="268" t="s">
        <v>2483</v>
      </c>
      <c r="J131" s="458">
        <v>452517.20261509309</v>
      </c>
      <c r="K131" s="458">
        <v>37709.766884591088</v>
      </c>
      <c r="L131" s="458">
        <v>11194.760870699611</v>
      </c>
      <c r="M131" s="456">
        <v>0</v>
      </c>
      <c r="N131" s="458">
        <v>119.49693843813893</v>
      </c>
      <c r="O131" s="458">
        <v>98443.901436919579</v>
      </c>
      <c r="P131" s="459">
        <v>7919.0510457641285</v>
      </c>
      <c r="Q131" s="458">
        <v>55400.108403681625</v>
      </c>
      <c r="R131" s="458">
        <v>81769.858512547304</v>
      </c>
      <c r="S131" s="458">
        <v>1959.7497903854783</v>
      </c>
      <c r="T131" s="457"/>
      <c r="U131" s="425"/>
      <c r="V131" s="425"/>
      <c r="W131" s="425"/>
      <c r="X131" s="425"/>
      <c r="Y131" s="425"/>
      <c r="Z131" s="425"/>
      <c r="AA131" s="425"/>
      <c r="AB131" s="425"/>
      <c r="AC131" s="425"/>
      <c r="AD131" s="425"/>
      <c r="AE131" s="425"/>
      <c r="AG131" s="425"/>
      <c r="AH131" s="425"/>
      <c r="AI131" s="425"/>
      <c r="AJ131" s="425"/>
      <c r="AK131" s="425"/>
      <c r="AL131" s="425"/>
      <c r="AM131" s="425"/>
      <c r="AN131" s="425"/>
      <c r="AO131" s="425"/>
      <c r="AP131" s="425"/>
      <c r="AQ131" s="425"/>
    </row>
    <row r="132" spans="1:43" s="270" customFormat="1" x14ac:dyDescent="0.25">
      <c r="A132" s="271">
        <v>501442</v>
      </c>
      <c r="B132" s="271">
        <v>1442</v>
      </c>
      <c r="C132" s="271">
        <v>200028</v>
      </c>
      <c r="D132" s="268" t="s">
        <v>894</v>
      </c>
      <c r="E132" s="268" t="s">
        <v>1290</v>
      </c>
      <c r="F132" s="268" t="s">
        <v>2514</v>
      </c>
      <c r="G132" s="268">
        <v>6</v>
      </c>
      <c r="H132" s="268" t="s">
        <v>2515</v>
      </c>
      <c r="I132" s="268" t="s">
        <v>2475</v>
      </c>
      <c r="J132" s="458">
        <v>452517.20261509309</v>
      </c>
      <c r="K132" s="458">
        <v>37709.766884591088</v>
      </c>
      <c r="L132" s="458">
        <v>11194.760870699611</v>
      </c>
      <c r="M132" s="456">
        <v>0</v>
      </c>
      <c r="N132" s="458">
        <v>119.49693843813893</v>
      </c>
      <c r="O132" s="458">
        <v>98443.901436919579</v>
      </c>
      <c r="P132" s="459">
        <v>7919.0510457641285</v>
      </c>
      <c r="Q132" s="458">
        <v>55400.108403681625</v>
      </c>
      <c r="R132" s="458">
        <v>81769.858512547304</v>
      </c>
      <c r="S132" s="458">
        <v>1959.7497903854783</v>
      </c>
      <c r="T132" s="457"/>
      <c r="U132" s="425"/>
      <c r="V132" s="425"/>
      <c r="W132" s="425"/>
      <c r="X132" s="425"/>
      <c r="Y132" s="425"/>
      <c r="Z132" s="425"/>
      <c r="AA132" s="425"/>
      <c r="AB132" s="425"/>
      <c r="AC132" s="425"/>
      <c r="AD132" s="425"/>
      <c r="AE132" s="425"/>
      <c r="AG132" s="425"/>
      <c r="AH132" s="425"/>
      <c r="AI132" s="425"/>
      <c r="AJ132" s="425"/>
      <c r="AK132" s="425"/>
      <c r="AL132" s="425"/>
      <c r="AM132" s="425"/>
      <c r="AN132" s="425"/>
      <c r="AO132" s="425"/>
      <c r="AP132" s="425"/>
      <c r="AQ132" s="425"/>
    </row>
    <row r="133" spans="1:43" s="270" customFormat="1" x14ac:dyDescent="0.25">
      <c r="A133" s="271">
        <v>501442</v>
      </c>
      <c r="B133" s="271">
        <v>1442</v>
      </c>
      <c r="C133" s="271">
        <v>200029</v>
      </c>
      <c r="D133" s="268" t="s">
        <v>894</v>
      </c>
      <c r="E133" s="268" t="s">
        <v>1278</v>
      </c>
      <c r="F133" s="268" t="s">
        <v>2266</v>
      </c>
      <c r="G133" s="268">
        <v>6</v>
      </c>
      <c r="H133" s="268" t="s">
        <v>2516</v>
      </c>
      <c r="I133" s="268" t="s">
        <v>2483</v>
      </c>
      <c r="J133" s="458">
        <v>452517.20261509309</v>
      </c>
      <c r="K133" s="458">
        <v>37709.766884591088</v>
      </c>
      <c r="L133" s="458">
        <v>11194.760870699611</v>
      </c>
      <c r="M133" s="456">
        <v>0</v>
      </c>
      <c r="N133" s="458">
        <v>119.49693843813893</v>
      </c>
      <c r="O133" s="458">
        <v>98443.901436919579</v>
      </c>
      <c r="P133" s="459">
        <v>7919.0510457641285</v>
      </c>
      <c r="Q133" s="458">
        <v>55400.108403681625</v>
      </c>
      <c r="R133" s="458">
        <v>81769.858512547304</v>
      </c>
      <c r="S133" s="458">
        <v>1959.7497903854783</v>
      </c>
      <c r="T133" s="457"/>
      <c r="U133" s="425"/>
      <c r="V133" s="425"/>
      <c r="W133" s="425"/>
      <c r="X133" s="425"/>
      <c r="Y133" s="425"/>
      <c r="Z133" s="425"/>
      <c r="AA133" s="425"/>
      <c r="AB133" s="425"/>
      <c r="AC133" s="425"/>
      <c r="AD133" s="425"/>
      <c r="AE133" s="425"/>
      <c r="AG133" s="425"/>
      <c r="AH133" s="425"/>
      <c r="AI133" s="425"/>
      <c r="AJ133" s="425"/>
      <c r="AK133" s="425"/>
      <c r="AL133" s="425"/>
      <c r="AM133" s="425"/>
      <c r="AN133" s="425"/>
      <c r="AO133" s="425"/>
      <c r="AP133" s="425"/>
      <c r="AQ133" s="425"/>
    </row>
    <row r="134" spans="1:43" s="270" customFormat="1" x14ac:dyDescent="0.25">
      <c r="A134" s="416">
        <v>501108</v>
      </c>
      <c r="B134" s="271">
        <v>1108</v>
      </c>
      <c r="C134" s="271">
        <v>200385</v>
      </c>
      <c r="D134" s="268" t="s">
        <v>894</v>
      </c>
      <c r="E134" s="268" t="s">
        <v>1290</v>
      </c>
      <c r="F134" s="268" t="s">
        <v>2517</v>
      </c>
      <c r="G134" s="268">
        <v>6</v>
      </c>
      <c r="H134" s="268" t="s">
        <v>2518</v>
      </c>
      <c r="I134" s="268" t="s">
        <v>2519</v>
      </c>
      <c r="J134" s="458">
        <v>452517.20261509309</v>
      </c>
      <c r="K134" s="458">
        <v>37709.766884591088</v>
      </c>
      <c r="L134" s="458">
        <v>11194.760870699611</v>
      </c>
      <c r="M134" s="456">
        <v>0</v>
      </c>
      <c r="N134" s="458">
        <v>119.49693843813893</v>
      </c>
      <c r="O134" s="456">
        <v>0</v>
      </c>
      <c r="P134" s="459">
        <v>7919.0510457641285</v>
      </c>
      <c r="Q134" s="458">
        <v>55400.108403681625</v>
      </c>
      <c r="R134" s="458">
        <v>81769.858512547304</v>
      </c>
      <c r="S134" s="458">
        <v>1959.7497903854783</v>
      </c>
      <c r="T134" s="457"/>
      <c r="U134" s="425"/>
      <c r="V134" s="425"/>
      <c r="W134" s="425"/>
      <c r="X134" s="425"/>
      <c r="Y134" s="425"/>
      <c r="Z134" s="425"/>
      <c r="AA134" s="425"/>
      <c r="AB134" s="425"/>
      <c r="AC134" s="425"/>
      <c r="AD134" s="425"/>
      <c r="AE134" s="425"/>
      <c r="AG134" s="425"/>
      <c r="AH134" s="425"/>
      <c r="AI134" s="425"/>
      <c r="AJ134" s="425"/>
      <c r="AK134" s="425"/>
      <c r="AL134" s="425"/>
      <c r="AM134" s="425"/>
      <c r="AN134" s="425"/>
      <c r="AO134" s="425"/>
      <c r="AP134" s="425"/>
      <c r="AQ134" s="425"/>
    </row>
    <row r="135" spans="1:43" s="270" customFormat="1" x14ac:dyDescent="0.25">
      <c r="A135" s="271">
        <v>501305</v>
      </c>
      <c r="B135" s="271">
        <v>1305</v>
      </c>
      <c r="C135" s="271">
        <v>36155</v>
      </c>
      <c r="D135" s="268" t="s">
        <v>894</v>
      </c>
      <c r="E135" s="268" t="s">
        <v>1278</v>
      </c>
      <c r="F135" s="268" t="s">
        <v>2520</v>
      </c>
      <c r="G135" s="268">
        <v>6</v>
      </c>
      <c r="H135" s="268" t="s">
        <v>2521</v>
      </c>
      <c r="I135" s="268" t="s">
        <v>2444</v>
      </c>
      <c r="J135" s="458">
        <v>440047.47579844651</v>
      </c>
      <c r="K135" s="458">
        <v>36670.622983203881</v>
      </c>
      <c r="L135" s="458">
        <v>11194.760870699611</v>
      </c>
      <c r="M135" s="456">
        <v>0</v>
      </c>
      <c r="N135" s="458">
        <v>119.49693843813893</v>
      </c>
      <c r="O135" s="459">
        <v>0</v>
      </c>
      <c r="P135" s="459">
        <v>7700.8308264728157</v>
      </c>
      <c r="Q135" s="458">
        <v>55400.108403681625</v>
      </c>
      <c r="R135" s="458">
        <v>79516.578876779298</v>
      </c>
      <c r="S135" s="458">
        <v>1959.7497903854783</v>
      </c>
      <c r="T135" s="457"/>
      <c r="U135" s="425"/>
      <c r="V135" s="425"/>
      <c r="W135" s="425"/>
      <c r="X135" s="425"/>
      <c r="Y135" s="425"/>
      <c r="Z135" s="425"/>
      <c r="AA135" s="425"/>
      <c r="AB135" s="425"/>
      <c r="AC135" s="425"/>
      <c r="AD135" s="425"/>
      <c r="AE135" s="425"/>
      <c r="AG135" s="425"/>
      <c r="AH135" s="425"/>
      <c r="AI135" s="425"/>
      <c r="AJ135" s="425"/>
      <c r="AK135" s="425"/>
      <c r="AL135" s="425"/>
      <c r="AM135" s="425"/>
      <c r="AN135" s="425"/>
      <c r="AO135" s="425"/>
      <c r="AP135" s="425"/>
      <c r="AQ135" s="425"/>
    </row>
    <row r="136" spans="1:43" s="270" customFormat="1" x14ac:dyDescent="0.25">
      <c r="A136" s="271">
        <v>501108</v>
      </c>
      <c r="B136" s="271">
        <v>1108</v>
      </c>
      <c r="C136" s="271">
        <v>200023</v>
      </c>
      <c r="D136" s="268" t="s">
        <v>894</v>
      </c>
      <c r="E136" s="268" t="s">
        <v>1278</v>
      </c>
      <c r="F136" s="268" t="s">
        <v>2522</v>
      </c>
      <c r="G136" s="268">
        <v>6</v>
      </c>
      <c r="H136" s="268" t="s">
        <v>2523</v>
      </c>
      <c r="I136" s="268" t="s">
        <v>2468</v>
      </c>
      <c r="J136" s="458">
        <v>440047.47579844651</v>
      </c>
      <c r="K136" s="458">
        <v>36670.622983203881</v>
      </c>
      <c r="L136" s="458">
        <v>11194.760870699611</v>
      </c>
      <c r="M136" s="456">
        <v>0</v>
      </c>
      <c r="N136" s="458">
        <v>119.49693843813893</v>
      </c>
      <c r="O136" s="459">
        <v>0</v>
      </c>
      <c r="P136" s="459">
        <v>7700.8308264728157</v>
      </c>
      <c r="Q136" s="458">
        <v>55400.108403681625</v>
      </c>
      <c r="R136" s="458">
        <v>79516.578876779298</v>
      </c>
      <c r="S136" s="458">
        <v>1959.7497903854783</v>
      </c>
      <c r="T136" s="457"/>
      <c r="U136" s="425"/>
      <c r="V136" s="425"/>
      <c r="W136" s="425"/>
      <c r="X136" s="425"/>
      <c r="Y136" s="425"/>
      <c r="Z136" s="425"/>
      <c r="AA136" s="425"/>
      <c r="AB136" s="425"/>
      <c r="AC136" s="425"/>
      <c r="AD136" s="425"/>
      <c r="AE136" s="425"/>
      <c r="AG136" s="425"/>
      <c r="AH136" s="425"/>
      <c r="AI136" s="425"/>
      <c r="AJ136" s="425"/>
      <c r="AK136" s="425"/>
      <c r="AL136" s="425"/>
      <c r="AM136" s="425"/>
      <c r="AN136" s="425"/>
      <c r="AO136" s="425"/>
      <c r="AP136" s="425"/>
      <c r="AQ136" s="425"/>
    </row>
    <row r="137" spans="1:43" s="270" customFormat="1" x14ac:dyDescent="0.25">
      <c r="A137" s="271">
        <v>501305</v>
      </c>
      <c r="B137" s="271">
        <v>1305</v>
      </c>
      <c r="C137" s="271">
        <v>200040</v>
      </c>
      <c r="D137" s="268" t="s">
        <v>894</v>
      </c>
      <c r="E137" s="268" t="s">
        <v>1278</v>
      </c>
      <c r="F137" s="268" t="s">
        <v>2524</v>
      </c>
      <c r="G137" s="268">
        <v>6</v>
      </c>
      <c r="H137" s="268" t="s">
        <v>2389</v>
      </c>
      <c r="I137" s="268" t="s">
        <v>2444</v>
      </c>
      <c r="J137" s="458">
        <v>440047.47579844651</v>
      </c>
      <c r="K137" s="458">
        <v>36670.622983203881</v>
      </c>
      <c r="L137" s="458">
        <v>11194.760870699611</v>
      </c>
      <c r="M137" s="456">
        <v>0</v>
      </c>
      <c r="N137" s="458">
        <v>119.49693843813893</v>
      </c>
      <c r="O137" s="459">
        <v>0</v>
      </c>
      <c r="P137" s="459">
        <v>7700.8308264728157</v>
      </c>
      <c r="Q137" s="458">
        <v>55400.108403681625</v>
      </c>
      <c r="R137" s="458">
        <v>79516.578876779298</v>
      </c>
      <c r="S137" s="458">
        <v>1959.7497903854783</v>
      </c>
      <c r="T137" s="457"/>
      <c r="U137" s="425"/>
      <c r="V137" s="425"/>
      <c r="W137" s="425"/>
      <c r="X137" s="425"/>
      <c r="Y137" s="425"/>
      <c r="Z137" s="425"/>
      <c r="AA137" s="425"/>
      <c r="AB137" s="425"/>
      <c r="AC137" s="425"/>
      <c r="AD137" s="425"/>
      <c r="AE137" s="425"/>
      <c r="AG137" s="425"/>
      <c r="AH137" s="425"/>
      <c r="AI137" s="425"/>
      <c r="AJ137" s="425"/>
      <c r="AK137" s="425"/>
      <c r="AL137" s="425"/>
      <c r="AM137" s="425"/>
      <c r="AN137" s="425"/>
      <c r="AO137" s="425"/>
      <c r="AP137" s="425"/>
      <c r="AQ137" s="425"/>
    </row>
    <row r="138" spans="1:43" s="270" customFormat="1" x14ac:dyDescent="0.25">
      <c r="A138" s="271">
        <v>501108</v>
      </c>
      <c r="B138" s="271">
        <v>1108</v>
      </c>
      <c r="C138" s="271">
        <v>200051</v>
      </c>
      <c r="D138" s="268" t="s">
        <v>894</v>
      </c>
      <c r="E138" s="268" t="s">
        <v>1278</v>
      </c>
      <c r="F138" s="268" t="s">
        <v>2450</v>
      </c>
      <c r="G138" s="268">
        <v>6</v>
      </c>
      <c r="H138" s="268" t="s">
        <v>2525</v>
      </c>
      <c r="I138" s="268" t="s">
        <v>2526</v>
      </c>
      <c r="J138" s="458">
        <v>440047.47579844651</v>
      </c>
      <c r="K138" s="458">
        <v>36670.622983203881</v>
      </c>
      <c r="L138" s="458">
        <v>11194.760870699611</v>
      </c>
      <c r="M138" s="456">
        <v>0</v>
      </c>
      <c r="N138" s="458">
        <v>119.49693843813893</v>
      </c>
      <c r="O138" s="458">
        <v>95597.550750511131</v>
      </c>
      <c r="P138" s="459">
        <v>7700.8308264728157</v>
      </c>
      <c r="Q138" s="458">
        <v>55400.108403681625</v>
      </c>
      <c r="R138" s="458">
        <v>79516.578876779298</v>
      </c>
      <c r="S138" s="458">
        <v>1959.7497903854783</v>
      </c>
      <c r="T138" s="457"/>
      <c r="U138" s="425"/>
      <c r="V138" s="425"/>
      <c r="W138" s="425"/>
      <c r="X138" s="425"/>
      <c r="Y138" s="425"/>
      <c r="Z138" s="425"/>
      <c r="AA138" s="425"/>
      <c r="AB138" s="425"/>
      <c r="AC138" s="425"/>
      <c r="AD138" s="425"/>
      <c r="AE138" s="425"/>
      <c r="AG138" s="425"/>
      <c r="AH138" s="425"/>
      <c r="AI138" s="425"/>
      <c r="AJ138" s="425"/>
      <c r="AK138" s="425"/>
      <c r="AL138" s="425"/>
      <c r="AM138" s="425"/>
      <c r="AN138" s="425"/>
      <c r="AO138" s="425"/>
      <c r="AP138" s="425"/>
      <c r="AQ138" s="425"/>
    </row>
    <row r="139" spans="1:43" s="270" customFormat="1" x14ac:dyDescent="0.25">
      <c r="A139" s="271">
        <v>501443</v>
      </c>
      <c r="B139" s="271">
        <v>1443</v>
      </c>
      <c r="C139" s="271">
        <v>4226</v>
      </c>
      <c r="D139" s="268" t="s">
        <v>894</v>
      </c>
      <c r="E139" s="268" t="s">
        <v>1290</v>
      </c>
      <c r="F139" s="268" t="s">
        <v>1306</v>
      </c>
      <c r="G139" s="268">
        <v>7</v>
      </c>
      <c r="H139" s="268" t="s">
        <v>2527</v>
      </c>
      <c r="I139" s="268" t="s">
        <v>2528</v>
      </c>
      <c r="J139" s="458">
        <v>433309.17621429591</v>
      </c>
      <c r="K139" s="458">
        <v>36109.098017857992</v>
      </c>
      <c r="L139" s="458">
        <v>11194.760870699611</v>
      </c>
      <c r="M139" s="456">
        <v>5532.2656684323565</v>
      </c>
      <c r="N139" s="458">
        <v>119.49693843813893</v>
      </c>
      <c r="O139" s="459">
        <v>0</v>
      </c>
      <c r="P139" s="459">
        <v>7582.9105837501793</v>
      </c>
      <c r="Q139" s="458">
        <v>55400.108403681625</v>
      </c>
      <c r="R139" s="458">
        <v>78298.968141923266</v>
      </c>
      <c r="S139" s="458">
        <v>1959.7497903854783</v>
      </c>
      <c r="T139" s="457"/>
      <c r="U139" s="425"/>
      <c r="V139" s="425"/>
      <c r="W139" s="425"/>
      <c r="X139" s="425"/>
      <c r="Y139" s="425"/>
      <c r="Z139" s="425"/>
      <c r="AA139" s="425"/>
      <c r="AB139" s="425"/>
      <c r="AC139" s="425"/>
      <c r="AD139" s="425"/>
      <c r="AE139" s="425"/>
      <c r="AG139" s="425"/>
      <c r="AH139" s="425"/>
      <c r="AI139" s="425"/>
      <c r="AJ139" s="425"/>
      <c r="AK139" s="425"/>
      <c r="AL139" s="425"/>
      <c r="AM139" s="425"/>
      <c r="AN139" s="425"/>
      <c r="AO139" s="425"/>
      <c r="AP139" s="425"/>
      <c r="AQ139" s="425"/>
    </row>
    <row r="140" spans="1:43" s="270" customFormat="1" x14ac:dyDescent="0.25">
      <c r="A140" s="271">
        <v>501443</v>
      </c>
      <c r="B140" s="271">
        <v>1443</v>
      </c>
      <c r="C140" s="271">
        <v>11251</v>
      </c>
      <c r="D140" s="268" t="s">
        <v>1698</v>
      </c>
      <c r="E140" s="268" t="s">
        <v>1290</v>
      </c>
      <c r="F140" s="268" t="s">
        <v>2529</v>
      </c>
      <c r="G140" s="268">
        <v>7</v>
      </c>
      <c r="H140" s="268" t="s">
        <v>2530</v>
      </c>
      <c r="I140" s="268" t="s">
        <v>2528</v>
      </c>
      <c r="J140" s="458">
        <v>433309.17621429591</v>
      </c>
      <c r="K140" s="458">
        <v>36109.098017857992</v>
      </c>
      <c r="L140" s="458">
        <v>11194.760870699611</v>
      </c>
      <c r="M140" s="456">
        <v>5532.2656684323565</v>
      </c>
      <c r="N140" s="458">
        <v>119.49693843813893</v>
      </c>
      <c r="O140" s="459">
        <v>0</v>
      </c>
      <c r="P140" s="459">
        <v>7582.9105837501793</v>
      </c>
      <c r="Q140" s="458">
        <v>55400.108403681625</v>
      </c>
      <c r="R140" s="458">
        <v>78298.968141923266</v>
      </c>
      <c r="S140" s="458">
        <v>1959.7497903854783</v>
      </c>
      <c r="T140" s="457"/>
      <c r="U140" s="425"/>
      <c r="V140" s="425"/>
      <c r="W140" s="425"/>
      <c r="X140" s="425"/>
      <c r="Y140" s="425"/>
      <c r="Z140" s="425"/>
      <c r="AA140" s="425"/>
      <c r="AB140" s="425"/>
      <c r="AC140" s="425"/>
      <c r="AD140" s="425"/>
      <c r="AE140" s="425"/>
      <c r="AG140" s="425"/>
      <c r="AH140" s="425"/>
      <c r="AI140" s="425"/>
      <c r="AJ140" s="425"/>
      <c r="AK140" s="425"/>
      <c r="AL140" s="425"/>
      <c r="AM140" s="425"/>
      <c r="AN140" s="425"/>
      <c r="AO140" s="425"/>
      <c r="AP140" s="425"/>
      <c r="AQ140" s="425"/>
    </row>
    <row r="141" spans="1:43" s="270" customFormat="1" x14ac:dyDescent="0.25">
      <c r="A141" s="276">
        <v>501443</v>
      </c>
      <c r="B141" s="276">
        <v>1443</v>
      </c>
      <c r="C141" s="276">
        <v>12399</v>
      </c>
      <c r="D141" s="268" t="s">
        <v>894</v>
      </c>
      <c r="E141" s="268" t="s">
        <v>1290</v>
      </c>
      <c r="F141" s="268" t="s">
        <v>2476</v>
      </c>
      <c r="G141" s="268">
        <v>7</v>
      </c>
      <c r="H141" s="268" t="s">
        <v>2531</v>
      </c>
      <c r="I141" s="268" t="s">
        <v>2528</v>
      </c>
      <c r="J141" s="456">
        <v>433309.17621429591</v>
      </c>
      <c r="K141" s="459">
        <v>36109.098017857992</v>
      </c>
      <c r="L141" s="458">
        <v>11194.760870699611</v>
      </c>
      <c r="M141" s="456">
        <v>5532.2656684323565</v>
      </c>
      <c r="N141" s="459">
        <v>119.49693843813893</v>
      </c>
      <c r="O141" s="459">
        <v>0</v>
      </c>
      <c r="P141" s="459">
        <v>7582.9105837501793</v>
      </c>
      <c r="Q141" s="458">
        <v>55400.108403681625</v>
      </c>
      <c r="R141" s="459">
        <v>78298.968141923266</v>
      </c>
      <c r="S141" s="459">
        <v>1959.7497903854783</v>
      </c>
      <c r="T141" s="457"/>
      <c r="U141" s="425"/>
      <c r="V141" s="425"/>
      <c r="W141" s="425"/>
      <c r="X141" s="425"/>
      <c r="Y141" s="425"/>
      <c r="Z141" s="425"/>
      <c r="AA141" s="425"/>
      <c r="AB141" s="425"/>
      <c r="AC141" s="425"/>
      <c r="AD141" s="425"/>
      <c r="AE141" s="425"/>
      <c r="AG141" s="425"/>
      <c r="AH141" s="425"/>
      <c r="AI141" s="425"/>
      <c r="AJ141" s="425"/>
      <c r="AK141" s="425"/>
      <c r="AL141" s="425"/>
      <c r="AM141" s="425"/>
      <c r="AN141" s="425"/>
      <c r="AO141" s="425"/>
      <c r="AP141" s="425"/>
      <c r="AQ141" s="425"/>
    </row>
    <row r="142" spans="1:43" s="270" customFormat="1" x14ac:dyDescent="0.25">
      <c r="A142" s="271">
        <v>501445</v>
      </c>
      <c r="B142" s="271">
        <v>1445</v>
      </c>
      <c r="C142" s="271">
        <v>15312</v>
      </c>
      <c r="D142" s="268" t="s">
        <v>1698</v>
      </c>
      <c r="E142" s="268" t="s">
        <v>1290</v>
      </c>
      <c r="F142" s="268" t="s">
        <v>2402</v>
      </c>
      <c r="G142" s="268">
        <v>7</v>
      </c>
      <c r="H142" s="268" t="s">
        <v>2532</v>
      </c>
      <c r="I142" s="268" t="s">
        <v>2533</v>
      </c>
      <c r="J142" s="458">
        <v>433309.17621429591</v>
      </c>
      <c r="K142" s="458">
        <v>36109.098017857992</v>
      </c>
      <c r="L142" s="458">
        <v>11194.760870699611</v>
      </c>
      <c r="M142" s="456">
        <v>0</v>
      </c>
      <c r="N142" s="458">
        <v>119.49693843813893</v>
      </c>
      <c r="O142" s="459">
        <v>0</v>
      </c>
      <c r="P142" s="459">
        <v>7582.9105837501793</v>
      </c>
      <c r="Q142" s="458">
        <v>55400.108403681625</v>
      </c>
      <c r="R142" s="458">
        <v>78298.968141923266</v>
      </c>
      <c r="S142" s="458">
        <v>1959.7497903854783</v>
      </c>
      <c r="T142" s="457"/>
      <c r="U142" s="425"/>
      <c r="V142" s="425"/>
      <c r="W142" s="425"/>
      <c r="X142" s="425"/>
      <c r="Y142" s="425"/>
      <c r="Z142" s="425"/>
      <c r="AA142" s="425"/>
      <c r="AB142" s="425"/>
      <c r="AC142" s="425"/>
      <c r="AD142" s="425"/>
      <c r="AE142" s="425"/>
      <c r="AG142" s="425"/>
      <c r="AH142" s="425"/>
      <c r="AI142" s="425"/>
      <c r="AJ142" s="425"/>
      <c r="AK142" s="425"/>
      <c r="AL142" s="425"/>
      <c r="AM142" s="425"/>
      <c r="AN142" s="425"/>
      <c r="AO142" s="425"/>
      <c r="AP142" s="425"/>
      <c r="AQ142" s="425"/>
    </row>
    <row r="143" spans="1:43" s="270" customFormat="1" x14ac:dyDescent="0.25">
      <c r="A143" s="271">
        <v>501407</v>
      </c>
      <c r="B143" s="271">
        <v>1407</v>
      </c>
      <c r="C143" s="271">
        <v>15859</v>
      </c>
      <c r="D143" s="268" t="s">
        <v>1698</v>
      </c>
      <c r="E143" s="268" t="s">
        <v>1290</v>
      </c>
      <c r="F143" s="268" t="s">
        <v>2534</v>
      </c>
      <c r="G143" s="268">
        <v>7</v>
      </c>
      <c r="H143" s="268" t="s">
        <v>2535</v>
      </c>
      <c r="I143" s="268" t="s">
        <v>2481</v>
      </c>
      <c r="J143" s="458">
        <v>433309.17621429591</v>
      </c>
      <c r="K143" s="458">
        <v>36109.098017857992</v>
      </c>
      <c r="L143" s="458">
        <v>11194.760870699611</v>
      </c>
      <c r="M143" s="456">
        <v>3872.5859679026498</v>
      </c>
      <c r="N143" s="458">
        <v>119.49693843813893</v>
      </c>
      <c r="O143" s="458">
        <v>93705.515891907256</v>
      </c>
      <c r="P143" s="459">
        <v>7582.9105837501793</v>
      </c>
      <c r="Q143" s="458">
        <v>55400.108403681625</v>
      </c>
      <c r="R143" s="458">
        <v>78298.968141923266</v>
      </c>
      <c r="S143" s="458">
        <v>1959.7497903854783</v>
      </c>
      <c r="T143" s="457"/>
      <c r="U143" s="425"/>
      <c r="V143" s="425"/>
      <c r="W143" s="425"/>
      <c r="X143" s="425"/>
      <c r="Y143" s="425"/>
      <c r="Z143" s="425"/>
      <c r="AA143" s="425"/>
      <c r="AB143" s="425"/>
      <c r="AC143" s="425"/>
      <c r="AD143" s="425"/>
      <c r="AE143" s="425"/>
      <c r="AG143" s="425"/>
      <c r="AH143" s="425"/>
      <c r="AI143" s="425"/>
      <c r="AJ143" s="425"/>
      <c r="AK143" s="425"/>
      <c r="AL143" s="425"/>
      <c r="AM143" s="425"/>
      <c r="AN143" s="425"/>
      <c r="AO143" s="425"/>
      <c r="AP143" s="425"/>
      <c r="AQ143" s="425"/>
    </row>
    <row r="144" spans="1:43" s="270" customFormat="1" x14ac:dyDescent="0.25">
      <c r="A144" s="271">
        <v>501445</v>
      </c>
      <c r="B144" s="271">
        <v>1445</v>
      </c>
      <c r="C144" s="271">
        <v>18474</v>
      </c>
      <c r="D144" s="268" t="s">
        <v>1698</v>
      </c>
      <c r="E144" s="268" t="s">
        <v>1290</v>
      </c>
      <c r="F144" s="268" t="s">
        <v>2394</v>
      </c>
      <c r="G144" s="268">
        <v>7</v>
      </c>
      <c r="H144" s="268" t="s">
        <v>2480</v>
      </c>
      <c r="I144" s="268" t="s">
        <v>2536</v>
      </c>
      <c r="J144" s="458">
        <v>433309.17621429591</v>
      </c>
      <c r="K144" s="458">
        <v>36109.098017857992</v>
      </c>
      <c r="L144" s="458">
        <v>11194.760870699611</v>
      </c>
      <c r="M144" s="456">
        <v>0</v>
      </c>
      <c r="N144" s="458">
        <v>119.49693843813893</v>
      </c>
      <c r="O144" s="459">
        <v>0</v>
      </c>
      <c r="P144" s="459">
        <v>7582.9105837501793</v>
      </c>
      <c r="Q144" s="458">
        <v>55400.108403681625</v>
      </c>
      <c r="R144" s="458">
        <v>78298.968141923266</v>
      </c>
      <c r="S144" s="458">
        <v>1959.7497903854783</v>
      </c>
      <c r="T144" s="457"/>
      <c r="U144" s="425"/>
      <c r="V144" s="425"/>
      <c r="W144" s="425"/>
      <c r="X144" s="425"/>
      <c r="Y144" s="425"/>
      <c r="Z144" s="425"/>
      <c r="AA144" s="425"/>
      <c r="AB144" s="425"/>
      <c r="AC144" s="425"/>
      <c r="AD144" s="425"/>
      <c r="AE144" s="425"/>
      <c r="AG144" s="425"/>
      <c r="AH144" s="425"/>
      <c r="AI144" s="425"/>
      <c r="AJ144" s="425"/>
      <c r="AK144" s="425"/>
      <c r="AL144" s="425"/>
      <c r="AM144" s="425"/>
      <c r="AN144" s="425"/>
      <c r="AO144" s="425"/>
      <c r="AP144" s="425"/>
      <c r="AQ144" s="425"/>
    </row>
    <row r="145" spans="1:43" s="270" customFormat="1" x14ac:dyDescent="0.25">
      <c r="A145" s="271">
        <v>501443</v>
      </c>
      <c r="B145" s="271">
        <v>1443</v>
      </c>
      <c r="C145" s="271">
        <v>22978</v>
      </c>
      <c r="D145" s="268" t="s">
        <v>894</v>
      </c>
      <c r="E145" s="268" t="s">
        <v>1290</v>
      </c>
      <c r="F145" s="268" t="s">
        <v>2517</v>
      </c>
      <c r="G145" s="268">
        <v>7</v>
      </c>
      <c r="H145" s="268" t="s">
        <v>2537</v>
      </c>
      <c r="I145" s="268" t="s">
        <v>2538</v>
      </c>
      <c r="J145" s="458">
        <v>433309.17621429591</v>
      </c>
      <c r="K145" s="458">
        <v>36109.098017857992</v>
      </c>
      <c r="L145" s="458">
        <v>11194.760870699611</v>
      </c>
      <c r="M145" s="456">
        <v>5532.2656684323565</v>
      </c>
      <c r="N145" s="458">
        <v>119.49693843813893</v>
      </c>
      <c r="O145" s="459">
        <v>0</v>
      </c>
      <c r="P145" s="459">
        <v>7582.9105837501793</v>
      </c>
      <c r="Q145" s="458">
        <v>55400.108403681625</v>
      </c>
      <c r="R145" s="458">
        <v>78298.968141923266</v>
      </c>
      <c r="S145" s="458">
        <v>1959.7497903854783</v>
      </c>
      <c r="T145" s="457"/>
      <c r="U145" s="425"/>
      <c r="V145" s="425"/>
      <c r="W145" s="425"/>
      <c r="X145" s="425"/>
      <c r="Y145" s="425"/>
      <c r="Z145" s="425"/>
      <c r="AA145" s="425"/>
      <c r="AB145" s="425"/>
      <c r="AC145" s="425"/>
      <c r="AD145" s="425"/>
      <c r="AE145" s="425"/>
      <c r="AG145" s="425"/>
      <c r="AH145" s="425"/>
      <c r="AI145" s="425"/>
      <c r="AJ145" s="425"/>
      <c r="AK145" s="425"/>
      <c r="AL145" s="425"/>
      <c r="AM145" s="425"/>
      <c r="AN145" s="425"/>
      <c r="AO145" s="425"/>
      <c r="AP145" s="425"/>
      <c r="AQ145" s="425"/>
    </row>
    <row r="146" spans="1:43" s="270" customFormat="1" x14ac:dyDescent="0.25">
      <c r="A146" s="271">
        <v>501443</v>
      </c>
      <c r="B146" s="271">
        <v>1443</v>
      </c>
      <c r="C146" s="271">
        <v>24976</v>
      </c>
      <c r="D146" s="268" t="s">
        <v>894</v>
      </c>
      <c r="E146" s="268" t="s">
        <v>1290</v>
      </c>
      <c r="F146" s="268" t="s">
        <v>2539</v>
      </c>
      <c r="G146" s="268">
        <v>7</v>
      </c>
      <c r="H146" s="268" t="s">
        <v>2540</v>
      </c>
      <c r="I146" s="268" t="s">
        <v>2528</v>
      </c>
      <c r="J146" s="458">
        <v>433309.17621429591</v>
      </c>
      <c r="K146" s="458">
        <v>36109.098017857992</v>
      </c>
      <c r="L146" s="458">
        <v>11194.760870699611</v>
      </c>
      <c r="M146" s="456">
        <v>5532.2656684323565</v>
      </c>
      <c r="N146" s="458">
        <v>119.49693843813893</v>
      </c>
      <c r="O146" s="459">
        <v>0</v>
      </c>
      <c r="P146" s="459">
        <v>7582.9105837501793</v>
      </c>
      <c r="Q146" s="458">
        <v>55400.108403681625</v>
      </c>
      <c r="R146" s="458">
        <v>78298.968141923266</v>
      </c>
      <c r="S146" s="458">
        <v>1959.7497903854783</v>
      </c>
      <c r="T146" s="457"/>
      <c r="U146" s="425"/>
      <c r="V146" s="425"/>
      <c r="W146" s="425"/>
      <c r="X146" s="425"/>
      <c r="Y146" s="425"/>
      <c r="Z146" s="425"/>
      <c r="AA146" s="425"/>
      <c r="AB146" s="425"/>
      <c r="AC146" s="425"/>
      <c r="AD146" s="425"/>
      <c r="AE146" s="425"/>
      <c r="AG146" s="425"/>
      <c r="AH146" s="425"/>
      <c r="AI146" s="425"/>
      <c r="AJ146" s="425"/>
      <c r="AK146" s="425"/>
      <c r="AL146" s="425"/>
      <c r="AM146" s="425"/>
      <c r="AN146" s="425"/>
      <c r="AO146" s="425"/>
      <c r="AP146" s="425"/>
      <c r="AQ146" s="425"/>
    </row>
    <row r="147" spans="1:43" x14ac:dyDescent="0.25">
      <c r="A147" s="271">
        <v>501443</v>
      </c>
      <c r="B147" s="271">
        <v>1443</v>
      </c>
      <c r="C147" s="271">
        <v>25881</v>
      </c>
      <c r="D147" s="268" t="s">
        <v>1698</v>
      </c>
      <c r="E147" s="268" t="s">
        <v>1290</v>
      </c>
      <c r="F147" s="268" t="s">
        <v>538</v>
      </c>
      <c r="G147" s="268">
        <v>7</v>
      </c>
      <c r="H147" s="268" t="s">
        <v>2541</v>
      </c>
      <c r="I147" s="268" t="s">
        <v>2528</v>
      </c>
      <c r="J147" s="458">
        <v>433309.17621429591</v>
      </c>
      <c r="K147" s="458">
        <v>36109.098017857992</v>
      </c>
      <c r="L147" s="458">
        <v>11194.760870699611</v>
      </c>
      <c r="M147" s="456">
        <v>5532.2656684323565</v>
      </c>
      <c r="N147" s="458">
        <v>119.49693843813893</v>
      </c>
      <c r="O147" s="459">
        <v>0</v>
      </c>
      <c r="P147" s="459">
        <v>7582.9105837501793</v>
      </c>
      <c r="Q147" s="458">
        <v>55400.108403681625</v>
      </c>
      <c r="R147" s="458">
        <v>78298.968141923266</v>
      </c>
      <c r="S147" s="458">
        <v>1959.7497903854783</v>
      </c>
      <c r="T147" s="457"/>
      <c r="U147" s="425"/>
      <c r="V147" s="425"/>
      <c r="W147" s="425"/>
      <c r="X147" s="425"/>
      <c r="Y147" s="425"/>
      <c r="Z147" s="425"/>
      <c r="AA147" s="425"/>
      <c r="AB147" s="425"/>
      <c r="AC147" s="425"/>
      <c r="AD147" s="425"/>
      <c r="AE147" s="425"/>
      <c r="AF147" s="424"/>
      <c r="AG147" s="425"/>
      <c r="AH147" s="425"/>
      <c r="AI147" s="425"/>
      <c r="AJ147" s="425"/>
      <c r="AK147" s="425"/>
      <c r="AL147" s="425"/>
      <c r="AM147" s="425"/>
      <c r="AN147" s="425"/>
      <c r="AO147" s="425"/>
      <c r="AP147" s="425"/>
      <c r="AQ147" s="425"/>
    </row>
    <row r="148" spans="1:43" s="270" customFormat="1" x14ac:dyDescent="0.25">
      <c r="A148" s="271">
        <v>501443</v>
      </c>
      <c r="B148" s="271">
        <v>1443</v>
      </c>
      <c r="C148" s="271">
        <v>36210</v>
      </c>
      <c r="D148" s="268" t="s">
        <v>894</v>
      </c>
      <c r="E148" s="268" t="s">
        <v>1278</v>
      </c>
      <c r="F148" s="268" t="s">
        <v>2542</v>
      </c>
      <c r="G148" s="268">
        <v>7</v>
      </c>
      <c r="H148" s="268" t="s">
        <v>2543</v>
      </c>
      <c r="I148" s="268" t="s">
        <v>2528</v>
      </c>
      <c r="J148" s="458">
        <v>433309.17621429591</v>
      </c>
      <c r="K148" s="458">
        <v>36109.098017857992</v>
      </c>
      <c r="L148" s="458">
        <v>11194.760870699611</v>
      </c>
      <c r="M148" s="456">
        <v>5532.2656684323565</v>
      </c>
      <c r="N148" s="458">
        <v>119.49693843813893</v>
      </c>
      <c r="O148" s="459">
        <v>0</v>
      </c>
      <c r="P148" s="459">
        <v>7582.9105837501793</v>
      </c>
      <c r="Q148" s="458">
        <v>55400.108403681625</v>
      </c>
      <c r="R148" s="458">
        <v>78298.968141923266</v>
      </c>
      <c r="S148" s="458">
        <v>1959.7497903854783</v>
      </c>
      <c r="T148" s="457"/>
      <c r="U148" s="425"/>
      <c r="V148" s="425"/>
      <c r="W148" s="425"/>
      <c r="X148" s="425"/>
      <c r="Y148" s="425"/>
      <c r="Z148" s="425"/>
      <c r="AA148" s="425"/>
      <c r="AB148" s="425"/>
      <c r="AC148" s="425"/>
      <c r="AD148" s="425"/>
      <c r="AE148" s="425"/>
      <c r="AG148" s="425"/>
      <c r="AH148" s="425"/>
      <c r="AI148" s="425"/>
      <c r="AJ148" s="425"/>
      <c r="AK148" s="425"/>
      <c r="AL148" s="425"/>
      <c r="AM148" s="425"/>
      <c r="AN148" s="425"/>
      <c r="AO148" s="425"/>
      <c r="AP148" s="425"/>
      <c r="AQ148" s="425"/>
    </row>
    <row r="149" spans="1:43" s="270" customFormat="1" x14ac:dyDescent="0.25">
      <c r="A149" s="271">
        <v>501501</v>
      </c>
      <c r="B149" s="271">
        <v>1503</v>
      </c>
      <c r="C149" s="271">
        <v>41328</v>
      </c>
      <c r="D149" s="268" t="s">
        <v>894</v>
      </c>
      <c r="E149" s="268" t="s">
        <v>1278</v>
      </c>
      <c r="F149" s="268" t="s">
        <v>2544</v>
      </c>
      <c r="G149" s="268">
        <v>7</v>
      </c>
      <c r="H149" s="268" t="s">
        <v>2545</v>
      </c>
      <c r="I149" s="268" t="s">
        <v>2546</v>
      </c>
      <c r="J149" s="458">
        <v>433309.17621429591</v>
      </c>
      <c r="K149" s="458">
        <v>36109.098017857992</v>
      </c>
      <c r="L149" s="458">
        <v>11194.760870699611</v>
      </c>
      <c r="M149" s="456">
        <v>0</v>
      </c>
      <c r="N149" s="458">
        <v>119.49693843813893</v>
      </c>
      <c r="O149" s="459">
        <v>0</v>
      </c>
      <c r="P149" s="459">
        <v>7582.9105837501793</v>
      </c>
      <c r="Q149" s="458">
        <v>55400.108403681625</v>
      </c>
      <c r="R149" s="458">
        <v>78298.968141923266</v>
      </c>
      <c r="S149" s="458">
        <v>1959.7497903854783</v>
      </c>
      <c r="T149" s="457"/>
      <c r="U149" s="425"/>
      <c r="V149" s="425"/>
      <c r="W149" s="425"/>
      <c r="X149" s="425"/>
      <c r="Y149" s="425"/>
      <c r="Z149" s="425"/>
      <c r="AA149" s="425"/>
      <c r="AB149" s="425"/>
      <c r="AC149" s="425"/>
      <c r="AD149" s="425"/>
      <c r="AE149" s="425"/>
      <c r="AG149" s="425"/>
      <c r="AH149" s="425"/>
      <c r="AI149" s="425"/>
      <c r="AJ149" s="425"/>
      <c r="AK149" s="425"/>
      <c r="AL149" s="425"/>
      <c r="AM149" s="425"/>
      <c r="AN149" s="425"/>
      <c r="AO149" s="425"/>
      <c r="AP149" s="425"/>
      <c r="AQ149" s="425"/>
    </row>
    <row r="150" spans="1:43" x14ac:dyDescent="0.25">
      <c r="A150" s="271">
        <v>501443</v>
      </c>
      <c r="B150" s="271">
        <v>1443</v>
      </c>
      <c r="C150" s="271">
        <v>49799</v>
      </c>
      <c r="D150" s="268" t="s">
        <v>894</v>
      </c>
      <c r="E150" s="268" t="s">
        <v>1290</v>
      </c>
      <c r="F150" s="268" t="s">
        <v>2547</v>
      </c>
      <c r="G150" s="268">
        <v>7</v>
      </c>
      <c r="H150" s="268" t="s">
        <v>2548</v>
      </c>
      <c r="I150" s="268" t="s">
        <v>2528</v>
      </c>
      <c r="J150" s="458">
        <v>433309.17621429591</v>
      </c>
      <c r="K150" s="458">
        <v>36109.098017857992</v>
      </c>
      <c r="L150" s="458">
        <v>11194.760870699611</v>
      </c>
      <c r="M150" s="456">
        <v>5532.2656684323565</v>
      </c>
      <c r="N150" s="458">
        <v>119.49693843813893</v>
      </c>
      <c r="O150" s="458">
        <v>95597.550750511131</v>
      </c>
      <c r="P150" s="459">
        <v>7582.9105837501793</v>
      </c>
      <c r="Q150" s="458">
        <v>55400.108403681625</v>
      </c>
      <c r="R150" s="458">
        <v>78298.968141923266</v>
      </c>
      <c r="S150" s="458">
        <v>1959.7497903854783</v>
      </c>
      <c r="T150" s="457"/>
      <c r="U150" s="425"/>
      <c r="V150" s="425"/>
      <c r="W150" s="425"/>
      <c r="X150" s="425"/>
      <c r="Y150" s="425"/>
      <c r="Z150" s="425"/>
      <c r="AA150" s="425"/>
      <c r="AB150" s="425"/>
      <c r="AC150" s="425"/>
      <c r="AD150" s="425"/>
      <c r="AE150" s="425"/>
      <c r="AF150" s="424"/>
      <c r="AG150" s="425"/>
      <c r="AH150" s="425"/>
      <c r="AI150" s="425"/>
      <c r="AJ150" s="425"/>
      <c r="AK150" s="425"/>
      <c r="AL150" s="425"/>
      <c r="AM150" s="425"/>
      <c r="AN150" s="425"/>
      <c r="AO150" s="425"/>
      <c r="AP150" s="425"/>
      <c r="AQ150" s="425"/>
    </row>
    <row r="151" spans="1:43" s="270" customFormat="1" x14ac:dyDescent="0.25">
      <c r="A151" s="271">
        <v>501407</v>
      </c>
      <c r="B151" s="271">
        <v>1407</v>
      </c>
      <c r="C151" s="271">
        <v>50296</v>
      </c>
      <c r="D151" s="268" t="s">
        <v>894</v>
      </c>
      <c r="E151" s="268" t="s">
        <v>1290</v>
      </c>
      <c r="F151" s="268" t="s">
        <v>2549</v>
      </c>
      <c r="G151" s="268">
        <v>7</v>
      </c>
      <c r="H151" s="268" t="s">
        <v>2550</v>
      </c>
      <c r="I151" s="268" t="s">
        <v>2481</v>
      </c>
      <c r="J151" s="458">
        <v>433309.17621429591</v>
      </c>
      <c r="K151" s="458">
        <v>36109.098017857992</v>
      </c>
      <c r="L151" s="458">
        <v>11194.760870699611</v>
      </c>
      <c r="M151" s="456">
        <v>3872.5859679026498</v>
      </c>
      <c r="N151" s="458">
        <v>119.49693843813893</v>
      </c>
      <c r="O151" s="458">
        <v>93705.515891907256</v>
      </c>
      <c r="P151" s="459">
        <v>7582.9105837501793</v>
      </c>
      <c r="Q151" s="458">
        <v>55400.108403681625</v>
      </c>
      <c r="R151" s="458">
        <v>78298.968141923266</v>
      </c>
      <c r="S151" s="458">
        <v>1959.7497903854783</v>
      </c>
      <c r="T151" s="457"/>
      <c r="U151" s="425"/>
      <c r="V151" s="425"/>
      <c r="W151" s="425"/>
      <c r="X151" s="425"/>
      <c r="Y151" s="425"/>
      <c r="Z151" s="425"/>
      <c r="AA151" s="425"/>
      <c r="AB151" s="425"/>
      <c r="AC151" s="425"/>
      <c r="AD151" s="425"/>
      <c r="AE151" s="425"/>
      <c r="AG151" s="425"/>
      <c r="AH151" s="425"/>
      <c r="AI151" s="425"/>
      <c r="AJ151" s="425"/>
      <c r="AK151" s="425"/>
      <c r="AL151" s="425"/>
      <c r="AM151" s="425"/>
      <c r="AN151" s="425"/>
      <c r="AO151" s="425"/>
      <c r="AP151" s="425"/>
      <c r="AQ151" s="425"/>
    </row>
    <row r="152" spans="1:43" s="270" customFormat="1" x14ac:dyDescent="0.25">
      <c r="A152" s="271">
        <v>501407</v>
      </c>
      <c r="B152" s="271">
        <v>1407</v>
      </c>
      <c r="C152" s="271">
        <v>50306</v>
      </c>
      <c r="D152" s="268" t="s">
        <v>894</v>
      </c>
      <c r="E152" s="268" t="s">
        <v>1290</v>
      </c>
      <c r="F152" s="268" t="s">
        <v>2551</v>
      </c>
      <c r="G152" s="268">
        <v>7</v>
      </c>
      <c r="H152" s="268" t="s">
        <v>2552</v>
      </c>
      <c r="I152" s="268" t="s">
        <v>2481</v>
      </c>
      <c r="J152" s="458">
        <v>433309.17621429591</v>
      </c>
      <c r="K152" s="458">
        <v>36109.098017857992</v>
      </c>
      <c r="L152" s="458">
        <v>11194.760870699611</v>
      </c>
      <c r="M152" s="456">
        <v>3872.5859679026498</v>
      </c>
      <c r="N152" s="458">
        <v>119.49693843813893</v>
      </c>
      <c r="O152" s="458">
        <v>93705.515891907256</v>
      </c>
      <c r="P152" s="459">
        <v>7582.9105837501793</v>
      </c>
      <c r="Q152" s="458">
        <v>55400.108403681625</v>
      </c>
      <c r="R152" s="458">
        <v>78298.968141923266</v>
      </c>
      <c r="S152" s="458">
        <v>1959.7497903854783</v>
      </c>
      <c r="T152" s="457"/>
      <c r="U152" s="425"/>
      <c r="V152" s="425"/>
      <c r="W152" s="425"/>
      <c r="X152" s="425"/>
      <c r="Y152" s="425"/>
      <c r="Z152" s="425"/>
      <c r="AA152" s="425"/>
      <c r="AB152" s="425"/>
      <c r="AC152" s="425"/>
      <c r="AD152" s="425"/>
      <c r="AE152" s="425"/>
      <c r="AG152" s="425"/>
      <c r="AH152" s="425"/>
      <c r="AI152" s="425"/>
      <c r="AJ152" s="425"/>
      <c r="AK152" s="425"/>
      <c r="AL152" s="425"/>
      <c r="AM152" s="425"/>
      <c r="AN152" s="425"/>
      <c r="AO152" s="425"/>
      <c r="AP152" s="425"/>
      <c r="AQ152" s="425"/>
    </row>
    <row r="153" spans="1:43" s="270" customFormat="1" x14ac:dyDescent="0.25">
      <c r="A153" s="271">
        <v>501445</v>
      </c>
      <c r="B153" s="271">
        <v>1445</v>
      </c>
      <c r="C153" s="271">
        <v>50458</v>
      </c>
      <c r="D153" s="268" t="s">
        <v>894</v>
      </c>
      <c r="E153" s="268" t="s">
        <v>1290</v>
      </c>
      <c r="F153" s="268" t="s">
        <v>2553</v>
      </c>
      <c r="G153" s="268">
        <v>7</v>
      </c>
      <c r="H153" s="268" t="s">
        <v>2554</v>
      </c>
      <c r="I153" s="268" t="s">
        <v>2555</v>
      </c>
      <c r="J153" s="458">
        <v>433309.17621429591</v>
      </c>
      <c r="K153" s="458">
        <v>36109.098017857992</v>
      </c>
      <c r="L153" s="458">
        <v>11194.760870699611</v>
      </c>
      <c r="M153" s="456">
        <v>0</v>
      </c>
      <c r="N153" s="458">
        <v>119.49693843813893</v>
      </c>
      <c r="O153" s="459">
        <v>0</v>
      </c>
      <c r="P153" s="459">
        <v>7582.9105837501793</v>
      </c>
      <c r="Q153" s="458">
        <v>55400.108403681625</v>
      </c>
      <c r="R153" s="458">
        <v>78298.968141923266</v>
      </c>
      <c r="S153" s="458">
        <v>1959.7497903854783</v>
      </c>
      <c r="T153" s="457"/>
      <c r="U153" s="425"/>
      <c r="V153" s="425"/>
      <c r="W153" s="425"/>
      <c r="X153" s="425"/>
      <c r="Y153" s="425"/>
      <c r="Z153" s="425"/>
      <c r="AA153" s="425"/>
      <c r="AB153" s="425"/>
      <c r="AC153" s="425"/>
      <c r="AD153" s="425"/>
      <c r="AE153" s="425"/>
      <c r="AG153" s="425"/>
      <c r="AH153" s="425"/>
      <c r="AI153" s="425"/>
      <c r="AJ153" s="425"/>
      <c r="AK153" s="425"/>
      <c r="AL153" s="425"/>
      <c r="AM153" s="425"/>
      <c r="AN153" s="425"/>
      <c r="AO153" s="425"/>
      <c r="AP153" s="425"/>
      <c r="AQ153" s="425"/>
    </row>
    <row r="154" spans="1:43" s="270" customFormat="1" x14ac:dyDescent="0.25">
      <c r="A154" s="271">
        <v>501445</v>
      </c>
      <c r="B154" s="271">
        <v>1445</v>
      </c>
      <c r="C154" s="271">
        <v>50490</v>
      </c>
      <c r="D154" s="268" t="s">
        <v>894</v>
      </c>
      <c r="E154" s="268" t="s">
        <v>1278</v>
      </c>
      <c r="F154" s="268" t="s">
        <v>2556</v>
      </c>
      <c r="G154" s="268">
        <v>7</v>
      </c>
      <c r="H154" s="268" t="s">
        <v>2557</v>
      </c>
      <c r="I154" s="268" t="s">
        <v>2555</v>
      </c>
      <c r="J154" s="458">
        <v>433309.17621429591</v>
      </c>
      <c r="K154" s="458">
        <v>36109.098017857992</v>
      </c>
      <c r="L154" s="458">
        <v>11194.760870699611</v>
      </c>
      <c r="M154" s="456">
        <v>0</v>
      </c>
      <c r="N154" s="458">
        <v>119.49693843813893</v>
      </c>
      <c r="O154" s="459">
        <v>0</v>
      </c>
      <c r="P154" s="459">
        <v>7582.9105837501793</v>
      </c>
      <c r="Q154" s="458">
        <v>55400.108403681625</v>
      </c>
      <c r="R154" s="458">
        <v>78298.968141923266</v>
      </c>
      <c r="S154" s="458">
        <v>1959.7497903854783</v>
      </c>
      <c r="T154" s="457"/>
      <c r="U154" s="425"/>
      <c r="V154" s="425"/>
      <c r="W154" s="425"/>
      <c r="X154" s="425"/>
      <c r="Y154" s="425"/>
      <c r="Z154" s="425"/>
      <c r="AA154" s="425"/>
      <c r="AB154" s="425"/>
      <c r="AC154" s="425"/>
      <c r="AD154" s="425"/>
      <c r="AE154" s="425"/>
      <c r="AG154" s="425"/>
      <c r="AH154" s="425"/>
      <c r="AI154" s="425"/>
      <c r="AJ154" s="425"/>
      <c r="AK154" s="425"/>
      <c r="AL154" s="425"/>
      <c r="AM154" s="425"/>
      <c r="AN154" s="425"/>
      <c r="AO154" s="425"/>
      <c r="AP154" s="425"/>
      <c r="AQ154" s="425"/>
    </row>
    <row r="155" spans="1:43" s="270" customFormat="1" x14ac:dyDescent="0.25">
      <c r="A155" s="271">
        <v>501506</v>
      </c>
      <c r="B155" s="271">
        <v>1506</v>
      </c>
      <c r="C155" s="271">
        <v>51334</v>
      </c>
      <c r="D155" s="268" t="s">
        <v>894</v>
      </c>
      <c r="E155" s="268" t="s">
        <v>1290</v>
      </c>
      <c r="F155" s="268" t="s">
        <v>2558</v>
      </c>
      <c r="G155" s="268">
        <v>7</v>
      </c>
      <c r="H155" s="268" t="s">
        <v>2559</v>
      </c>
      <c r="I155" s="268" t="s">
        <v>2528</v>
      </c>
      <c r="J155" s="458">
        <v>433309.17621429591</v>
      </c>
      <c r="K155" s="458">
        <v>36109.098017857992</v>
      </c>
      <c r="L155" s="458">
        <v>11194.760870699611</v>
      </c>
      <c r="M155" s="456">
        <v>0</v>
      </c>
      <c r="N155" s="458">
        <v>119.49693843813893</v>
      </c>
      <c r="O155" s="459">
        <v>0</v>
      </c>
      <c r="P155" s="459">
        <v>7582.9105837501793</v>
      </c>
      <c r="Q155" s="458">
        <v>55400.108403681625</v>
      </c>
      <c r="R155" s="458">
        <v>78298.968141923266</v>
      </c>
      <c r="S155" s="458">
        <v>1959.7497903854783</v>
      </c>
      <c r="T155" s="457"/>
      <c r="U155" s="425"/>
      <c r="V155" s="425"/>
      <c r="W155" s="425"/>
      <c r="X155" s="425"/>
      <c r="Y155" s="425"/>
      <c r="Z155" s="425"/>
      <c r="AA155" s="425"/>
      <c r="AB155" s="425"/>
      <c r="AC155" s="425"/>
      <c r="AD155" s="425"/>
      <c r="AE155" s="425"/>
      <c r="AG155" s="425"/>
      <c r="AH155" s="425"/>
      <c r="AI155" s="425"/>
      <c r="AJ155" s="425"/>
      <c r="AK155" s="425"/>
      <c r="AL155" s="425"/>
      <c r="AM155" s="425"/>
      <c r="AN155" s="425"/>
      <c r="AO155" s="425"/>
      <c r="AP155" s="425"/>
      <c r="AQ155" s="425"/>
    </row>
    <row r="156" spans="1:43" s="270" customFormat="1" x14ac:dyDescent="0.25">
      <c r="A156" s="276">
        <v>501443</v>
      </c>
      <c r="B156" s="276">
        <v>1443</v>
      </c>
      <c r="C156" s="276">
        <v>51538</v>
      </c>
      <c r="D156" s="268" t="s">
        <v>894</v>
      </c>
      <c r="E156" s="268" t="s">
        <v>1290</v>
      </c>
      <c r="F156" s="268" t="s">
        <v>2560</v>
      </c>
      <c r="G156" s="268">
        <v>7</v>
      </c>
      <c r="H156" s="268" t="s">
        <v>2561</v>
      </c>
      <c r="I156" s="268" t="s">
        <v>2528</v>
      </c>
      <c r="J156" s="456">
        <v>433309.17621429591</v>
      </c>
      <c r="K156" s="459">
        <v>36109.098017857992</v>
      </c>
      <c r="L156" s="458">
        <v>11194.760870699611</v>
      </c>
      <c r="M156" s="456">
        <v>5532.2656684323565</v>
      </c>
      <c r="N156" s="459">
        <v>119.49693843813893</v>
      </c>
      <c r="O156" s="459">
        <v>0</v>
      </c>
      <c r="P156" s="459">
        <v>7582.9105837501793</v>
      </c>
      <c r="Q156" s="458">
        <v>55400.108403681625</v>
      </c>
      <c r="R156" s="459">
        <v>78298.968141923266</v>
      </c>
      <c r="S156" s="459">
        <v>1959.7497903854783</v>
      </c>
      <c r="T156" s="457"/>
      <c r="U156" s="425"/>
      <c r="V156" s="425"/>
      <c r="W156" s="425"/>
      <c r="X156" s="425"/>
      <c r="Y156" s="425"/>
      <c r="Z156" s="425"/>
      <c r="AA156" s="425"/>
      <c r="AB156" s="425"/>
      <c r="AC156" s="425"/>
      <c r="AD156" s="425"/>
      <c r="AE156" s="425"/>
      <c r="AG156" s="425"/>
      <c r="AH156" s="425"/>
      <c r="AI156" s="425"/>
      <c r="AJ156" s="425"/>
      <c r="AK156" s="425"/>
      <c r="AL156" s="425"/>
      <c r="AM156" s="425"/>
      <c r="AN156" s="425"/>
      <c r="AO156" s="425"/>
      <c r="AP156" s="425"/>
      <c r="AQ156" s="425"/>
    </row>
    <row r="157" spans="1:43" s="270" customFormat="1" x14ac:dyDescent="0.25">
      <c r="A157" s="276">
        <v>501443</v>
      </c>
      <c r="B157" s="276">
        <v>1443</v>
      </c>
      <c r="C157" s="276">
        <v>55822</v>
      </c>
      <c r="D157" s="268" t="s">
        <v>894</v>
      </c>
      <c r="E157" s="268" t="s">
        <v>1290</v>
      </c>
      <c r="F157" s="268" t="s">
        <v>2562</v>
      </c>
      <c r="G157" s="268">
        <v>7</v>
      </c>
      <c r="H157" s="268" t="s">
        <v>2563</v>
      </c>
      <c r="I157" s="268" t="s">
        <v>2564</v>
      </c>
      <c r="J157" s="456">
        <v>433309.17621429591</v>
      </c>
      <c r="K157" s="459">
        <v>36109.098017857992</v>
      </c>
      <c r="L157" s="458">
        <v>11194.760870699611</v>
      </c>
      <c r="M157" s="456">
        <v>5532.2656684323565</v>
      </c>
      <c r="N157" s="459">
        <v>119.49693843813893</v>
      </c>
      <c r="O157" s="459">
        <v>0</v>
      </c>
      <c r="P157" s="459">
        <v>7582.9105837501793</v>
      </c>
      <c r="Q157" s="458">
        <v>55400.108403681625</v>
      </c>
      <c r="R157" s="459">
        <v>78298.968141923266</v>
      </c>
      <c r="S157" s="459">
        <v>1959.7497903854783</v>
      </c>
      <c r="T157" s="457"/>
      <c r="U157" s="425"/>
      <c r="V157" s="425"/>
      <c r="W157" s="425"/>
      <c r="X157" s="425"/>
      <c r="Y157" s="425"/>
      <c r="Z157" s="425"/>
      <c r="AA157" s="425"/>
      <c r="AB157" s="425"/>
      <c r="AC157" s="425"/>
      <c r="AD157" s="425"/>
      <c r="AE157" s="425"/>
      <c r="AG157" s="425"/>
      <c r="AH157" s="425"/>
      <c r="AI157" s="425"/>
      <c r="AJ157" s="425"/>
      <c r="AK157" s="425"/>
      <c r="AL157" s="425"/>
      <c r="AM157" s="425"/>
      <c r="AN157" s="425"/>
      <c r="AO157" s="425"/>
      <c r="AP157" s="425"/>
      <c r="AQ157" s="425"/>
    </row>
    <row r="158" spans="1:43" x14ac:dyDescent="0.25">
      <c r="A158" s="271">
        <v>501443</v>
      </c>
      <c r="B158" s="271">
        <v>1443</v>
      </c>
      <c r="C158" s="271">
        <v>56782</v>
      </c>
      <c r="D158" s="268" t="s">
        <v>894</v>
      </c>
      <c r="E158" s="268" t="s">
        <v>1290</v>
      </c>
      <c r="F158" s="268" t="s">
        <v>2565</v>
      </c>
      <c r="G158" s="268">
        <v>7</v>
      </c>
      <c r="H158" s="268" t="s">
        <v>2566</v>
      </c>
      <c r="I158" s="268" t="s">
        <v>2528</v>
      </c>
      <c r="J158" s="458">
        <v>433309.17621429591</v>
      </c>
      <c r="K158" s="458">
        <v>36109.098017857992</v>
      </c>
      <c r="L158" s="458">
        <v>11194.760870699611</v>
      </c>
      <c r="M158" s="456">
        <v>5532.2656684323565</v>
      </c>
      <c r="N158" s="458">
        <v>119.49693843813893</v>
      </c>
      <c r="O158" s="459">
        <v>0</v>
      </c>
      <c r="P158" s="459">
        <v>7582.9105837501793</v>
      </c>
      <c r="Q158" s="458">
        <v>55400.108403681625</v>
      </c>
      <c r="R158" s="458">
        <v>78298.968141923266</v>
      </c>
      <c r="S158" s="458">
        <v>1959.7497903854783</v>
      </c>
      <c r="T158" s="457"/>
      <c r="U158" s="425"/>
      <c r="V158" s="425"/>
      <c r="W158" s="425"/>
      <c r="X158" s="425"/>
      <c r="Y158" s="425"/>
      <c r="Z158" s="425"/>
      <c r="AA158" s="425"/>
      <c r="AB158" s="425"/>
      <c r="AC158" s="425"/>
      <c r="AD158" s="425"/>
      <c r="AE158" s="425"/>
      <c r="AF158" s="424"/>
      <c r="AG158" s="425"/>
      <c r="AH158" s="425"/>
      <c r="AI158" s="425"/>
      <c r="AJ158" s="425"/>
      <c r="AK158" s="425"/>
      <c r="AL158" s="425"/>
      <c r="AM158" s="425"/>
      <c r="AN158" s="425"/>
      <c r="AO158" s="425"/>
      <c r="AP158" s="425"/>
      <c r="AQ158" s="425"/>
    </row>
    <row r="159" spans="1:43" s="270" customFormat="1" x14ac:dyDescent="0.25">
      <c r="A159" s="271">
        <v>501443</v>
      </c>
      <c r="B159" s="271">
        <v>1443</v>
      </c>
      <c r="C159" s="271">
        <v>59242</v>
      </c>
      <c r="D159" s="268" t="s">
        <v>894</v>
      </c>
      <c r="E159" s="268" t="s">
        <v>1278</v>
      </c>
      <c r="F159" s="268" t="s">
        <v>2567</v>
      </c>
      <c r="G159" s="268">
        <v>7</v>
      </c>
      <c r="H159" s="268" t="s">
        <v>2568</v>
      </c>
      <c r="I159" s="268" t="s">
        <v>2569</v>
      </c>
      <c r="J159" s="458">
        <v>433309.17621429591</v>
      </c>
      <c r="K159" s="458">
        <v>36109.098017857992</v>
      </c>
      <c r="L159" s="458">
        <v>11194.760870699611</v>
      </c>
      <c r="M159" s="456">
        <v>0</v>
      </c>
      <c r="N159" s="458">
        <v>119.49693843813893</v>
      </c>
      <c r="O159" s="459">
        <v>0</v>
      </c>
      <c r="P159" s="459">
        <v>7582.9105837501793</v>
      </c>
      <c r="Q159" s="458">
        <v>55400.108403681625</v>
      </c>
      <c r="R159" s="458">
        <v>78298.968141923266</v>
      </c>
      <c r="S159" s="458">
        <v>1959.7497903854783</v>
      </c>
      <c r="T159" s="457"/>
      <c r="U159" s="425"/>
      <c r="V159" s="425"/>
      <c r="W159" s="425"/>
      <c r="X159" s="425"/>
      <c r="Y159" s="425"/>
      <c r="Z159" s="425"/>
      <c r="AA159" s="425"/>
      <c r="AB159" s="425"/>
      <c r="AC159" s="425"/>
      <c r="AD159" s="425"/>
      <c r="AE159" s="425"/>
      <c r="AG159" s="425"/>
      <c r="AH159" s="425"/>
      <c r="AI159" s="425"/>
      <c r="AJ159" s="425"/>
      <c r="AK159" s="425"/>
      <c r="AL159" s="425"/>
      <c r="AM159" s="425"/>
      <c r="AN159" s="425"/>
      <c r="AO159" s="425"/>
      <c r="AP159" s="425"/>
      <c r="AQ159" s="425"/>
    </row>
    <row r="160" spans="1:43" s="270" customFormat="1" x14ac:dyDescent="0.25">
      <c r="A160" s="271">
        <v>501445</v>
      </c>
      <c r="B160" s="271">
        <v>1445</v>
      </c>
      <c r="C160" s="271">
        <v>84084</v>
      </c>
      <c r="D160" s="268" t="s">
        <v>894</v>
      </c>
      <c r="E160" s="268" t="s">
        <v>1290</v>
      </c>
      <c r="F160" s="268" t="s">
        <v>2251</v>
      </c>
      <c r="G160" s="268">
        <v>7</v>
      </c>
      <c r="H160" s="268" t="s">
        <v>2570</v>
      </c>
      <c r="I160" s="268" t="s">
        <v>2555</v>
      </c>
      <c r="J160" s="458">
        <v>433309.17621429591</v>
      </c>
      <c r="K160" s="458">
        <v>36109.098017857992</v>
      </c>
      <c r="L160" s="458">
        <v>11194.760870699611</v>
      </c>
      <c r="M160" s="456">
        <v>0</v>
      </c>
      <c r="N160" s="458">
        <v>119.49693843813893</v>
      </c>
      <c r="O160" s="459">
        <v>0</v>
      </c>
      <c r="P160" s="459">
        <v>7582.9105837501793</v>
      </c>
      <c r="Q160" s="458">
        <v>55400.108403681625</v>
      </c>
      <c r="R160" s="458">
        <v>78298.968141923266</v>
      </c>
      <c r="S160" s="458">
        <v>1959.7497903854783</v>
      </c>
      <c r="T160" s="457"/>
      <c r="U160" s="425"/>
      <c r="V160" s="425"/>
      <c r="W160" s="425"/>
      <c r="X160" s="425"/>
      <c r="Y160" s="425"/>
      <c r="Z160" s="425"/>
      <c r="AA160" s="425"/>
      <c r="AB160" s="425"/>
      <c r="AC160" s="425"/>
      <c r="AD160" s="425"/>
      <c r="AE160" s="425"/>
      <c r="AG160" s="425"/>
      <c r="AH160" s="425"/>
      <c r="AI160" s="425"/>
      <c r="AJ160" s="425"/>
      <c r="AK160" s="425"/>
      <c r="AL160" s="425"/>
      <c r="AM160" s="425"/>
      <c r="AN160" s="425"/>
      <c r="AO160" s="425"/>
      <c r="AP160" s="425"/>
      <c r="AQ160" s="425"/>
    </row>
    <row r="161" spans="1:43" s="270" customFormat="1" x14ac:dyDescent="0.25">
      <c r="A161" s="271">
        <v>501445</v>
      </c>
      <c r="B161" s="271">
        <v>1445</v>
      </c>
      <c r="C161" s="271">
        <v>84123</v>
      </c>
      <c r="D161" s="268" t="s">
        <v>894</v>
      </c>
      <c r="E161" s="268" t="s">
        <v>1290</v>
      </c>
      <c r="F161" s="268" t="s">
        <v>2571</v>
      </c>
      <c r="G161" s="268">
        <v>7</v>
      </c>
      <c r="H161" s="268" t="s">
        <v>2445</v>
      </c>
      <c r="I161" s="268" t="s">
        <v>2555</v>
      </c>
      <c r="J161" s="458">
        <v>433309.17621429591</v>
      </c>
      <c r="K161" s="458">
        <v>36109.098017857992</v>
      </c>
      <c r="L161" s="458">
        <v>11194.760870699611</v>
      </c>
      <c r="M161" s="456">
        <v>0</v>
      </c>
      <c r="N161" s="458">
        <v>119.49693843813893</v>
      </c>
      <c r="O161" s="459">
        <v>0</v>
      </c>
      <c r="P161" s="459">
        <v>7582.9105837501793</v>
      </c>
      <c r="Q161" s="458">
        <v>55400.108403681625</v>
      </c>
      <c r="R161" s="458">
        <v>78298.968141923266</v>
      </c>
      <c r="S161" s="458">
        <v>1959.7497903854783</v>
      </c>
      <c r="T161" s="457"/>
      <c r="U161" s="425"/>
      <c r="V161" s="425"/>
      <c r="W161" s="425"/>
      <c r="X161" s="425"/>
      <c r="Y161" s="425"/>
      <c r="Z161" s="425"/>
      <c r="AA161" s="425"/>
      <c r="AB161" s="425"/>
      <c r="AC161" s="425"/>
      <c r="AD161" s="425"/>
      <c r="AE161" s="425"/>
      <c r="AG161" s="425"/>
      <c r="AH161" s="425"/>
      <c r="AI161" s="425"/>
      <c r="AJ161" s="425"/>
      <c r="AK161" s="425"/>
      <c r="AL161" s="425"/>
      <c r="AM161" s="425"/>
      <c r="AN161" s="425"/>
      <c r="AO161" s="425"/>
      <c r="AP161" s="425"/>
      <c r="AQ161" s="425"/>
    </row>
    <row r="162" spans="1:43" s="270" customFormat="1" x14ac:dyDescent="0.25">
      <c r="A162" s="271">
        <v>501302</v>
      </c>
      <c r="B162" s="271">
        <v>1302</v>
      </c>
      <c r="C162" s="271">
        <v>85782</v>
      </c>
      <c r="D162" s="268" t="s">
        <v>894</v>
      </c>
      <c r="E162" s="268" t="s">
        <v>1278</v>
      </c>
      <c r="F162" s="268" t="s">
        <v>1298</v>
      </c>
      <c r="G162" s="268">
        <v>7</v>
      </c>
      <c r="H162" s="268" t="s">
        <v>2456</v>
      </c>
      <c r="I162" s="268" t="s">
        <v>2572</v>
      </c>
      <c r="J162" s="458">
        <v>433309.17621429591</v>
      </c>
      <c r="K162" s="458">
        <v>36109.098017857992</v>
      </c>
      <c r="L162" s="458">
        <v>11194.760870699611</v>
      </c>
      <c r="M162" s="456">
        <v>0</v>
      </c>
      <c r="N162" s="458">
        <v>119.49693843813893</v>
      </c>
      <c r="O162" s="459">
        <v>0</v>
      </c>
      <c r="P162" s="459">
        <v>7582.9105837501793</v>
      </c>
      <c r="Q162" s="458">
        <v>55400.108403681625</v>
      </c>
      <c r="R162" s="458">
        <v>78298.968141923266</v>
      </c>
      <c r="S162" s="458">
        <v>1959.7497903854783</v>
      </c>
      <c r="T162" s="457"/>
      <c r="U162" s="425"/>
      <c r="V162" s="425"/>
      <c r="W162" s="425"/>
      <c r="X162" s="425"/>
      <c r="Y162" s="425"/>
      <c r="Z162" s="425"/>
      <c r="AA162" s="425"/>
      <c r="AB162" s="425"/>
      <c r="AC162" s="425"/>
      <c r="AD162" s="425"/>
      <c r="AE162" s="425"/>
      <c r="AG162" s="425"/>
      <c r="AH162" s="425"/>
      <c r="AI162" s="425"/>
      <c r="AJ162" s="425"/>
      <c r="AK162" s="425"/>
      <c r="AL162" s="425"/>
      <c r="AM162" s="425"/>
      <c r="AN162" s="425"/>
      <c r="AO162" s="425"/>
      <c r="AP162" s="425"/>
      <c r="AQ162" s="425"/>
    </row>
    <row r="163" spans="1:43" s="270" customFormat="1" x14ac:dyDescent="0.25">
      <c r="A163" s="271">
        <v>501204</v>
      </c>
      <c r="B163" s="271">
        <v>1204</v>
      </c>
      <c r="C163" s="271">
        <v>87748</v>
      </c>
      <c r="D163" s="268" t="s">
        <v>894</v>
      </c>
      <c r="E163" s="268" t="s">
        <v>1290</v>
      </c>
      <c r="F163" s="268" t="s">
        <v>2573</v>
      </c>
      <c r="G163" s="268">
        <v>7</v>
      </c>
      <c r="H163" s="268" t="s">
        <v>2574</v>
      </c>
      <c r="I163" s="268" t="s">
        <v>2575</v>
      </c>
      <c r="J163" s="458">
        <v>433309.17621429591</v>
      </c>
      <c r="K163" s="458">
        <v>36109.098017857992</v>
      </c>
      <c r="L163" s="458">
        <v>11194.760870699611</v>
      </c>
      <c r="M163" s="456">
        <v>0</v>
      </c>
      <c r="N163" s="458">
        <v>119.49693843813893</v>
      </c>
      <c r="O163" s="459">
        <v>0</v>
      </c>
      <c r="P163" s="459">
        <v>7582.9105837501793</v>
      </c>
      <c r="Q163" s="458">
        <v>55400.108403681625</v>
      </c>
      <c r="R163" s="458">
        <v>78298.968141923266</v>
      </c>
      <c r="S163" s="458">
        <v>1959.7497903854783</v>
      </c>
      <c r="T163" s="457"/>
      <c r="U163" s="425"/>
      <c r="V163" s="425"/>
      <c r="W163" s="425"/>
      <c r="X163" s="425"/>
      <c r="Y163" s="425"/>
      <c r="Z163" s="425"/>
      <c r="AA163" s="425"/>
      <c r="AB163" s="425"/>
      <c r="AC163" s="425"/>
      <c r="AD163" s="425"/>
      <c r="AE163" s="425"/>
      <c r="AG163" s="425"/>
      <c r="AH163" s="425"/>
      <c r="AI163" s="425"/>
      <c r="AJ163" s="425"/>
      <c r="AK163" s="425"/>
      <c r="AL163" s="425"/>
      <c r="AM163" s="425"/>
      <c r="AN163" s="425"/>
      <c r="AO163" s="425"/>
      <c r="AP163" s="425"/>
      <c r="AQ163" s="425"/>
    </row>
    <row r="164" spans="1:43" s="270" customFormat="1" x14ac:dyDescent="0.25">
      <c r="A164" s="271">
        <v>501445</v>
      </c>
      <c r="B164" s="271">
        <v>1445</v>
      </c>
      <c r="C164" s="271">
        <v>87955</v>
      </c>
      <c r="D164" s="268" t="s">
        <v>894</v>
      </c>
      <c r="E164" s="268" t="s">
        <v>1290</v>
      </c>
      <c r="F164" s="268" t="s">
        <v>2576</v>
      </c>
      <c r="G164" s="268">
        <v>7</v>
      </c>
      <c r="H164" s="268" t="s">
        <v>2577</v>
      </c>
      <c r="I164" s="268" t="s">
        <v>2578</v>
      </c>
      <c r="J164" s="458">
        <v>433309.17621429591</v>
      </c>
      <c r="K164" s="458">
        <v>36109.098017857992</v>
      </c>
      <c r="L164" s="458">
        <v>11194.760870699611</v>
      </c>
      <c r="M164" s="456">
        <v>0</v>
      </c>
      <c r="N164" s="458">
        <v>119.49693843813893</v>
      </c>
      <c r="O164" s="459">
        <v>0</v>
      </c>
      <c r="P164" s="459">
        <v>7582.9105837501793</v>
      </c>
      <c r="Q164" s="458">
        <v>55400.108403681625</v>
      </c>
      <c r="R164" s="458">
        <v>78298.968141923266</v>
      </c>
      <c r="S164" s="458">
        <v>1959.7497903854783</v>
      </c>
      <c r="T164" s="457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G164" s="425"/>
      <c r="AH164" s="425"/>
      <c r="AI164" s="425"/>
      <c r="AJ164" s="425"/>
      <c r="AK164" s="425"/>
      <c r="AL164" s="425"/>
      <c r="AM164" s="425"/>
      <c r="AN164" s="425"/>
      <c r="AO164" s="425"/>
      <c r="AP164" s="425"/>
      <c r="AQ164" s="425"/>
    </row>
    <row r="165" spans="1:43" x14ac:dyDescent="0.25">
      <c r="A165" s="271">
        <v>501445</v>
      </c>
      <c r="B165" s="271">
        <v>1445</v>
      </c>
      <c r="C165" s="271">
        <v>87997</v>
      </c>
      <c r="D165" s="268" t="s">
        <v>894</v>
      </c>
      <c r="E165" s="268" t="s">
        <v>1290</v>
      </c>
      <c r="F165" s="268" t="s">
        <v>2579</v>
      </c>
      <c r="G165" s="268">
        <v>7</v>
      </c>
      <c r="H165" s="268" t="s">
        <v>2580</v>
      </c>
      <c r="I165" s="268" t="s">
        <v>2581</v>
      </c>
      <c r="J165" s="458">
        <v>433309.17621429591</v>
      </c>
      <c r="K165" s="458">
        <v>36109.098017857992</v>
      </c>
      <c r="L165" s="458">
        <v>11194.760870699611</v>
      </c>
      <c r="M165" s="456">
        <v>0</v>
      </c>
      <c r="N165" s="458">
        <v>119.49693843813893</v>
      </c>
      <c r="O165" s="459">
        <v>0</v>
      </c>
      <c r="P165" s="459">
        <v>7582.9105837501793</v>
      </c>
      <c r="Q165" s="458">
        <v>55400.108403681625</v>
      </c>
      <c r="R165" s="458">
        <v>78298.968141923266</v>
      </c>
      <c r="S165" s="458">
        <v>1959.7497903854783</v>
      </c>
      <c r="T165" s="457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4"/>
      <c r="AG165" s="425"/>
      <c r="AH165" s="425"/>
      <c r="AI165" s="425"/>
      <c r="AJ165" s="425"/>
      <c r="AK165" s="425"/>
      <c r="AL165" s="425"/>
      <c r="AM165" s="425"/>
      <c r="AN165" s="425"/>
      <c r="AO165" s="425"/>
      <c r="AP165" s="425"/>
      <c r="AQ165" s="425"/>
    </row>
    <row r="166" spans="1:43" s="270" customFormat="1" x14ac:dyDescent="0.25">
      <c r="A166" s="271">
        <v>501445</v>
      </c>
      <c r="B166" s="271">
        <v>1445</v>
      </c>
      <c r="C166" s="271">
        <v>200039</v>
      </c>
      <c r="D166" s="268" t="s">
        <v>894</v>
      </c>
      <c r="E166" s="268" t="s">
        <v>1278</v>
      </c>
      <c r="F166" s="268" t="s">
        <v>1306</v>
      </c>
      <c r="G166" s="268">
        <v>7</v>
      </c>
      <c r="H166" s="268" t="s">
        <v>2582</v>
      </c>
      <c r="I166" s="268" t="s">
        <v>2583</v>
      </c>
      <c r="J166" s="458">
        <v>433309.17621429591</v>
      </c>
      <c r="K166" s="458">
        <v>36109.098017857992</v>
      </c>
      <c r="L166" s="458">
        <v>11194.760870699611</v>
      </c>
      <c r="M166" s="456">
        <v>0</v>
      </c>
      <c r="N166" s="458">
        <v>119.49693843813893</v>
      </c>
      <c r="O166" s="459">
        <v>0</v>
      </c>
      <c r="P166" s="459">
        <v>7582.9105837501793</v>
      </c>
      <c r="Q166" s="458">
        <v>55400.108403681625</v>
      </c>
      <c r="R166" s="458">
        <v>78298.968141923266</v>
      </c>
      <c r="S166" s="458">
        <v>1959.7497903854783</v>
      </c>
      <c r="T166" s="457"/>
      <c r="U166" s="425"/>
      <c r="V166" s="425"/>
      <c r="W166" s="425"/>
      <c r="X166" s="425"/>
      <c r="Y166" s="425"/>
      <c r="Z166" s="425"/>
      <c r="AA166" s="425"/>
      <c r="AB166" s="425"/>
      <c r="AC166" s="425"/>
      <c r="AD166" s="425"/>
      <c r="AE166" s="425"/>
      <c r="AG166" s="425"/>
      <c r="AH166" s="425"/>
      <c r="AI166" s="425"/>
      <c r="AJ166" s="425"/>
      <c r="AK166" s="425"/>
      <c r="AL166" s="425"/>
      <c r="AM166" s="425"/>
      <c r="AN166" s="425"/>
      <c r="AO166" s="425"/>
      <c r="AP166" s="425"/>
      <c r="AQ166" s="425"/>
    </row>
    <row r="167" spans="1:43" s="270" customFormat="1" x14ac:dyDescent="0.25">
      <c r="A167" s="271">
        <v>501445</v>
      </c>
      <c r="B167" s="271">
        <v>1445</v>
      </c>
      <c r="C167" s="271">
        <v>200045</v>
      </c>
      <c r="D167" s="268" t="s">
        <v>894</v>
      </c>
      <c r="E167" s="268" t="s">
        <v>1278</v>
      </c>
      <c r="F167" s="268" t="s">
        <v>2584</v>
      </c>
      <c r="G167" s="268">
        <v>7</v>
      </c>
      <c r="H167" s="268" t="s">
        <v>2585</v>
      </c>
      <c r="I167" s="268" t="s">
        <v>2583</v>
      </c>
      <c r="J167" s="458">
        <v>433309.17621429591</v>
      </c>
      <c r="K167" s="458">
        <v>36109.098017857992</v>
      </c>
      <c r="L167" s="458">
        <v>11194.760870699611</v>
      </c>
      <c r="M167" s="456">
        <v>0</v>
      </c>
      <c r="N167" s="458">
        <v>119.49693843813893</v>
      </c>
      <c r="O167" s="459">
        <v>0</v>
      </c>
      <c r="P167" s="459">
        <v>7582.9105837501793</v>
      </c>
      <c r="Q167" s="458">
        <v>55400.108403681625</v>
      </c>
      <c r="R167" s="458">
        <v>78298.968141923266</v>
      </c>
      <c r="S167" s="458">
        <v>1959.7497903854783</v>
      </c>
      <c r="T167" s="457"/>
      <c r="U167" s="425"/>
      <c r="V167" s="425"/>
      <c r="W167" s="425"/>
      <c r="X167" s="425"/>
      <c r="Y167" s="425"/>
      <c r="Z167" s="425"/>
      <c r="AA167" s="425"/>
      <c r="AB167" s="425"/>
      <c r="AC167" s="425"/>
      <c r="AD167" s="425"/>
      <c r="AE167" s="425"/>
      <c r="AG167" s="425"/>
      <c r="AH167" s="425"/>
      <c r="AI167" s="425"/>
      <c r="AJ167" s="425"/>
      <c r="AK167" s="425"/>
      <c r="AL167" s="425"/>
      <c r="AM167" s="425"/>
      <c r="AN167" s="425"/>
      <c r="AO167" s="425"/>
      <c r="AP167" s="425"/>
      <c r="AQ167" s="425"/>
    </row>
    <row r="168" spans="1:43" s="270" customFormat="1" x14ac:dyDescent="0.25">
      <c r="A168" s="271">
        <v>501304</v>
      </c>
      <c r="B168" s="271">
        <v>1304</v>
      </c>
      <c r="C168" s="271">
        <v>200060</v>
      </c>
      <c r="D168" s="268" t="s">
        <v>894</v>
      </c>
      <c r="E168" s="268" t="s">
        <v>1290</v>
      </c>
      <c r="F168" s="268" t="s">
        <v>2243</v>
      </c>
      <c r="G168" s="268">
        <v>7</v>
      </c>
      <c r="H168" s="268" t="s">
        <v>2586</v>
      </c>
      <c r="I168" s="268" t="s">
        <v>2587</v>
      </c>
      <c r="J168" s="458">
        <v>433309.17621429591</v>
      </c>
      <c r="K168" s="458">
        <v>36109.098017857992</v>
      </c>
      <c r="L168" s="458">
        <v>11194.760870699611</v>
      </c>
      <c r="M168" s="456">
        <v>0</v>
      </c>
      <c r="N168" s="458">
        <v>119.49693843813893</v>
      </c>
      <c r="O168" s="459">
        <v>0</v>
      </c>
      <c r="P168" s="459">
        <v>7582.9105837501793</v>
      </c>
      <c r="Q168" s="458">
        <v>55400.108403681625</v>
      </c>
      <c r="R168" s="458">
        <v>78298.968141923266</v>
      </c>
      <c r="S168" s="458">
        <v>1959.7497903854783</v>
      </c>
      <c r="T168" s="457"/>
      <c r="U168" s="425"/>
      <c r="V168" s="425"/>
      <c r="W168" s="425"/>
      <c r="X168" s="425"/>
      <c r="Y168" s="425"/>
      <c r="Z168" s="425"/>
      <c r="AA168" s="425"/>
      <c r="AB168" s="425"/>
      <c r="AC168" s="425"/>
      <c r="AD168" s="425"/>
      <c r="AE168" s="425"/>
      <c r="AG168" s="425"/>
      <c r="AH168" s="425"/>
      <c r="AI168" s="425"/>
      <c r="AJ168" s="425"/>
      <c r="AK168" s="425"/>
      <c r="AL168" s="425"/>
      <c r="AM168" s="425"/>
      <c r="AN168" s="425"/>
      <c r="AO168" s="425"/>
      <c r="AP168" s="425"/>
      <c r="AQ168" s="425"/>
    </row>
    <row r="169" spans="1:43" s="270" customFormat="1" x14ac:dyDescent="0.25">
      <c r="A169" s="271">
        <v>501204</v>
      </c>
      <c r="B169" s="271">
        <v>1204</v>
      </c>
      <c r="C169" s="271">
        <v>200063</v>
      </c>
      <c r="D169" s="268" t="s">
        <v>894</v>
      </c>
      <c r="E169" s="268" t="s">
        <v>1278</v>
      </c>
      <c r="F169" s="268" t="s">
        <v>2588</v>
      </c>
      <c r="G169" s="268">
        <v>7</v>
      </c>
      <c r="H169" s="268" t="s">
        <v>2448</v>
      </c>
      <c r="I169" s="268" t="s">
        <v>2589</v>
      </c>
      <c r="J169" s="458">
        <v>433309.17621429591</v>
      </c>
      <c r="K169" s="458">
        <v>36109.098017857992</v>
      </c>
      <c r="L169" s="458">
        <v>11194.760870699611</v>
      </c>
      <c r="M169" s="456">
        <v>0</v>
      </c>
      <c r="N169" s="458">
        <v>119.49693843813893</v>
      </c>
      <c r="O169" s="459">
        <v>0</v>
      </c>
      <c r="P169" s="459">
        <v>7582.9105837501793</v>
      </c>
      <c r="Q169" s="458">
        <v>55400.108403681625</v>
      </c>
      <c r="R169" s="458">
        <v>78298.968141923266</v>
      </c>
      <c r="S169" s="458">
        <v>1959.7497903854783</v>
      </c>
      <c r="T169" s="457"/>
      <c r="U169" s="425"/>
      <c r="V169" s="425"/>
      <c r="W169" s="425"/>
      <c r="X169" s="425"/>
      <c r="Y169" s="425"/>
      <c r="Z169" s="425"/>
      <c r="AA169" s="425"/>
      <c r="AB169" s="425"/>
      <c r="AC169" s="425"/>
      <c r="AD169" s="425"/>
      <c r="AE169" s="425"/>
      <c r="AG169" s="425"/>
      <c r="AH169" s="425"/>
      <c r="AI169" s="425"/>
      <c r="AJ169" s="425"/>
      <c r="AK169" s="425"/>
      <c r="AL169" s="425"/>
      <c r="AM169" s="425"/>
      <c r="AN169" s="425"/>
      <c r="AO169" s="425"/>
      <c r="AP169" s="425"/>
      <c r="AQ169" s="425"/>
    </row>
    <row r="170" spans="1:43" x14ac:dyDescent="0.25">
      <c r="A170" s="271">
        <v>501442</v>
      </c>
      <c r="B170" s="271">
        <v>1442</v>
      </c>
      <c r="C170" s="271">
        <v>200066</v>
      </c>
      <c r="D170" s="268" t="s">
        <v>876</v>
      </c>
      <c r="E170" s="268" t="s">
        <v>1290</v>
      </c>
      <c r="F170" s="268" t="s">
        <v>2411</v>
      </c>
      <c r="G170" s="268">
        <v>7</v>
      </c>
      <c r="H170" s="268" t="s">
        <v>2590</v>
      </c>
      <c r="I170" s="268" t="s">
        <v>2591</v>
      </c>
      <c r="J170" s="458">
        <v>433309.17621429591</v>
      </c>
      <c r="K170" s="458">
        <v>36109.098017857992</v>
      </c>
      <c r="L170" s="458">
        <v>11194.760870699611</v>
      </c>
      <c r="M170" s="456">
        <v>0</v>
      </c>
      <c r="N170" s="458">
        <v>119.49693843813893</v>
      </c>
      <c r="O170" s="458">
        <v>195775.81747448424</v>
      </c>
      <c r="P170" s="459">
        <v>7582.9105837501793</v>
      </c>
      <c r="Q170" s="458">
        <v>55400.108403681625</v>
      </c>
      <c r="R170" s="458">
        <v>78298.968141923266</v>
      </c>
      <c r="S170" s="458">
        <v>1959.7497903854783</v>
      </c>
      <c r="T170" s="457"/>
      <c r="U170" s="425"/>
      <c r="V170" s="425"/>
      <c r="W170" s="425"/>
      <c r="X170" s="425"/>
      <c r="Y170" s="425"/>
      <c r="Z170" s="425"/>
      <c r="AA170" s="425"/>
      <c r="AB170" s="425"/>
      <c r="AC170" s="425"/>
      <c r="AD170" s="425"/>
      <c r="AE170" s="425"/>
      <c r="AF170" s="424"/>
      <c r="AG170" s="425"/>
      <c r="AH170" s="425"/>
      <c r="AI170" s="425"/>
      <c r="AJ170" s="425"/>
      <c r="AK170" s="425"/>
      <c r="AL170" s="425"/>
      <c r="AM170" s="425"/>
      <c r="AN170" s="425"/>
      <c r="AO170" s="425"/>
      <c r="AP170" s="425"/>
      <c r="AQ170" s="425"/>
    </row>
    <row r="171" spans="1:43" s="270" customFormat="1" x14ac:dyDescent="0.25">
      <c r="A171" s="271">
        <v>501204</v>
      </c>
      <c r="B171" s="271">
        <v>1204</v>
      </c>
      <c r="C171" s="271">
        <v>200181</v>
      </c>
      <c r="D171" s="268" t="s">
        <v>894</v>
      </c>
      <c r="E171" s="268" t="s">
        <v>1278</v>
      </c>
      <c r="F171" s="268" t="s">
        <v>2592</v>
      </c>
      <c r="G171" s="268">
        <v>7</v>
      </c>
      <c r="H171" s="268" t="s">
        <v>2593</v>
      </c>
      <c r="I171" s="268" t="s">
        <v>2594</v>
      </c>
      <c r="J171" s="458">
        <v>433309.17621429591</v>
      </c>
      <c r="K171" s="458">
        <v>36109.098017857992</v>
      </c>
      <c r="L171" s="458">
        <v>11194.760870699611</v>
      </c>
      <c r="M171" s="456">
        <v>0</v>
      </c>
      <c r="N171" s="458">
        <v>119.49693843813893</v>
      </c>
      <c r="O171" s="459">
        <v>0</v>
      </c>
      <c r="P171" s="459">
        <v>7582.9105837501793</v>
      </c>
      <c r="Q171" s="458">
        <v>55400.108403681625</v>
      </c>
      <c r="R171" s="458">
        <v>78298.968141923266</v>
      </c>
      <c r="S171" s="458">
        <v>1959.7497903854783</v>
      </c>
      <c r="T171" s="457"/>
      <c r="U171" s="425"/>
      <c r="V171" s="425"/>
      <c r="W171" s="425"/>
      <c r="X171" s="425"/>
      <c r="Y171" s="425"/>
      <c r="Z171" s="425"/>
      <c r="AA171" s="425"/>
      <c r="AB171" s="425"/>
      <c r="AC171" s="425"/>
      <c r="AD171" s="425"/>
      <c r="AE171" s="425"/>
      <c r="AG171" s="425"/>
      <c r="AH171" s="425"/>
      <c r="AI171" s="425"/>
      <c r="AJ171" s="425"/>
      <c r="AK171" s="425"/>
      <c r="AL171" s="425"/>
      <c r="AM171" s="425"/>
      <c r="AN171" s="425"/>
      <c r="AO171" s="425"/>
      <c r="AP171" s="425"/>
      <c r="AQ171" s="425"/>
    </row>
    <row r="172" spans="1:43" s="270" customFormat="1" x14ac:dyDescent="0.25">
      <c r="A172" s="271">
        <v>501204</v>
      </c>
      <c r="B172" s="271">
        <v>1204</v>
      </c>
      <c r="C172" s="271">
        <v>200182</v>
      </c>
      <c r="D172" s="268" t="s">
        <v>894</v>
      </c>
      <c r="E172" s="268" t="s">
        <v>1278</v>
      </c>
      <c r="F172" s="268" t="s">
        <v>2450</v>
      </c>
      <c r="G172" s="268">
        <v>7</v>
      </c>
      <c r="H172" s="268" t="s">
        <v>2577</v>
      </c>
      <c r="I172" s="268" t="s">
        <v>2595</v>
      </c>
      <c r="J172" s="458">
        <v>433309.17621429591</v>
      </c>
      <c r="K172" s="458">
        <v>36109.098017857992</v>
      </c>
      <c r="L172" s="458">
        <v>11194.760870699611</v>
      </c>
      <c r="M172" s="456">
        <v>0</v>
      </c>
      <c r="N172" s="458">
        <v>119.49693843813893</v>
      </c>
      <c r="O172" s="459">
        <v>0</v>
      </c>
      <c r="P172" s="459">
        <v>7582.9105837501793</v>
      </c>
      <c r="Q172" s="458">
        <v>55400.108403681625</v>
      </c>
      <c r="R172" s="458">
        <v>78298.968141923266</v>
      </c>
      <c r="S172" s="458">
        <v>1959.7497903854783</v>
      </c>
      <c r="T172" s="457"/>
      <c r="U172" s="425"/>
      <c r="V172" s="425"/>
      <c r="W172" s="425"/>
      <c r="X172" s="425"/>
      <c r="Y172" s="425"/>
      <c r="Z172" s="425"/>
      <c r="AA172" s="425"/>
      <c r="AB172" s="425"/>
      <c r="AC172" s="425"/>
      <c r="AD172" s="425"/>
      <c r="AE172" s="425"/>
      <c r="AG172" s="425"/>
      <c r="AH172" s="425"/>
      <c r="AI172" s="425"/>
      <c r="AJ172" s="425"/>
      <c r="AK172" s="425"/>
      <c r="AL172" s="425"/>
      <c r="AM172" s="425"/>
      <c r="AN172" s="425"/>
      <c r="AO172" s="425"/>
      <c r="AP172" s="425"/>
      <c r="AQ172" s="425"/>
    </row>
    <row r="173" spans="1:43" s="270" customFormat="1" x14ac:dyDescent="0.25">
      <c r="A173" s="271">
        <v>501204</v>
      </c>
      <c r="B173" s="271">
        <v>1204</v>
      </c>
      <c r="C173" s="271">
        <v>200183</v>
      </c>
      <c r="D173" s="268" t="s">
        <v>894</v>
      </c>
      <c r="E173" s="268" t="s">
        <v>1278</v>
      </c>
      <c r="F173" s="268" t="s">
        <v>2243</v>
      </c>
      <c r="G173" s="268">
        <v>7</v>
      </c>
      <c r="H173" s="268" t="s">
        <v>2596</v>
      </c>
      <c r="I173" s="268" t="s">
        <v>2597</v>
      </c>
      <c r="J173" s="458">
        <v>433309.17621429591</v>
      </c>
      <c r="K173" s="458">
        <v>36109.098017857992</v>
      </c>
      <c r="L173" s="458">
        <v>11194.760870699611</v>
      </c>
      <c r="M173" s="456">
        <v>0</v>
      </c>
      <c r="N173" s="458">
        <v>119.49693843813893</v>
      </c>
      <c r="O173" s="459">
        <v>0</v>
      </c>
      <c r="P173" s="459">
        <v>7582.9105837501793</v>
      </c>
      <c r="Q173" s="458">
        <v>55400.108403681625</v>
      </c>
      <c r="R173" s="458">
        <v>78298.968141923266</v>
      </c>
      <c r="S173" s="458">
        <v>1959.7497903854783</v>
      </c>
      <c r="T173" s="457"/>
      <c r="U173" s="425"/>
      <c r="V173" s="425"/>
      <c r="W173" s="425"/>
      <c r="X173" s="425"/>
      <c r="Y173" s="425"/>
      <c r="Z173" s="425"/>
      <c r="AA173" s="425"/>
      <c r="AB173" s="425"/>
      <c r="AC173" s="425"/>
      <c r="AD173" s="425"/>
      <c r="AE173" s="425"/>
      <c r="AG173" s="425"/>
      <c r="AH173" s="425"/>
      <c r="AI173" s="425"/>
      <c r="AJ173" s="425"/>
      <c r="AK173" s="425"/>
      <c r="AL173" s="425"/>
      <c r="AM173" s="425"/>
      <c r="AN173" s="425"/>
      <c r="AO173" s="425"/>
      <c r="AP173" s="425"/>
      <c r="AQ173" s="425"/>
    </row>
    <row r="174" spans="1:43" s="270" customFormat="1" x14ac:dyDescent="0.25">
      <c r="A174" s="271">
        <v>501204</v>
      </c>
      <c r="B174" s="271">
        <v>1204</v>
      </c>
      <c r="C174" s="271">
        <v>200190</v>
      </c>
      <c r="D174" s="268" t="s">
        <v>894</v>
      </c>
      <c r="E174" s="268" t="s">
        <v>1290</v>
      </c>
      <c r="F174" s="268" t="s">
        <v>2598</v>
      </c>
      <c r="G174" s="268">
        <v>7</v>
      </c>
      <c r="H174" s="268" t="s">
        <v>2599</v>
      </c>
      <c r="I174" s="268" t="s">
        <v>2600</v>
      </c>
      <c r="J174" s="458">
        <v>433309.17621429591</v>
      </c>
      <c r="K174" s="458">
        <v>36109.098017857992</v>
      </c>
      <c r="L174" s="458">
        <v>11194.760870699611</v>
      </c>
      <c r="M174" s="456">
        <v>0</v>
      </c>
      <c r="N174" s="458">
        <v>119.49693843813893</v>
      </c>
      <c r="O174" s="459">
        <v>0</v>
      </c>
      <c r="P174" s="459">
        <v>7582.9105837501793</v>
      </c>
      <c r="Q174" s="458">
        <v>55400.108403681625</v>
      </c>
      <c r="R174" s="458">
        <v>78298.968141923266</v>
      </c>
      <c r="S174" s="458">
        <v>1959.7497903854783</v>
      </c>
      <c r="T174" s="457"/>
      <c r="U174" s="425"/>
      <c r="V174" s="425"/>
      <c r="W174" s="425"/>
      <c r="X174" s="425"/>
      <c r="Y174" s="425"/>
      <c r="Z174" s="425"/>
      <c r="AA174" s="425"/>
      <c r="AB174" s="425"/>
      <c r="AC174" s="425"/>
      <c r="AD174" s="425"/>
      <c r="AE174" s="425"/>
      <c r="AG174" s="425"/>
      <c r="AH174" s="425"/>
      <c r="AI174" s="425"/>
      <c r="AJ174" s="425"/>
      <c r="AK174" s="425"/>
      <c r="AL174" s="425"/>
      <c r="AM174" s="425"/>
      <c r="AN174" s="425"/>
      <c r="AO174" s="425"/>
      <c r="AP174" s="425"/>
      <c r="AQ174" s="425"/>
    </row>
    <row r="175" spans="1:43" s="270" customFormat="1" x14ac:dyDescent="0.25">
      <c r="A175" s="271">
        <v>501204</v>
      </c>
      <c r="B175" s="271">
        <v>1204</v>
      </c>
      <c r="C175" s="271">
        <v>200192</v>
      </c>
      <c r="D175" s="268" t="s">
        <v>894</v>
      </c>
      <c r="E175" s="268" t="s">
        <v>1290</v>
      </c>
      <c r="F175" s="268" t="s">
        <v>2217</v>
      </c>
      <c r="G175" s="268">
        <v>7</v>
      </c>
      <c r="H175" s="268" t="s">
        <v>2601</v>
      </c>
      <c r="I175" s="268" t="s">
        <v>2600</v>
      </c>
      <c r="J175" s="458">
        <v>433309.17621429591</v>
      </c>
      <c r="K175" s="458">
        <v>36109.098017857992</v>
      </c>
      <c r="L175" s="458">
        <v>11194.760870699611</v>
      </c>
      <c r="M175" s="456">
        <v>0</v>
      </c>
      <c r="N175" s="458">
        <v>119.49693843813893</v>
      </c>
      <c r="O175" s="459">
        <v>0</v>
      </c>
      <c r="P175" s="459">
        <v>7582.9105837501793</v>
      </c>
      <c r="Q175" s="458">
        <v>55400.108403681625</v>
      </c>
      <c r="R175" s="458">
        <v>78298.968141923266</v>
      </c>
      <c r="S175" s="458">
        <v>1959.7497903854783</v>
      </c>
      <c r="T175" s="457"/>
      <c r="U175" s="425"/>
      <c r="V175" s="425"/>
      <c r="W175" s="425"/>
      <c r="X175" s="425"/>
      <c r="Y175" s="425"/>
      <c r="Z175" s="425"/>
      <c r="AA175" s="425"/>
      <c r="AB175" s="425"/>
      <c r="AC175" s="425"/>
      <c r="AD175" s="425"/>
      <c r="AE175" s="425"/>
      <c r="AG175" s="425"/>
      <c r="AH175" s="425"/>
      <c r="AI175" s="425"/>
      <c r="AJ175" s="425"/>
      <c r="AK175" s="425"/>
      <c r="AL175" s="425"/>
      <c r="AM175" s="425"/>
      <c r="AN175" s="425"/>
      <c r="AO175" s="425"/>
      <c r="AP175" s="425"/>
      <c r="AQ175" s="425"/>
    </row>
    <row r="176" spans="1:43" x14ac:dyDescent="0.25">
      <c r="A176" s="271">
        <v>501204</v>
      </c>
      <c r="B176" s="271">
        <v>1204</v>
      </c>
      <c r="C176" s="271">
        <v>200193</v>
      </c>
      <c r="D176" s="268" t="s">
        <v>894</v>
      </c>
      <c r="E176" s="268" t="s">
        <v>1278</v>
      </c>
      <c r="F176" s="268" t="s">
        <v>2261</v>
      </c>
      <c r="G176" s="268">
        <v>7</v>
      </c>
      <c r="H176" s="268" t="s">
        <v>2602</v>
      </c>
      <c r="I176" s="268" t="s">
        <v>2603</v>
      </c>
      <c r="J176" s="458">
        <v>433309.17621429591</v>
      </c>
      <c r="K176" s="458">
        <v>36109.098017857992</v>
      </c>
      <c r="L176" s="458">
        <v>11194.760870699611</v>
      </c>
      <c r="M176" s="456">
        <v>0</v>
      </c>
      <c r="N176" s="458">
        <v>119.49693843813893</v>
      </c>
      <c r="O176" s="459">
        <v>0</v>
      </c>
      <c r="P176" s="459">
        <v>7582.9105837501793</v>
      </c>
      <c r="Q176" s="458">
        <v>55400.108403681625</v>
      </c>
      <c r="R176" s="458">
        <v>78298.968141923266</v>
      </c>
      <c r="S176" s="458">
        <v>1959.7497903854783</v>
      </c>
      <c r="T176" s="457"/>
      <c r="U176" s="425"/>
      <c r="V176" s="425"/>
      <c r="W176" s="425"/>
      <c r="X176" s="425"/>
      <c r="Y176" s="425"/>
      <c r="Z176" s="425"/>
      <c r="AA176" s="425"/>
      <c r="AB176" s="425"/>
      <c r="AC176" s="425"/>
      <c r="AD176" s="425"/>
      <c r="AE176" s="425"/>
      <c r="AF176" s="424"/>
      <c r="AG176" s="425"/>
      <c r="AH176" s="425"/>
      <c r="AI176" s="425"/>
      <c r="AJ176" s="425"/>
      <c r="AK176" s="425"/>
      <c r="AL176" s="425"/>
      <c r="AM176" s="425"/>
      <c r="AN176" s="425"/>
      <c r="AO176" s="425"/>
      <c r="AP176" s="425"/>
      <c r="AQ176" s="425"/>
    </row>
    <row r="177" spans="1:43" s="270" customFormat="1" x14ac:dyDescent="0.25">
      <c r="A177" s="271">
        <v>501505</v>
      </c>
      <c r="B177" s="271">
        <v>1505</v>
      </c>
      <c r="C177" s="271">
        <v>200194</v>
      </c>
      <c r="D177" s="268" t="s">
        <v>894</v>
      </c>
      <c r="E177" s="268" t="s">
        <v>1278</v>
      </c>
      <c r="F177" s="268" t="s">
        <v>1293</v>
      </c>
      <c r="G177" s="268">
        <v>7</v>
      </c>
      <c r="H177" s="268" t="s">
        <v>2604</v>
      </c>
      <c r="I177" s="268" t="s">
        <v>2605</v>
      </c>
      <c r="J177" s="458">
        <v>433309.17621429591</v>
      </c>
      <c r="K177" s="458">
        <v>36109.098017857992</v>
      </c>
      <c r="L177" s="458">
        <v>11194.760870699611</v>
      </c>
      <c r="M177" s="456">
        <v>0</v>
      </c>
      <c r="N177" s="458">
        <v>119.49693843813893</v>
      </c>
      <c r="O177" s="459">
        <v>0</v>
      </c>
      <c r="P177" s="459">
        <v>7582.9105837501793</v>
      </c>
      <c r="Q177" s="458">
        <v>55400.108403681625</v>
      </c>
      <c r="R177" s="458">
        <v>78298.968141923266</v>
      </c>
      <c r="S177" s="458">
        <v>1959.7497903854783</v>
      </c>
      <c r="T177" s="457"/>
      <c r="U177" s="425"/>
      <c r="V177" s="425"/>
      <c r="W177" s="425"/>
      <c r="X177" s="425"/>
      <c r="Y177" s="425"/>
      <c r="Z177" s="425"/>
      <c r="AA177" s="425"/>
      <c r="AB177" s="425"/>
      <c r="AC177" s="425"/>
      <c r="AD177" s="425"/>
      <c r="AE177" s="425"/>
      <c r="AG177" s="425"/>
      <c r="AH177" s="425"/>
      <c r="AI177" s="425"/>
      <c r="AJ177" s="425"/>
      <c r="AK177" s="425"/>
      <c r="AL177" s="425"/>
      <c r="AM177" s="425"/>
      <c r="AN177" s="425"/>
      <c r="AO177" s="425"/>
      <c r="AP177" s="425"/>
      <c r="AQ177" s="425"/>
    </row>
    <row r="178" spans="1:43" s="270" customFormat="1" x14ac:dyDescent="0.25">
      <c r="A178" s="271">
        <v>501204</v>
      </c>
      <c r="B178" s="271">
        <v>1204</v>
      </c>
      <c r="C178" s="271">
        <v>200198</v>
      </c>
      <c r="D178" s="268" t="s">
        <v>894</v>
      </c>
      <c r="E178" s="268" t="s">
        <v>1278</v>
      </c>
      <c r="F178" s="268" t="s">
        <v>2455</v>
      </c>
      <c r="G178" s="268">
        <v>7</v>
      </c>
      <c r="H178" s="268" t="s">
        <v>2606</v>
      </c>
      <c r="I178" s="268" t="s">
        <v>2605</v>
      </c>
      <c r="J178" s="458">
        <v>433309.17621429591</v>
      </c>
      <c r="K178" s="458">
        <v>36109.098017857992</v>
      </c>
      <c r="L178" s="458">
        <v>11194.760870699611</v>
      </c>
      <c r="M178" s="456">
        <v>0</v>
      </c>
      <c r="N178" s="458">
        <v>119.49693843813893</v>
      </c>
      <c r="O178" s="459">
        <v>0</v>
      </c>
      <c r="P178" s="459">
        <v>7582.9105837501793</v>
      </c>
      <c r="Q178" s="458">
        <v>55400.108403681625</v>
      </c>
      <c r="R178" s="458">
        <v>78298.968141923266</v>
      </c>
      <c r="S178" s="458">
        <v>1959.7497903854783</v>
      </c>
      <c r="T178" s="457"/>
      <c r="U178" s="425"/>
      <c r="V178" s="425"/>
      <c r="W178" s="425"/>
      <c r="X178" s="425"/>
      <c r="Y178" s="425"/>
      <c r="Z178" s="425"/>
      <c r="AA178" s="425"/>
      <c r="AB178" s="425"/>
      <c r="AC178" s="425"/>
      <c r="AD178" s="425"/>
      <c r="AE178" s="425"/>
      <c r="AG178" s="425"/>
      <c r="AH178" s="425"/>
      <c r="AI178" s="425"/>
      <c r="AJ178" s="425"/>
      <c r="AK178" s="425"/>
      <c r="AL178" s="425"/>
      <c r="AM178" s="425"/>
      <c r="AN178" s="425"/>
      <c r="AO178" s="425"/>
      <c r="AP178" s="425"/>
      <c r="AQ178" s="425"/>
    </row>
    <row r="179" spans="1:43" s="270" customFormat="1" x14ac:dyDescent="0.25">
      <c r="A179" s="271">
        <v>501204</v>
      </c>
      <c r="B179" s="271">
        <v>1204</v>
      </c>
      <c r="C179" s="271">
        <v>200199</v>
      </c>
      <c r="D179" s="268" t="s">
        <v>894</v>
      </c>
      <c r="E179" s="268" t="s">
        <v>1278</v>
      </c>
      <c r="F179" s="268" t="s">
        <v>2607</v>
      </c>
      <c r="G179" s="268">
        <v>7</v>
      </c>
      <c r="H179" s="268" t="s">
        <v>2608</v>
      </c>
      <c r="I179" s="268" t="s">
        <v>2605</v>
      </c>
      <c r="J179" s="458">
        <v>433309.17621429591</v>
      </c>
      <c r="K179" s="458">
        <v>36109.098017857992</v>
      </c>
      <c r="L179" s="458">
        <v>11194.760870699611</v>
      </c>
      <c r="M179" s="456">
        <v>0</v>
      </c>
      <c r="N179" s="458">
        <v>119.49693843813893</v>
      </c>
      <c r="O179" s="459">
        <v>0</v>
      </c>
      <c r="P179" s="459">
        <v>7582.9105837501793</v>
      </c>
      <c r="Q179" s="458">
        <v>55400.108403681625</v>
      </c>
      <c r="R179" s="458">
        <v>78298.968141923266</v>
      </c>
      <c r="S179" s="458">
        <v>1959.7497903854783</v>
      </c>
      <c r="T179" s="457"/>
      <c r="U179" s="425"/>
      <c r="V179" s="425"/>
      <c r="W179" s="425"/>
      <c r="X179" s="425"/>
      <c r="Y179" s="425"/>
      <c r="Z179" s="425"/>
      <c r="AA179" s="425"/>
      <c r="AB179" s="425"/>
      <c r="AC179" s="425"/>
      <c r="AD179" s="425"/>
      <c r="AE179" s="425"/>
      <c r="AG179" s="425"/>
      <c r="AH179" s="425"/>
      <c r="AI179" s="425"/>
      <c r="AJ179" s="425"/>
      <c r="AK179" s="425"/>
      <c r="AL179" s="425"/>
      <c r="AM179" s="425"/>
      <c r="AN179" s="425"/>
      <c r="AO179" s="425"/>
      <c r="AP179" s="425"/>
      <c r="AQ179" s="425"/>
    </row>
    <row r="180" spans="1:43" s="270" customFormat="1" x14ac:dyDescent="0.25">
      <c r="A180" s="271">
        <v>501304</v>
      </c>
      <c r="B180" s="271">
        <v>1304</v>
      </c>
      <c r="C180" s="271">
        <v>200200</v>
      </c>
      <c r="D180" s="268" t="s">
        <v>894</v>
      </c>
      <c r="E180" s="268" t="s">
        <v>1278</v>
      </c>
      <c r="F180" s="268" t="s">
        <v>2217</v>
      </c>
      <c r="G180" s="268">
        <v>7</v>
      </c>
      <c r="H180" s="268" t="s">
        <v>2609</v>
      </c>
      <c r="I180" s="268" t="s">
        <v>2610</v>
      </c>
      <c r="J180" s="458">
        <v>433309.17621429591</v>
      </c>
      <c r="K180" s="458">
        <v>36109.098017857992</v>
      </c>
      <c r="L180" s="458">
        <v>11194.760870699611</v>
      </c>
      <c r="M180" s="456">
        <v>0</v>
      </c>
      <c r="N180" s="458">
        <v>119.49693843813893</v>
      </c>
      <c r="O180" s="458">
        <v>154029.34074049367</v>
      </c>
      <c r="P180" s="459">
        <v>7582.9105837501793</v>
      </c>
      <c r="Q180" s="458">
        <v>55400.108403681625</v>
      </c>
      <c r="R180" s="458">
        <v>78298.968141923266</v>
      </c>
      <c r="S180" s="458">
        <v>1959.7497903854783</v>
      </c>
      <c r="T180" s="457"/>
      <c r="U180" s="425"/>
      <c r="V180" s="425"/>
      <c r="W180" s="425"/>
      <c r="X180" s="425"/>
      <c r="Y180" s="425"/>
      <c r="Z180" s="425"/>
      <c r="AA180" s="425"/>
      <c r="AB180" s="425"/>
      <c r="AC180" s="425"/>
      <c r="AD180" s="425"/>
      <c r="AE180" s="425"/>
      <c r="AG180" s="425"/>
      <c r="AH180" s="425"/>
      <c r="AI180" s="425"/>
      <c r="AJ180" s="425"/>
      <c r="AK180" s="425"/>
      <c r="AL180" s="425"/>
      <c r="AM180" s="425"/>
      <c r="AN180" s="425"/>
      <c r="AO180" s="425"/>
      <c r="AP180" s="425"/>
      <c r="AQ180" s="425"/>
    </row>
    <row r="181" spans="1:43" s="270" customFormat="1" x14ac:dyDescent="0.25">
      <c r="A181" s="271">
        <v>501304</v>
      </c>
      <c r="B181" s="271">
        <v>1304</v>
      </c>
      <c r="C181" s="271">
        <v>200236</v>
      </c>
      <c r="D181" s="268" t="s">
        <v>894</v>
      </c>
      <c r="E181" s="268" t="s">
        <v>1278</v>
      </c>
      <c r="F181" s="268" t="s">
        <v>1306</v>
      </c>
      <c r="G181" s="268">
        <v>7</v>
      </c>
      <c r="H181" s="268" t="s">
        <v>2611</v>
      </c>
      <c r="I181" s="268" t="s">
        <v>2612</v>
      </c>
      <c r="J181" s="458">
        <v>433309.17621429591</v>
      </c>
      <c r="K181" s="458">
        <v>36109.098017857992</v>
      </c>
      <c r="L181" s="458">
        <v>11194.760870699611</v>
      </c>
      <c r="M181" s="456">
        <v>0</v>
      </c>
      <c r="N181" s="458">
        <v>119.49693843813893</v>
      </c>
      <c r="O181" s="459">
        <v>0</v>
      </c>
      <c r="P181" s="459">
        <v>7582.9105837501793</v>
      </c>
      <c r="Q181" s="458">
        <v>55400.108403681625</v>
      </c>
      <c r="R181" s="458">
        <v>78298.968141923266</v>
      </c>
      <c r="S181" s="458">
        <v>1959.7497903854783</v>
      </c>
      <c r="T181" s="457"/>
      <c r="U181" s="425"/>
      <c r="V181" s="425"/>
      <c r="W181" s="425"/>
      <c r="X181" s="425"/>
      <c r="Y181" s="425"/>
      <c r="Z181" s="425"/>
      <c r="AA181" s="425"/>
      <c r="AB181" s="425"/>
      <c r="AC181" s="425"/>
      <c r="AD181" s="425"/>
      <c r="AE181" s="425"/>
      <c r="AG181" s="425"/>
      <c r="AH181" s="425"/>
      <c r="AI181" s="425"/>
      <c r="AJ181" s="425"/>
      <c r="AK181" s="425"/>
      <c r="AL181" s="425"/>
      <c r="AM181" s="425"/>
      <c r="AN181" s="425"/>
      <c r="AO181" s="425"/>
      <c r="AP181" s="425"/>
      <c r="AQ181" s="425"/>
    </row>
    <row r="182" spans="1:43" s="270" customFormat="1" x14ac:dyDescent="0.25">
      <c r="A182" s="271">
        <v>501203</v>
      </c>
      <c r="B182" s="271">
        <v>1205</v>
      </c>
      <c r="C182" s="271">
        <v>200247</v>
      </c>
      <c r="D182" s="268" t="s">
        <v>894</v>
      </c>
      <c r="E182" s="268" t="s">
        <v>1290</v>
      </c>
      <c r="F182" s="268" t="s">
        <v>2613</v>
      </c>
      <c r="G182" s="268">
        <v>7</v>
      </c>
      <c r="H182" s="268" t="s">
        <v>2614</v>
      </c>
      <c r="I182" s="268" t="s">
        <v>2615</v>
      </c>
      <c r="J182" s="458">
        <v>433309.17621429591</v>
      </c>
      <c r="K182" s="458">
        <v>36109.098017857992</v>
      </c>
      <c r="L182" s="458">
        <v>11194.760870699611</v>
      </c>
      <c r="M182" s="456">
        <v>0</v>
      </c>
      <c r="N182" s="458">
        <v>119.49693843813893</v>
      </c>
      <c r="O182" s="459">
        <v>0</v>
      </c>
      <c r="P182" s="459">
        <v>7582.9105837501793</v>
      </c>
      <c r="Q182" s="458">
        <v>55400.108403681625</v>
      </c>
      <c r="R182" s="458">
        <v>78298.968141923266</v>
      </c>
      <c r="S182" s="458">
        <v>1959.7497903854783</v>
      </c>
      <c r="T182" s="457"/>
      <c r="U182" s="425"/>
      <c r="V182" s="425"/>
      <c r="W182" s="425"/>
      <c r="X182" s="425"/>
      <c r="Y182" s="425"/>
      <c r="Z182" s="425"/>
      <c r="AA182" s="425"/>
      <c r="AB182" s="425"/>
      <c r="AC182" s="425"/>
      <c r="AD182" s="425"/>
      <c r="AE182" s="425"/>
      <c r="AG182" s="425"/>
      <c r="AH182" s="425"/>
      <c r="AI182" s="425"/>
      <c r="AJ182" s="425"/>
      <c r="AK182" s="425"/>
      <c r="AL182" s="425"/>
      <c r="AM182" s="425"/>
      <c r="AN182" s="425"/>
      <c r="AO182" s="425"/>
      <c r="AP182" s="425"/>
      <c r="AQ182" s="425"/>
    </row>
    <row r="183" spans="1:43" s="270" customFormat="1" x14ac:dyDescent="0.25">
      <c r="A183" s="271">
        <v>501203</v>
      </c>
      <c r="B183" s="271">
        <v>1203</v>
      </c>
      <c r="C183" s="271">
        <v>200248</v>
      </c>
      <c r="D183" s="268" t="s">
        <v>894</v>
      </c>
      <c r="E183" s="268" t="s">
        <v>1278</v>
      </c>
      <c r="F183" s="268" t="s">
        <v>2391</v>
      </c>
      <c r="G183" s="268">
        <v>7</v>
      </c>
      <c r="H183" s="268" t="s">
        <v>2616</v>
      </c>
      <c r="I183" s="268" t="s">
        <v>2617</v>
      </c>
      <c r="J183" s="458">
        <v>433309.17621429591</v>
      </c>
      <c r="K183" s="458">
        <v>36109.098017857992</v>
      </c>
      <c r="L183" s="458">
        <v>11194.760870699611</v>
      </c>
      <c r="M183" s="456">
        <v>0</v>
      </c>
      <c r="N183" s="458">
        <v>119.49693843813893</v>
      </c>
      <c r="O183" s="459">
        <v>0</v>
      </c>
      <c r="P183" s="459">
        <v>7582.9105837501793</v>
      </c>
      <c r="Q183" s="458">
        <v>55400.108403681625</v>
      </c>
      <c r="R183" s="458">
        <v>78298.968141923266</v>
      </c>
      <c r="S183" s="458">
        <v>1959.7497903854783</v>
      </c>
      <c r="T183" s="457"/>
      <c r="U183" s="425"/>
      <c r="V183" s="425"/>
      <c r="W183" s="425"/>
      <c r="X183" s="425"/>
      <c r="Y183" s="425"/>
      <c r="Z183" s="425"/>
      <c r="AA183" s="425"/>
      <c r="AB183" s="425"/>
      <c r="AC183" s="425"/>
      <c r="AD183" s="425"/>
      <c r="AE183" s="425"/>
      <c r="AG183" s="425"/>
      <c r="AH183" s="425"/>
      <c r="AI183" s="425"/>
      <c r="AJ183" s="425"/>
      <c r="AK183" s="425"/>
      <c r="AL183" s="425"/>
      <c r="AM183" s="425"/>
      <c r="AN183" s="425"/>
      <c r="AO183" s="425"/>
      <c r="AP183" s="425"/>
      <c r="AQ183" s="425"/>
    </row>
    <row r="184" spans="1:43" x14ac:dyDescent="0.25">
      <c r="A184" s="271">
        <v>501407</v>
      </c>
      <c r="B184" s="271">
        <v>1407</v>
      </c>
      <c r="C184" s="271">
        <v>200305</v>
      </c>
      <c r="D184" s="268" t="s">
        <v>894</v>
      </c>
      <c r="E184" s="268" t="s">
        <v>1290</v>
      </c>
      <c r="F184" s="268" t="s">
        <v>2618</v>
      </c>
      <c r="G184" s="268">
        <v>7</v>
      </c>
      <c r="H184" s="268" t="s">
        <v>2619</v>
      </c>
      <c r="I184" s="268" t="s">
        <v>2620</v>
      </c>
      <c r="J184" s="458">
        <v>433309.17621429591</v>
      </c>
      <c r="K184" s="458">
        <v>36109.098017857992</v>
      </c>
      <c r="L184" s="458">
        <v>11194.760870699611</v>
      </c>
      <c r="M184" s="456">
        <v>0</v>
      </c>
      <c r="N184" s="458">
        <v>119.49693843813893</v>
      </c>
      <c r="O184" s="459">
        <v>0</v>
      </c>
      <c r="P184" s="459">
        <v>7582.9105837501793</v>
      </c>
      <c r="Q184" s="458">
        <v>55400.108403681625</v>
      </c>
      <c r="R184" s="458">
        <v>78298.968141923266</v>
      </c>
      <c r="S184" s="458">
        <v>1959.7497903854783</v>
      </c>
      <c r="T184" s="457"/>
      <c r="U184" s="425"/>
      <c r="V184" s="425"/>
      <c r="W184" s="425"/>
      <c r="X184" s="425"/>
      <c r="Y184" s="425"/>
      <c r="Z184" s="425"/>
      <c r="AA184" s="425"/>
      <c r="AB184" s="425"/>
      <c r="AC184" s="425"/>
      <c r="AD184" s="425"/>
      <c r="AE184" s="425"/>
      <c r="AF184" s="424"/>
      <c r="AG184" s="425"/>
      <c r="AH184" s="425"/>
      <c r="AI184" s="425"/>
      <c r="AJ184" s="425"/>
      <c r="AK184" s="425"/>
      <c r="AL184" s="425"/>
      <c r="AM184" s="425"/>
      <c r="AN184" s="425"/>
      <c r="AO184" s="425"/>
      <c r="AP184" s="425"/>
      <c r="AQ184" s="425"/>
    </row>
    <row r="185" spans="1:43" x14ac:dyDescent="0.25">
      <c r="A185" s="271">
        <v>501304</v>
      </c>
      <c r="B185" s="271">
        <v>1304</v>
      </c>
      <c r="C185" s="271">
        <v>200363</v>
      </c>
      <c r="D185" s="268" t="s">
        <v>894</v>
      </c>
      <c r="E185" s="268" t="s">
        <v>1290</v>
      </c>
      <c r="F185" s="268" t="s">
        <v>2621</v>
      </c>
      <c r="G185" s="268">
        <v>7</v>
      </c>
      <c r="H185" s="268" t="s">
        <v>2622</v>
      </c>
      <c r="I185" s="268" t="s">
        <v>2623</v>
      </c>
      <c r="J185" s="458">
        <v>433309.17621429591</v>
      </c>
      <c r="K185" s="458">
        <v>36109.098017857992</v>
      </c>
      <c r="L185" s="458">
        <v>11194.760870699611</v>
      </c>
      <c r="M185" s="456">
        <v>0</v>
      </c>
      <c r="N185" s="458">
        <v>119.49693843813893</v>
      </c>
      <c r="O185" s="459">
        <v>0</v>
      </c>
      <c r="P185" s="459">
        <v>7582.9105837501793</v>
      </c>
      <c r="Q185" s="458">
        <v>55400.108403681625</v>
      </c>
      <c r="R185" s="458">
        <v>78298.968141923266</v>
      </c>
      <c r="S185" s="458">
        <v>1959.7497903854783</v>
      </c>
      <c r="T185" s="457"/>
      <c r="U185" s="425"/>
      <c r="V185" s="425"/>
      <c r="W185" s="425"/>
      <c r="X185" s="425"/>
      <c r="Y185" s="425"/>
      <c r="Z185" s="425"/>
      <c r="AA185" s="425"/>
      <c r="AB185" s="425"/>
      <c r="AC185" s="425"/>
      <c r="AD185" s="425"/>
      <c r="AE185" s="425"/>
      <c r="AF185" s="424"/>
      <c r="AG185" s="425"/>
      <c r="AH185" s="425"/>
      <c r="AI185" s="425"/>
      <c r="AJ185" s="425"/>
      <c r="AK185" s="425"/>
      <c r="AL185" s="425"/>
      <c r="AM185" s="425"/>
      <c r="AN185" s="425"/>
      <c r="AO185" s="425"/>
      <c r="AP185" s="425"/>
      <c r="AQ185" s="425"/>
    </row>
    <row r="186" spans="1:43" s="270" customFormat="1" x14ac:dyDescent="0.25">
      <c r="A186" s="416">
        <v>501204</v>
      </c>
      <c r="B186" s="271">
        <v>1204</v>
      </c>
      <c r="C186" s="271">
        <v>200365</v>
      </c>
      <c r="D186" s="268" t="s">
        <v>1698</v>
      </c>
      <c r="E186" s="268" t="s">
        <v>1290</v>
      </c>
      <c r="F186" s="268" t="s">
        <v>2624</v>
      </c>
      <c r="G186" s="268">
        <v>7</v>
      </c>
      <c r="H186" s="268" t="s">
        <v>2625</v>
      </c>
      <c r="I186" s="268" t="s">
        <v>2626</v>
      </c>
      <c r="J186" s="458">
        <v>433309.17621429591</v>
      </c>
      <c r="K186" s="458">
        <v>36109.098017857992</v>
      </c>
      <c r="L186" s="458">
        <v>11194.760870699611</v>
      </c>
      <c r="M186" s="456">
        <v>0</v>
      </c>
      <c r="N186" s="458">
        <v>119.49693843813893</v>
      </c>
      <c r="O186" s="459">
        <v>0</v>
      </c>
      <c r="P186" s="459">
        <v>7582.9105837501793</v>
      </c>
      <c r="Q186" s="458">
        <v>55400.108403681625</v>
      </c>
      <c r="R186" s="458">
        <v>78298.968141923266</v>
      </c>
      <c r="S186" s="458">
        <v>1959.7497903854783</v>
      </c>
      <c r="T186" s="457"/>
      <c r="U186" s="425"/>
      <c r="V186" s="425"/>
      <c r="W186" s="425"/>
      <c r="X186" s="425"/>
      <c r="Y186" s="425"/>
      <c r="Z186" s="425"/>
      <c r="AA186" s="425"/>
      <c r="AB186" s="425"/>
      <c r="AC186" s="425"/>
      <c r="AD186" s="425"/>
      <c r="AE186" s="425"/>
      <c r="AG186" s="425"/>
      <c r="AH186" s="425"/>
      <c r="AI186" s="425"/>
      <c r="AJ186" s="425"/>
      <c r="AK186" s="425"/>
      <c r="AL186" s="425"/>
      <c r="AM186" s="425"/>
      <c r="AN186" s="425"/>
      <c r="AO186" s="425"/>
      <c r="AP186" s="425"/>
      <c r="AQ186" s="425"/>
    </row>
    <row r="187" spans="1:43" s="270" customFormat="1" x14ac:dyDescent="0.25">
      <c r="A187" s="271">
        <v>501503</v>
      </c>
      <c r="B187" s="271">
        <v>1107</v>
      </c>
      <c r="C187" s="271">
        <v>200402</v>
      </c>
      <c r="D187" s="268" t="s">
        <v>894</v>
      </c>
      <c r="E187" s="268" t="s">
        <v>1278</v>
      </c>
      <c r="F187" s="268" t="s">
        <v>2627</v>
      </c>
      <c r="G187" s="268">
        <v>7</v>
      </c>
      <c r="H187" s="268" t="s">
        <v>2628</v>
      </c>
      <c r="I187" s="268" t="s">
        <v>2629</v>
      </c>
      <c r="J187" s="458">
        <v>433309.17621429591</v>
      </c>
      <c r="K187" s="458">
        <v>36109.098017857992</v>
      </c>
      <c r="L187" s="458">
        <v>11194.760870699611</v>
      </c>
      <c r="M187" s="456">
        <v>0</v>
      </c>
      <c r="N187" s="458">
        <v>119.49693843813893</v>
      </c>
      <c r="O187" s="459">
        <v>0</v>
      </c>
      <c r="P187" s="459">
        <v>7582.9105837501793</v>
      </c>
      <c r="Q187" s="458">
        <v>55400.108403681625</v>
      </c>
      <c r="R187" s="458">
        <v>78298.968141923266</v>
      </c>
      <c r="S187" s="458">
        <v>1959.7497903854783</v>
      </c>
      <c r="T187" s="457"/>
      <c r="U187" s="425"/>
      <c r="V187" s="425"/>
      <c r="W187" s="425"/>
      <c r="X187" s="425"/>
      <c r="Y187" s="425"/>
      <c r="Z187" s="425"/>
      <c r="AA187" s="425"/>
      <c r="AB187" s="425"/>
      <c r="AC187" s="425"/>
      <c r="AD187" s="425"/>
      <c r="AE187" s="425"/>
      <c r="AG187" s="425"/>
      <c r="AH187" s="425"/>
      <c r="AI187" s="425"/>
      <c r="AJ187" s="425"/>
      <c r="AK187" s="425"/>
      <c r="AL187" s="425"/>
      <c r="AM187" s="425"/>
      <c r="AN187" s="425"/>
      <c r="AO187" s="425"/>
      <c r="AP187" s="425"/>
      <c r="AQ187" s="425"/>
    </row>
    <row r="188" spans="1:43" s="270" customFormat="1" x14ac:dyDescent="0.25">
      <c r="A188" s="416">
        <v>501107</v>
      </c>
      <c r="B188" s="271">
        <v>1107</v>
      </c>
      <c r="C188" s="271">
        <v>200403</v>
      </c>
      <c r="D188" s="268" t="s">
        <v>894</v>
      </c>
      <c r="E188" s="268" t="s">
        <v>1290</v>
      </c>
      <c r="F188" s="268" t="s">
        <v>1298</v>
      </c>
      <c r="G188" s="268">
        <v>7</v>
      </c>
      <c r="H188" s="268" t="s">
        <v>2630</v>
      </c>
      <c r="I188" s="268" t="s">
        <v>2629</v>
      </c>
      <c r="J188" s="458">
        <v>433309.17621429591</v>
      </c>
      <c r="K188" s="458">
        <v>36109.098017857992</v>
      </c>
      <c r="L188" s="458">
        <v>11194.760870699611</v>
      </c>
      <c r="M188" s="456">
        <v>0</v>
      </c>
      <c r="N188" s="458">
        <v>119.49693843813893</v>
      </c>
      <c r="O188" s="459">
        <v>0</v>
      </c>
      <c r="P188" s="459">
        <v>7582.9105837501793</v>
      </c>
      <c r="Q188" s="458">
        <v>55400.108403681625</v>
      </c>
      <c r="R188" s="458">
        <v>78298.968141923266</v>
      </c>
      <c r="S188" s="458">
        <v>1959.7497903854783</v>
      </c>
      <c r="T188" s="457"/>
      <c r="U188" s="425"/>
      <c r="V188" s="425"/>
      <c r="W188" s="425"/>
      <c r="X188" s="425"/>
      <c r="Y188" s="425"/>
      <c r="Z188" s="425"/>
      <c r="AA188" s="425"/>
      <c r="AB188" s="425"/>
      <c r="AC188" s="425"/>
      <c r="AD188" s="425"/>
      <c r="AE188" s="425"/>
      <c r="AG188" s="425"/>
      <c r="AH188" s="425"/>
      <c r="AI188" s="425"/>
      <c r="AJ188" s="425"/>
      <c r="AK188" s="425"/>
      <c r="AL188" s="425"/>
      <c r="AM188" s="425"/>
      <c r="AN188" s="425"/>
      <c r="AO188" s="425"/>
      <c r="AP188" s="425"/>
      <c r="AQ188" s="425"/>
    </row>
    <row r="189" spans="1:43" s="270" customFormat="1" x14ac:dyDescent="0.25">
      <c r="A189" s="416">
        <v>501502</v>
      </c>
      <c r="B189" s="271">
        <v>1502</v>
      </c>
      <c r="C189" s="271">
        <v>200412</v>
      </c>
      <c r="D189" s="268" t="s">
        <v>894</v>
      </c>
      <c r="E189" s="268" t="s">
        <v>1290</v>
      </c>
      <c r="F189" s="268" t="s">
        <v>2631</v>
      </c>
      <c r="G189" s="268">
        <v>7</v>
      </c>
      <c r="H189" s="268" t="s">
        <v>2632</v>
      </c>
      <c r="I189" s="268" t="s">
        <v>2633</v>
      </c>
      <c r="J189" s="458">
        <v>433309.17621429591</v>
      </c>
      <c r="K189" s="458">
        <v>36109.098017857992</v>
      </c>
      <c r="L189" s="458">
        <v>11194.760870699611</v>
      </c>
      <c r="M189" s="456">
        <v>0</v>
      </c>
      <c r="N189" s="458">
        <v>119.49693843813893</v>
      </c>
      <c r="O189" s="459">
        <v>0</v>
      </c>
      <c r="P189" s="459">
        <v>7582.9105837501793</v>
      </c>
      <c r="Q189" s="458">
        <v>55400.108403681625</v>
      </c>
      <c r="R189" s="458">
        <v>78298.968141923266</v>
      </c>
      <c r="S189" s="458">
        <v>1959.7497903854783</v>
      </c>
      <c r="T189" s="457"/>
      <c r="U189" s="425"/>
      <c r="V189" s="425"/>
      <c r="W189" s="425"/>
      <c r="X189" s="425"/>
      <c r="Y189" s="425"/>
      <c r="Z189" s="425"/>
      <c r="AA189" s="425"/>
      <c r="AB189" s="425"/>
      <c r="AC189" s="425"/>
      <c r="AD189" s="425"/>
      <c r="AE189" s="425"/>
      <c r="AG189" s="425"/>
      <c r="AH189" s="425"/>
      <c r="AI189" s="425"/>
      <c r="AJ189" s="425"/>
      <c r="AK189" s="425"/>
      <c r="AL189" s="425"/>
      <c r="AM189" s="425"/>
      <c r="AN189" s="425"/>
      <c r="AO189" s="425"/>
      <c r="AP189" s="425"/>
      <c r="AQ189" s="425"/>
    </row>
    <row r="190" spans="1:43" x14ac:dyDescent="0.25">
      <c r="A190" s="271">
        <v>501502</v>
      </c>
      <c r="B190" s="271">
        <v>1502</v>
      </c>
      <c r="C190" s="271">
        <v>200415</v>
      </c>
      <c r="D190" s="268" t="s">
        <v>894</v>
      </c>
      <c r="E190" s="268" t="s">
        <v>1278</v>
      </c>
      <c r="F190" s="268" t="s">
        <v>2634</v>
      </c>
      <c r="G190" s="268">
        <v>7</v>
      </c>
      <c r="H190" s="268" t="s">
        <v>2635</v>
      </c>
      <c r="I190" s="268" t="s">
        <v>2636</v>
      </c>
      <c r="J190" s="458">
        <v>433309.17621429591</v>
      </c>
      <c r="K190" s="458">
        <v>36109.098017857992</v>
      </c>
      <c r="L190" s="458">
        <v>11194.760870699611</v>
      </c>
      <c r="M190" s="456">
        <v>0</v>
      </c>
      <c r="N190" s="458">
        <v>119.49693843813893</v>
      </c>
      <c r="O190" s="459">
        <v>0</v>
      </c>
      <c r="P190" s="459">
        <v>7582.9105837501793</v>
      </c>
      <c r="Q190" s="458">
        <v>55400.108403681625</v>
      </c>
      <c r="R190" s="458">
        <v>78298.968141923266</v>
      </c>
      <c r="S190" s="458">
        <v>1959.7497903854783</v>
      </c>
      <c r="T190" s="457"/>
      <c r="U190" s="425"/>
      <c r="V190" s="425"/>
      <c r="W190" s="425"/>
      <c r="X190" s="425"/>
      <c r="Y190" s="425"/>
      <c r="Z190" s="425"/>
      <c r="AA190" s="425"/>
      <c r="AB190" s="425"/>
      <c r="AC190" s="425"/>
      <c r="AD190" s="425"/>
      <c r="AE190" s="425"/>
      <c r="AF190" s="424"/>
      <c r="AG190" s="425"/>
      <c r="AH190" s="425"/>
      <c r="AI190" s="425"/>
      <c r="AJ190" s="425"/>
      <c r="AK190" s="425"/>
      <c r="AL190" s="425"/>
      <c r="AM190" s="425"/>
      <c r="AN190" s="425"/>
      <c r="AO190" s="425"/>
      <c r="AP190" s="425"/>
      <c r="AQ190" s="425"/>
    </row>
    <row r="191" spans="1:43" s="270" customFormat="1" x14ac:dyDescent="0.25">
      <c r="A191" s="271">
        <v>501304</v>
      </c>
      <c r="B191" s="271">
        <v>1304</v>
      </c>
      <c r="C191" s="271">
        <v>1630</v>
      </c>
      <c r="D191" s="268" t="s">
        <v>894</v>
      </c>
      <c r="E191" s="268" t="s">
        <v>1290</v>
      </c>
      <c r="F191" s="268" t="s">
        <v>2637</v>
      </c>
      <c r="G191" s="268">
        <v>6</v>
      </c>
      <c r="H191" s="268" t="s">
        <v>2638</v>
      </c>
      <c r="I191" s="268" t="s">
        <v>2610</v>
      </c>
      <c r="J191" s="458">
        <v>423328.96894844394</v>
      </c>
      <c r="K191" s="458">
        <v>35277.414079036993</v>
      </c>
      <c r="L191" s="458">
        <v>11194.760870699611</v>
      </c>
      <c r="M191" s="456">
        <v>0</v>
      </c>
      <c r="N191" s="458">
        <v>119.49693843813893</v>
      </c>
      <c r="O191" s="459">
        <v>0</v>
      </c>
      <c r="P191" s="459">
        <v>7408.2569565977692</v>
      </c>
      <c r="Q191" s="458">
        <v>55400.108403681625</v>
      </c>
      <c r="R191" s="458">
        <v>76495.54468898382</v>
      </c>
      <c r="S191" s="458">
        <v>1959.7497903854783</v>
      </c>
      <c r="T191" s="457"/>
      <c r="U191" s="425"/>
      <c r="V191" s="425"/>
      <c r="W191" s="425"/>
      <c r="X191" s="425"/>
      <c r="Y191" s="425"/>
      <c r="Z191" s="425"/>
      <c r="AA191" s="425"/>
      <c r="AB191" s="425"/>
      <c r="AC191" s="425"/>
      <c r="AD191" s="425"/>
      <c r="AE191" s="425"/>
      <c r="AG191" s="425"/>
      <c r="AH191" s="425"/>
      <c r="AI191" s="425"/>
      <c r="AJ191" s="425"/>
      <c r="AK191" s="425"/>
      <c r="AL191" s="425"/>
      <c r="AM191" s="425"/>
      <c r="AN191" s="425"/>
      <c r="AO191" s="425"/>
      <c r="AP191" s="425"/>
      <c r="AQ191" s="425"/>
    </row>
    <row r="192" spans="1:43" s="270" customFormat="1" x14ac:dyDescent="0.25">
      <c r="A192" s="271">
        <v>501442</v>
      </c>
      <c r="B192" s="271">
        <v>1442</v>
      </c>
      <c r="C192" s="271">
        <v>10304</v>
      </c>
      <c r="D192" s="268" t="s">
        <v>1698</v>
      </c>
      <c r="E192" s="268" t="s">
        <v>1290</v>
      </c>
      <c r="F192" s="268" t="s">
        <v>2547</v>
      </c>
      <c r="G192" s="268">
        <v>7</v>
      </c>
      <c r="H192" s="268" t="s">
        <v>2639</v>
      </c>
      <c r="I192" s="268" t="s">
        <v>2591</v>
      </c>
      <c r="J192" s="458">
        <v>413293.43902590766</v>
      </c>
      <c r="K192" s="458">
        <v>34441.119918825636</v>
      </c>
      <c r="L192" s="458">
        <v>11194.760870699611</v>
      </c>
      <c r="M192" s="456">
        <v>0</v>
      </c>
      <c r="N192" s="458">
        <v>119.49693843813893</v>
      </c>
      <c r="O192" s="459">
        <v>0</v>
      </c>
      <c r="P192" s="459">
        <v>7232.6351829533851</v>
      </c>
      <c r="Q192" s="458">
        <v>55400.108403681625</v>
      </c>
      <c r="R192" s="458">
        <v>74682.124431981516</v>
      </c>
      <c r="S192" s="458">
        <v>1959.7497903854783</v>
      </c>
      <c r="T192" s="457"/>
      <c r="U192" s="425"/>
      <c r="V192" s="425"/>
      <c r="W192" s="425"/>
      <c r="X192" s="425"/>
      <c r="Y192" s="425"/>
      <c r="Z192" s="425"/>
      <c r="AA192" s="425"/>
      <c r="AB192" s="425"/>
      <c r="AC192" s="425"/>
      <c r="AD192" s="425"/>
      <c r="AE192" s="425"/>
      <c r="AG192" s="425"/>
      <c r="AH192" s="425"/>
      <c r="AI192" s="425"/>
      <c r="AJ192" s="425"/>
      <c r="AK192" s="425"/>
      <c r="AL192" s="425"/>
      <c r="AM192" s="425"/>
      <c r="AN192" s="425"/>
      <c r="AO192" s="425"/>
      <c r="AP192" s="425"/>
      <c r="AQ192" s="425"/>
    </row>
    <row r="193" spans="1:43" s="270" customFormat="1" x14ac:dyDescent="0.25">
      <c r="A193" s="271">
        <v>501443</v>
      </c>
      <c r="B193" s="271">
        <v>1443</v>
      </c>
      <c r="C193" s="271">
        <v>35813</v>
      </c>
      <c r="D193" s="268" t="s">
        <v>894</v>
      </c>
      <c r="E193" s="268" t="s">
        <v>1290</v>
      </c>
      <c r="F193" s="268" t="s">
        <v>2640</v>
      </c>
      <c r="G193" s="268">
        <v>7</v>
      </c>
      <c r="H193" s="268" t="s">
        <v>2641</v>
      </c>
      <c r="I193" s="268" t="s">
        <v>2528</v>
      </c>
      <c r="J193" s="458">
        <v>413293.43902590766</v>
      </c>
      <c r="K193" s="458">
        <v>34441.119918825636</v>
      </c>
      <c r="L193" s="458">
        <v>11194.760870699611</v>
      </c>
      <c r="M193" s="456">
        <v>0</v>
      </c>
      <c r="N193" s="458">
        <v>119.49693843813893</v>
      </c>
      <c r="O193" s="459">
        <v>0</v>
      </c>
      <c r="P193" s="459">
        <v>7232.6351829533851</v>
      </c>
      <c r="Q193" s="458">
        <v>55400.108403681625</v>
      </c>
      <c r="R193" s="458">
        <v>74682.124431981516</v>
      </c>
      <c r="S193" s="458">
        <v>1959.7497903854783</v>
      </c>
      <c r="T193" s="457"/>
      <c r="U193" s="425"/>
      <c r="V193" s="425"/>
      <c r="W193" s="425"/>
      <c r="X193" s="425"/>
      <c r="Y193" s="425"/>
      <c r="Z193" s="425"/>
      <c r="AA193" s="425"/>
      <c r="AB193" s="425"/>
      <c r="AC193" s="425"/>
      <c r="AD193" s="425"/>
      <c r="AE193" s="425"/>
      <c r="AG193" s="425"/>
      <c r="AH193" s="425"/>
      <c r="AI193" s="425"/>
      <c r="AJ193" s="425"/>
      <c r="AK193" s="425"/>
      <c r="AL193" s="425"/>
      <c r="AM193" s="425"/>
      <c r="AN193" s="425"/>
      <c r="AO193" s="425"/>
      <c r="AP193" s="425"/>
      <c r="AQ193" s="425"/>
    </row>
    <row r="194" spans="1:43" x14ac:dyDescent="0.25">
      <c r="A194" s="276">
        <v>501443</v>
      </c>
      <c r="B194" s="276">
        <v>1443</v>
      </c>
      <c r="C194" s="276">
        <v>36113</v>
      </c>
      <c r="D194" s="268" t="s">
        <v>894</v>
      </c>
      <c r="E194" s="268" t="s">
        <v>1278</v>
      </c>
      <c r="F194" s="268" t="s">
        <v>2642</v>
      </c>
      <c r="G194" s="268">
        <v>7</v>
      </c>
      <c r="H194" s="268" t="s">
        <v>2643</v>
      </c>
      <c r="I194" s="268" t="s">
        <v>2644</v>
      </c>
      <c r="J194" s="456">
        <v>413293.43902590766</v>
      </c>
      <c r="K194" s="459">
        <v>34441.119918825636</v>
      </c>
      <c r="L194" s="458">
        <v>11194.760870699611</v>
      </c>
      <c r="M194" s="456">
        <v>5532.2656684323565</v>
      </c>
      <c r="N194" s="459">
        <v>119.49693843813893</v>
      </c>
      <c r="O194" s="456">
        <v>89904.849377694234</v>
      </c>
      <c r="P194" s="459">
        <v>7232.6351829533851</v>
      </c>
      <c r="Q194" s="458">
        <v>55400.108403681625</v>
      </c>
      <c r="R194" s="459">
        <v>74682.124431981516</v>
      </c>
      <c r="S194" s="459">
        <v>1959.7497903854783</v>
      </c>
      <c r="T194" s="457"/>
      <c r="U194" s="425"/>
      <c r="V194" s="425"/>
      <c r="W194" s="425"/>
      <c r="X194" s="425"/>
      <c r="Y194" s="425"/>
      <c r="Z194" s="425"/>
      <c r="AA194" s="425"/>
      <c r="AB194" s="425"/>
      <c r="AC194" s="425"/>
      <c r="AD194" s="425"/>
      <c r="AE194" s="425"/>
      <c r="AF194" s="424"/>
      <c r="AG194" s="425"/>
      <c r="AH194" s="425"/>
      <c r="AI194" s="425"/>
      <c r="AJ194" s="425"/>
      <c r="AK194" s="425"/>
      <c r="AL194" s="425"/>
      <c r="AM194" s="425"/>
      <c r="AN194" s="425"/>
      <c r="AO194" s="425"/>
      <c r="AP194" s="425"/>
      <c r="AQ194" s="425"/>
    </row>
    <row r="195" spans="1:43" s="270" customFormat="1" x14ac:dyDescent="0.25">
      <c r="A195" s="418">
        <v>501406</v>
      </c>
      <c r="B195" s="271">
        <v>1412</v>
      </c>
      <c r="C195" s="271">
        <v>87214</v>
      </c>
      <c r="D195" s="268" t="s">
        <v>894</v>
      </c>
      <c r="E195" s="268" t="s">
        <v>1278</v>
      </c>
      <c r="F195" s="268" t="s">
        <v>1290</v>
      </c>
      <c r="G195" s="268">
        <v>7</v>
      </c>
      <c r="H195" s="268" t="s">
        <v>2645</v>
      </c>
      <c r="I195" s="268" t="s">
        <v>2646</v>
      </c>
      <c r="J195" s="458">
        <v>413293.43902590766</v>
      </c>
      <c r="K195" s="458">
        <v>34441.119918825636</v>
      </c>
      <c r="L195" s="458">
        <v>11194.760870699611</v>
      </c>
      <c r="M195" s="456">
        <v>0</v>
      </c>
      <c r="N195" s="458">
        <v>119.49693843813893</v>
      </c>
      <c r="O195" s="459">
        <v>0</v>
      </c>
      <c r="P195" s="459">
        <v>7232.6351829533851</v>
      </c>
      <c r="Q195" s="458">
        <v>55400.108403681625</v>
      </c>
      <c r="R195" s="458">
        <v>74682.124431981516</v>
      </c>
      <c r="S195" s="458">
        <v>1959.7497903854783</v>
      </c>
      <c r="T195" s="457"/>
      <c r="U195" s="425"/>
      <c r="V195" s="425"/>
      <c r="W195" s="425"/>
      <c r="X195" s="425"/>
      <c r="Y195" s="425"/>
      <c r="Z195" s="425"/>
      <c r="AA195" s="425"/>
      <c r="AB195" s="425"/>
      <c r="AC195" s="425"/>
      <c r="AD195" s="425"/>
      <c r="AE195" s="425"/>
      <c r="AG195" s="425"/>
      <c r="AH195" s="425"/>
      <c r="AI195" s="425"/>
      <c r="AJ195" s="425"/>
      <c r="AK195" s="425"/>
      <c r="AL195" s="425"/>
      <c r="AM195" s="425"/>
      <c r="AN195" s="425"/>
      <c r="AO195" s="425"/>
      <c r="AP195" s="425"/>
      <c r="AQ195" s="425"/>
    </row>
    <row r="196" spans="1:43" s="270" customFormat="1" x14ac:dyDescent="0.25">
      <c r="A196" s="418">
        <v>501406</v>
      </c>
      <c r="B196" s="271">
        <v>1412</v>
      </c>
      <c r="C196" s="271">
        <v>87492</v>
      </c>
      <c r="D196" s="268" t="s">
        <v>894</v>
      </c>
      <c r="E196" s="268" t="s">
        <v>1278</v>
      </c>
      <c r="F196" s="268" t="s">
        <v>2647</v>
      </c>
      <c r="G196" s="268">
        <v>7</v>
      </c>
      <c r="H196" s="268" t="s">
        <v>2648</v>
      </c>
      <c r="I196" s="268" t="s">
        <v>2646</v>
      </c>
      <c r="J196" s="458">
        <v>413293.43902590766</v>
      </c>
      <c r="K196" s="458">
        <v>34441.119918825636</v>
      </c>
      <c r="L196" s="458">
        <v>11194.760870699611</v>
      </c>
      <c r="M196" s="456">
        <v>0</v>
      </c>
      <c r="N196" s="458">
        <v>119.49693843813893</v>
      </c>
      <c r="O196" s="459">
        <v>0</v>
      </c>
      <c r="P196" s="459">
        <v>7232.6351829533851</v>
      </c>
      <c r="Q196" s="458">
        <v>55400.108403681625</v>
      </c>
      <c r="R196" s="458">
        <v>74682.124431981516</v>
      </c>
      <c r="S196" s="458">
        <v>1959.7497903854783</v>
      </c>
      <c r="T196" s="457"/>
      <c r="U196" s="425"/>
      <c r="V196" s="425"/>
      <c r="W196" s="425"/>
      <c r="X196" s="425"/>
      <c r="Y196" s="425"/>
      <c r="Z196" s="425"/>
      <c r="AA196" s="425"/>
      <c r="AB196" s="425"/>
      <c r="AC196" s="425"/>
      <c r="AD196" s="425"/>
      <c r="AE196" s="425"/>
      <c r="AG196" s="425"/>
      <c r="AH196" s="425"/>
      <c r="AI196" s="425"/>
      <c r="AJ196" s="425"/>
      <c r="AK196" s="425"/>
      <c r="AL196" s="425"/>
      <c r="AM196" s="425"/>
      <c r="AN196" s="425"/>
      <c r="AO196" s="425"/>
      <c r="AP196" s="425"/>
      <c r="AQ196" s="425"/>
    </row>
    <row r="197" spans="1:43" s="270" customFormat="1" x14ac:dyDescent="0.25">
      <c r="A197" s="418">
        <v>501406</v>
      </c>
      <c r="B197" s="271">
        <v>1412</v>
      </c>
      <c r="C197" s="271">
        <v>87984</v>
      </c>
      <c r="D197" s="268" t="s">
        <v>894</v>
      </c>
      <c r="E197" s="268" t="s">
        <v>1290</v>
      </c>
      <c r="F197" s="268" t="s">
        <v>2649</v>
      </c>
      <c r="G197" s="268">
        <v>7</v>
      </c>
      <c r="H197" s="268" t="s">
        <v>2359</v>
      </c>
      <c r="I197" s="268" t="s">
        <v>2646</v>
      </c>
      <c r="J197" s="458">
        <v>413293.43902590766</v>
      </c>
      <c r="K197" s="458">
        <v>34441.119918825636</v>
      </c>
      <c r="L197" s="458">
        <v>11194.760870699611</v>
      </c>
      <c r="M197" s="456">
        <v>0</v>
      </c>
      <c r="N197" s="458">
        <v>119.49693843813893</v>
      </c>
      <c r="O197" s="459">
        <v>0</v>
      </c>
      <c r="P197" s="459">
        <v>7232.6351829533851</v>
      </c>
      <c r="Q197" s="458">
        <v>55400.108403681625</v>
      </c>
      <c r="R197" s="458">
        <v>74682.124431981516</v>
      </c>
      <c r="S197" s="458">
        <v>1959.7497903854783</v>
      </c>
      <c r="T197" s="457"/>
      <c r="U197" s="425"/>
      <c r="V197" s="425"/>
      <c r="W197" s="425"/>
      <c r="X197" s="425"/>
      <c r="Y197" s="425"/>
      <c r="Z197" s="425"/>
      <c r="AA197" s="425"/>
      <c r="AB197" s="425"/>
      <c r="AC197" s="425"/>
      <c r="AD197" s="425"/>
      <c r="AE197" s="425"/>
      <c r="AG197" s="425"/>
      <c r="AH197" s="425"/>
      <c r="AI197" s="425"/>
      <c r="AJ197" s="425"/>
      <c r="AK197" s="425"/>
      <c r="AL197" s="425"/>
      <c r="AM197" s="425"/>
      <c r="AN197" s="425"/>
      <c r="AO197" s="425"/>
      <c r="AP197" s="425"/>
      <c r="AQ197" s="425"/>
    </row>
    <row r="198" spans="1:43" s="270" customFormat="1" x14ac:dyDescent="0.25">
      <c r="A198" s="271">
        <v>501502</v>
      </c>
      <c r="B198" s="271">
        <v>1502</v>
      </c>
      <c r="C198" s="271">
        <v>200067</v>
      </c>
      <c r="D198" s="268" t="s">
        <v>894</v>
      </c>
      <c r="E198" s="268" t="s">
        <v>1278</v>
      </c>
      <c r="F198" s="268" t="s">
        <v>2650</v>
      </c>
      <c r="G198" s="268">
        <v>7</v>
      </c>
      <c r="H198" s="268" t="s">
        <v>2651</v>
      </c>
      <c r="I198" s="268" t="s">
        <v>2652</v>
      </c>
      <c r="J198" s="458">
        <v>413293.43902590766</v>
      </c>
      <c r="K198" s="458">
        <v>34441.119918825636</v>
      </c>
      <c r="L198" s="458">
        <v>11194.760870699611</v>
      </c>
      <c r="M198" s="456">
        <v>0</v>
      </c>
      <c r="N198" s="458">
        <v>119.49693843813893</v>
      </c>
      <c r="O198" s="459">
        <v>0</v>
      </c>
      <c r="P198" s="459">
        <v>7232.6351829533851</v>
      </c>
      <c r="Q198" s="458">
        <v>55400.108403681625</v>
      </c>
      <c r="R198" s="458">
        <v>74682.124431981516</v>
      </c>
      <c r="S198" s="458">
        <v>1959.7497903854783</v>
      </c>
      <c r="T198" s="457"/>
      <c r="U198" s="425"/>
      <c r="V198" s="425"/>
      <c r="W198" s="425"/>
      <c r="X198" s="425"/>
      <c r="Y198" s="425"/>
      <c r="Z198" s="425"/>
      <c r="AA198" s="425"/>
      <c r="AB198" s="425"/>
      <c r="AC198" s="425"/>
      <c r="AD198" s="425"/>
      <c r="AE198" s="425"/>
      <c r="AG198" s="425"/>
      <c r="AH198" s="425"/>
      <c r="AI198" s="425"/>
      <c r="AJ198" s="425"/>
      <c r="AK198" s="425"/>
      <c r="AL198" s="425"/>
      <c r="AM198" s="425"/>
      <c r="AN198" s="425"/>
      <c r="AO198" s="425"/>
      <c r="AP198" s="425"/>
      <c r="AQ198" s="425"/>
    </row>
    <row r="199" spans="1:43" s="270" customFormat="1" x14ac:dyDescent="0.25">
      <c r="A199" s="271">
        <v>501105</v>
      </c>
      <c r="B199" s="271">
        <v>1105</v>
      </c>
      <c r="C199" s="271">
        <v>200234</v>
      </c>
      <c r="D199" s="268" t="s">
        <v>894</v>
      </c>
      <c r="E199" s="268" t="s">
        <v>1290</v>
      </c>
      <c r="F199" s="268" t="s">
        <v>2653</v>
      </c>
      <c r="G199" s="268">
        <v>7</v>
      </c>
      <c r="H199" s="268" t="s">
        <v>2654</v>
      </c>
      <c r="I199" s="268" t="s">
        <v>2646</v>
      </c>
      <c r="J199" s="458">
        <v>413293.43902590766</v>
      </c>
      <c r="K199" s="458">
        <v>34441.119918825636</v>
      </c>
      <c r="L199" s="458">
        <v>11194.760870699611</v>
      </c>
      <c r="M199" s="456">
        <v>0</v>
      </c>
      <c r="N199" s="458">
        <v>119.49693843813893</v>
      </c>
      <c r="O199" s="459">
        <v>0</v>
      </c>
      <c r="P199" s="459">
        <v>7232.6351829533851</v>
      </c>
      <c r="Q199" s="458">
        <v>55400.108403681625</v>
      </c>
      <c r="R199" s="458">
        <v>74682.124431981516</v>
      </c>
      <c r="S199" s="458">
        <v>1959.7497903854783</v>
      </c>
      <c r="T199" s="457"/>
      <c r="U199" s="425"/>
      <c r="V199" s="425"/>
      <c r="W199" s="425"/>
      <c r="X199" s="425"/>
      <c r="Y199" s="425"/>
      <c r="Z199" s="425"/>
      <c r="AA199" s="425"/>
      <c r="AB199" s="425"/>
      <c r="AC199" s="425"/>
      <c r="AD199" s="425"/>
      <c r="AE199" s="425"/>
      <c r="AG199" s="425"/>
      <c r="AH199" s="425"/>
      <c r="AI199" s="425"/>
      <c r="AJ199" s="425"/>
      <c r="AK199" s="425"/>
      <c r="AL199" s="425"/>
      <c r="AM199" s="425"/>
      <c r="AN199" s="425"/>
      <c r="AO199" s="425"/>
      <c r="AP199" s="425"/>
      <c r="AQ199" s="425"/>
    </row>
    <row r="200" spans="1:43" s="270" customFormat="1" x14ac:dyDescent="0.25">
      <c r="A200" s="416">
        <v>501445</v>
      </c>
      <c r="B200" s="271">
        <v>1445</v>
      </c>
      <c r="C200" s="271">
        <v>200376</v>
      </c>
      <c r="D200" s="268" t="s">
        <v>894</v>
      </c>
      <c r="E200" s="268" t="s">
        <v>1290</v>
      </c>
      <c r="F200" s="268" t="s">
        <v>2203</v>
      </c>
      <c r="G200" s="268">
        <v>7</v>
      </c>
      <c r="H200" s="268" t="s">
        <v>2438</v>
      </c>
      <c r="I200" s="268" t="s">
        <v>2655</v>
      </c>
      <c r="J200" s="458">
        <v>413293.43902590766</v>
      </c>
      <c r="K200" s="458">
        <v>34441.119918825636</v>
      </c>
      <c r="L200" s="458">
        <v>11194.760870699611</v>
      </c>
      <c r="M200" s="456">
        <v>0</v>
      </c>
      <c r="N200" s="458">
        <v>119.49693843813893</v>
      </c>
      <c r="O200" s="458">
        <v>89904.849377694234</v>
      </c>
      <c r="P200" s="459">
        <v>7232.6351829533851</v>
      </c>
      <c r="Q200" s="458">
        <v>55400.108403681625</v>
      </c>
      <c r="R200" s="458">
        <v>74682.124431981516</v>
      </c>
      <c r="S200" s="458">
        <v>1959.7497903854783</v>
      </c>
      <c r="T200" s="457"/>
      <c r="U200" s="425"/>
      <c r="V200" s="425"/>
      <c r="W200" s="425"/>
      <c r="X200" s="425"/>
      <c r="Y200" s="425"/>
      <c r="Z200" s="425"/>
      <c r="AA200" s="425"/>
      <c r="AB200" s="425"/>
      <c r="AC200" s="425"/>
      <c r="AD200" s="425"/>
      <c r="AE200" s="425"/>
      <c r="AG200" s="425"/>
      <c r="AH200" s="425"/>
      <c r="AI200" s="425"/>
      <c r="AJ200" s="425"/>
      <c r="AK200" s="425"/>
      <c r="AL200" s="425"/>
      <c r="AM200" s="425"/>
      <c r="AN200" s="425"/>
      <c r="AO200" s="425"/>
      <c r="AP200" s="425"/>
      <c r="AQ200" s="425"/>
    </row>
    <row r="201" spans="1:43" x14ac:dyDescent="0.25">
      <c r="A201" s="276">
        <v>501502</v>
      </c>
      <c r="B201" s="276">
        <v>1502</v>
      </c>
      <c r="C201" s="276">
        <v>200443</v>
      </c>
      <c r="D201" s="268" t="s">
        <v>894</v>
      </c>
      <c r="E201" s="268" t="s">
        <v>1290</v>
      </c>
      <c r="F201" s="268" t="s">
        <v>2656</v>
      </c>
      <c r="G201" s="268">
        <v>7</v>
      </c>
      <c r="H201" s="268" t="s">
        <v>2657</v>
      </c>
      <c r="I201" s="268" t="s">
        <v>2658</v>
      </c>
      <c r="J201" s="456">
        <v>413293.43902590766</v>
      </c>
      <c r="K201" s="459">
        <v>34441.119918825636</v>
      </c>
      <c r="L201" s="458">
        <v>11194.760870699611</v>
      </c>
      <c r="M201" s="456">
        <v>4979.0391015891209</v>
      </c>
      <c r="N201" s="459">
        <v>119.49693843813893</v>
      </c>
      <c r="O201" s="456">
        <v>89904.849377694234</v>
      </c>
      <c r="P201" s="459">
        <v>7232.6351829533851</v>
      </c>
      <c r="Q201" s="458">
        <v>55400.108403681625</v>
      </c>
      <c r="R201" s="459">
        <v>74682.124431981516</v>
      </c>
      <c r="S201" s="459">
        <v>1959.7497903854783</v>
      </c>
      <c r="T201" s="457"/>
      <c r="U201" s="425"/>
      <c r="V201" s="425"/>
      <c r="W201" s="425"/>
      <c r="X201" s="425"/>
      <c r="Y201" s="425"/>
      <c r="Z201" s="425"/>
      <c r="AA201" s="425"/>
      <c r="AB201" s="425"/>
      <c r="AC201" s="425"/>
      <c r="AD201" s="425"/>
      <c r="AE201" s="425"/>
      <c r="AF201" s="424"/>
      <c r="AG201" s="425"/>
      <c r="AH201" s="425"/>
      <c r="AI201" s="425"/>
      <c r="AJ201" s="425"/>
      <c r="AK201" s="425"/>
      <c r="AL201" s="425"/>
      <c r="AM201" s="425"/>
      <c r="AN201" s="425"/>
      <c r="AO201" s="425"/>
      <c r="AP201" s="425"/>
      <c r="AQ201" s="425"/>
    </row>
    <row r="202" spans="1:43" x14ac:dyDescent="0.25">
      <c r="A202" s="276">
        <v>501502</v>
      </c>
      <c r="B202" s="276">
        <v>1106</v>
      </c>
      <c r="C202" s="276">
        <v>200445</v>
      </c>
      <c r="D202" s="268" t="s">
        <v>894</v>
      </c>
      <c r="E202" s="268" t="s">
        <v>1290</v>
      </c>
      <c r="F202" s="268" t="s">
        <v>2549</v>
      </c>
      <c r="G202" s="268">
        <v>7</v>
      </c>
      <c r="H202" s="268" t="s">
        <v>2659</v>
      </c>
      <c r="I202" s="268" t="s">
        <v>2658</v>
      </c>
      <c r="J202" s="456">
        <v>413293.43902590766</v>
      </c>
      <c r="K202" s="459">
        <v>34441.119918825636</v>
      </c>
      <c r="L202" s="458">
        <v>11194.760870699611</v>
      </c>
      <c r="M202" s="456">
        <v>4979.0391015891209</v>
      </c>
      <c r="N202" s="459">
        <v>119.49693843813893</v>
      </c>
      <c r="O202" s="456">
        <v>89904.849377694234</v>
      </c>
      <c r="P202" s="459">
        <v>7232.6351829533851</v>
      </c>
      <c r="Q202" s="458">
        <v>55400.108403681625</v>
      </c>
      <c r="R202" s="459">
        <v>74682.124431981516</v>
      </c>
      <c r="S202" s="459">
        <v>1959.7497903854783</v>
      </c>
      <c r="T202" s="457"/>
      <c r="U202" s="425"/>
      <c r="V202" s="425"/>
      <c r="W202" s="425"/>
      <c r="X202" s="425"/>
      <c r="Y202" s="425"/>
      <c r="Z202" s="425"/>
      <c r="AA202" s="425"/>
      <c r="AB202" s="425"/>
      <c r="AC202" s="425"/>
      <c r="AD202" s="425"/>
      <c r="AE202" s="425"/>
      <c r="AF202" s="424"/>
      <c r="AG202" s="425"/>
      <c r="AH202" s="425"/>
      <c r="AI202" s="425"/>
      <c r="AJ202" s="425"/>
      <c r="AK202" s="425"/>
      <c r="AL202" s="425"/>
      <c r="AM202" s="425"/>
      <c r="AN202" s="425"/>
      <c r="AO202" s="425"/>
      <c r="AP202" s="425"/>
      <c r="AQ202" s="425"/>
    </row>
    <row r="203" spans="1:43" s="270" customFormat="1" x14ac:dyDescent="0.25">
      <c r="A203" s="271">
        <v>501407</v>
      </c>
      <c r="B203" s="271">
        <v>1407</v>
      </c>
      <c r="C203" s="271">
        <v>200207</v>
      </c>
      <c r="D203" s="268" t="s">
        <v>894</v>
      </c>
      <c r="E203" s="268" t="s">
        <v>1290</v>
      </c>
      <c r="F203" s="268" t="s">
        <v>2660</v>
      </c>
      <c r="G203" s="268">
        <v>7</v>
      </c>
      <c r="H203" s="268" t="s">
        <v>2661</v>
      </c>
      <c r="I203" s="268" t="s">
        <v>2662</v>
      </c>
      <c r="J203" s="458">
        <v>403324.29629139253</v>
      </c>
      <c r="K203" s="458">
        <v>33610.358024282716</v>
      </c>
      <c r="L203" s="458">
        <v>11194.760870699611</v>
      </c>
      <c r="M203" s="456">
        <v>0</v>
      </c>
      <c r="N203" s="458">
        <v>119.49693843813893</v>
      </c>
      <c r="O203" s="459">
        <v>0</v>
      </c>
      <c r="P203" s="459">
        <v>7058.1751850993705</v>
      </c>
      <c r="Q203" s="458">
        <v>55400.108403681625</v>
      </c>
      <c r="R203" s="458">
        <v>72880.700339854637</v>
      </c>
      <c r="S203" s="458">
        <v>1959.7497903854783</v>
      </c>
      <c r="T203" s="457"/>
      <c r="U203" s="425"/>
      <c r="V203" s="425"/>
      <c r="W203" s="425"/>
      <c r="X203" s="425"/>
      <c r="Y203" s="425"/>
      <c r="Z203" s="425"/>
      <c r="AA203" s="425"/>
      <c r="AB203" s="425"/>
      <c r="AC203" s="425"/>
      <c r="AD203" s="425"/>
      <c r="AE203" s="425"/>
      <c r="AG203" s="425"/>
      <c r="AH203" s="425"/>
      <c r="AI203" s="425"/>
      <c r="AJ203" s="425"/>
      <c r="AK203" s="425"/>
      <c r="AL203" s="425"/>
      <c r="AM203" s="425"/>
      <c r="AN203" s="425"/>
      <c r="AO203" s="425"/>
      <c r="AP203" s="425"/>
      <c r="AQ203" s="425"/>
    </row>
    <row r="204" spans="1:43" s="270" customFormat="1" x14ac:dyDescent="0.25">
      <c r="A204" s="271">
        <v>501442</v>
      </c>
      <c r="B204" s="271">
        <v>1442</v>
      </c>
      <c r="C204" s="271">
        <v>200241</v>
      </c>
      <c r="D204" s="268" t="s">
        <v>894</v>
      </c>
      <c r="E204" s="268" t="s">
        <v>1290</v>
      </c>
      <c r="F204" s="268" t="s">
        <v>2663</v>
      </c>
      <c r="G204" s="268">
        <v>7</v>
      </c>
      <c r="H204" s="268" t="s">
        <v>2664</v>
      </c>
      <c r="I204" s="268" t="s">
        <v>2665</v>
      </c>
      <c r="J204" s="458">
        <v>403324.29629139253</v>
      </c>
      <c r="K204" s="458">
        <v>33610.358024282716</v>
      </c>
      <c r="L204" s="458">
        <v>11194.760870699611</v>
      </c>
      <c r="M204" s="456">
        <v>0</v>
      </c>
      <c r="N204" s="458">
        <v>119.49693843813893</v>
      </c>
      <c r="O204" s="458">
        <v>88012.81451909036</v>
      </c>
      <c r="P204" s="459">
        <v>7058.1751850993705</v>
      </c>
      <c r="Q204" s="458">
        <v>55400.108403681625</v>
      </c>
      <c r="R204" s="458">
        <v>72880.700339854637</v>
      </c>
      <c r="S204" s="458">
        <v>1959.7497903854783</v>
      </c>
      <c r="T204" s="457"/>
      <c r="U204" s="425"/>
      <c r="V204" s="425"/>
      <c r="W204" s="425"/>
      <c r="X204" s="425"/>
      <c r="Y204" s="425"/>
      <c r="Z204" s="425"/>
      <c r="AA204" s="425"/>
      <c r="AB204" s="425"/>
      <c r="AC204" s="425"/>
      <c r="AD204" s="425"/>
      <c r="AE204" s="425"/>
      <c r="AG204" s="425"/>
      <c r="AH204" s="425"/>
      <c r="AI204" s="425"/>
      <c r="AJ204" s="425"/>
      <c r="AK204" s="425"/>
      <c r="AL204" s="425"/>
      <c r="AM204" s="425"/>
      <c r="AN204" s="425"/>
      <c r="AO204" s="425"/>
      <c r="AP204" s="425"/>
      <c r="AQ204" s="425"/>
    </row>
    <row r="205" spans="1:43" s="270" customFormat="1" x14ac:dyDescent="0.25">
      <c r="A205" s="416">
        <v>501442</v>
      </c>
      <c r="B205" s="271">
        <v>1442</v>
      </c>
      <c r="C205" s="271">
        <v>200242</v>
      </c>
      <c r="D205" s="268" t="s">
        <v>894</v>
      </c>
      <c r="E205" s="268" t="s">
        <v>1290</v>
      </c>
      <c r="F205" s="268" t="s">
        <v>2666</v>
      </c>
      <c r="G205" s="268">
        <v>7</v>
      </c>
      <c r="H205" s="268" t="s">
        <v>2664</v>
      </c>
      <c r="I205" s="268" t="s">
        <v>2665</v>
      </c>
      <c r="J205" s="458">
        <v>403324.29629139253</v>
      </c>
      <c r="K205" s="458">
        <v>33610.358024282716</v>
      </c>
      <c r="L205" s="458">
        <v>11194.760870699611</v>
      </c>
      <c r="M205" s="456">
        <v>0</v>
      </c>
      <c r="N205" s="458">
        <v>119.49693843813893</v>
      </c>
      <c r="O205" s="458">
        <v>88012.81451909036</v>
      </c>
      <c r="P205" s="459">
        <v>7058.1751850993705</v>
      </c>
      <c r="Q205" s="458">
        <v>55400.108403681625</v>
      </c>
      <c r="R205" s="458">
        <v>72880.700339854637</v>
      </c>
      <c r="S205" s="458">
        <v>1959.7497903854783</v>
      </c>
      <c r="T205" s="457"/>
      <c r="U205" s="425"/>
      <c r="V205" s="425"/>
      <c r="W205" s="425"/>
      <c r="X205" s="425"/>
      <c r="Y205" s="425"/>
      <c r="Z205" s="425"/>
      <c r="AA205" s="425"/>
      <c r="AB205" s="425"/>
      <c r="AC205" s="425"/>
      <c r="AD205" s="425"/>
      <c r="AE205" s="425"/>
      <c r="AG205" s="425"/>
      <c r="AH205" s="425"/>
      <c r="AI205" s="425"/>
      <c r="AJ205" s="425"/>
      <c r="AK205" s="425"/>
      <c r="AL205" s="425"/>
      <c r="AM205" s="425"/>
      <c r="AN205" s="425"/>
      <c r="AO205" s="425"/>
      <c r="AP205" s="425"/>
      <c r="AQ205" s="425"/>
    </row>
    <row r="206" spans="1:43" s="270" customFormat="1" x14ac:dyDescent="0.25">
      <c r="A206" s="416">
        <v>501442</v>
      </c>
      <c r="B206" s="271">
        <v>1442</v>
      </c>
      <c r="C206" s="271">
        <v>200243</v>
      </c>
      <c r="D206" s="268" t="s">
        <v>894</v>
      </c>
      <c r="E206" s="268" t="s">
        <v>1290</v>
      </c>
      <c r="F206" s="268" t="s">
        <v>2450</v>
      </c>
      <c r="G206" s="268">
        <v>7</v>
      </c>
      <c r="H206" s="268" t="s">
        <v>2667</v>
      </c>
      <c r="I206" s="268" t="s">
        <v>2665</v>
      </c>
      <c r="J206" s="458">
        <v>403324.29629139253</v>
      </c>
      <c r="K206" s="458">
        <v>33610.358024282716</v>
      </c>
      <c r="L206" s="458">
        <v>11194.760870699611</v>
      </c>
      <c r="M206" s="456">
        <v>0</v>
      </c>
      <c r="N206" s="458">
        <v>119.49693843813893</v>
      </c>
      <c r="O206" s="458">
        <v>88012.81451909036</v>
      </c>
      <c r="P206" s="459">
        <v>7058.1751850993705</v>
      </c>
      <c r="Q206" s="458">
        <v>55400.108403681625</v>
      </c>
      <c r="R206" s="458">
        <v>72880.700339854637</v>
      </c>
      <c r="S206" s="458">
        <v>1959.7497903854783</v>
      </c>
      <c r="T206" s="457"/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5"/>
      <c r="AG206" s="425"/>
      <c r="AH206" s="425"/>
      <c r="AI206" s="425"/>
      <c r="AJ206" s="425"/>
      <c r="AK206" s="425"/>
      <c r="AL206" s="425"/>
      <c r="AM206" s="425"/>
      <c r="AN206" s="425"/>
      <c r="AO206" s="425"/>
      <c r="AP206" s="425"/>
      <c r="AQ206" s="425"/>
    </row>
    <row r="207" spans="1:43" x14ac:dyDescent="0.25">
      <c r="A207" s="271">
        <v>501444</v>
      </c>
      <c r="B207" s="271">
        <v>1444</v>
      </c>
      <c r="C207" s="271">
        <v>11235</v>
      </c>
      <c r="D207" s="268" t="s">
        <v>1698</v>
      </c>
      <c r="E207" s="268" t="s">
        <v>1290</v>
      </c>
      <c r="F207" s="268" t="s">
        <v>2668</v>
      </c>
      <c r="G207" s="268">
        <v>8</v>
      </c>
      <c r="H207" s="268" t="s">
        <v>2669</v>
      </c>
      <c r="I207" s="268" t="s">
        <v>2670</v>
      </c>
      <c r="J207" s="458">
        <v>378561.87515948934</v>
      </c>
      <c r="K207" s="458">
        <v>31546.822929957445</v>
      </c>
      <c r="L207" s="458">
        <v>11194.760870699611</v>
      </c>
      <c r="M207" s="456">
        <v>5532.2656684323565</v>
      </c>
      <c r="N207" s="458">
        <v>119.49693843813893</v>
      </c>
      <c r="O207" s="459">
        <v>0</v>
      </c>
      <c r="P207" s="459">
        <v>6624.8328152910635</v>
      </c>
      <c r="Q207" s="458">
        <v>55400.108403681625</v>
      </c>
      <c r="R207" s="458">
        <v>68406.130841319726</v>
      </c>
      <c r="S207" s="458">
        <v>1959.7497903854783</v>
      </c>
      <c r="T207" s="457"/>
      <c r="U207" s="425"/>
      <c r="V207" s="425"/>
      <c r="W207" s="425"/>
      <c r="X207" s="425"/>
      <c r="Y207" s="425"/>
      <c r="Z207" s="425"/>
      <c r="AA207" s="425"/>
      <c r="AB207" s="425"/>
      <c r="AC207" s="425"/>
      <c r="AD207" s="425"/>
      <c r="AE207" s="425"/>
      <c r="AF207" s="424"/>
      <c r="AG207" s="425"/>
      <c r="AH207" s="425"/>
      <c r="AI207" s="425"/>
      <c r="AJ207" s="425"/>
      <c r="AK207" s="425"/>
      <c r="AL207" s="425"/>
      <c r="AM207" s="425"/>
      <c r="AN207" s="425"/>
      <c r="AO207" s="425"/>
      <c r="AP207" s="425"/>
      <c r="AQ207" s="425"/>
    </row>
    <row r="208" spans="1:43" s="270" customFormat="1" x14ac:dyDescent="0.25">
      <c r="A208" s="271">
        <v>501443</v>
      </c>
      <c r="B208" s="271">
        <v>1443</v>
      </c>
      <c r="C208" s="271">
        <v>13916</v>
      </c>
      <c r="D208" s="268" t="s">
        <v>1698</v>
      </c>
      <c r="E208" s="268" t="s">
        <v>1290</v>
      </c>
      <c r="F208" s="268" t="s">
        <v>2671</v>
      </c>
      <c r="G208" s="268">
        <v>8</v>
      </c>
      <c r="H208" s="268" t="s">
        <v>2672</v>
      </c>
      <c r="I208" s="268" t="s">
        <v>2673</v>
      </c>
      <c r="J208" s="458">
        <v>378561.87515948934</v>
      </c>
      <c r="K208" s="458">
        <v>31546.822929957445</v>
      </c>
      <c r="L208" s="458">
        <v>11194.760870699611</v>
      </c>
      <c r="M208" s="456">
        <v>0</v>
      </c>
      <c r="N208" s="458">
        <v>119.49693843813893</v>
      </c>
      <c r="O208" s="458">
        <v>83266.1305755754</v>
      </c>
      <c r="P208" s="459">
        <v>6624.8328152910635</v>
      </c>
      <c r="Q208" s="458">
        <v>55400.108403681625</v>
      </c>
      <c r="R208" s="458">
        <v>68406.130841319726</v>
      </c>
      <c r="S208" s="458">
        <v>1959.7497903854783</v>
      </c>
      <c r="T208" s="457"/>
      <c r="U208" s="425"/>
      <c r="V208" s="425"/>
      <c r="W208" s="425"/>
      <c r="X208" s="425"/>
      <c r="Y208" s="425"/>
      <c r="Z208" s="425"/>
      <c r="AA208" s="425"/>
      <c r="AB208" s="425"/>
      <c r="AC208" s="425"/>
      <c r="AD208" s="425"/>
      <c r="AE208" s="425"/>
      <c r="AG208" s="425"/>
      <c r="AH208" s="425"/>
      <c r="AI208" s="425"/>
      <c r="AJ208" s="425"/>
      <c r="AK208" s="425"/>
      <c r="AL208" s="425"/>
      <c r="AM208" s="425"/>
      <c r="AN208" s="425"/>
      <c r="AO208" s="425"/>
      <c r="AP208" s="425"/>
      <c r="AQ208" s="425"/>
    </row>
    <row r="209" spans="1:43" s="270" customFormat="1" x14ac:dyDescent="0.25">
      <c r="A209" s="271">
        <v>501444</v>
      </c>
      <c r="B209" s="271">
        <v>1444</v>
      </c>
      <c r="C209" s="271">
        <v>19606</v>
      </c>
      <c r="D209" s="268" t="s">
        <v>1698</v>
      </c>
      <c r="E209" s="268" t="s">
        <v>1290</v>
      </c>
      <c r="F209" s="268" t="s">
        <v>2674</v>
      </c>
      <c r="G209" s="268">
        <v>8</v>
      </c>
      <c r="H209" s="268" t="s">
        <v>2675</v>
      </c>
      <c r="I209" s="268" t="s">
        <v>2670</v>
      </c>
      <c r="J209" s="458">
        <v>378561.87515948934</v>
      </c>
      <c r="K209" s="458">
        <v>31546.822929957445</v>
      </c>
      <c r="L209" s="458">
        <v>11194.760870699611</v>
      </c>
      <c r="M209" s="456">
        <v>5532.2656684323565</v>
      </c>
      <c r="N209" s="458">
        <v>119.49693843813893</v>
      </c>
      <c r="O209" s="459">
        <v>0</v>
      </c>
      <c r="P209" s="459">
        <v>6624.8328152910635</v>
      </c>
      <c r="Q209" s="458">
        <v>55400.108403681625</v>
      </c>
      <c r="R209" s="458">
        <v>68406.130841319726</v>
      </c>
      <c r="S209" s="458">
        <v>1959.7497903854783</v>
      </c>
      <c r="T209" s="457"/>
      <c r="U209" s="425"/>
      <c r="V209" s="425"/>
      <c r="W209" s="425"/>
      <c r="X209" s="425"/>
      <c r="Y209" s="425"/>
      <c r="Z209" s="425"/>
      <c r="AA209" s="425"/>
      <c r="AB209" s="425"/>
      <c r="AC209" s="425"/>
      <c r="AD209" s="425"/>
      <c r="AE209" s="425"/>
      <c r="AG209" s="425"/>
      <c r="AH209" s="425"/>
      <c r="AI209" s="425"/>
      <c r="AJ209" s="425"/>
      <c r="AK209" s="425"/>
      <c r="AL209" s="425"/>
      <c r="AM209" s="425"/>
      <c r="AN209" s="425"/>
      <c r="AO209" s="425"/>
      <c r="AP209" s="425"/>
      <c r="AQ209" s="425"/>
    </row>
    <row r="210" spans="1:43" s="270" customFormat="1" x14ac:dyDescent="0.25">
      <c r="A210" s="276">
        <v>501444</v>
      </c>
      <c r="B210" s="276">
        <v>1444</v>
      </c>
      <c r="C210" s="276">
        <v>26916</v>
      </c>
      <c r="D210" s="268" t="s">
        <v>894</v>
      </c>
      <c r="E210" s="268" t="s">
        <v>1290</v>
      </c>
      <c r="F210" s="268" t="s">
        <v>2425</v>
      </c>
      <c r="G210" s="268">
        <v>8</v>
      </c>
      <c r="H210" s="268" t="s">
        <v>2676</v>
      </c>
      <c r="I210" s="268" t="s">
        <v>2677</v>
      </c>
      <c r="J210" s="456">
        <v>378561.87515948934</v>
      </c>
      <c r="K210" s="459">
        <v>31546.822929957445</v>
      </c>
      <c r="L210" s="458">
        <v>11194.760870699611</v>
      </c>
      <c r="M210" s="456">
        <v>10290.014143284185</v>
      </c>
      <c r="N210" s="459">
        <v>119.49693843813893</v>
      </c>
      <c r="O210" s="459">
        <v>0</v>
      </c>
      <c r="P210" s="459">
        <v>6624.8328152910635</v>
      </c>
      <c r="Q210" s="458">
        <v>55400.108403681625</v>
      </c>
      <c r="R210" s="459">
        <v>68406.130841319726</v>
      </c>
      <c r="S210" s="459">
        <v>1959.7497903854783</v>
      </c>
      <c r="T210" s="457"/>
      <c r="U210" s="425"/>
      <c r="V210" s="425"/>
      <c r="W210" s="425"/>
      <c r="X210" s="425"/>
      <c r="Y210" s="425"/>
      <c r="Z210" s="425"/>
      <c r="AA210" s="425"/>
      <c r="AB210" s="425"/>
      <c r="AC210" s="425"/>
      <c r="AD210" s="425"/>
      <c r="AE210" s="425"/>
      <c r="AG210" s="425"/>
      <c r="AH210" s="425"/>
      <c r="AI210" s="425"/>
      <c r="AJ210" s="425"/>
      <c r="AK210" s="425"/>
      <c r="AL210" s="425"/>
      <c r="AM210" s="425"/>
      <c r="AN210" s="425"/>
      <c r="AO210" s="425"/>
      <c r="AP210" s="425"/>
      <c r="AQ210" s="425"/>
    </row>
    <row r="211" spans="1:43" x14ac:dyDescent="0.25">
      <c r="A211" s="271">
        <v>501503</v>
      </c>
      <c r="B211" s="271">
        <v>1503</v>
      </c>
      <c r="C211" s="271">
        <v>35127</v>
      </c>
      <c r="D211" s="268" t="s">
        <v>894</v>
      </c>
      <c r="E211" s="268" t="s">
        <v>1290</v>
      </c>
      <c r="F211" s="268" t="s">
        <v>2508</v>
      </c>
      <c r="G211" s="268">
        <v>8</v>
      </c>
      <c r="H211" s="268" t="s">
        <v>2678</v>
      </c>
      <c r="I211" s="268" t="s">
        <v>2679</v>
      </c>
      <c r="J211" s="458">
        <v>378561.87515948934</v>
      </c>
      <c r="K211" s="458">
        <v>31546.822929957445</v>
      </c>
      <c r="L211" s="458">
        <v>11194.760870699611</v>
      </c>
      <c r="M211" s="456">
        <v>0</v>
      </c>
      <c r="N211" s="458">
        <v>119.49693843813893</v>
      </c>
      <c r="O211" s="459">
        <v>0</v>
      </c>
      <c r="P211" s="459">
        <v>6624.8328152910635</v>
      </c>
      <c r="Q211" s="458">
        <v>55400.108403681625</v>
      </c>
      <c r="R211" s="458">
        <v>68406.130841319726</v>
      </c>
      <c r="S211" s="458">
        <v>1959.7497903854783</v>
      </c>
      <c r="T211" s="457"/>
      <c r="U211" s="425"/>
      <c r="V211" s="425"/>
      <c r="W211" s="425"/>
      <c r="X211" s="425"/>
      <c r="Y211" s="425"/>
      <c r="Z211" s="425"/>
      <c r="AA211" s="425"/>
      <c r="AB211" s="425"/>
      <c r="AC211" s="425"/>
      <c r="AD211" s="425"/>
      <c r="AE211" s="425"/>
      <c r="AF211" s="424"/>
      <c r="AG211" s="425"/>
      <c r="AH211" s="425"/>
      <c r="AI211" s="425"/>
      <c r="AJ211" s="425"/>
      <c r="AK211" s="425"/>
      <c r="AL211" s="425"/>
      <c r="AM211" s="425"/>
      <c r="AN211" s="425"/>
      <c r="AO211" s="425"/>
      <c r="AP211" s="425"/>
      <c r="AQ211" s="425"/>
    </row>
    <row r="212" spans="1:43" s="270" customFormat="1" x14ac:dyDescent="0.25">
      <c r="A212" s="271">
        <v>501206</v>
      </c>
      <c r="B212" s="271">
        <v>1206</v>
      </c>
      <c r="C212" s="271">
        <v>51282</v>
      </c>
      <c r="D212" s="268" t="s">
        <v>894</v>
      </c>
      <c r="E212" s="268" t="s">
        <v>1278</v>
      </c>
      <c r="F212" s="268" t="s">
        <v>2680</v>
      </c>
      <c r="G212" s="268">
        <v>8</v>
      </c>
      <c r="H212" s="268" t="s">
        <v>2681</v>
      </c>
      <c r="I212" s="268" t="s">
        <v>2682</v>
      </c>
      <c r="J212" s="458">
        <v>378561.87515948934</v>
      </c>
      <c r="K212" s="458">
        <v>31546.822929957445</v>
      </c>
      <c r="L212" s="458">
        <v>11194.760870699611</v>
      </c>
      <c r="M212" s="456">
        <v>0</v>
      </c>
      <c r="N212" s="458">
        <v>119.49693843813893</v>
      </c>
      <c r="O212" s="459">
        <v>0</v>
      </c>
      <c r="P212" s="459">
        <v>6624.8328152910635</v>
      </c>
      <c r="Q212" s="458">
        <v>55400.108403681625</v>
      </c>
      <c r="R212" s="458">
        <v>68406.130841319726</v>
      </c>
      <c r="S212" s="458">
        <v>1959.7497903854783</v>
      </c>
      <c r="T212" s="457"/>
      <c r="U212" s="425"/>
      <c r="V212" s="425"/>
      <c r="W212" s="425"/>
      <c r="X212" s="425"/>
      <c r="Y212" s="425"/>
      <c r="Z212" s="425"/>
      <c r="AA212" s="425"/>
      <c r="AB212" s="425"/>
      <c r="AC212" s="425"/>
      <c r="AD212" s="425"/>
      <c r="AE212" s="425"/>
      <c r="AG212" s="425"/>
      <c r="AH212" s="425"/>
      <c r="AI212" s="425"/>
      <c r="AJ212" s="425"/>
      <c r="AK212" s="425"/>
      <c r="AL212" s="425"/>
      <c r="AM212" s="425"/>
      <c r="AN212" s="425"/>
      <c r="AO212" s="425"/>
      <c r="AP212" s="425"/>
      <c r="AQ212" s="425"/>
    </row>
    <row r="213" spans="1:43" s="270" customFormat="1" x14ac:dyDescent="0.25">
      <c r="A213" s="271">
        <v>501444</v>
      </c>
      <c r="B213" s="271">
        <v>1444</v>
      </c>
      <c r="C213" s="271">
        <v>56559</v>
      </c>
      <c r="D213" s="268" t="s">
        <v>894</v>
      </c>
      <c r="E213" s="268" t="s">
        <v>1290</v>
      </c>
      <c r="F213" s="268" t="s">
        <v>2683</v>
      </c>
      <c r="G213" s="268">
        <v>8</v>
      </c>
      <c r="H213" s="268" t="s">
        <v>2684</v>
      </c>
      <c r="I213" s="268" t="s">
        <v>2670</v>
      </c>
      <c r="J213" s="458">
        <v>378561.87515948934</v>
      </c>
      <c r="K213" s="458">
        <v>31546.822929957445</v>
      </c>
      <c r="L213" s="458">
        <v>11194.760870699611</v>
      </c>
      <c r="M213" s="456">
        <v>5532.2656684323565</v>
      </c>
      <c r="N213" s="458">
        <v>119.49693843813893</v>
      </c>
      <c r="O213" s="459">
        <v>0</v>
      </c>
      <c r="P213" s="459">
        <v>6624.8328152910635</v>
      </c>
      <c r="Q213" s="458">
        <v>55400.108403681625</v>
      </c>
      <c r="R213" s="458">
        <v>68406.130841319726</v>
      </c>
      <c r="S213" s="458">
        <v>1959.7497903854783</v>
      </c>
      <c r="T213" s="457"/>
      <c r="U213" s="425"/>
      <c r="V213" s="425"/>
      <c r="W213" s="425"/>
      <c r="X213" s="425"/>
      <c r="Y213" s="425"/>
      <c r="Z213" s="425"/>
      <c r="AA213" s="425"/>
      <c r="AB213" s="425"/>
      <c r="AC213" s="425"/>
      <c r="AD213" s="425"/>
      <c r="AE213" s="425"/>
      <c r="AG213" s="425"/>
      <c r="AH213" s="425"/>
      <c r="AI213" s="425"/>
      <c r="AJ213" s="425"/>
      <c r="AK213" s="425"/>
      <c r="AL213" s="425"/>
      <c r="AM213" s="425"/>
      <c r="AN213" s="425"/>
      <c r="AO213" s="425"/>
      <c r="AP213" s="425"/>
      <c r="AQ213" s="425"/>
    </row>
    <row r="214" spans="1:43" s="270" customFormat="1" x14ac:dyDescent="0.25">
      <c r="A214" s="271">
        <v>501206</v>
      </c>
      <c r="B214" s="271">
        <v>1206</v>
      </c>
      <c r="C214" s="271">
        <v>59310</v>
      </c>
      <c r="D214" s="268" t="s">
        <v>894</v>
      </c>
      <c r="E214" s="268" t="s">
        <v>1278</v>
      </c>
      <c r="F214" s="268" t="s">
        <v>2685</v>
      </c>
      <c r="G214" s="268">
        <v>8</v>
      </c>
      <c r="H214" s="268" t="s">
        <v>2686</v>
      </c>
      <c r="I214" s="268" t="s">
        <v>2687</v>
      </c>
      <c r="J214" s="458">
        <v>378561.87515948934</v>
      </c>
      <c r="K214" s="458">
        <v>31546.822929957445</v>
      </c>
      <c r="L214" s="458">
        <v>11194.760870699611</v>
      </c>
      <c r="M214" s="456">
        <v>0</v>
      </c>
      <c r="N214" s="458">
        <v>119.49693843813893</v>
      </c>
      <c r="O214" s="459">
        <v>0</v>
      </c>
      <c r="P214" s="459">
        <v>6624.8328152910635</v>
      </c>
      <c r="Q214" s="458">
        <v>55400.108403681625</v>
      </c>
      <c r="R214" s="458">
        <v>68406.130841319726</v>
      </c>
      <c r="S214" s="458">
        <v>1959.7497903854783</v>
      </c>
      <c r="T214" s="457"/>
      <c r="U214" s="425"/>
      <c r="V214" s="425"/>
      <c r="W214" s="425"/>
      <c r="X214" s="425"/>
      <c r="Y214" s="425"/>
      <c r="Z214" s="425"/>
      <c r="AA214" s="425"/>
      <c r="AB214" s="425"/>
      <c r="AC214" s="425"/>
      <c r="AD214" s="425"/>
      <c r="AE214" s="425"/>
      <c r="AG214" s="425"/>
      <c r="AH214" s="425"/>
      <c r="AI214" s="425"/>
      <c r="AJ214" s="425"/>
      <c r="AK214" s="425"/>
      <c r="AL214" s="425"/>
      <c r="AM214" s="425"/>
      <c r="AN214" s="425"/>
      <c r="AO214" s="425"/>
      <c r="AP214" s="425"/>
      <c r="AQ214" s="425"/>
    </row>
    <row r="215" spans="1:43" s="270" customFormat="1" x14ac:dyDescent="0.25">
      <c r="A215" s="271">
        <v>501443</v>
      </c>
      <c r="B215" s="271">
        <v>1443</v>
      </c>
      <c r="C215" s="271">
        <v>84518</v>
      </c>
      <c r="D215" s="268" t="s">
        <v>894</v>
      </c>
      <c r="E215" s="268" t="s">
        <v>1290</v>
      </c>
      <c r="F215" s="268" t="s">
        <v>776</v>
      </c>
      <c r="G215" s="268">
        <v>8</v>
      </c>
      <c r="H215" s="268" t="s">
        <v>2688</v>
      </c>
      <c r="I215" s="268" t="s">
        <v>2689</v>
      </c>
      <c r="J215" s="458">
        <v>378561.87515948934</v>
      </c>
      <c r="K215" s="458">
        <v>31546.822929957445</v>
      </c>
      <c r="L215" s="458">
        <v>11194.760870699611</v>
      </c>
      <c r="M215" s="456">
        <v>0</v>
      </c>
      <c r="N215" s="458">
        <v>119.49693843813893</v>
      </c>
      <c r="O215" s="459">
        <v>0</v>
      </c>
      <c r="P215" s="459">
        <v>6624.8328152910635</v>
      </c>
      <c r="Q215" s="458">
        <v>55400.108403681625</v>
      </c>
      <c r="R215" s="458">
        <v>68406.130841319726</v>
      </c>
      <c r="S215" s="458">
        <v>1959.7497903854783</v>
      </c>
      <c r="T215" s="457"/>
      <c r="U215" s="425"/>
      <c r="V215" s="425"/>
      <c r="W215" s="425"/>
      <c r="X215" s="425"/>
      <c r="Y215" s="425"/>
      <c r="Z215" s="425"/>
      <c r="AA215" s="425"/>
      <c r="AB215" s="425"/>
      <c r="AC215" s="425"/>
      <c r="AD215" s="425"/>
      <c r="AE215" s="425"/>
      <c r="AG215" s="425"/>
      <c r="AH215" s="425"/>
      <c r="AI215" s="425"/>
      <c r="AJ215" s="425"/>
      <c r="AK215" s="425"/>
      <c r="AL215" s="425"/>
      <c r="AM215" s="425"/>
      <c r="AN215" s="425"/>
      <c r="AO215" s="425"/>
      <c r="AP215" s="425"/>
      <c r="AQ215" s="425"/>
    </row>
    <row r="216" spans="1:43" s="270" customFormat="1" x14ac:dyDescent="0.25">
      <c r="A216" s="271">
        <v>501443</v>
      </c>
      <c r="B216" s="271">
        <v>1443</v>
      </c>
      <c r="C216" s="271">
        <v>84521</v>
      </c>
      <c r="D216" s="268" t="s">
        <v>894</v>
      </c>
      <c r="E216" s="268" t="s">
        <v>1290</v>
      </c>
      <c r="F216" s="268" t="s">
        <v>2660</v>
      </c>
      <c r="G216" s="268">
        <v>8</v>
      </c>
      <c r="H216" s="268" t="s">
        <v>2690</v>
      </c>
      <c r="I216" s="268" t="s">
        <v>2689</v>
      </c>
      <c r="J216" s="458">
        <v>378561.87515948934</v>
      </c>
      <c r="K216" s="458">
        <v>31546.822929957445</v>
      </c>
      <c r="L216" s="458">
        <v>11194.760870699611</v>
      </c>
      <c r="M216" s="456">
        <v>0</v>
      </c>
      <c r="N216" s="458">
        <v>119.49693843813893</v>
      </c>
      <c r="O216" s="459">
        <v>0</v>
      </c>
      <c r="P216" s="459">
        <v>6624.8328152910635</v>
      </c>
      <c r="Q216" s="458">
        <v>55400.108403681625</v>
      </c>
      <c r="R216" s="458">
        <v>68406.130841319726</v>
      </c>
      <c r="S216" s="458">
        <v>1959.7497903854783</v>
      </c>
      <c r="T216" s="457"/>
      <c r="U216" s="425"/>
      <c r="V216" s="425"/>
      <c r="W216" s="425"/>
      <c r="X216" s="425"/>
      <c r="Y216" s="425"/>
      <c r="Z216" s="425"/>
      <c r="AA216" s="425"/>
      <c r="AB216" s="425"/>
      <c r="AC216" s="425"/>
      <c r="AD216" s="425"/>
      <c r="AE216" s="425"/>
      <c r="AG216" s="425"/>
      <c r="AH216" s="425"/>
      <c r="AI216" s="425"/>
      <c r="AJ216" s="425"/>
      <c r="AK216" s="425"/>
      <c r="AL216" s="425"/>
      <c r="AM216" s="425"/>
      <c r="AN216" s="425"/>
      <c r="AO216" s="425"/>
      <c r="AP216" s="425"/>
      <c r="AQ216" s="425"/>
    </row>
    <row r="217" spans="1:43" s="270" customFormat="1" x14ac:dyDescent="0.25">
      <c r="A217" s="271">
        <v>501443</v>
      </c>
      <c r="B217" s="271">
        <v>1443</v>
      </c>
      <c r="C217" s="271">
        <v>87971</v>
      </c>
      <c r="D217" s="268" t="s">
        <v>1698</v>
      </c>
      <c r="E217" s="268" t="s">
        <v>1290</v>
      </c>
      <c r="F217" s="268" t="s">
        <v>2691</v>
      </c>
      <c r="G217" s="268">
        <v>8</v>
      </c>
      <c r="H217" s="268" t="s">
        <v>2692</v>
      </c>
      <c r="I217" s="268" t="s">
        <v>2693</v>
      </c>
      <c r="J217" s="458">
        <v>378561.87515948934</v>
      </c>
      <c r="K217" s="458">
        <v>31546.822929957445</v>
      </c>
      <c r="L217" s="458">
        <v>11194.760870699611</v>
      </c>
      <c r="M217" s="456">
        <v>0</v>
      </c>
      <c r="N217" s="458">
        <v>119.49693843813893</v>
      </c>
      <c r="O217" s="458">
        <v>83266.1305755754</v>
      </c>
      <c r="P217" s="459">
        <v>6624.8328152910635</v>
      </c>
      <c r="Q217" s="458">
        <v>55400.108403681625</v>
      </c>
      <c r="R217" s="458">
        <v>68406.130841319726</v>
      </c>
      <c r="S217" s="458">
        <v>1959.7497903854783</v>
      </c>
      <c r="T217" s="457"/>
      <c r="U217" s="425"/>
      <c r="V217" s="425"/>
      <c r="W217" s="425"/>
      <c r="X217" s="425"/>
      <c r="Y217" s="425"/>
      <c r="Z217" s="425"/>
      <c r="AA217" s="425"/>
      <c r="AB217" s="425"/>
      <c r="AC217" s="425"/>
      <c r="AD217" s="425"/>
      <c r="AE217" s="425"/>
      <c r="AG217" s="425"/>
      <c r="AH217" s="425"/>
      <c r="AI217" s="425"/>
      <c r="AJ217" s="425"/>
      <c r="AK217" s="425"/>
      <c r="AL217" s="425"/>
      <c r="AM217" s="425"/>
      <c r="AN217" s="425"/>
      <c r="AO217" s="425"/>
      <c r="AP217" s="425"/>
      <c r="AQ217" s="425"/>
    </row>
    <row r="218" spans="1:43" s="270" customFormat="1" x14ac:dyDescent="0.25">
      <c r="A218" s="271">
        <v>501206</v>
      </c>
      <c r="B218" s="271">
        <v>1206</v>
      </c>
      <c r="C218" s="271">
        <v>97136</v>
      </c>
      <c r="D218" s="268" t="s">
        <v>894</v>
      </c>
      <c r="E218" s="268" t="s">
        <v>1278</v>
      </c>
      <c r="F218" s="268" t="s">
        <v>2694</v>
      </c>
      <c r="G218" s="268">
        <v>8</v>
      </c>
      <c r="H218" s="268" t="s">
        <v>2695</v>
      </c>
      <c r="I218" s="268" t="s">
        <v>2682</v>
      </c>
      <c r="J218" s="458">
        <v>378561.87515948934</v>
      </c>
      <c r="K218" s="458">
        <v>31546.822929957445</v>
      </c>
      <c r="L218" s="458">
        <v>11194.760870699611</v>
      </c>
      <c r="M218" s="456">
        <v>0</v>
      </c>
      <c r="N218" s="458">
        <v>119.49693843813893</v>
      </c>
      <c r="O218" s="459">
        <v>0</v>
      </c>
      <c r="P218" s="459">
        <v>6624.8328152910635</v>
      </c>
      <c r="Q218" s="458">
        <v>55400.108403681625</v>
      </c>
      <c r="R218" s="458">
        <v>68406.130841319726</v>
      </c>
      <c r="S218" s="458">
        <v>1959.7497903854783</v>
      </c>
      <c r="T218" s="457"/>
      <c r="U218" s="425"/>
      <c r="V218" s="425"/>
      <c r="W218" s="425"/>
      <c r="X218" s="425"/>
      <c r="Y218" s="425"/>
      <c r="Z218" s="425"/>
      <c r="AA218" s="425"/>
      <c r="AB218" s="425"/>
      <c r="AC218" s="425"/>
      <c r="AD218" s="425"/>
      <c r="AE218" s="425"/>
      <c r="AG218" s="425"/>
      <c r="AH218" s="425"/>
      <c r="AI218" s="425"/>
      <c r="AJ218" s="425"/>
      <c r="AK218" s="425"/>
      <c r="AL218" s="425"/>
      <c r="AM218" s="425"/>
      <c r="AN218" s="425"/>
      <c r="AO218" s="425"/>
      <c r="AP218" s="425"/>
      <c r="AQ218" s="425"/>
    </row>
    <row r="219" spans="1:43" s="270" customFormat="1" x14ac:dyDescent="0.25">
      <c r="A219" s="276">
        <v>501444</v>
      </c>
      <c r="B219" s="276">
        <v>1444</v>
      </c>
      <c r="C219" s="276">
        <v>200017</v>
      </c>
      <c r="D219" s="268" t="s">
        <v>894</v>
      </c>
      <c r="E219" s="268" t="s">
        <v>1290</v>
      </c>
      <c r="F219" s="268" t="s">
        <v>2696</v>
      </c>
      <c r="G219" s="268">
        <v>8</v>
      </c>
      <c r="H219" s="268" t="s">
        <v>2697</v>
      </c>
      <c r="I219" s="268" t="s">
        <v>2677</v>
      </c>
      <c r="J219" s="456">
        <v>378561.87515948934</v>
      </c>
      <c r="K219" s="459">
        <v>31546.822929957445</v>
      </c>
      <c r="L219" s="458">
        <v>11194.760870699611</v>
      </c>
      <c r="M219" s="456">
        <v>10290.014143284185</v>
      </c>
      <c r="N219" s="459">
        <v>119.49693843813893</v>
      </c>
      <c r="O219" s="459">
        <v>0</v>
      </c>
      <c r="P219" s="459">
        <v>6624.8328152910635</v>
      </c>
      <c r="Q219" s="458">
        <v>55400.108403681625</v>
      </c>
      <c r="R219" s="459">
        <v>68406.130841319726</v>
      </c>
      <c r="S219" s="459">
        <v>1959.7497903854783</v>
      </c>
      <c r="T219" s="457"/>
      <c r="U219" s="425"/>
      <c r="V219" s="425"/>
      <c r="W219" s="425"/>
      <c r="X219" s="425"/>
      <c r="Y219" s="425"/>
      <c r="Z219" s="425"/>
      <c r="AA219" s="425"/>
      <c r="AB219" s="425"/>
      <c r="AC219" s="425"/>
      <c r="AD219" s="425"/>
      <c r="AE219" s="425"/>
      <c r="AG219" s="425"/>
      <c r="AH219" s="425"/>
      <c r="AI219" s="425"/>
      <c r="AJ219" s="425"/>
      <c r="AK219" s="425"/>
      <c r="AL219" s="425"/>
      <c r="AM219" s="425"/>
      <c r="AN219" s="425"/>
      <c r="AO219" s="425"/>
      <c r="AP219" s="425"/>
      <c r="AQ219" s="425"/>
    </row>
    <row r="220" spans="1:43" s="270" customFormat="1" x14ac:dyDescent="0.25">
      <c r="A220" s="271">
        <v>501443</v>
      </c>
      <c r="B220" s="271">
        <v>1443</v>
      </c>
      <c r="C220" s="271">
        <v>200038</v>
      </c>
      <c r="D220" s="268" t="s">
        <v>894</v>
      </c>
      <c r="E220" s="268" t="s">
        <v>1278</v>
      </c>
      <c r="F220" s="268" t="s">
        <v>2243</v>
      </c>
      <c r="G220" s="268">
        <v>8</v>
      </c>
      <c r="H220" s="268" t="s">
        <v>2698</v>
      </c>
      <c r="I220" s="268" t="s">
        <v>2689</v>
      </c>
      <c r="J220" s="458">
        <v>378561.87515948934</v>
      </c>
      <c r="K220" s="458">
        <v>31546.822929957445</v>
      </c>
      <c r="L220" s="458">
        <v>11194.760870699611</v>
      </c>
      <c r="M220" s="456">
        <v>0</v>
      </c>
      <c r="N220" s="458">
        <v>119.49693843813893</v>
      </c>
      <c r="O220" s="459">
        <v>0</v>
      </c>
      <c r="P220" s="459">
        <v>6624.8328152910635</v>
      </c>
      <c r="Q220" s="458">
        <v>55400.108403681625</v>
      </c>
      <c r="R220" s="458">
        <v>68406.130841319726</v>
      </c>
      <c r="S220" s="458">
        <v>1959.7497903854783</v>
      </c>
      <c r="T220" s="457"/>
      <c r="U220" s="425"/>
      <c r="V220" s="425"/>
      <c r="W220" s="425"/>
      <c r="X220" s="425"/>
      <c r="Y220" s="425"/>
      <c r="Z220" s="425"/>
      <c r="AA220" s="425"/>
      <c r="AB220" s="425"/>
      <c r="AC220" s="425"/>
      <c r="AD220" s="425"/>
      <c r="AE220" s="425"/>
      <c r="AG220" s="425"/>
      <c r="AH220" s="425"/>
      <c r="AI220" s="425"/>
      <c r="AJ220" s="425"/>
      <c r="AK220" s="425"/>
      <c r="AL220" s="425"/>
      <c r="AM220" s="425"/>
      <c r="AN220" s="425"/>
      <c r="AO220" s="425"/>
      <c r="AP220" s="425"/>
      <c r="AQ220" s="425"/>
    </row>
    <row r="221" spans="1:43" s="270" customFormat="1" x14ac:dyDescent="0.25">
      <c r="A221" s="271">
        <v>501503</v>
      </c>
      <c r="B221" s="271">
        <v>1503</v>
      </c>
      <c r="C221" s="271">
        <v>200076</v>
      </c>
      <c r="D221" s="268" t="s">
        <v>894</v>
      </c>
      <c r="E221" s="268" t="s">
        <v>1290</v>
      </c>
      <c r="F221" s="268" t="s">
        <v>2336</v>
      </c>
      <c r="G221" s="268">
        <v>8</v>
      </c>
      <c r="H221" s="268" t="s">
        <v>2699</v>
      </c>
      <c r="I221" s="268" t="s">
        <v>2700</v>
      </c>
      <c r="J221" s="458">
        <v>378561.87515948934</v>
      </c>
      <c r="K221" s="458">
        <v>31546.822929957445</v>
      </c>
      <c r="L221" s="458">
        <v>11194.760870699611</v>
      </c>
      <c r="M221" s="456">
        <v>0</v>
      </c>
      <c r="N221" s="458">
        <v>119.49693843813893</v>
      </c>
      <c r="O221" s="459">
        <v>0</v>
      </c>
      <c r="P221" s="459">
        <v>6624.8328152910635</v>
      </c>
      <c r="Q221" s="458">
        <v>55400.108403681625</v>
      </c>
      <c r="R221" s="458">
        <v>68406.130841319726</v>
      </c>
      <c r="S221" s="458">
        <v>1959.7497903854783</v>
      </c>
      <c r="T221" s="457"/>
      <c r="U221" s="425"/>
      <c r="V221" s="425"/>
      <c r="W221" s="425"/>
      <c r="X221" s="425"/>
      <c r="Y221" s="425"/>
      <c r="Z221" s="425"/>
      <c r="AA221" s="425"/>
      <c r="AB221" s="425"/>
      <c r="AC221" s="425"/>
      <c r="AD221" s="425"/>
      <c r="AE221" s="425"/>
      <c r="AG221" s="425"/>
      <c r="AH221" s="425"/>
      <c r="AI221" s="425"/>
      <c r="AJ221" s="425"/>
      <c r="AK221" s="425"/>
      <c r="AL221" s="425"/>
      <c r="AM221" s="425"/>
      <c r="AN221" s="425"/>
      <c r="AO221" s="425"/>
      <c r="AP221" s="425"/>
      <c r="AQ221" s="425"/>
    </row>
    <row r="222" spans="1:43" s="270" customFormat="1" x14ac:dyDescent="0.25">
      <c r="A222" s="271">
        <v>501406</v>
      </c>
      <c r="B222" s="271">
        <v>1406</v>
      </c>
      <c r="C222" s="271">
        <v>200255</v>
      </c>
      <c r="D222" s="268" t="s">
        <v>894</v>
      </c>
      <c r="E222" s="268" t="s">
        <v>1278</v>
      </c>
      <c r="F222" s="268" t="s">
        <v>2701</v>
      </c>
      <c r="G222" s="268">
        <v>8</v>
      </c>
      <c r="H222" s="268" t="s">
        <v>2702</v>
      </c>
      <c r="I222" s="268" t="s">
        <v>2693</v>
      </c>
      <c r="J222" s="458">
        <v>378561.87515948934</v>
      </c>
      <c r="K222" s="458">
        <v>31546.822929957445</v>
      </c>
      <c r="L222" s="458">
        <v>11194.760870699611</v>
      </c>
      <c r="M222" s="456">
        <v>0</v>
      </c>
      <c r="N222" s="458">
        <v>119.49693843813893</v>
      </c>
      <c r="O222" s="458">
        <v>83266.1305755754</v>
      </c>
      <c r="P222" s="459">
        <v>6624.8328152910635</v>
      </c>
      <c r="Q222" s="458">
        <v>55400.108403681625</v>
      </c>
      <c r="R222" s="458">
        <v>68406.130841319726</v>
      </c>
      <c r="S222" s="458">
        <v>1959.7497903854783</v>
      </c>
      <c r="T222" s="457"/>
      <c r="U222" s="425"/>
      <c r="V222" s="425"/>
      <c r="W222" s="425"/>
      <c r="X222" s="425"/>
      <c r="Y222" s="425"/>
      <c r="Z222" s="425"/>
      <c r="AA222" s="425"/>
      <c r="AB222" s="425"/>
      <c r="AC222" s="425"/>
      <c r="AD222" s="425"/>
      <c r="AE222" s="425"/>
      <c r="AG222" s="425"/>
      <c r="AH222" s="425"/>
      <c r="AI222" s="425"/>
      <c r="AJ222" s="425"/>
      <c r="AK222" s="425"/>
      <c r="AL222" s="425"/>
      <c r="AM222" s="425"/>
      <c r="AN222" s="425"/>
      <c r="AO222" s="425"/>
      <c r="AP222" s="425"/>
      <c r="AQ222" s="425"/>
    </row>
    <row r="223" spans="1:43" s="270" customFormat="1" x14ac:dyDescent="0.25">
      <c r="A223" s="271">
        <v>501503</v>
      </c>
      <c r="B223" s="271">
        <v>1503</v>
      </c>
      <c r="C223" s="271">
        <v>200258</v>
      </c>
      <c r="D223" s="268" t="s">
        <v>894</v>
      </c>
      <c r="E223" s="268" t="s">
        <v>1290</v>
      </c>
      <c r="F223" s="268" t="s">
        <v>1304</v>
      </c>
      <c r="G223" s="268">
        <v>8</v>
      </c>
      <c r="H223" s="268" t="s">
        <v>2703</v>
      </c>
      <c r="I223" s="268" t="s">
        <v>2704</v>
      </c>
      <c r="J223" s="458">
        <v>378561.87515948934</v>
      </c>
      <c r="K223" s="458">
        <v>31546.822929957445</v>
      </c>
      <c r="L223" s="458">
        <v>11194.760870699611</v>
      </c>
      <c r="M223" s="456">
        <v>0</v>
      </c>
      <c r="N223" s="458">
        <v>119.49693843813893</v>
      </c>
      <c r="O223" s="459">
        <v>0</v>
      </c>
      <c r="P223" s="459">
        <v>6624.8328152910635</v>
      </c>
      <c r="Q223" s="458">
        <v>55400.108403681625</v>
      </c>
      <c r="R223" s="458">
        <v>68406.130841319726</v>
      </c>
      <c r="S223" s="458">
        <v>1959.7497903854783</v>
      </c>
      <c r="T223" s="457"/>
      <c r="U223" s="425"/>
      <c r="V223" s="425"/>
      <c r="W223" s="425"/>
      <c r="X223" s="425"/>
      <c r="Y223" s="425"/>
      <c r="Z223" s="425"/>
      <c r="AA223" s="425"/>
      <c r="AB223" s="425"/>
      <c r="AC223" s="425"/>
      <c r="AD223" s="425"/>
      <c r="AE223" s="425"/>
      <c r="AG223" s="425"/>
      <c r="AH223" s="425"/>
      <c r="AI223" s="425"/>
      <c r="AJ223" s="425"/>
      <c r="AK223" s="425"/>
      <c r="AL223" s="425"/>
      <c r="AM223" s="425"/>
      <c r="AN223" s="425"/>
      <c r="AO223" s="425"/>
      <c r="AP223" s="425"/>
      <c r="AQ223" s="425"/>
    </row>
    <row r="224" spans="1:43" s="270" customFormat="1" x14ac:dyDescent="0.25">
      <c r="A224" s="416">
        <v>501407</v>
      </c>
      <c r="B224" s="271">
        <v>1407</v>
      </c>
      <c r="C224" s="271">
        <v>200372</v>
      </c>
      <c r="D224" s="268" t="s">
        <v>894</v>
      </c>
      <c r="E224" s="268" t="s">
        <v>1278</v>
      </c>
      <c r="F224" s="268" t="s">
        <v>2705</v>
      </c>
      <c r="G224" s="268">
        <v>8</v>
      </c>
      <c r="H224" s="268" t="s">
        <v>2706</v>
      </c>
      <c r="I224" s="268" t="s">
        <v>2693</v>
      </c>
      <c r="J224" s="458">
        <v>378561.87515948934</v>
      </c>
      <c r="K224" s="458">
        <v>31546.822929957445</v>
      </c>
      <c r="L224" s="458">
        <v>11194.760870699611</v>
      </c>
      <c r="M224" s="456">
        <v>0</v>
      </c>
      <c r="N224" s="458">
        <v>119.49693843813893</v>
      </c>
      <c r="O224" s="458">
        <v>83266.1305755754</v>
      </c>
      <c r="P224" s="459">
        <v>6624.8328152910635</v>
      </c>
      <c r="Q224" s="458">
        <v>55400.108403681625</v>
      </c>
      <c r="R224" s="458">
        <v>68406.130841319726</v>
      </c>
      <c r="S224" s="458">
        <v>1959.7497903854783</v>
      </c>
      <c r="T224" s="457"/>
      <c r="U224" s="425"/>
      <c r="V224" s="425"/>
      <c r="W224" s="425"/>
      <c r="X224" s="425"/>
      <c r="Y224" s="425"/>
      <c r="Z224" s="425"/>
      <c r="AA224" s="425"/>
      <c r="AB224" s="425"/>
      <c r="AC224" s="425"/>
      <c r="AD224" s="425"/>
      <c r="AE224" s="425"/>
      <c r="AG224" s="425"/>
      <c r="AH224" s="425"/>
      <c r="AI224" s="425"/>
      <c r="AJ224" s="425"/>
      <c r="AK224" s="425"/>
      <c r="AL224" s="425"/>
      <c r="AM224" s="425"/>
      <c r="AN224" s="425"/>
      <c r="AO224" s="425"/>
      <c r="AP224" s="425"/>
      <c r="AQ224" s="425"/>
    </row>
    <row r="225" spans="1:43" s="270" customFormat="1" x14ac:dyDescent="0.25">
      <c r="A225" s="416">
        <v>501407</v>
      </c>
      <c r="B225" s="271">
        <v>1407</v>
      </c>
      <c r="C225" s="271">
        <v>200380</v>
      </c>
      <c r="D225" s="268" t="s">
        <v>894</v>
      </c>
      <c r="E225" s="268" t="s">
        <v>1278</v>
      </c>
      <c r="F225" s="268" t="s">
        <v>2381</v>
      </c>
      <c r="G225" s="268">
        <v>8</v>
      </c>
      <c r="H225" s="268" t="s">
        <v>2707</v>
      </c>
      <c r="I225" s="268" t="s">
        <v>2693</v>
      </c>
      <c r="J225" s="458">
        <v>378561.87515948934</v>
      </c>
      <c r="K225" s="458">
        <v>31546.822929957445</v>
      </c>
      <c r="L225" s="458">
        <v>11194.760870699611</v>
      </c>
      <c r="M225" s="456">
        <v>0</v>
      </c>
      <c r="N225" s="458">
        <v>119.49693843813893</v>
      </c>
      <c r="O225" s="458">
        <v>83266.1305755754</v>
      </c>
      <c r="P225" s="459">
        <v>6624.8328152910635</v>
      </c>
      <c r="Q225" s="458">
        <v>55400.108403681625</v>
      </c>
      <c r="R225" s="458">
        <v>68406.130841319726</v>
      </c>
      <c r="S225" s="458">
        <v>1959.7497903854783</v>
      </c>
      <c r="T225" s="457"/>
      <c r="U225" s="425"/>
      <c r="V225" s="425"/>
      <c r="W225" s="425"/>
      <c r="X225" s="425"/>
      <c r="Y225" s="425"/>
      <c r="Z225" s="425"/>
      <c r="AA225" s="425"/>
      <c r="AB225" s="425"/>
      <c r="AC225" s="425"/>
      <c r="AD225" s="425"/>
      <c r="AE225" s="425"/>
      <c r="AG225" s="425"/>
      <c r="AH225" s="425"/>
      <c r="AI225" s="425"/>
      <c r="AJ225" s="425"/>
      <c r="AK225" s="425"/>
      <c r="AL225" s="425"/>
      <c r="AM225" s="425"/>
      <c r="AN225" s="425"/>
      <c r="AO225" s="425"/>
      <c r="AP225" s="425"/>
      <c r="AQ225" s="425"/>
    </row>
    <row r="226" spans="1:43" s="270" customFormat="1" x14ac:dyDescent="0.25">
      <c r="A226" s="416">
        <v>501445</v>
      </c>
      <c r="B226" s="271">
        <v>1445</v>
      </c>
      <c r="C226" s="271">
        <v>200381</v>
      </c>
      <c r="D226" s="268" t="s">
        <v>894</v>
      </c>
      <c r="E226" s="268" t="s">
        <v>1290</v>
      </c>
      <c r="F226" s="268" t="s">
        <v>2544</v>
      </c>
      <c r="G226" s="268">
        <v>8</v>
      </c>
      <c r="H226" s="268" t="s">
        <v>2708</v>
      </c>
      <c r="I226" s="268" t="s">
        <v>2693</v>
      </c>
      <c r="J226" s="458">
        <v>378561.87515948934</v>
      </c>
      <c r="K226" s="458">
        <v>31546.822929957445</v>
      </c>
      <c r="L226" s="458">
        <v>11194.760870699611</v>
      </c>
      <c r="M226" s="456">
        <v>0</v>
      </c>
      <c r="N226" s="458">
        <v>119.49693843813893</v>
      </c>
      <c r="O226" s="458">
        <v>83266.1305755754</v>
      </c>
      <c r="P226" s="459">
        <v>6624.8328152910635</v>
      </c>
      <c r="Q226" s="458">
        <v>55400.108403681625</v>
      </c>
      <c r="R226" s="458">
        <v>68406.130841319726</v>
      </c>
      <c r="S226" s="458">
        <v>1959.7497903854783</v>
      </c>
      <c r="T226" s="457"/>
      <c r="U226" s="425"/>
      <c r="V226" s="425"/>
      <c r="W226" s="425"/>
      <c r="X226" s="425"/>
      <c r="Y226" s="425"/>
      <c r="Z226" s="425"/>
      <c r="AA226" s="425"/>
      <c r="AB226" s="425"/>
      <c r="AC226" s="425"/>
      <c r="AD226" s="425"/>
      <c r="AE226" s="425"/>
      <c r="AG226" s="425"/>
      <c r="AH226" s="425"/>
      <c r="AI226" s="425"/>
      <c r="AJ226" s="425"/>
      <c r="AK226" s="425"/>
      <c r="AL226" s="425"/>
      <c r="AM226" s="425"/>
      <c r="AN226" s="425"/>
      <c r="AO226" s="425"/>
      <c r="AP226" s="425"/>
      <c r="AQ226" s="425"/>
    </row>
    <row r="227" spans="1:43" s="270" customFormat="1" x14ac:dyDescent="0.25">
      <c r="A227" s="416">
        <v>501445</v>
      </c>
      <c r="B227" s="271">
        <v>1445</v>
      </c>
      <c r="C227" s="271">
        <v>200382</v>
      </c>
      <c r="D227" s="268" t="s">
        <v>894</v>
      </c>
      <c r="E227" s="268" t="s">
        <v>1278</v>
      </c>
      <c r="F227" s="268" t="s">
        <v>2549</v>
      </c>
      <c r="G227" s="268">
        <v>8</v>
      </c>
      <c r="H227" s="268" t="s">
        <v>2709</v>
      </c>
      <c r="I227" s="268" t="s">
        <v>2693</v>
      </c>
      <c r="J227" s="458">
        <v>378561.87515948934</v>
      </c>
      <c r="K227" s="458">
        <v>31546.822929957445</v>
      </c>
      <c r="L227" s="458">
        <v>11194.760870699611</v>
      </c>
      <c r="M227" s="456">
        <v>0</v>
      </c>
      <c r="N227" s="458">
        <v>119.49693843813893</v>
      </c>
      <c r="O227" s="458">
        <v>83266.1305755754</v>
      </c>
      <c r="P227" s="459">
        <v>6624.8328152910635</v>
      </c>
      <c r="Q227" s="458">
        <v>55400.108403681625</v>
      </c>
      <c r="R227" s="458">
        <v>68406.130841319726</v>
      </c>
      <c r="S227" s="458">
        <v>1959.7497903854783</v>
      </c>
      <c r="T227" s="457"/>
      <c r="U227" s="425"/>
      <c r="V227" s="425"/>
      <c r="W227" s="425"/>
      <c r="X227" s="425"/>
      <c r="Y227" s="425"/>
      <c r="Z227" s="425"/>
      <c r="AA227" s="425"/>
      <c r="AB227" s="425"/>
      <c r="AC227" s="425"/>
      <c r="AD227" s="425"/>
      <c r="AE227" s="425"/>
      <c r="AG227" s="425"/>
      <c r="AH227" s="425"/>
      <c r="AI227" s="425"/>
      <c r="AJ227" s="425"/>
      <c r="AK227" s="425"/>
      <c r="AL227" s="425"/>
      <c r="AM227" s="425"/>
      <c r="AN227" s="425"/>
      <c r="AO227" s="425"/>
      <c r="AP227" s="425"/>
      <c r="AQ227" s="425"/>
    </row>
    <row r="228" spans="1:43" s="270" customFormat="1" x14ac:dyDescent="0.25">
      <c r="A228" s="271">
        <v>501503</v>
      </c>
      <c r="B228" s="271">
        <v>1503</v>
      </c>
      <c r="C228" s="271">
        <v>200388</v>
      </c>
      <c r="D228" s="268" t="s">
        <v>894</v>
      </c>
      <c r="E228" s="268" t="s">
        <v>1290</v>
      </c>
      <c r="F228" s="268" t="s">
        <v>426</v>
      </c>
      <c r="G228" s="268">
        <v>8</v>
      </c>
      <c r="H228" s="268" t="s">
        <v>2710</v>
      </c>
      <c r="I228" s="268" t="s">
        <v>2679</v>
      </c>
      <c r="J228" s="458">
        <v>378561.87515948934</v>
      </c>
      <c r="K228" s="458">
        <v>31546.822929957445</v>
      </c>
      <c r="L228" s="458">
        <v>11194.760870699611</v>
      </c>
      <c r="M228" s="456">
        <v>0</v>
      </c>
      <c r="N228" s="458">
        <v>119.49693843813893</v>
      </c>
      <c r="O228" s="459">
        <v>0</v>
      </c>
      <c r="P228" s="459">
        <v>6624.8328152910635</v>
      </c>
      <c r="Q228" s="458">
        <v>55400.108403681625</v>
      </c>
      <c r="R228" s="458">
        <v>68406.130841319726</v>
      </c>
      <c r="S228" s="458">
        <v>1959.7497903854783</v>
      </c>
      <c r="T228" s="457"/>
      <c r="U228" s="425"/>
      <c r="V228" s="425"/>
      <c r="W228" s="425"/>
      <c r="X228" s="425"/>
      <c r="Y228" s="425"/>
      <c r="Z228" s="425"/>
      <c r="AA228" s="425"/>
      <c r="AB228" s="425"/>
      <c r="AC228" s="425"/>
      <c r="AD228" s="425"/>
      <c r="AE228" s="425"/>
      <c r="AG228" s="425"/>
      <c r="AH228" s="425"/>
      <c r="AI228" s="425"/>
      <c r="AJ228" s="425"/>
      <c r="AK228" s="425"/>
      <c r="AL228" s="425"/>
      <c r="AM228" s="425"/>
      <c r="AN228" s="425"/>
      <c r="AO228" s="425"/>
      <c r="AP228" s="425"/>
      <c r="AQ228" s="425"/>
    </row>
    <row r="229" spans="1:43" s="270" customFormat="1" x14ac:dyDescent="0.25">
      <c r="A229" s="276">
        <v>501444</v>
      </c>
      <c r="B229" s="271">
        <v>1444</v>
      </c>
      <c r="C229" s="271">
        <v>217</v>
      </c>
      <c r="D229" s="268" t="s">
        <v>894</v>
      </c>
      <c r="E229" s="268" t="s">
        <v>1290</v>
      </c>
      <c r="F229" s="268" t="s">
        <v>2415</v>
      </c>
      <c r="G229" s="268">
        <v>8</v>
      </c>
      <c r="H229" s="268" t="s">
        <v>2711</v>
      </c>
      <c r="I229" s="268" t="s">
        <v>2712</v>
      </c>
      <c r="J229" s="458">
        <v>369986.86337341915</v>
      </c>
      <c r="K229" s="458">
        <v>30832.238614451599</v>
      </c>
      <c r="L229" s="458">
        <v>11194.760870699611</v>
      </c>
      <c r="M229" s="456">
        <v>0</v>
      </c>
      <c r="N229" s="458">
        <v>119.49693843813893</v>
      </c>
      <c r="O229" s="459">
        <v>0</v>
      </c>
      <c r="P229" s="459">
        <v>6474.7701090348355</v>
      </c>
      <c r="Q229" s="458">
        <v>55400.108403681625</v>
      </c>
      <c r="R229" s="458">
        <v>66856.626211576848</v>
      </c>
      <c r="S229" s="458">
        <v>1959.7497903854783</v>
      </c>
      <c r="T229" s="457"/>
      <c r="U229" s="425"/>
      <c r="V229" s="425"/>
      <c r="W229" s="425"/>
      <c r="X229" s="425"/>
      <c r="Y229" s="425"/>
      <c r="Z229" s="425"/>
      <c r="AA229" s="425"/>
      <c r="AB229" s="425"/>
      <c r="AC229" s="425"/>
      <c r="AD229" s="425"/>
      <c r="AE229" s="425"/>
      <c r="AG229" s="425"/>
      <c r="AH229" s="425"/>
      <c r="AI229" s="425"/>
      <c r="AJ229" s="425"/>
      <c r="AK229" s="425"/>
      <c r="AL229" s="425"/>
      <c r="AM229" s="425"/>
      <c r="AN229" s="425"/>
      <c r="AO229" s="425"/>
      <c r="AP229" s="425"/>
      <c r="AQ229" s="425"/>
    </row>
    <row r="230" spans="1:43" s="270" customFormat="1" x14ac:dyDescent="0.25">
      <c r="A230" s="271">
        <v>501443</v>
      </c>
      <c r="B230" s="271">
        <v>1443</v>
      </c>
      <c r="C230" s="271">
        <v>23456</v>
      </c>
      <c r="D230" s="268" t="s">
        <v>894</v>
      </c>
      <c r="E230" s="268" t="s">
        <v>1290</v>
      </c>
      <c r="F230" s="268" t="s">
        <v>2713</v>
      </c>
      <c r="G230" s="268">
        <v>8</v>
      </c>
      <c r="H230" s="268" t="s">
        <v>2714</v>
      </c>
      <c r="I230" s="268" t="s">
        <v>2712</v>
      </c>
      <c r="J230" s="458">
        <v>369986.86337341915</v>
      </c>
      <c r="K230" s="458">
        <v>30832.238614451599</v>
      </c>
      <c r="L230" s="458">
        <v>11194.760870699611</v>
      </c>
      <c r="M230" s="456">
        <v>0</v>
      </c>
      <c r="N230" s="458">
        <v>119.49693843813893</v>
      </c>
      <c r="O230" s="459">
        <v>0</v>
      </c>
      <c r="P230" s="459">
        <v>6474.7701090348355</v>
      </c>
      <c r="Q230" s="458">
        <v>55400.108403681625</v>
      </c>
      <c r="R230" s="458">
        <v>66856.626211576848</v>
      </c>
      <c r="S230" s="458">
        <v>1959.7497903854783</v>
      </c>
      <c r="T230" s="457"/>
      <c r="U230" s="425"/>
      <c r="V230" s="425"/>
      <c r="W230" s="425"/>
      <c r="X230" s="425"/>
      <c r="Y230" s="425"/>
      <c r="Z230" s="425"/>
      <c r="AA230" s="425"/>
      <c r="AB230" s="425"/>
      <c r="AC230" s="425"/>
      <c r="AD230" s="425"/>
      <c r="AE230" s="425"/>
      <c r="AG230" s="425"/>
      <c r="AH230" s="425"/>
      <c r="AI230" s="425"/>
      <c r="AJ230" s="425"/>
      <c r="AK230" s="425"/>
      <c r="AL230" s="425"/>
      <c r="AM230" s="425"/>
      <c r="AN230" s="425"/>
      <c r="AO230" s="425"/>
      <c r="AP230" s="425"/>
      <c r="AQ230" s="425"/>
    </row>
    <row r="231" spans="1:43" s="270" customFormat="1" x14ac:dyDescent="0.25">
      <c r="A231" s="271">
        <v>501443</v>
      </c>
      <c r="B231" s="271">
        <v>1443</v>
      </c>
      <c r="C231" s="271">
        <v>51541</v>
      </c>
      <c r="D231" s="268" t="s">
        <v>894</v>
      </c>
      <c r="E231" s="268" t="s">
        <v>1278</v>
      </c>
      <c r="F231" s="268" t="s">
        <v>2715</v>
      </c>
      <c r="G231" s="268">
        <v>8</v>
      </c>
      <c r="H231" s="268" t="s">
        <v>2716</v>
      </c>
      <c r="I231" s="268" t="s">
        <v>2717</v>
      </c>
      <c r="J231" s="458">
        <v>369986.86337341915</v>
      </c>
      <c r="K231" s="458">
        <v>30832.238614451599</v>
      </c>
      <c r="L231" s="458">
        <v>11194.760870699611</v>
      </c>
      <c r="M231" s="456">
        <v>0</v>
      </c>
      <c r="N231" s="458">
        <v>119.49693843813893</v>
      </c>
      <c r="O231" s="458">
        <v>95597.550750511131</v>
      </c>
      <c r="P231" s="459">
        <v>6474.7701090348355</v>
      </c>
      <c r="Q231" s="458">
        <v>55400.108403681625</v>
      </c>
      <c r="R231" s="458">
        <v>66856.626211576848</v>
      </c>
      <c r="S231" s="458">
        <v>1959.7497903854783</v>
      </c>
      <c r="T231" s="457"/>
      <c r="U231" s="425"/>
      <c r="V231" s="425"/>
      <c r="W231" s="425"/>
      <c r="X231" s="425"/>
      <c r="Y231" s="425"/>
      <c r="Z231" s="425"/>
      <c r="AA231" s="425"/>
      <c r="AB231" s="425"/>
      <c r="AC231" s="425"/>
      <c r="AD231" s="425"/>
      <c r="AE231" s="425"/>
      <c r="AG231" s="425"/>
      <c r="AH231" s="425"/>
      <c r="AI231" s="425"/>
      <c r="AJ231" s="425"/>
      <c r="AK231" s="425"/>
      <c r="AL231" s="425"/>
      <c r="AM231" s="425"/>
      <c r="AN231" s="425"/>
      <c r="AO231" s="425"/>
      <c r="AP231" s="425"/>
      <c r="AQ231" s="425"/>
    </row>
    <row r="232" spans="1:43" s="270" customFormat="1" x14ac:dyDescent="0.25">
      <c r="A232" s="271">
        <v>501304</v>
      </c>
      <c r="B232" s="271">
        <v>1304</v>
      </c>
      <c r="C232" s="271">
        <v>51839</v>
      </c>
      <c r="D232" s="268" t="s">
        <v>894</v>
      </c>
      <c r="E232" s="268" t="s">
        <v>1290</v>
      </c>
      <c r="F232" s="268" t="s">
        <v>1290</v>
      </c>
      <c r="G232" s="268">
        <v>8</v>
      </c>
      <c r="H232" s="268" t="s">
        <v>2604</v>
      </c>
      <c r="I232" s="268" t="s">
        <v>2718</v>
      </c>
      <c r="J232" s="458">
        <v>369986.86337341915</v>
      </c>
      <c r="K232" s="458">
        <v>30832.238614451599</v>
      </c>
      <c r="L232" s="458">
        <v>11194.760870699611</v>
      </c>
      <c r="M232" s="456">
        <v>0</v>
      </c>
      <c r="N232" s="458">
        <v>119.49693843813893</v>
      </c>
      <c r="O232" s="459">
        <v>0</v>
      </c>
      <c r="P232" s="459">
        <v>6474.7701090348355</v>
      </c>
      <c r="Q232" s="458">
        <v>55400.108403681625</v>
      </c>
      <c r="R232" s="458">
        <v>66856.626211576848</v>
      </c>
      <c r="S232" s="458">
        <v>1959.7497903854783</v>
      </c>
      <c r="T232" s="457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G232" s="425"/>
      <c r="AH232" s="425"/>
      <c r="AI232" s="425"/>
      <c r="AJ232" s="425"/>
      <c r="AK232" s="425"/>
      <c r="AL232" s="425"/>
      <c r="AM232" s="425"/>
      <c r="AN232" s="425"/>
      <c r="AO232" s="425"/>
      <c r="AP232" s="425"/>
      <c r="AQ232" s="425"/>
    </row>
    <row r="233" spans="1:43" s="270" customFormat="1" x14ac:dyDescent="0.25">
      <c r="A233" s="271">
        <v>501443</v>
      </c>
      <c r="B233" s="271">
        <v>1443</v>
      </c>
      <c r="C233" s="271">
        <v>84505</v>
      </c>
      <c r="D233" s="268" t="s">
        <v>894</v>
      </c>
      <c r="E233" s="268" t="s">
        <v>1278</v>
      </c>
      <c r="F233" s="268" t="s">
        <v>2719</v>
      </c>
      <c r="G233" s="268">
        <v>8</v>
      </c>
      <c r="H233" s="268" t="s">
        <v>2720</v>
      </c>
      <c r="I233" s="268" t="s">
        <v>2717</v>
      </c>
      <c r="J233" s="458">
        <v>369986.86337341915</v>
      </c>
      <c r="K233" s="458">
        <v>30832.238614451599</v>
      </c>
      <c r="L233" s="458">
        <v>11194.760870699611</v>
      </c>
      <c r="M233" s="456">
        <v>0</v>
      </c>
      <c r="N233" s="458">
        <v>119.49693843813893</v>
      </c>
      <c r="O233" s="459">
        <v>0</v>
      </c>
      <c r="P233" s="459">
        <v>6474.7701090348355</v>
      </c>
      <c r="Q233" s="458">
        <v>55400.108403681625</v>
      </c>
      <c r="R233" s="458">
        <v>66856.626211576848</v>
      </c>
      <c r="S233" s="458">
        <v>1959.7497903854783</v>
      </c>
      <c r="T233" s="457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G233" s="425"/>
      <c r="AH233" s="425"/>
      <c r="AI233" s="425"/>
      <c r="AJ233" s="425"/>
      <c r="AK233" s="425"/>
      <c r="AL233" s="425"/>
      <c r="AM233" s="425"/>
      <c r="AN233" s="425"/>
      <c r="AO233" s="425"/>
      <c r="AP233" s="425"/>
      <c r="AQ233" s="425"/>
    </row>
    <row r="234" spans="1:43" s="270" customFormat="1" x14ac:dyDescent="0.25">
      <c r="A234" s="271">
        <v>501203</v>
      </c>
      <c r="B234" s="271">
        <v>1203</v>
      </c>
      <c r="C234" s="271">
        <v>200394</v>
      </c>
      <c r="D234" s="268" t="s">
        <v>894</v>
      </c>
      <c r="E234" s="268" t="s">
        <v>1290</v>
      </c>
      <c r="F234" s="268" t="s">
        <v>2381</v>
      </c>
      <c r="G234" s="268">
        <v>8</v>
      </c>
      <c r="H234" s="268" t="s">
        <v>2438</v>
      </c>
      <c r="I234" s="268" t="s">
        <v>2721</v>
      </c>
      <c r="J234" s="458">
        <v>369986.86337341915</v>
      </c>
      <c r="K234" s="458">
        <v>30832.238614451599</v>
      </c>
      <c r="L234" s="458">
        <v>11194.760870699611</v>
      </c>
      <c r="M234" s="456">
        <v>0</v>
      </c>
      <c r="N234" s="458">
        <v>119.49693843813893</v>
      </c>
      <c r="O234" s="459">
        <v>0</v>
      </c>
      <c r="P234" s="459">
        <v>6474.7701090348355</v>
      </c>
      <c r="Q234" s="458">
        <v>55400.108403681625</v>
      </c>
      <c r="R234" s="458">
        <v>66856.626211576848</v>
      </c>
      <c r="S234" s="458">
        <v>1959.7497903854783</v>
      </c>
      <c r="T234" s="457"/>
      <c r="U234" s="425"/>
      <c r="V234" s="425"/>
      <c r="W234" s="425"/>
      <c r="X234" s="425"/>
      <c r="Y234" s="425"/>
      <c r="Z234" s="425"/>
      <c r="AA234" s="425"/>
      <c r="AB234" s="425"/>
      <c r="AC234" s="425"/>
      <c r="AD234" s="425"/>
      <c r="AE234" s="425"/>
      <c r="AG234" s="425"/>
      <c r="AH234" s="425"/>
      <c r="AI234" s="425"/>
      <c r="AJ234" s="425"/>
      <c r="AK234" s="425"/>
      <c r="AL234" s="425"/>
      <c r="AM234" s="425"/>
      <c r="AN234" s="425"/>
      <c r="AO234" s="425"/>
      <c r="AP234" s="425"/>
      <c r="AQ234" s="425"/>
    </row>
    <row r="235" spans="1:43" s="270" customFormat="1" x14ac:dyDescent="0.25">
      <c r="A235" s="271">
        <v>501203</v>
      </c>
      <c r="B235" s="271">
        <v>1203</v>
      </c>
      <c r="C235" s="271">
        <v>200395</v>
      </c>
      <c r="D235" s="268" t="s">
        <v>894</v>
      </c>
      <c r="E235" s="268" t="s">
        <v>1278</v>
      </c>
      <c r="F235" s="268" t="s">
        <v>2722</v>
      </c>
      <c r="G235" s="268">
        <v>8</v>
      </c>
      <c r="H235" s="268" t="s">
        <v>2398</v>
      </c>
      <c r="I235" s="268" t="s">
        <v>2721</v>
      </c>
      <c r="J235" s="458">
        <v>369986.86337341915</v>
      </c>
      <c r="K235" s="458">
        <v>30832.238614451599</v>
      </c>
      <c r="L235" s="458">
        <v>11194.760870699611</v>
      </c>
      <c r="M235" s="456">
        <v>0</v>
      </c>
      <c r="N235" s="458">
        <v>119.49693843813893</v>
      </c>
      <c r="O235" s="459">
        <v>0</v>
      </c>
      <c r="P235" s="459">
        <v>6474.7701090348355</v>
      </c>
      <c r="Q235" s="458">
        <v>55400.108403681625</v>
      </c>
      <c r="R235" s="458">
        <v>66856.626211576848</v>
      </c>
      <c r="S235" s="458">
        <v>1959.7497903854783</v>
      </c>
      <c r="T235" s="457"/>
      <c r="U235" s="425"/>
      <c r="V235" s="425"/>
      <c r="W235" s="425"/>
      <c r="X235" s="425"/>
      <c r="Y235" s="425"/>
      <c r="Z235" s="425"/>
      <c r="AA235" s="425"/>
      <c r="AB235" s="425"/>
      <c r="AC235" s="425"/>
      <c r="AD235" s="425"/>
      <c r="AE235" s="425"/>
      <c r="AG235" s="425"/>
      <c r="AH235" s="425"/>
      <c r="AI235" s="425"/>
      <c r="AJ235" s="425"/>
      <c r="AK235" s="425"/>
      <c r="AL235" s="425"/>
      <c r="AM235" s="425"/>
      <c r="AN235" s="425"/>
      <c r="AO235" s="425"/>
      <c r="AP235" s="425"/>
      <c r="AQ235" s="425"/>
    </row>
    <row r="236" spans="1:43" s="270" customFormat="1" x14ac:dyDescent="0.25">
      <c r="A236" s="271">
        <v>501302</v>
      </c>
      <c r="B236" s="271">
        <v>1302</v>
      </c>
      <c r="C236" s="271">
        <v>200408</v>
      </c>
      <c r="D236" s="268" t="s">
        <v>894</v>
      </c>
      <c r="E236" s="268" t="s">
        <v>1290</v>
      </c>
      <c r="F236" s="268" t="s">
        <v>2723</v>
      </c>
      <c r="G236" s="268">
        <v>8</v>
      </c>
      <c r="H236" s="268" t="s">
        <v>2645</v>
      </c>
      <c r="I236" s="268" t="s">
        <v>2347</v>
      </c>
      <c r="J236" s="458">
        <v>369986.86337341915</v>
      </c>
      <c r="K236" s="458">
        <v>30832.238614451599</v>
      </c>
      <c r="L236" s="458">
        <v>11194.760870699611</v>
      </c>
      <c r="M236" s="456">
        <v>0</v>
      </c>
      <c r="N236" s="458">
        <v>119.49693843813893</v>
      </c>
      <c r="O236" s="459">
        <v>0</v>
      </c>
      <c r="P236" s="459">
        <v>6474.7701090348355</v>
      </c>
      <c r="Q236" s="458">
        <v>55400.108403681625</v>
      </c>
      <c r="R236" s="458">
        <v>66856.626211576848</v>
      </c>
      <c r="S236" s="458">
        <v>1959.7497903854783</v>
      </c>
      <c r="T236" s="457"/>
      <c r="U236" s="425"/>
      <c r="V236" s="425"/>
      <c r="W236" s="425"/>
      <c r="X236" s="425"/>
      <c r="Y236" s="425"/>
      <c r="Z236" s="425"/>
      <c r="AA236" s="425"/>
      <c r="AB236" s="425"/>
      <c r="AC236" s="425"/>
      <c r="AD236" s="425"/>
      <c r="AE236" s="425"/>
      <c r="AG236" s="425"/>
      <c r="AH236" s="425"/>
      <c r="AI236" s="425"/>
      <c r="AJ236" s="425"/>
      <c r="AK236" s="425"/>
      <c r="AL236" s="425"/>
      <c r="AM236" s="425"/>
      <c r="AN236" s="425"/>
      <c r="AO236" s="425"/>
      <c r="AP236" s="425"/>
      <c r="AQ236" s="425"/>
    </row>
    <row r="237" spans="1:43" x14ac:dyDescent="0.25">
      <c r="A237" s="271">
        <v>501443</v>
      </c>
      <c r="B237" s="271">
        <v>1443</v>
      </c>
      <c r="C237" s="271">
        <v>200043</v>
      </c>
      <c r="D237" s="268" t="s">
        <v>894</v>
      </c>
      <c r="E237" s="268" t="s">
        <v>1278</v>
      </c>
      <c r="F237" s="268" t="s">
        <v>2261</v>
      </c>
      <c r="G237" s="268">
        <v>7</v>
      </c>
      <c r="H237" s="268" t="s">
        <v>2724</v>
      </c>
      <c r="I237" s="268" t="s">
        <v>2689</v>
      </c>
      <c r="J237" s="458">
        <v>352836.83980127884</v>
      </c>
      <c r="K237" s="458">
        <v>29403.069983439906</v>
      </c>
      <c r="L237" s="458">
        <v>11194.760870699611</v>
      </c>
      <c r="M237" s="456">
        <v>0</v>
      </c>
      <c r="N237" s="458">
        <v>119.49693843813893</v>
      </c>
      <c r="O237" s="459">
        <v>0</v>
      </c>
      <c r="P237" s="459">
        <v>6174.6446965223804</v>
      </c>
      <c r="Q237" s="458">
        <v>55400.108403681625</v>
      </c>
      <c r="R237" s="458">
        <v>63757.616952091092</v>
      </c>
      <c r="S237" s="458">
        <v>1959.7497903854783</v>
      </c>
      <c r="T237" s="457"/>
      <c r="U237" s="425"/>
      <c r="V237" s="425"/>
      <c r="W237" s="425"/>
      <c r="X237" s="425"/>
      <c r="Y237" s="425"/>
      <c r="Z237" s="425"/>
      <c r="AA237" s="425"/>
      <c r="AB237" s="425"/>
      <c r="AC237" s="425"/>
      <c r="AD237" s="425"/>
      <c r="AE237" s="425"/>
      <c r="AF237" s="424"/>
      <c r="AG237" s="425"/>
      <c r="AH237" s="425"/>
      <c r="AI237" s="425"/>
      <c r="AJ237" s="425"/>
      <c r="AK237" s="425"/>
      <c r="AL237" s="425"/>
      <c r="AM237" s="425"/>
      <c r="AN237" s="425"/>
      <c r="AO237" s="425"/>
      <c r="AP237" s="425"/>
      <c r="AQ237" s="425"/>
    </row>
    <row r="238" spans="1:43" s="270" customFormat="1" x14ac:dyDescent="0.25">
      <c r="A238" s="271">
        <v>501443</v>
      </c>
      <c r="B238" s="271">
        <v>1443</v>
      </c>
      <c r="C238" s="271">
        <v>136</v>
      </c>
      <c r="D238" s="268" t="s">
        <v>894</v>
      </c>
      <c r="E238" s="268" t="s">
        <v>1290</v>
      </c>
      <c r="F238" s="268" t="s">
        <v>2725</v>
      </c>
      <c r="G238" s="268">
        <v>8</v>
      </c>
      <c r="H238" s="268" t="s">
        <v>2726</v>
      </c>
      <c r="I238" s="268" t="s">
        <v>2712</v>
      </c>
      <c r="J238" s="458">
        <v>352836.83980127884</v>
      </c>
      <c r="K238" s="458">
        <v>29403.069983439906</v>
      </c>
      <c r="L238" s="458">
        <v>11194.760870699611</v>
      </c>
      <c r="M238" s="456">
        <v>0</v>
      </c>
      <c r="N238" s="458">
        <v>119.49693843813893</v>
      </c>
      <c r="O238" s="459">
        <v>0</v>
      </c>
      <c r="P238" s="459">
        <v>6174.6446965223804</v>
      </c>
      <c r="Q238" s="458">
        <v>55400.108403681625</v>
      </c>
      <c r="R238" s="458">
        <v>63757.616952091092</v>
      </c>
      <c r="S238" s="458">
        <v>1959.7497903854783</v>
      </c>
      <c r="T238" s="457"/>
      <c r="U238" s="425"/>
      <c r="V238" s="425"/>
      <c r="W238" s="425"/>
      <c r="X238" s="425"/>
      <c r="Y238" s="425"/>
      <c r="Z238" s="425"/>
      <c r="AA238" s="425"/>
      <c r="AB238" s="425"/>
      <c r="AC238" s="425"/>
      <c r="AD238" s="425"/>
      <c r="AE238" s="425"/>
      <c r="AG238" s="425"/>
      <c r="AH238" s="425"/>
      <c r="AI238" s="425"/>
      <c r="AJ238" s="425"/>
      <c r="AK238" s="425"/>
      <c r="AL238" s="425"/>
      <c r="AM238" s="425"/>
      <c r="AN238" s="425"/>
      <c r="AO238" s="425"/>
      <c r="AP238" s="425"/>
      <c r="AQ238" s="425"/>
    </row>
    <row r="239" spans="1:43" s="270" customFormat="1" x14ac:dyDescent="0.25">
      <c r="A239" s="271">
        <v>501443</v>
      </c>
      <c r="B239" s="271">
        <v>1443</v>
      </c>
      <c r="C239" s="271">
        <v>1973</v>
      </c>
      <c r="D239" s="268" t="s">
        <v>1698</v>
      </c>
      <c r="E239" s="268" t="s">
        <v>1290</v>
      </c>
      <c r="F239" s="268" t="s">
        <v>2727</v>
      </c>
      <c r="G239" s="268">
        <v>8</v>
      </c>
      <c r="H239" s="268" t="s">
        <v>2728</v>
      </c>
      <c r="I239" s="268" t="s">
        <v>2712</v>
      </c>
      <c r="J239" s="458">
        <v>352836.83980127884</v>
      </c>
      <c r="K239" s="458">
        <v>29403.069983439906</v>
      </c>
      <c r="L239" s="458">
        <v>11194.760870699611</v>
      </c>
      <c r="M239" s="456">
        <v>0</v>
      </c>
      <c r="N239" s="458">
        <v>119.49693843813893</v>
      </c>
      <c r="O239" s="459">
        <v>0</v>
      </c>
      <c r="P239" s="459">
        <v>6174.6446965223804</v>
      </c>
      <c r="Q239" s="458">
        <v>55400.108403681625</v>
      </c>
      <c r="R239" s="458">
        <v>63757.616952091092</v>
      </c>
      <c r="S239" s="458">
        <v>1959.7497903854783</v>
      </c>
      <c r="T239" s="457"/>
      <c r="U239" s="425"/>
      <c r="V239" s="425"/>
      <c r="W239" s="425"/>
      <c r="X239" s="425"/>
      <c r="Y239" s="425"/>
      <c r="Z239" s="425"/>
      <c r="AA239" s="425"/>
      <c r="AB239" s="425"/>
      <c r="AC239" s="425"/>
      <c r="AD239" s="425"/>
      <c r="AE239" s="425"/>
      <c r="AG239" s="425"/>
      <c r="AH239" s="425"/>
      <c r="AI239" s="425"/>
      <c r="AJ239" s="425"/>
      <c r="AK239" s="425"/>
      <c r="AL239" s="425"/>
      <c r="AM239" s="425"/>
      <c r="AN239" s="425"/>
      <c r="AO239" s="425"/>
      <c r="AP239" s="425"/>
      <c r="AQ239" s="425"/>
    </row>
    <row r="240" spans="1:43" s="270" customFormat="1" x14ac:dyDescent="0.25">
      <c r="A240" s="271">
        <v>501443</v>
      </c>
      <c r="B240" s="271">
        <v>1443</v>
      </c>
      <c r="C240" s="271">
        <v>4187</v>
      </c>
      <c r="D240" s="268" t="s">
        <v>1698</v>
      </c>
      <c r="E240" s="268" t="s">
        <v>1290</v>
      </c>
      <c r="F240" s="268" t="s">
        <v>898</v>
      </c>
      <c r="G240" s="268">
        <v>8</v>
      </c>
      <c r="H240" s="268" t="s">
        <v>2729</v>
      </c>
      <c r="I240" s="268" t="s">
        <v>2712</v>
      </c>
      <c r="J240" s="458">
        <v>352836.83980127884</v>
      </c>
      <c r="K240" s="458">
        <v>29403.069983439906</v>
      </c>
      <c r="L240" s="458">
        <v>11194.760870699611</v>
      </c>
      <c r="M240" s="456">
        <v>0</v>
      </c>
      <c r="N240" s="458">
        <v>119.49693843813893</v>
      </c>
      <c r="O240" s="459">
        <v>0</v>
      </c>
      <c r="P240" s="459">
        <v>6174.6446965223804</v>
      </c>
      <c r="Q240" s="458">
        <v>55400.108403681625</v>
      </c>
      <c r="R240" s="458">
        <v>63757.616952091092</v>
      </c>
      <c r="S240" s="458">
        <v>1959.7497903854783</v>
      </c>
      <c r="T240" s="457"/>
      <c r="U240" s="425"/>
      <c r="V240" s="425"/>
      <c r="W240" s="425"/>
      <c r="X240" s="425"/>
      <c r="Y240" s="425"/>
      <c r="Z240" s="425"/>
      <c r="AA240" s="425"/>
      <c r="AB240" s="425"/>
      <c r="AC240" s="425"/>
      <c r="AD240" s="425"/>
      <c r="AE240" s="425"/>
      <c r="AG240" s="425"/>
      <c r="AH240" s="425"/>
      <c r="AI240" s="425"/>
      <c r="AJ240" s="425"/>
      <c r="AK240" s="425"/>
      <c r="AL240" s="425"/>
      <c r="AM240" s="425"/>
      <c r="AN240" s="425"/>
      <c r="AO240" s="425"/>
      <c r="AP240" s="425"/>
      <c r="AQ240" s="425"/>
    </row>
    <row r="241" spans="1:43" s="270" customFormat="1" x14ac:dyDescent="0.25">
      <c r="A241" s="271">
        <v>501443</v>
      </c>
      <c r="B241" s="271">
        <v>1443</v>
      </c>
      <c r="C241" s="271">
        <v>7870</v>
      </c>
      <c r="D241" s="268" t="s">
        <v>1698</v>
      </c>
      <c r="E241" s="268" t="s">
        <v>1290</v>
      </c>
      <c r="F241" s="268" t="s">
        <v>2730</v>
      </c>
      <c r="G241" s="268">
        <v>8</v>
      </c>
      <c r="H241" s="268" t="s">
        <v>2692</v>
      </c>
      <c r="I241" s="268" t="s">
        <v>2712</v>
      </c>
      <c r="J241" s="458">
        <v>352836.83980127884</v>
      </c>
      <c r="K241" s="458">
        <v>29403.069983439906</v>
      </c>
      <c r="L241" s="458">
        <v>11194.760870699611</v>
      </c>
      <c r="M241" s="456">
        <v>0</v>
      </c>
      <c r="N241" s="458">
        <v>119.49693843813893</v>
      </c>
      <c r="O241" s="459">
        <v>0</v>
      </c>
      <c r="P241" s="459">
        <v>6174.6446965223804</v>
      </c>
      <c r="Q241" s="458">
        <v>55400.108403681625</v>
      </c>
      <c r="R241" s="458">
        <v>63757.616952091092</v>
      </c>
      <c r="S241" s="458">
        <v>1959.7497903854783</v>
      </c>
      <c r="T241" s="457"/>
      <c r="U241" s="425"/>
      <c r="V241" s="425"/>
      <c r="W241" s="425"/>
      <c r="X241" s="425"/>
      <c r="Y241" s="425"/>
      <c r="Z241" s="425"/>
      <c r="AA241" s="425"/>
      <c r="AB241" s="425"/>
      <c r="AC241" s="425"/>
      <c r="AD241" s="425"/>
      <c r="AE241" s="425"/>
      <c r="AG241" s="425"/>
      <c r="AH241" s="425"/>
      <c r="AI241" s="425"/>
      <c r="AJ241" s="425"/>
      <c r="AK241" s="425"/>
      <c r="AL241" s="425"/>
      <c r="AM241" s="425"/>
      <c r="AN241" s="425"/>
      <c r="AO241" s="425"/>
      <c r="AP241" s="425"/>
      <c r="AQ241" s="425"/>
    </row>
    <row r="242" spans="1:43" s="270" customFormat="1" x14ac:dyDescent="0.25">
      <c r="A242" s="271">
        <v>501443</v>
      </c>
      <c r="B242" s="271">
        <v>1443</v>
      </c>
      <c r="C242" s="271">
        <v>8756</v>
      </c>
      <c r="D242" s="268" t="s">
        <v>1698</v>
      </c>
      <c r="E242" s="268" t="s">
        <v>1290</v>
      </c>
      <c r="F242" s="268" t="s">
        <v>2731</v>
      </c>
      <c r="G242" s="268">
        <v>8</v>
      </c>
      <c r="H242" s="268" t="s">
        <v>2732</v>
      </c>
      <c r="I242" s="268" t="s">
        <v>2712</v>
      </c>
      <c r="J242" s="458">
        <v>352836.83980127884</v>
      </c>
      <c r="K242" s="458">
        <v>29403.069983439906</v>
      </c>
      <c r="L242" s="458">
        <v>11194.760870699611</v>
      </c>
      <c r="M242" s="456">
        <v>0</v>
      </c>
      <c r="N242" s="458">
        <v>119.49693843813893</v>
      </c>
      <c r="O242" s="459">
        <v>0</v>
      </c>
      <c r="P242" s="459">
        <v>6174.6446965223804</v>
      </c>
      <c r="Q242" s="458">
        <v>55400.108403681625</v>
      </c>
      <c r="R242" s="458">
        <v>63757.616952091092</v>
      </c>
      <c r="S242" s="458">
        <v>1959.7497903854783</v>
      </c>
      <c r="T242" s="457"/>
      <c r="U242" s="425"/>
      <c r="V242" s="425"/>
      <c r="W242" s="425"/>
      <c r="X242" s="425"/>
      <c r="Y242" s="425"/>
      <c r="Z242" s="425"/>
      <c r="AA242" s="425"/>
      <c r="AB242" s="425"/>
      <c r="AC242" s="425"/>
      <c r="AD242" s="425"/>
      <c r="AE242" s="425"/>
      <c r="AG242" s="425"/>
      <c r="AH242" s="425"/>
      <c r="AI242" s="425"/>
      <c r="AJ242" s="425"/>
      <c r="AK242" s="425"/>
      <c r="AL242" s="425"/>
      <c r="AM242" s="425"/>
      <c r="AN242" s="425"/>
      <c r="AO242" s="425"/>
      <c r="AP242" s="425"/>
      <c r="AQ242" s="425"/>
    </row>
    <row r="243" spans="1:43" s="270" customFormat="1" x14ac:dyDescent="0.25">
      <c r="A243" s="271">
        <v>501443</v>
      </c>
      <c r="B243" s="271">
        <v>1443</v>
      </c>
      <c r="C243" s="271">
        <v>16405</v>
      </c>
      <c r="D243" s="268" t="s">
        <v>1698</v>
      </c>
      <c r="E243" s="268" t="s">
        <v>1290</v>
      </c>
      <c r="F243" s="268" t="s">
        <v>2560</v>
      </c>
      <c r="G243" s="268">
        <v>8</v>
      </c>
      <c r="H243" s="268" t="s">
        <v>2675</v>
      </c>
      <c r="I243" s="268" t="s">
        <v>2712</v>
      </c>
      <c r="J243" s="458">
        <v>352836.83980127884</v>
      </c>
      <c r="K243" s="458">
        <v>29403.069983439906</v>
      </c>
      <c r="L243" s="458">
        <v>11194.760870699611</v>
      </c>
      <c r="M243" s="456">
        <v>0</v>
      </c>
      <c r="N243" s="458">
        <v>119.49693843813893</v>
      </c>
      <c r="O243" s="459">
        <v>0</v>
      </c>
      <c r="P243" s="459">
        <v>6174.6446965223804</v>
      </c>
      <c r="Q243" s="458">
        <v>55400.108403681625</v>
      </c>
      <c r="R243" s="458">
        <v>63757.616952091092</v>
      </c>
      <c r="S243" s="458">
        <v>1959.7497903854783</v>
      </c>
      <c r="T243" s="457"/>
      <c r="U243" s="425"/>
      <c r="V243" s="425"/>
      <c r="W243" s="425"/>
      <c r="X243" s="425"/>
      <c r="Y243" s="425"/>
      <c r="Z243" s="425"/>
      <c r="AA243" s="425"/>
      <c r="AB243" s="425"/>
      <c r="AC243" s="425"/>
      <c r="AD243" s="425"/>
      <c r="AE243" s="425"/>
      <c r="AG243" s="425"/>
      <c r="AH243" s="425"/>
      <c r="AI243" s="425"/>
      <c r="AJ243" s="425"/>
      <c r="AK243" s="425"/>
      <c r="AL243" s="425"/>
      <c r="AM243" s="425"/>
      <c r="AN243" s="425"/>
      <c r="AO243" s="425"/>
      <c r="AP243" s="425"/>
      <c r="AQ243" s="425"/>
    </row>
    <row r="244" spans="1:43" s="270" customFormat="1" x14ac:dyDescent="0.25">
      <c r="A244" s="271">
        <v>501443</v>
      </c>
      <c r="B244" s="271">
        <v>1443</v>
      </c>
      <c r="C244" s="271">
        <v>23401</v>
      </c>
      <c r="D244" s="268" t="s">
        <v>894</v>
      </c>
      <c r="E244" s="268" t="s">
        <v>1290</v>
      </c>
      <c r="F244" s="268" t="s">
        <v>2733</v>
      </c>
      <c r="G244" s="268">
        <v>8</v>
      </c>
      <c r="H244" s="268" t="s">
        <v>2734</v>
      </c>
      <c r="I244" s="268" t="s">
        <v>2712</v>
      </c>
      <c r="J244" s="458">
        <v>352836.83980127884</v>
      </c>
      <c r="K244" s="458">
        <v>29403.069983439906</v>
      </c>
      <c r="L244" s="458">
        <v>11194.760870699611</v>
      </c>
      <c r="M244" s="456">
        <v>0</v>
      </c>
      <c r="N244" s="458">
        <v>119.49693843813893</v>
      </c>
      <c r="O244" s="459">
        <v>0</v>
      </c>
      <c r="P244" s="459">
        <v>6174.6446965223804</v>
      </c>
      <c r="Q244" s="458">
        <v>55400.108403681625</v>
      </c>
      <c r="R244" s="458">
        <v>63757.616952091092</v>
      </c>
      <c r="S244" s="458">
        <v>1959.7497903854783</v>
      </c>
      <c r="T244" s="457"/>
      <c r="U244" s="425"/>
      <c r="V244" s="425"/>
      <c r="W244" s="425"/>
      <c r="X244" s="425"/>
      <c r="Y244" s="425"/>
      <c r="Z244" s="425"/>
      <c r="AA244" s="425"/>
      <c r="AB244" s="425"/>
      <c r="AC244" s="425"/>
      <c r="AD244" s="425"/>
      <c r="AE244" s="425"/>
      <c r="AG244" s="425"/>
      <c r="AH244" s="425"/>
      <c r="AI244" s="425"/>
      <c r="AJ244" s="425"/>
      <c r="AK244" s="425"/>
      <c r="AL244" s="425"/>
      <c r="AM244" s="425"/>
      <c r="AN244" s="425"/>
      <c r="AO244" s="425"/>
      <c r="AP244" s="425"/>
      <c r="AQ244" s="425"/>
    </row>
    <row r="245" spans="1:43" s="270" customFormat="1" x14ac:dyDescent="0.25">
      <c r="A245" s="271">
        <v>501443</v>
      </c>
      <c r="B245" s="271">
        <v>1443</v>
      </c>
      <c r="C245" s="271">
        <v>25894</v>
      </c>
      <c r="D245" s="268" t="s">
        <v>1698</v>
      </c>
      <c r="E245" s="268" t="s">
        <v>1290</v>
      </c>
      <c r="F245" s="268" t="s">
        <v>2539</v>
      </c>
      <c r="G245" s="268">
        <v>8</v>
      </c>
      <c r="H245" s="268" t="s">
        <v>2735</v>
      </c>
      <c r="I245" s="268" t="s">
        <v>2689</v>
      </c>
      <c r="J245" s="458">
        <v>352836.83980127884</v>
      </c>
      <c r="K245" s="458">
        <v>29403.069983439906</v>
      </c>
      <c r="L245" s="458">
        <v>11194.760870699611</v>
      </c>
      <c r="M245" s="456">
        <v>0</v>
      </c>
      <c r="N245" s="458">
        <v>119.49693843813893</v>
      </c>
      <c r="O245" s="459">
        <v>0</v>
      </c>
      <c r="P245" s="459">
        <v>6174.6446965223804</v>
      </c>
      <c r="Q245" s="458">
        <v>55400.108403681625</v>
      </c>
      <c r="R245" s="458">
        <v>63757.616952091092</v>
      </c>
      <c r="S245" s="458">
        <v>1959.7497903854783</v>
      </c>
      <c r="T245" s="457"/>
      <c r="U245" s="425"/>
      <c r="V245" s="425"/>
      <c r="W245" s="425"/>
      <c r="X245" s="425"/>
      <c r="Y245" s="425"/>
      <c r="Z245" s="425"/>
      <c r="AA245" s="425"/>
      <c r="AB245" s="425"/>
      <c r="AC245" s="425"/>
      <c r="AD245" s="425"/>
      <c r="AE245" s="425"/>
      <c r="AG245" s="425"/>
      <c r="AH245" s="425"/>
      <c r="AI245" s="425"/>
      <c r="AJ245" s="425"/>
      <c r="AK245" s="425"/>
      <c r="AL245" s="425"/>
      <c r="AM245" s="425"/>
      <c r="AN245" s="425"/>
      <c r="AO245" s="425"/>
      <c r="AP245" s="425"/>
      <c r="AQ245" s="425"/>
    </row>
    <row r="246" spans="1:43" s="270" customFormat="1" x14ac:dyDescent="0.25">
      <c r="A246" s="271">
        <v>501445</v>
      </c>
      <c r="B246" s="271">
        <v>1445</v>
      </c>
      <c r="C246" s="271">
        <v>25917</v>
      </c>
      <c r="D246" s="268" t="s">
        <v>894</v>
      </c>
      <c r="E246" s="268" t="s">
        <v>1290</v>
      </c>
      <c r="F246" s="268" t="s">
        <v>2502</v>
      </c>
      <c r="G246" s="268">
        <v>8</v>
      </c>
      <c r="H246" s="268" t="s">
        <v>2736</v>
      </c>
      <c r="I246" s="268" t="s">
        <v>2712</v>
      </c>
      <c r="J246" s="458">
        <v>352836.83980127884</v>
      </c>
      <c r="K246" s="458">
        <v>29403.069983439906</v>
      </c>
      <c r="L246" s="458">
        <v>11194.760870699611</v>
      </c>
      <c r="M246" s="456">
        <v>0</v>
      </c>
      <c r="N246" s="458">
        <v>119.49693843813893</v>
      </c>
      <c r="O246" s="459">
        <v>0</v>
      </c>
      <c r="P246" s="459">
        <v>6174.6446965223804</v>
      </c>
      <c r="Q246" s="458">
        <v>55400.108403681625</v>
      </c>
      <c r="R246" s="458">
        <v>63757.616952091092</v>
      </c>
      <c r="S246" s="458">
        <v>1959.7497903854783</v>
      </c>
      <c r="T246" s="457"/>
      <c r="U246" s="425"/>
      <c r="V246" s="425"/>
      <c r="W246" s="425"/>
      <c r="X246" s="425"/>
      <c r="Y246" s="425"/>
      <c r="Z246" s="425"/>
      <c r="AA246" s="425"/>
      <c r="AB246" s="425"/>
      <c r="AC246" s="425"/>
      <c r="AD246" s="425"/>
      <c r="AE246" s="425"/>
      <c r="AG246" s="425"/>
      <c r="AH246" s="425"/>
      <c r="AI246" s="425"/>
      <c r="AJ246" s="425"/>
      <c r="AK246" s="425"/>
      <c r="AL246" s="425"/>
      <c r="AM246" s="425"/>
      <c r="AN246" s="425"/>
      <c r="AO246" s="425"/>
      <c r="AP246" s="425"/>
      <c r="AQ246" s="425"/>
    </row>
    <row r="247" spans="1:43" x14ac:dyDescent="0.25">
      <c r="A247" s="271">
        <v>501406</v>
      </c>
      <c r="B247" s="271">
        <v>1406</v>
      </c>
      <c r="C247" s="271">
        <v>31260</v>
      </c>
      <c r="D247" s="268" t="s">
        <v>894</v>
      </c>
      <c r="E247" s="268" t="s">
        <v>1290</v>
      </c>
      <c r="F247" s="268" t="s">
        <v>2737</v>
      </c>
      <c r="G247" s="268">
        <v>8</v>
      </c>
      <c r="H247" s="268" t="s">
        <v>2738</v>
      </c>
      <c r="I247" s="268" t="s">
        <v>2739</v>
      </c>
      <c r="J247" s="458">
        <v>352836.83980127884</v>
      </c>
      <c r="K247" s="458">
        <v>29403.069983439906</v>
      </c>
      <c r="L247" s="458">
        <v>11194.760870699611</v>
      </c>
      <c r="M247" s="456">
        <v>0</v>
      </c>
      <c r="N247" s="458">
        <v>119.49693843813893</v>
      </c>
      <c r="O247" s="459">
        <v>0</v>
      </c>
      <c r="P247" s="459">
        <v>6174.6446965223804</v>
      </c>
      <c r="Q247" s="458">
        <v>55400.108403681625</v>
      </c>
      <c r="R247" s="458">
        <v>63757.616952091092</v>
      </c>
      <c r="S247" s="458">
        <v>1959.7497903854783</v>
      </c>
      <c r="T247" s="457"/>
      <c r="U247" s="425"/>
      <c r="V247" s="425"/>
      <c r="W247" s="425"/>
      <c r="X247" s="425"/>
      <c r="Y247" s="425"/>
      <c r="Z247" s="425"/>
      <c r="AA247" s="425"/>
      <c r="AB247" s="425"/>
      <c r="AC247" s="425"/>
      <c r="AD247" s="425"/>
      <c r="AE247" s="425"/>
      <c r="AF247" s="424"/>
      <c r="AG247" s="425"/>
      <c r="AH247" s="425"/>
      <c r="AI247" s="425"/>
      <c r="AJ247" s="425"/>
      <c r="AK247" s="425"/>
      <c r="AL247" s="425"/>
      <c r="AM247" s="425"/>
      <c r="AN247" s="425"/>
      <c r="AO247" s="425"/>
      <c r="AP247" s="425"/>
      <c r="AQ247" s="425"/>
    </row>
    <row r="248" spans="1:43" s="270" customFormat="1" x14ac:dyDescent="0.25">
      <c r="A248" s="271">
        <v>501444</v>
      </c>
      <c r="B248" s="271">
        <v>1444</v>
      </c>
      <c r="C248" s="271">
        <v>34416</v>
      </c>
      <c r="D248" s="268" t="s">
        <v>894</v>
      </c>
      <c r="E248" s="268" t="s">
        <v>1290</v>
      </c>
      <c r="F248" s="268" t="s">
        <v>2502</v>
      </c>
      <c r="G248" s="268">
        <v>8</v>
      </c>
      <c r="H248" s="268" t="s">
        <v>2740</v>
      </c>
      <c r="I248" s="268" t="s">
        <v>2712</v>
      </c>
      <c r="J248" s="458">
        <v>352836.83980127884</v>
      </c>
      <c r="K248" s="458">
        <v>29403.069983439906</v>
      </c>
      <c r="L248" s="458">
        <v>11194.760870699611</v>
      </c>
      <c r="M248" s="456">
        <v>0</v>
      </c>
      <c r="N248" s="458">
        <v>119.49693843813893</v>
      </c>
      <c r="O248" s="459">
        <v>0</v>
      </c>
      <c r="P248" s="459">
        <v>6174.6446965223804</v>
      </c>
      <c r="Q248" s="458">
        <v>55400.108403681625</v>
      </c>
      <c r="R248" s="458">
        <v>63757.616952091092</v>
      </c>
      <c r="S248" s="458">
        <v>1959.7497903854783</v>
      </c>
      <c r="T248" s="457"/>
      <c r="U248" s="425"/>
      <c r="V248" s="425"/>
      <c r="W248" s="425"/>
      <c r="X248" s="425"/>
      <c r="Y248" s="425"/>
      <c r="Z248" s="425"/>
      <c r="AA248" s="425"/>
      <c r="AB248" s="425"/>
      <c r="AC248" s="425"/>
      <c r="AD248" s="425"/>
      <c r="AE248" s="425"/>
      <c r="AG248" s="425"/>
      <c r="AH248" s="425"/>
      <c r="AI248" s="425"/>
      <c r="AJ248" s="425"/>
      <c r="AK248" s="425"/>
      <c r="AL248" s="425"/>
      <c r="AM248" s="425"/>
      <c r="AN248" s="425"/>
      <c r="AO248" s="425"/>
      <c r="AP248" s="425"/>
      <c r="AQ248" s="425"/>
    </row>
    <row r="249" spans="1:43" s="270" customFormat="1" x14ac:dyDescent="0.25">
      <c r="A249" s="271">
        <v>501406</v>
      </c>
      <c r="B249" s="271">
        <v>1406</v>
      </c>
      <c r="C249" s="271">
        <v>36197</v>
      </c>
      <c r="D249" s="268" t="s">
        <v>894</v>
      </c>
      <c r="E249" s="268" t="s">
        <v>1278</v>
      </c>
      <c r="F249" s="268" t="s">
        <v>2649</v>
      </c>
      <c r="G249" s="268">
        <v>8</v>
      </c>
      <c r="H249" s="268" t="s">
        <v>2741</v>
      </c>
      <c r="I249" s="268" t="s">
        <v>2712</v>
      </c>
      <c r="J249" s="458">
        <v>352836.83980127884</v>
      </c>
      <c r="K249" s="458">
        <v>29403.069983439906</v>
      </c>
      <c r="L249" s="458">
        <v>11194.760870699611</v>
      </c>
      <c r="M249" s="456">
        <v>0</v>
      </c>
      <c r="N249" s="458">
        <v>119.49693843813893</v>
      </c>
      <c r="O249" s="459">
        <v>0</v>
      </c>
      <c r="P249" s="459">
        <v>6174.6446965223804</v>
      </c>
      <c r="Q249" s="458">
        <v>55400.108403681625</v>
      </c>
      <c r="R249" s="458">
        <v>63757.616952091092</v>
      </c>
      <c r="S249" s="458">
        <v>1959.7497903854783</v>
      </c>
      <c r="T249" s="457"/>
      <c r="U249" s="425"/>
      <c r="V249" s="425"/>
      <c r="W249" s="425"/>
      <c r="X249" s="425"/>
      <c r="Y249" s="425"/>
      <c r="Z249" s="425"/>
      <c r="AA249" s="425"/>
      <c r="AB249" s="425"/>
      <c r="AC249" s="425"/>
      <c r="AD249" s="425"/>
      <c r="AE249" s="425"/>
      <c r="AG249" s="425"/>
      <c r="AH249" s="425"/>
      <c r="AI249" s="425"/>
      <c r="AJ249" s="425"/>
      <c r="AK249" s="425"/>
      <c r="AL249" s="425"/>
      <c r="AM249" s="425"/>
      <c r="AN249" s="425"/>
      <c r="AO249" s="425"/>
      <c r="AP249" s="425"/>
      <c r="AQ249" s="425"/>
    </row>
    <row r="250" spans="1:43" x14ac:dyDescent="0.25">
      <c r="A250" s="271">
        <v>501445</v>
      </c>
      <c r="B250" s="271">
        <v>1445</v>
      </c>
      <c r="C250" s="271">
        <v>41140</v>
      </c>
      <c r="D250" s="268" t="s">
        <v>894</v>
      </c>
      <c r="E250" s="268" t="s">
        <v>1290</v>
      </c>
      <c r="F250" s="268" t="s">
        <v>2742</v>
      </c>
      <c r="G250" s="268">
        <v>8</v>
      </c>
      <c r="H250" s="268" t="s">
        <v>2382</v>
      </c>
      <c r="I250" s="268" t="s">
        <v>2689</v>
      </c>
      <c r="J250" s="458">
        <v>352836.83980127884</v>
      </c>
      <c r="K250" s="458">
        <v>29403.069983439906</v>
      </c>
      <c r="L250" s="458">
        <v>11194.760870699611</v>
      </c>
      <c r="M250" s="456">
        <v>0</v>
      </c>
      <c r="N250" s="458">
        <v>119.49693843813893</v>
      </c>
      <c r="O250" s="459">
        <v>0</v>
      </c>
      <c r="P250" s="459">
        <v>6174.6446965223804</v>
      </c>
      <c r="Q250" s="458">
        <v>55400.108403681625</v>
      </c>
      <c r="R250" s="458">
        <v>63757.616952091092</v>
      </c>
      <c r="S250" s="458">
        <v>1959.7497903854783</v>
      </c>
      <c r="T250" s="457"/>
      <c r="U250" s="425"/>
      <c r="V250" s="425"/>
      <c r="W250" s="425"/>
      <c r="X250" s="425"/>
      <c r="Y250" s="425"/>
      <c r="Z250" s="425"/>
      <c r="AA250" s="425"/>
      <c r="AB250" s="425"/>
      <c r="AC250" s="425"/>
      <c r="AD250" s="425"/>
      <c r="AE250" s="425"/>
      <c r="AF250" s="424"/>
      <c r="AG250" s="425"/>
      <c r="AH250" s="425"/>
      <c r="AI250" s="425"/>
      <c r="AJ250" s="425"/>
      <c r="AK250" s="425"/>
      <c r="AL250" s="425"/>
      <c r="AM250" s="425"/>
      <c r="AN250" s="425"/>
      <c r="AO250" s="425"/>
      <c r="AP250" s="425"/>
      <c r="AQ250" s="425"/>
    </row>
    <row r="251" spans="1:43" s="270" customFormat="1" x14ac:dyDescent="0.25">
      <c r="A251" s="271">
        <v>501443</v>
      </c>
      <c r="B251" s="271">
        <v>1443</v>
      </c>
      <c r="C251" s="271">
        <v>46624</v>
      </c>
      <c r="D251" s="268" t="s">
        <v>894</v>
      </c>
      <c r="E251" s="268" t="s">
        <v>1290</v>
      </c>
      <c r="F251" s="268" t="s">
        <v>1290</v>
      </c>
      <c r="G251" s="268">
        <v>8</v>
      </c>
      <c r="H251" s="268" t="s">
        <v>2743</v>
      </c>
      <c r="I251" s="268" t="s">
        <v>2689</v>
      </c>
      <c r="J251" s="458">
        <v>352836.83980127884</v>
      </c>
      <c r="K251" s="458">
        <v>29403.069983439906</v>
      </c>
      <c r="L251" s="458">
        <v>11194.760870699611</v>
      </c>
      <c r="M251" s="456">
        <v>0</v>
      </c>
      <c r="N251" s="458">
        <v>119.49693843813893</v>
      </c>
      <c r="O251" s="459">
        <v>0</v>
      </c>
      <c r="P251" s="459">
        <v>6174.6446965223804</v>
      </c>
      <c r="Q251" s="458">
        <v>55400.108403681625</v>
      </c>
      <c r="R251" s="458">
        <v>63757.616952091092</v>
      </c>
      <c r="S251" s="458">
        <v>1959.7497903854783</v>
      </c>
      <c r="T251" s="457"/>
      <c r="U251" s="425"/>
      <c r="V251" s="425"/>
      <c r="W251" s="425"/>
      <c r="X251" s="425"/>
      <c r="Y251" s="425"/>
      <c r="Z251" s="425"/>
      <c r="AA251" s="425"/>
      <c r="AB251" s="425"/>
      <c r="AC251" s="425"/>
      <c r="AD251" s="425"/>
      <c r="AE251" s="425"/>
      <c r="AG251" s="425"/>
      <c r="AH251" s="425"/>
      <c r="AI251" s="425"/>
      <c r="AJ251" s="425"/>
      <c r="AK251" s="425"/>
      <c r="AL251" s="425"/>
      <c r="AM251" s="425"/>
      <c r="AN251" s="425"/>
      <c r="AO251" s="425"/>
      <c r="AP251" s="425"/>
      <c r="AQ251" s="425"/>
    </row>
    <row r="252" spans="1:43" s="270" customFormat="1" x14ac:dyDescent="0.25">
      <c r="A252" s="271">
        <v>501203</v>
      </c>
      <c r="B252" s="271">
        <v>1203</v>
      </c>
      <c r="C252" s="271">
        <v>59983</v>
      </c>
      <c r="D252" s="268" t="s">
        <v>894</v>
      </c>
      <c r="E252" s="268" t="s">
        <v>1278</v>
      </c>
      <c r="F252" s="268" t="s">
        <v>2744</v>
      </c>
      <c r="G252" s="268">
        <v>8</v>
      </c>
      <c r="H252" s="268" t="s">
        <v>2745</v>
      </c>
      <c r="I252" s="268" t="s">
        <v>2721</v>
      </c>
      <c r="J252" s="458">
        <v>352836.83980127884</v>
      </c>
      <c r="K252" s="458">
        <v>29403.069983439906</v>
      </c>
      <c r="L252" s="458">
        <v>11194.760870699611</v>
      </c>
      <c r="M252" s="456">
        <v>0</v>
      </c>
      <c r="N252" s="458">
        <v>119.49693843813893</v>
      </c>
      <c r="O252" s="459">
        <v>0</v>
      </c>
      <c r="P252" s="459">
        <v>6174.6446965223804</v>
      </c>
      <c r="Q252" s="458">
        <v>55400.108403681625</v>
      </c>
      <c r="R252" s="458">
        <v>63757.616952091092</v>
      </c>
      <c r="S252" s="458">
        <v>1959.7497903854783</v>
      </c>
      <c r="T252" s="457"/>
      <c r="U252" s="425"/>
      <c r="V252" s="425"/>
      <c r="W252" s="425"/>
      <c r="X252" s="425"/>
      <c r="Y252" s="425"/>
      <c r="Z252" s="425"/>
      <c r="AA252" s="425"/>
      <c r="AB252" s="425"/>
      <c r="AC252" s="425"/>
      <c r="AD252" s="425"/>
      <c r="AE252" s="425"/>
      <c r="AG252" s="425"/>
      <c r="AH252" s="425"/>
      <c r="AI252" s="425"/>
      <c r="AJ252" s="425"/>
      <c r="AK252" s="425"/>
      <c r="AL252" s="425"/>
      <c r="AM252" s="425"/>
      <c r="AN252" s="425"/>
      <c r="AO252" s="425"/>
      <c r="AP252" s="425"/>
      <c r="AQ252" s="425"/>
    </row>
    <row r="253" spans="1:43" s="270" customFormat="1" x14ac:dyDescent="0.25">
      <c r="A253" s="271">
        <v>501443</v>
      </c>
      <c r="B253" s="271">
        <v>1443</v>
      </c>
      <c r="C253" s="271">
        <v>83551</v>
      </c>
      <c r="D253" s="268" t="s">
        <v>894</v>
      </c>
      <c r="E253" s="268" t="s">
        <v>1290</v>
      </c>
      <c r="F253" s="268" t="s">
        <v>2694</v>
      </c>
      <c r="G253" s="268">
        <v>8</v>
      </c>
      <c r="H253" s="268" t="s">
        <v>2746</v>
      </c>
      <c r="I253" s="268" t="s">
        <v>2712</v>
      </c>
      <c r="J253" s="458">
        <v>352836.83980127884</v>
      </c>
      <c r="K253" s="458">
        <v>29403.069983439906</v>
      </c>
      <c r="L253" s="458">
        <v>11194.760870699611</v>
      </c>
      <c r="M253" s="456">
        <v>0</v>
      </c>
      <c r="N253" s="458">
        <v>119.49693843813893</v>
      </c>
      <c r="O253" s="459">
        <v>0</v>
      </c>
      <c r="P253" s="459">
        <v>6174.6446965223804</v>
      </c>
      <c r="Q253" s="458">
        <v>55400.108403681625</v>
      </c>
      <c r="R253" s="458">
        <v>63757.616952091092</v>
      </c>
      <c r="S253" s="458">
        <v>1959.7497903854783</v>
      </c>
      <c r="T253" s="457"/>
      <c r="U253" s="425"/>
      <c r="V253" s="425"/>
      <c r="W253" s="425"/>
      <c r="X253" s="425"/>
      <c r="Y253" s="425"/>
      <c r="Z253" s="425"/>
      <c r="AA253" s="425"/>
      <c r="AB253" s="425"/>
      <c r="AC253" s="425"/>
      <c r="AD253" s="425"/>
      <c r="AE253" s="425"/>
      <c r="AG253" s="425"/>
      <c r="AH253" s="425"/>
      <c r="AI253" s="425"/>
      <c r="AJ253" s="425"/>
      <c r="AK253" s="425"/>
      <c r="AL253" s="425"/>
      <c r="AM253" s="425"/>
      <c r="AN253" s="425"/>
      <c r="AO253" s="425"/>
      <c r="AP253" s="425"/>
      <c r="AQ253" s="425"/>
    </row>
    <row r="254" spans="1:43" s="270" customFormat="1" x14ac:dyDescent="0.25">
      <c r="A254" s="271">
        <v>501443</v>
      </c>
      <c r="B254" s="271">
        <v>1443</v>
      </c>
      <c r="C254" s="271">
        <v>83580</v>
      </c>
      <c r="D254" s="268" t="s">
        <v>894</v>
      </c>
      <c r="E254" s="268" t="s">
        <v>1290</v>
      </c>
      <c r="F254" s="268" t="s">
        <v>2415</v>
      </c>
      <c r="G254" s="268">
        <v>8</v>
      </c>
      <c r="H254" s="268" t="s">
        <v>2295</v>
      </c>
      <c r="I254" s="268" t="s">
        <v>2712</v>
      </c>
      <c r="J254" s="458">
        <v>352836.83980127884</v>
      </c>
      <c r="K254" s="458">
        <v>29403.069983439906</v>
      </c>
      <c r="L254" s="458">
        <v>11194.760870699611</v>
      </c>
      <c r="M254" s="456">
        <v>0</v>
      </c>
      <c r="N254" s="458">
        <v>119.49693843813893</v>
      </c>
      <c r="O254" s="459">
        <v>0</v>
      </c>
      <c r="P254" s="459">
        <v>6174.6446965223804</v>
      </c>
      <c r="Q254" s="458">
        <v>55400.108403681625</v>
      </c>
      <c r="R254" s="458">
        <v>63757.616952091092</v>
      </c>
      <c r="S254" s="458">
        <v>1959.7497903854783</v>
      </c>
      <c r="T254" s="457"/>
      <c r="U254" s="425"/>
      <c r="V254" s="425"/>
      <c r="W254" s="425"/>
      <c r="X254" s="425"/>
      <c r="Y254" s="425"/>
      <c r="Z254" s="425"/>
      <c r="AA254" s="425"/>
      <c r="AB254" s="425"/>
      <c r="AC254" s="425"/>
      <c r="AD254" s="425"/>
      <c r="AE254" s="425"/>
      <c r="AG254" s="425"/>
      <c r="AH254" s="425"/>
      <c r="AI254" s="425"/>
      <c r="AJ254" s="425"/>
      <c r="AK254" s="425"/>
      <c r="AL254" s="425"/>
      <c r="AM254" s="425"/>
      <c r="AN254" s="425"/>
      <c r="AO254" s="425"/>
      <c r="AP254" s="425"/>
      <c r="AQ254" s="425"/>
    </row>
    <row r="255" spans="1:43" s="270" customFormat="1" x14ac:dyDescent="0.25">
      <c r="A255" s="276">
        <v>501444</v>
      </c>
      <c r="B255" s="276">
        <v>1444</v>
      </c>
      <c r="C255" s="276">
        <v>83603</v>
      </c>
      <c r="D255" s="268" t="s">
        <v>894</v>
      </c>
      <c r="E255" s="268" t="s">
        <v>1290</v>
      </c>
      <c r="F255" s="268" t="s">
        <v>731</v>
      </c>
      <c r="G255" s="268">
        <v>8</v>
      </c>
      <c r="H255" s="268" t="s">
        <v>2247</v>
      </c>
      <c r="I255" s="268" t="s">
        <v>2712</v>
      </c>
      <c r="J255" s="456">
        <v>352836.83980127884</v>
      </c>
      <c r="K255" s="459">
        <v>29403.069983439906</v>
      </c>
      <c r="L255" s="458">
        <v>11194.760870699611</v>
      </c>
      <c r="M255" s="456">
        <v>5532.2656684323565</v>
      </c>
      <c r="N255" s="459">
        <v>119.49693843813893</v>
      </c>
      <c r="O255" s="459">
        <v>0</v>
      </c>
      <c r="P255" s="459">
        <v>6174.6446965223804</v>
      </c>
      <c r="Q255" s="458">
        <v>55400.108403681625</v>
      </c>
      <c r="R255" s="459">
        <v>63757.616952091092</v>
      </c>
      <c r="S255" s="459">
        <v>1959.7497903854783</v>
      </c>
      <c r="T255" s="457"/>
      <c r="U255" s="425"/>
      <c r="V255" s="425"/>
      <c r="W255" s="425"/>
      <c r="X255" s="425"/>
      <c r="Y255" s="425"/>
      <c r="Z255" s="425"/>
      <c r="AA255" s="425"/>
      <c r="AB255" s="425"/>
      <c r="AC255" s="425"/>
      <c r="AD255" s="425"/>
      <c r="AE255" s="425"/>
      <c r="AG255" s="425"/>
      <c r="AH255" s="425"/>
      <c r="AI255" s="425"/>
      <c r="AJ255" s="425"/>
      <c r="AK255" s="425"/>
      <c r="AL255" s="425"/>
      <c r="AM255" s="425"/>
      <c r="AN255" s="425"/>
      <c r="AO255" s="425"/>
      <c r="AP255" s="425"/>
      <c r="AQ255" s="425"/>
    </row>
    <row r="256" spans="1:43" x14ac:dyDescent="0.25">
      <c r="A256" s="271">
        <v>501443</v>
      </c>
      <c r="B256" s="271">
        <v>1443</v>
      </c>
      <c r="C256" s="271">
        <v>83784</v>
      </c>
      <c r="D256" s="268" t="s">
        <v>894</v>
      </c>
      <c r="E256" s="268" t="s">
        <v>1290</v>
      </c>
      <c r="F256" s="268" t="s">
        <v>2747</v>
      </c>
      <c r="G256" s="268">
        <v>8</v>
      </c>
      <c r="H256" s="268" t="s">
        <v>2748</v>
      </c>
      <c r="I256" s="268" t="s">
        <v>2739</v>
      </c>
      <c r="J256" s="458">
        <v>352836.83980127884</v>
      </c>
      <c r="K256" s="458">
        <v>29403.069983439906</v>
      </c>
      <c r="L256" s="458">
        <v>11194.760870699611</v>
      </c>
      <c r="M256" s="456">
        <v>0</v>
      </c>
      <c r="N256" s="458">
        <v>119.49693843813893</v>
      </c>
      <c r="O256" s="459">
        <v>0</v>
      </c>
      <c r="P256" s="459">
        <v>6174.6446965223804</v>
      </c>
      <c r="Q256" s="458">
        <v>55400.108403681625</v>
      </c>
      <c r="R256" s="458">
        <v>63757.616952091092</v>
      </c>
      <c r="S256" s="458">
        <v>1959.7497903854783</v>
      </c>
      <c r="T256" s="457"/>
      <c r="U256" s="425"/>
      <c r="V256" s="425"/>
      <c r="W256" s="425"/>
      <c r="X256" s="425"/>
      <c r="Y256" s="425"/>
      <c r="Z256" s="425"/>
      <c r="AA256" s="425"/>
      <c r="AB256" s="425"/>
      <c r="AC256" s="425"/>
      <c r="AD256" s="425"/>
      <c r="AE256" s="425"/>
      <c r="AF256" s="424"/>
      <c r="AG256" s="425"/>
      <c r="AH256" s="425"/>
      <c r="AI256" s="425"/>
      <c r="AJ256" s="425"/>
      <c r="AK256" s="425"/>
      <c r="AL256" s="425"/>
      <c r="AM256" s="425"/>
      <c r="AN256" s="425"/>
      <c r="AO256" s="425"/>
      <c r="AP256" s="425"/>
      <c r="AQ256" s="425"/>
    </row>
    <row r="257" spans="1:43" x14ac:dyDescent="0.25">
      <c r="A257" s="271">
        <v>501443</v>
      </c>
      <c r="B257" s="271">
        <v>1443</v>
      </c>
      <c r="C257" s="271">
        <v>84482</v>
      </c>
      <c r="D257" s="268" t="s">
        <v>894</v>
      </c>
      <c r="E257" s="268" t="s">
        <v>1290</v>
      </c>
      <c r="F257" s="268" t="s">
        <v>2381</v>
      </c>
      <c r="G257" s="268">
        <v>8</v>
      </c>
      <c r="H257" s="268" t="s">
        <v>2749</v>
      </c>
      <c r="I257" s="268" t="s">
        <v>2739</v>
      </c>
      <c r="J257" s="458">
        <v>352836.83980127884</v>
      </c>
      <c r="K257" s="458">
        <v>29403.069983439906</v>
      </c>
      <c r="L257" s="458">
        <v>11194.760870699611</v>
      </c>
      <c r="M257" s="456">
        <v>0</v>
      </c>
      <c r="N257" s="458">
        <v>119.49693843813893</v>
      </c>
      <c r="O257" s="459">
        <v>0</v>
      </c>
      <c r="P257" s="459">
        <v>6174.6446965223804</v>
      </c>
      <c r="Q257" s="458">
        <v>55400.108403681625</v>
      </c>
      <c r="R257" s="458">
        <v>63757.616952091092</v>
      </c>
      <c r="S257" s="458">
        <v>1959.7497903854783</v>
      </c>
      <c r="T257" s="457"/>
      <c r="U257" s="425"/>
      <c r="V257" s="425"/>
      <c r="W257" s="425"/>
      <c r="X257" s="425"/>
      <c r="Y257" s="425"/>
      <c r="Z257" s="425"/>
      <c r="AA257" s="425"/>
      <c r="AB257" s="425"/>
      <c r="AC257" s="425"/>
      <c r="AD257" s="425"/>
      <c r="AE257" s="425"/>
      <c r="AF257" s="424"/>
      <c r="AG257" s="425"/>
      <c r="AH257" s="425"/>
      <c r="AI257" s="425"/>
      <c r="AJ257" s="425"/>
      <c r="AK257" s="425"/>
      <c r="AL257" s="425"/>
      <c r="AM257" s="425"/>
      <c r="AN257" s="425"/>
      <c r="AO257" s="425"/>
      <c r="AP257" s="425"/>
      <c r="AQ257" s="425"/>
    </row>
    <row r="258" spans="1:43" s="270" customFormat="1" x14ac:dyDescent="0.25">
      <c r="A258" s="271">
        <v>501443</v>
      </c>
      <c r="B258" s="271">
        <v>1443</v>
      </c>
      <c r="C258" s="271">
        <v>84495</v>
      </c>
      <c r="D258" s="268" t="s">
        <v>894</v>
      </c>
      <c r="E258" s="268" t="s">
        <v>1278</v>
      </c>
      <c r="F258" s="268" t="s">
        <v>2193</v>
      </c>
      <c r="G258" s="268">
        <v>8</v>
      </c>
      <c r="H258" s="268" t="s">
        <v>2750</v>
      </c>
      <c r="I258" s="268" t="s">
        <v>2689</v>
      </c>
      <c r="J258" s="458">
        <v>352836.83980127884</v>
      </c>
      <c r="K258" s="458">
        <v>29403.069983439906</v>
      </c>
      <c r="L258" s="458">
        <v>11194.760870699611</v>
      </c>
      <c r="M258" s="456">
        <v>0</v>
      </c>
      <c r="N258" s="458">
        <v>119.49693843813893</v>
      </c>
      <c r="O258" s="459">
        <v>0</v>
      </c>
      <c r="P258" s="459">
        <v>6174.6446965223804</v>
      </c>
      <c r="Q258" s="458">
        <v>55400.108403681625</v>
      </c>
      <c r="R258" s="458">
        <v>63757.616952091092</v>
      </c>
      <c r="S258" s="458">
        <v>1959.7497903854783</v>
      </c>
      <c r="T258" s="457"/>
      <c r="U258" s="425"/>
      <c r="V258" s="425"/>
      <c r="W258" s="425"/>
      <c r="X258" s="425"/>
      <c r="Y258" s="425"/>
      <c r="Z258" s="425"/>
      <c r="AA258" s="425"/>
      <c r="AB258" s="425"/>
      <c r="AC258" s="425"/>
      <c r="AD258" s="425"/>
      <c r="AE258" s="425"/>
      <c r="AG258" s="425"/>
      <c r="AH258" s="425"/>
      <c r="AI258" s="425"/>
      <c r="AJ258" s="425"/>
      <c r="AK258" s="425"/>
      <c r="AL258" s="425"/>
      <c r="AM258" s="425"/>
      <c r="AN258" s="425"/>
      <c r="AO258" s="425"/>
      <c r="AP258" s="425"/>
      <c r="AQ258" s="425"/>
    </row>
    <row r="259" spans="1:43" s="270" customFormat="1" x14ac:dyDescent="0.25">
      <c r="A259" s="271">
        <v>501406</v>
      </c>
      <c r="B259" s="271">
        <v>1406</v>
      </c>
      <c r="C259" s="271">
        <v>84534</v>
      </c>
      <c r="D259" s="268" t="s">
        <v>894</v>
      </c>
      <c r="E259" s="268" t="s">
        <v>1278</v>
      </c>
      <c r="F259" s="268" t="s">
        <v>2751</v>
      </c>
      <c r="G259" s="268">
        <v>8</v>
      </c>
      <c r="H259" s="268" t="s">
        <v>2752</v>
      </c>
      <c r="I259" s="268" t="s">
        <v>2689</v>
      </c>
      <c r="J259" s="458">
        <v>352836.83980127884</v>
      </c>
      <c r="K259" s="458">
        <v>29403.069983439906</v>
      </c>
      <c r="L259" s="458">
        <v>11194.760870699611</v>
      </c>
      <c r="M259" s="456">
        <v>0</v>
      </c>
      <c r="N259" s="458">
        <v>119.49693843813893</v>
      </c>
      <c r="O259" s="459">
        <v>0</v>
      </c>
      <c r="P259" s="459">
        <v>6174.6446965223804</v>
      </c>
      <c r="Q259" s="458">
        <v>55400.108403681625</v>
      </c>
      <c r="R259" s="458">
        <v>63757.616952091092</v>
      </c>
      <c r="S259" s="458">
        <v>1959.7497903854783</v>
      </c>
      <c r="T259" s="457"/>
      <c r="U259" s="425"/>
      <c r="V259" s="425"/>
      <c r="W259" s="425"/>
      <c r="X259" s="425"/>
      <c r="Y259" s="425"/>
      <c r="Z259" s="425"/>
      <c r="AA259" s="425"/>
      <c r="AB259" s="425"/>
      <c r="AC259" s="425"/>
      <c r="AD259" s="425"/>
      <c r="AE259" s="425"/>
      <c r="AG259" s="425"/>
      <c r="AH259" s="425"/>
      <c r="AI259" s="425"/>
      <c r="AJ259" s="425"/>
      <c r="AK259" s="425"/>
      <c r="AL259" s="425"/>
      <c r="AM259" s="425"/>
      <c r="AN259" s="425"/>
      <c r="AO259" s="425"/>
      <c r="AP259" s="425"/>
      <c r="AQ259" s="425"/>
    </row>
    <row r="260" spans="1:43" s="270" customFormat="1" x14ac:dyDescent="0.25">
      <c r="A260" s="271">
        <v>501443</v>
      </c>
      <c r="B260" s="271">
        <v>1443</v>
      </c>
      <c r="C260" s="271">
        <v>97479</v>
      </c>
      <c r="D260" s="268" t="s">
        <v>894</v>
      </c>
      <c r="E260" s="268" t="s">
        <v>1290</v>
      </c>
      <c r="F260" s="268" t="s">
        <v>2753</v>
      </c>
      <c r="G260" s="268">
        <v>8</v>
      </c>
      <c r="H260" s="268" t="s">
        <v>2754</v>
      </c>
      <c r="I260" s="268" t="s">
        <v>2689</v>
      </c>
      <c r="J260" s="458">
        <v>352836.83980127884</v>
      </c>
      <c r="K260" s="458">
        <v>29403.069983439906</v>
      </c>
      <c r="L260" s="458">
        <v>11194.760870699611</v>
      </c>
      <c r="M260" s="456">
        <v>0</v>
      </c>
      <c r="N260" s="458">
        <v>119.49693843813893</v>
      </c>
      <c r="O260" s="459">
        <v>0</v>
      </c>
      <c r="P260" s="459">
        <v>6174.6446965223804</v>
      </c>
      <c r="Q260" s="458">
        <v>55400.108403681625</v>
      </c>
      <c r="R260" s="458">
        <v>63757.616952091092</v>
      </c>
      <c r="S260" s="458">
        <v>1959.7497903854783</v>
      </c>
      <c r="T260" s="457"/>
      <c r="U260" s="425"/>
      <c r="V260" s="425"/>
      <c r="W260" s="425"/>
      <c r="X260" s="425"/>
      <c r="Y260" s="425"/>
      <c r="Z260" s="425"/>
      <c r="AA260" s="425"/>
      <c r="AB260" s="425"/>
      <c r="AC260" s="425"/>
      <c r="AD260" s="425"/>
      <c r="AE260" s="425"/>
      <c r="AG260" s="425"/>
      <c r="AH260" s="425"/>
      <c r="AI260" s="425"/>
      <c r="AJ260" s="425"/>
      <c r="AK260" s="425"/>
      <c r="AL260" s="425"/>
      <c r="AM260" s="425"/>
      <c r="AN260" s="425"/>
      <c r="AO260" s="425"/>
      <c r="AP260" s="425"/>
      <c r="AQ260" s="425"/>
    </row>
    <row r="261" spans="1:43" x14ac:dyDescent="0.25">
      <c r="A261" s="271">
        <v>501203</v>
      </c>
      <c r="B261" s="271">
        <v>1203</v>
      </c>
      <c r="C261" s="271">
        <v>200059</v>
      </c>
      <c r="D261" s="268" t="s">
        <v>894</v>
      </c>
      <c r="E261" s="268" t="s">
        <v>1278</v>
      </c>
      <c r="F261" s="268" t="s">
        <v>2450</v>
      </c>
      <c r="G261" s="268">
        <v>8</v>
      </c>
      <c r="H261" s="268" t="s">
        <v>2755</v>
      </c>
      <c r="I261" s="268" t="s">
        <v>2756</v>
      </c>
      <c r="J261" s="458">
        <v>352836.83980127884</v>
      </c>
      <c r="K261" s="458">
        <v>29403.069983439906</v>
      </c>
      <c r="L261" s="458">
        <v>11194.760870699611</v>
      </c>
      <c r="M261" s="456">
        <v>0</v>
      </c>
      <c r="N261" s="458">
        <v>119.49693843813893</v>
      </c>
      <c r="O261" s="459">
        <v>0</v>
      </c>
      <c r="P261" s="459">
        <v>6174.6446965223804</v>
      </c>
      <c r="Q261" s="458">
        <v>55400.108403681625</v>
      </c>
      <c r="R261" s="458">
        <v>63757.616952091092</v>
      </c>
      <c r="S261" s="458">
        <v>1959.7497903854783</v>
      </c>
      <c r="T261" s="457"/>
      <c r="U261" s="425"/>
      <c r="V261" s="425"/>
      <c r="W261" s="425"/>
      <c r="X261" s="425"/>
      <c r="Y261" s="425"/>
      <c r="Z261" s="425"/>
      <c r="AA261" s="425"/>
      <c r="AB261" s="425"/>
      <c r="AC261" s="425"/>
      <c r="AD261" s="425"/>
      <c r="AE261" s="425"/>
      <c r="AF261" s="424"/>
      <c r="AG261" s="425"/>
      <c r="AH261" s="425"/>
      <c r="AI261" s="425"/>
      <c r="AJ261" s="425"/>
      <c r="AK261" s="425"/>
      <c r="AL261" s="425"/>
      <c r="AM261" s="425"/>
      <c r="AN261" s="425"/>
      <c r="AO261" s="425"/>
      <c r="AP261" s="425"/>
      <c r="AQ261" s="425"/>
    </row>
    <row r="262" spans="1:43" s="270" customFormat="1" x14ac:dyDescent="0.25">
      <c r="A262" s="271">
        <v>501445</v>
      </c>
      <c r="B262" s="271">
        <v>1445</v>
      </c>
      <c r="C262" s="271">
        <v>200208</v>
      </c>
      <c r="D262" s="268" t="s">
        <v>894</v>
      </c>
      <c r="E262" s="268" t="s">
        <v>1278</v>
      </c>
      <c r="F262" s="268" t="s">
        <v>1290</v>
      </c>
      <c r="G262" s="268">
        <v>8</v>
      </c>
      <c r="H262" s="268" t="s">
        <v>2757</v>
      </c>
      <c r="I262" s="268" t="s">
        <v>2758</v>
      </c>
      <c r="J262" s="458">
        <v>352836.83980127884</v>
      </c>
      <c r="K262" s="458">
        <v>29403.069983439906</v>
      </c>
      <c r="L262" s="458">
        <v>11194.760870699611</v>
      </c>
      <c r="M262" s="456">
        <v>0</v>
      </c>
      <c r="N262" s="458">
        <v>119.49693843813893</v>
      </c>
      <c r="O262" s="459">
        <v>0</v>
      </c>
      <c r="P262" s="459">
        <v>6174.6446965223804</v>
      </c>
      <c r="Q262" s="458">
        <v>55400.108403681625</v>
      </c>
      <c r="R262" s="458">
        <v>63757.616952091092</v>
      </c>
      <c r="S262" s="458">
        <v>1959.7497903854783</v>
      </c>
      <c r="T262" s="457"/>
      <c r="U262" s="425"/>
      <c r="V262" s="425"/>
      <c r="W262" s="425"/>
      <c r="X262" s="425"/>
      <c r="Y262" s="425"/>
      <c r="Z262" s="425"/>
      <c r="AA262" s="425"/>
      <c r="AB262" s="425"/>
      <c r="AC262" s="425"/>
      <c r="AD262" s="425"/>
      <c r="AE262" s="425"/>
      <c r="AG262" s="425"/>
      <c r="AH262" s="425"/>
      <c r="AI262" s="425"/>
      <c r="AJ262" s="425"/>
      <c r="AK262" s="425"/>
      <c r="AL262" s="425"/>
      <c r="AM262" s="425"/>
      <c r="AN262" s="425"/>
      <c r="AO262" s="425"/>
      <c r="AP262" s="425"/>
      <c r="AQ262" s="425"/>
    </row>
    <row r="263" spans="1:43" s="270" customFormat="1" x14ac:dyDescent="0.25">
      <c r="A263" s="271">
        <v>501444</v>
      </c>
      <c r="B263" s="271">
        <v>1444</v>
      </c>
      <c r="C263" s="271">
        <v>200302</v>
      </c>
      <c r="D263" s="268" t="s">
        <v>894</v>
      </c>
      <c r="E263" s="268" t="s">
        <v>1290</v>
      </c>
      <c r="F263" s="268" t="s">
        <v>1304</v>
      </c>
      <c r="G263" s="268">
        <v>8</v>
      </c>
      <c r="H263" s="268" t="s">
        <v>2759</v>
      </c>
      <c r="I263" s="268" t="s">
        <v>2689</v>
      </c>
      <c r="J263" s="458">
        <v>352836.83980127884</v>
      </c>
      <c r="K263" s="458">
        <v>29403.069983439906</v>
      </c>
      <c r="L263" s="458">
        <v>11194.760870699611</v>
      </c>
      <c r="M263" s="456">
        <v>0</v>
      </c>
      <c r="N263" s="458">
        <v>119.49693843813893</v>
      </c>
      <c r="O263" s="459">
        <v>0</v>
      </c>
      <c r="P263" s="459">
        <v>6174.6446965223804</v>
      </c>
      <c r="Q263" s="458">
        <v>55400.108403681625</v>
      </c>
      <c r="R263" s="458">
        <v>63757.616952091092</v>
      </c>
      <c r="S263" s="458">
        <v>1959.7497903854783</v>
      </c>
      <c r="T263" s="457"/>
      <c r="U263" s="425"/>
      <c r="V263" s="425"/>
      <c r="W263" s="425"/>
      <c r="X263" s="425"/>
      <c r="Y263" s="425"/>
      <c r="Z263" s="425"/>
      <c r="AA263" s="425"/>
      <c r="AB263" s="425"/>
      <c r="AC263" s="425"/>
      <c r="AD263" s="425"/>
      <c r="AE263" s="425"/>
      <c r="AG263" s="425"/>
      <c r="AH263" s="425"/>
      <c r="AI263" s="425"/>
      <c r="AJ263" s="425"/>
      <c r="AK263" s="425"/>
      <c r="AL263" s="425"/>
      <c r="AM263" s="425"/>
      <c r="AN263" s="425"/>
      <c r="AO263" s="425"/>
      <c r="AP263" s="425"/>
      <c r="AQ263" s="425"/>
    </row>
    <row r="264" spans="1:43" s="270" customFormat="1" x14ac:dyDescent="0.25">
      <c r="A264" s="271">
        <v>501444</v>
      </c>
      <c r="B264" s="271">
        <v>1444</v>
      </c>
      <c r="C264" s="271">
        <v>200308</v>
      </c>
      <c r="D264" s="268" t="s">
        <v>894</v>
      </c>
      <c r="E264" s="268" t="s">
        <v>1290</v>
      </c>
      <c r="F264" s="268" t="s">
        <v>2760</v>
      </c>
      <c r="G264" s="268">
        <v>8</v>
      </c>
      <c r="H264" s="268" t="s">
        <v>2761</v>
      </c>
      <c r="I264" s="268" t="s">
        <v>2689</v>
      </c>
      <c r="J264" s="458">
        <v>352836.83980127884</v>
      </c>
      <c r="K264" s="458">
        <v>29403.069983439906</v>
      </c>
      <c r="L264" s="458">
        <v>11194.760870699611</v>
      </c>
      <c r="M264" s="456">
        <v>0</v>
      </c>
      <c r="N264" s="458">
        <v>119.49693843813893</v>
      </c>
      <c r="O264" s="459">
        <v>0</v>
      </c>
      <c r="P264" s="459">
        <v>6174.6446965223804</v>
      </c>
      <c r="Q264" s="458">
        <v>55400.108403681625</v>
      </c>
      <c r="R264" s="458">
        <v>63757.616952091092</v>
      </c>
      <c r="S264" s="458">
        <v>1959.7497903854783</v>
      </c>
      <c r="T264" s="457"/>
      <c r="U264" s="425"/>
      <c r="V264" s="425"/>
      <c r="W264" s="425"/>
      <c r="X264" s="425"/>
      <c r="Y264" s="425"/>
      <c r="Z264" s="425"/>
      <c r="AA264" s="425"/>
      <c r="AB264" s="425"/>
      <c r="AC264" s="425"/>
      <c r="AD264" s="425"/>
      <c r="AE264" s="425"/>
      <c r="AG264" s="425"/>
      <c r="AH264" s="425"/>
      <c r="AI264" s="425"/>
      <c r="AJ264" s="425"/>
      <c r="AK264" s="425"/>
      <c r="AL264" s="425"/>
      <c r="AM264" s="425"/>
      <c r="AN264" s="425"/>
      <c r="AO264" s="425"/>
      <c r="AP264" s="425"/>
      <c r="AQ264" s="425"/>
    </row>
    <row r="265" spans="1:43" s="270" customFormat="1" x14ac:dyDescent="0.25">
      <c r="A265" s="271">
        <v>501445</v>
      </c>
      <c r="B265" s="271">
        <v>1445</v>
      </c>
      <c r="C265" s="271">
        <v>200331</v>
      </c>
      <c r="D265" s="268" t="s">
        <v>894</v>
      </c>
      <c r="E265" s="268" t="s">
        <v>1290</v>
      </c>
      <c r="F265" s="268" t="s">
        <v>2762</v>
      </c>
      <c r="G265" s="268">
        <v>8</v>
      </c>
      <c r="H265" s="268" t="s">
        <v>2543</v>
      </c>
      <c r="I265" s="268" t="s">
        <v>2689</v>
      </c>
      <c r="J265" s="458">
        <v>352836.83980127884</v>
      </c>
      <c r="K265" s="458">
        <v>29403.069983439906</v>
      </c>
      <c r="L265" s="458">
        <v>11194.760870699611</v>
      </c>
      <c r="M265" s="456">
        <v>0</v>
      </c>
      <c r="N265" s="458">
        <v>119.49693843813893</v>
      </c>
      <c r="O265" s="459">
        <v>0</v>
      </c>
      <c r="P265" s="459">
        <v>6174.6446965223804</v>
      </c>
      <c r="Q265" s="458">
        <v>55400.108403681625</v>
      </c>
      <c r="R265" s="458">
        <v>63757.616952091092</v>
      </c>
      <c r="S265" s="458">
        <v>1959.7497903854783</v>
      </c>
      <c r="T265" s="457"/>
      <c r="U265" s="425"/>
      <c r="V265" s="425"/>
      <c r="W265" s="425"/>
      <c r="X265" s="425"/>
      <c r="Y265" s="425"/>
      <c r="Z265" s="425"/>
      <c r="AA265" s="425"/>
      <c r="AB265" s="425"/>
      <c r="AC265" s="425"/>
      <c r="AD265" s="425"/>
      <c r="AE265" s="425"/>
      <c r="AG265" s="425"/>
      <c r="AH265" s="425"/>
      <c r="AI265" s="425"/>
      <c r="AJ265" s="425"/>
      <c r="AK265" s="425"/>
      <c r="AL265" s="425"/>
      <c r="AM265" s="425"/>
      <c r="AN265" s="425"/>
      <c r="AO265" s="425"/>
      <c r="AP265" s="425"/>
      <c r="AQ265" s="425"/>
    </row>
    <row r="266" spans="1:43" s="270" customFormat="1" x14ac:dyDescent="0.25">
      <c r="A266" s="271">
        <v>501101</v>
      </c>
      <c r="B266" s="271">
        <v>1445</v>
      </c>
      <c r="C266" s="271">
        <v>200362</v>
      </c>
      <c r="D266" s="268" t="s">
        <v>894</v>
      </c>
      <c r="E266" s="268" t="s">
        <v>1290</v>
      </c>
      <c r="F266" s="268" t="s">
        <v>2476</v>
      </c>
      <c r="G266" s="268">
        <v>8</v>
      </c>
      <c r="H266" s="268" t="s">
        <v>2763</v>
      </c>
      <c r="I266" s="268" t="s">
        <v>2758</v>
      </c>
      <c r="J266" s="458">
        <v>352836.83980127884</v>
      </c>
      <c r="K266" s="458">
        <v>29403.069983439906</v>
      </c>
      <c r="L266" s="458">
        <v>11194.760870699611</v>
      </c>
      <c r="M266" s="456">
        <v>0</v>
      </c>
      <c r="N266" s="458">
        <v>119.49693843813893</v>
      </c>
      <c r="O266" s="459">
        <v>0</v>
      </c>
      <c r="P266" s="459">
        <v>6174.6446965223804</v>
      </c>
      <c r="Q266" s="458">
        <v>55400.108403681625</v>
      </c>
      <c r="R266" s="458">
        <v>63757.616952091092</v>
      </c>
      <c r="S266" s="458">
        <v>1959.7497903854783</v>
      </c>
      <c r="T266" s="457"/>
      <c r="U266" s="425"/>
      <c r="V266" s="425"/>
      <c r="W266" s="425"/>
      <c r="X266" s="425"/>
      <c r="Y266" s="425"/>
      <c r="Z266" s="425"/>
      <c r="AA266" s="425"/>
      <c r="AB266" s="425"/>
      <c r="AC266" s="425"/>
      <c r="AD266" s="425"/>
      <c r="AE266" s="425"/>
      <c r="AG266" s="425"/>
      <c r="AH266" s="425"/>
      <c r="AI266" s="425"/>
      <c r="AJ266" s="425"/>
      <c r="AK266" s="425"/>
      <c r="AL266" s="425"/>
      <c r="AM266" s="425"/>
      <c r="AN266" s="425"/>
      <c r="AO266" s="425"/>
      <c r="AP266" s="425"/>
      <c r="AQ266" s="425"/>
    </row>
    <row r="267" spans="1:43" s="270" customFormat="1" x14ac:dyDescent="0.25">
      <c r="A267" s="271">
        <v>501445</v>
      </c>
      <c r="B267" s="271">
        <v>1445</v>
      </c>
      <c r="C267" s="271">
        <v>200379</v>
      </c>
      <c r="D267" s="268" t="s">
        <v>894</v>
      </c>
      <c r="E267" s="268" t="s">
        <v>1290</v>
      </c>
      <c r="F267" s="268" t="s">
        <v>2764</v>
      </c>
      <c r="G267" s="268">
        <v>8</v>
      </c>
      <c r="H267" s="268" t="s">
        <v>2648</v>
      </c>
      <c r="I267" s="268" t="s">
        <v>2765</v>
      </c>
      <c r="J267" s="458">
        <v>352836.83980127884</v>
      </c>
      <c r="K267" s="458">
        <v>29403.069983439906</v>
      </c>
      <c r="L267" s="458">
        <v>11194.760870699611</v>
      </c>
      <c r="M267" s="456">
        <v>0</v>
      </c>
      <c r="N267" s="458">
        <v>119.49693843813893</v>
      </c>
      <c r="O267" s="459">
        <v>0</v>
      </c>
      <c r="P267" s="459">
        <v>6174.6446965223804</v>
      </c>
      <c r="Q267" s="458">
        <v>55400.108403681625</v>
      </c>
      <c r="R267" s="458">
        <v>63757.616952091092</v>
      </c>
      <c r="S267" s="458">
        <v>1959.7497903854783</v>
      </c>
      <c r="T267" s="457"/>
      <c r="U267" s="425"/>
      <c r="V267" s="425"/>
      <c r="W267" s="425"/>
      <c r="X267" s="425"/>
      <c r="Y267" s="425"/>
      <c r="Z267" s="425"/>
      <c r="AA267" s="425"/>
      <c r="AB267" s="425"/>
      <c r="AC267" s="425"/>
      <c r="AD267" s="425"/>
      <c r="AE267" s="425"/>
      <c r="AG267" s="425"/>
      <c r="AH267" s="425"/>
      <c r="AI267" s="425"/>
      <c r="AJ267" s="425"/>
      <c r="AK267" s="425"/>
      <c r="AL267" s="425"/>
      <c r="AM267" s="425"/>
      <c r="AN267" s="425"/>
      <c r="AO267" s="425"/>
      <c r="AP267" s="425"/>
      <c r="AQ267" s="425"/>
    </row>
    <row r="268" spans="1:43" s="270" customFormat="1" x14ac:dyDescent="0.25">
      <c r="A268" s="271">
        <v>501443</v>
      </c>
      <c r="B268" s="271">
        <v>1443</v>
      </c>
      <c r="C268" s="271">
        <v>200317</v>
      </c>
      <c r="D268" s="268" t="s">
        <v>1698</v>
      </c>
      <c r="E268" s="268" t="s">
        <v>1290</v>
      </c>
      <c r="F268" s="268" t="s">
        <v>2766</v>
      </c>
      <c r="G268" s="268">
        <v>7</v>
      </c>
      <c r="H268" s="268" t="s">
        <v>2767</v>
      </c>
      <c r="I268" s="268" t="s">
        <v>2689</v>
      </c>
      <c r="J268" s="458">
        <v>344306.08614055614</v>
      </c>
      <c r="K268" s="458">
        <v>28692.173845046345</v>
      </c>
      <c r="L268" s="458">
        <v>11194.760870699611</v>
      </c>
      <c r="M268" s="456">
        <v>0</v>
      </c>
      <c r="N268" s="458">
        <v>119.49693843813893</v>
      </c>
      <c r="O268" s="459">
        <v>0</v>
      </c>
      <c r="P268" s="459">
        <v>6025.3565074597336</v>
      </c>
      <c r="Q268" s="458">
        <v>55400.108403681625</v>
      </c>
      <c r="R268" s="458">
        <v>62216.1097655985</v>
      </c>
      <c r="S268" s="458">
        <v>1959.7497903854783</v>
      </c>
      <c r="T268" s="457"/>
      <c r="U268" s="425"/>
      <c r="V268" s="425"/>
      <c r="W268" s="425"/>
      <c r="X268" s="425"/>
      <c r="Y268" s="425"/>
      <c r="Z268" s="425"/>
      <c r="AA268" s="425"/>
      <c r="AB268" s="425"/>
      <c r="AC268" s="425"/>
      <c r="AD268" s="425"/>
      <c r="AE268" s="425"/>
      <c r="AG268" s="425"/>
      <c r="AH268" s="425"/>
      <c r="AI268" s="425"/>
      <c r="AJ268" s="425"/>
      <c r="AK268" s="425"/>
      <c r="AL268" s="425"/>
      <c r="AM268" s="425"/>
      <c r="AN268" s="425"/>
      <c r="AO268" s="425"/>
      <c r="AP268" s="425"/>
      <c r="AQ268" s="425"/>
    </row>
    <row r="269" spans="1:43" s="270" customFormat="1" x14ac:dyDescent="0.25">
      <c r="A269" s="276">
        <v>501443</v>
      </c>
      <c r="B269" s="276">
        <v>1443</v>
      </c>
      <c r="C269" s="276">
        <v>200326</v>
      </c>
      <c r="D269" s="268" t="s">
        <v>894</v>
      </c>
      <c r="E269" s="268" t="s">
        <v>1278</v>
      </c>
      <c r="F269" s="268" t="s">
        <v>2649</v>
      </c>
      <c r="G269" s="268">
        <v>7</v>
      </c>
      <c r="H269" s="268" t="s">
        <v>2238</v>
      </c>
      <c r="I269" s="268" t="s">
        <v>2689</v>
      </c>
      <c r="J269" s="456">
        <v>344306.08614055614</v>
      </c>
      <c r="K269" s="459">
        <v>28692.173845046345</v>
      </c>
      <c r="L269" s="458">
        <v>11194.760870699611</v>
      </c>
      <c r="M269" s="456">
        <v>5532.2656684323565</v>
      </c>
      <c r="N269" s="459">
        <v>119.49693843813893</v>
      </c>
      <c r="O269" s="459">
        <v>0</v>
      </c>
      <c r="P269" s="459">
        <v>6025.3565074597336</v>
      </c>
      <c r="Q269" s="458">
        <v>55400.108403681625</v>
      </c>
      <c r="R269" s="459">
        <v>62216.1097655985</v>
      </c>
      <c r="S269" s="459">
        <v>1959.7497903854783</v>
      </c>
      <c r="T269" s="457"/>
      <c r="U269" s="425"/>
      <c r="V269" s="425"/>
      <c r="W269" s="425"/>
      <c r="X269" s="425"/>
      <c r="Y269" s="425"/>
      <c r="Z269" s="425"/>
      <c r="AA269" s="425"/>
      <c r="AB269" s="425"/>
      <c r="AC269" s="425"/>
      <c r="AD269" s="425"/>
      <c r="AE269" s="425"/>
      <c r="AG269" s="425"/>
      <c r="AH269" s="425"/>
      <c r="AI269" s="425"/>
      <c r="AJ269" s="425"/>
      <c r="AK269" s="425"/>
      <c r="AL269" s="425"/>
      <c r="AM269" s="425"/>
      <c r="AN269" s="425"/>
      <c r="AO269" s="425"/>
      <c r="AP269" s="425"/>
      <c r="AQ269" s="425"/>
    </row>
    <row r="270" spans="1:43" s="270" customFormat="1" x14ac:dyDescent="0.25">
      <c r="A270" s="417">
        <v>501443</v>
      </c>
      <c r="B270" s="276">
        <v>1443</v>
      </c>
      <c r="C270" s="276">
        <v>200377</v>
      </c>
      <c r="D270" s="268" t="s">
        <v>894</v>
      </c>
      <c r="E270" s="268" t="s">
        <v>1290</v>
      </c>
      <c r="F270" s="268" t="s">
        <v>2768</v>
      </c>
      <c r="G270" s="268">
        <v>7</v>
      </c>
      <c r="H270" s="268" t="s">
        <v>2664</v>
      </c>
      <c r="I270" s="268" t="s">
        <v>2689</v>
      </c>
      <c r="J270" s="456">
        <v>344306.08614055614</v>
      </c>
      <c r="K270" s="459">
        <v>28692.173845046345</v>
      </c>
      <c r="L270" s="458">
        <v>11194.760870699611</v>
      </c>
      <c r="M270" s="456">
        <v>5532.2656684323565</v>
      </c>
      <c r="N270" s="459">
        <v>119.49693843813893</v>
      </c>
      <c r="O270" s="459">
        <v>0</v>
      </c>
      <c r="P270" s="459">
        <v>6025.3565074597336</v>
      </c>
      <c r="Q270" s="458">
        <v>55400.108403681625</v>
      </c>
      <c r="R270" s="459">
        <v>62216.1097655985</v>
      </c>
      <c r="S270" s="459">
        <v>1959.7497903854783</v>
      </c>
      <c r="T270" s="457"/>
      <c r="U270" s="425"/>
      <c r="V270" s="425"/>
      <c r="W270" s="425"/>
      <c r="X270" s="425"/>
      <c r="Y270" s="425"/>
      <c r="Z270" s="425"/>
      <c r="AA270" s="425"/>
      <c r="AB270" s="425"/>
      <c r="AC270" s="425"/>
      <c r="AD270" s="425"/>
      <c r="AE270" s="425"/>
      <c r="AG270" s="425"/>
      <c r="AH270" s="425"/>
      <c r="AI270" s="425"/>
      <c r="AJ270" s="425"/>
      <c r="AK270" s="425"/>
      <c r="AL270" s="425"/>
      <c r="AM270" s="425"/>
      <c r="AN270" s="425"/>
      <c r="AO270" s="425"/>
      <c r="AP270" s="425"/>
      <c r="AQ270" s="425"/>
    </row>
    <row r="271" spans="1:43" s="270" customFormat="1" x14ac:dyDescent="0.25">
      <c r="A271" s="271">
        <v>501443</v>
      </c>
      <c r="B271" s="271">
        <v>1443</v>
      </c>
      <c r="C271" s="271">
        <v>2817</v>
      </c>
      <c r="D271" s="268" t="s">
        <v>894</v>
      </c>
      <c r="E271" s="268" t="s">
        <v>1290</v>
      </c>
      <c r="F271" s="268" t="s">
        <v>2769</v>
      </c>
      <c r="G271" s="268">
        <v>8</v>
      </c>
      <c r="H271" s="268" t="s">
        <v>2770</v>
      </c>
      <c r="I271" s="268" t="s">
        <v>2689</v>
      </c>
      <c r="J271" s="458">
        <v>344306.08614055614</v>
      </c>
      <c r="K271" s="458">
        <v>28692.173845046345</v>
      </c>
      <c r="L271" s="458">
        <v>11194.760870699611</v>
      </c>
      <c r="M271" s="456">
        <v>0</v>
      </c>
      <c r="N271" s="458">
        <v>119.49693843813893</v>
      </c>
      <c r="O271" s="459">
        <v>0</v>
      </c>
      <c r="P271" s="459">
        <v>6025.3565074597336</v>
      </c>
      <c r="Q271" s="458">
        <v>55400.108403681625</v>
      </c>
      <c r="R271" s="458">
        <v>62216.1097655985</v>
      </c>
      <c r="S271" s="458">
        <v>1959.7497903854783</v>
      </c>
      <c r="T271" s="457"/>
      <c r="U271" s="425"/>
      <c r="V271" s="425"/>
      <c r="W271" s="425"/>
      <c r="X271" s="425"/>
      <c r="Y271" s="425"/>
      <c r="Z271" s="425"/>
      <c r="AA271" s="425"/>
      <c r="AB271" s="425"/>
      <c r="AC271" s="425"/>
      <c r="AD271" s="425"/>
      <c r="AE271" s="425"/>
      <c r="AG271" s="425"/>
      <c r="AH271" s="425"/>
      <c r="AI271" s="425"/>
      <c r="AJ271" s="425"/>
      <c r="AK271" s="425"/>
      <c r="AL271" s="425"/>
      <c r="AM271" s="425"/>
      <c r="AN271" s="425"/>
      <c r="AO271" s="425"/>
      <c r="AP271" s="425"/>
      <c r="AQ271" s="425"/>
    </row>
    <row r="272" spans="1:43" s="270" customFormat="1" x14ac:dyDescent="0.25">
      <c r="A272" s="276">
        <v>501443</v>
      </c>
      <c r="B272" s="276">
        <v>1443</v>
      </c>
      <c r="C272" s="276">
        <v>51855</v>
      </c>
      <c r="D272" s="268" t="s">
        <v>894</v>
      </c>
      <c r="E272" s="268" t="s">
        <v>1290</v>
      </c>
      <c r="F272" s="268" t="s">
        <v>894</v>
      </c>
      <c r="G272" s="268">
        <v>8</v>
      </c>
      <c r="H272" s="268" t="s">
        <v>2771</v>
      </c>
      <c r="I272" s="268" t="s">
        <v>2689</v>
      </c>
      <c r="J272" s="456">
        <v>344306.08614055614</v>
      </c>
      <c r="K272" s="459">
        <v>28692.173845046345</v>
      </c>
      <c r="L272" s="458">
        <v>11194.760870699611</v>
      </c>
      <c r="M272" s="456">
        <v>5532.2656684323565</v>
      </c>
      <c r="N272" s="459">
        <v>119.49693843813893</v>
      </c>
      <c r="O272" s="459">
        <v>0</v>
      </c>
      <c r="P272" s="459">
        <v>6025.3565074597336</v>
      </c>
      <c r="Q272" s="458">
        <v>55400.108403681625</v>
      </c>
      <c r="R272" s="459">
        <v>62216.1097655985</v>
      </c>
      <c r="S272" s="459">
        <v>1959.7497903854783</v>
      </c>
      <c r="T272" s="457"/>
      <c r="U272" s="425"/>
      <c r="V272" s="425"/>
      <c r="W272" s="425"/>
      <c r="X272" s="425"/>
      <c r="Y272" s="425"/>
      <c r="Z272" s="425"/>
      <c r="AA272" s="425"/>
      <c r="AB272" s="425"/>
      <c r="AC272" s="425"/>
      <c r="AD272" s="425"/>
      <c r="AE272" s="425"/>
      <c r="AG272" s="425"/>
      <c r="AH272" s="425"/>
      <c r="AI272" s="425"/>
      <c r="AJ272" s="425"/>
      <c r="AK272" s="425"/>
      <c r="AL272" s="425"/>
      <c r="AM272" s="425"/>
      <c r="AN272" s="425"/>
      <c r="AO272" s="425"/>
      <c r="AP272" s="425"/>
      <c r="AQ272" s="425"/>
    </row>
    <row r="273" spans="1:43" s="270" customFormat="1" x14ac:dyDescent="0.25">
      <c r="A273" s="416">
        <v>501443</v>
      </c>
      <c r="B273" s="271">
        <v>1443</v>
      </c>
      <c r="C273" s="271">
        <v>200329</v>
      </c>
      <c r="D273" s="268" t="s">
        <v>876</v>
      </c>
      <c r="E273" s="268" t="s">
        <v>1290</v>
      </c>
      <c r="F273" s="268" t="s">
        <v>2772</v>
      </c>
      <c r="G273" s="268">
        <v>8</v>
      </c>
      <c r="H273" s="268" t="s">
        <v>2773</v>
      </c>
      <c r="I273" s="268" t="s">
        <v>2774</v>
      </c>
      <c r="J273" s="458">
        <v>344306.08614055614</v>
      </c>
      <c r="K273" s="458">
        <v>28692.173845046345</v>
      </c>
      <c r="L273" s="458">
        <v>11194.760870699611</v>
      </c>
      <c r="M273" s="456">
        <v>0</v>
      </c>
      <c r="N273" s="458">
        <v>119.49693843813893</v>
      </c>
      <c r="O273" s="459">
        <v>0</v>
      </c>
      <c r="P273" s="459">
        <v>6025.3565074597336</v>
      </c>
      <c r="Q273" s="458">
        <v>55400.108403681625</v>
      </c>
      <c r="R273" s="458">
        <v>62216.1097655985</v>
      </c>
      <c r="S273" s="458">
        <v>1959.7497903854783</v>
      </c>
      <c r="T273" s="457"/>
      <c r="U273" s="425"/>
      <c r="V273" s="425"/>
      <c r="W273" s="425"/>
      <c r="X273" s="425"/>
      <c r="Y273" s="425"/>
      <c r="Z273" s="425"/>
      <c r="AA273" s="425"/>
      <c r="AB273" s="425"/>
      <c r="AC273" s="425"/>
      <c r="AD273" s="425"/>
      <c r="AE273" s="425"/>
      <c r="AG273" s="425"/>
      <c r="AH273" s="425"/>
      <c r="AI273" s="425"/>
      <c r="AJ273" s="425"/>
      <c r="AK273" s="425"/>
      <c r="AL273" s="425"/>
      <c r="AM273" s="425"/>
      <c r="AN273" s="425"/>
      <c r="AO273" s="425"/>
      <c r="AP273" s="425"/>
      <c r="AQ273" s="425"/>
    </row>
    <row r="274" spans="1:43" s="270" customFormat="1" x14ac:dyDescent="0.25">
      <c r="A274" s="271">
        <v>501442</v>
      </c>
      <c r="B274" s="271">
        <v>1442</v>
      </c>
      <c r="C274" s="271">
        <v>200397</v>
      </c>
      <c r="D274" s="268" t="s">
        <v>894</v>
      </c>
      <c r="E274" s="268" t="s">
        <v>1290</v>
      </c>
      <c r="F274" s="268" t="s">
        <v>2775</v>
      </c>
      <c r="G274" s="268">
        <v>8</v>
      </c>
      <c r="H274" s="268" t="s">
        <v>2776</v>
      </c>
      <c r="I274" s="268" t="s">
        <v>2777</v>
      </c>
      <c r="J274" s="458">
        <v>344306.08614055614</v>
      </c>
      <c r="K274" s="458">
        <v>28692.173845046345</v>
      </c>
      <c r="L274" s="458">
        <v>11194.760870699611</v>
      </c>
      <c r="M274" s="456">
        <v>0</v>
      </c>
      <c r="N274" s="458">
        <v>119.49693843813893</v>
      </c>
      <c r="O274" s="459">
        <v>0</v>
      </c>
      <c r="P274" s="459">
        <v>6025.3565074597336</v>
      </c>
      <c r="Q274" s="458">
        <v>55400.108403681625</v>
      </c>
      <c r="R274" s="458">
        <v>62216.1097655985</v>
      </c>
      <c r="S274" s="458">
        <v>1959.7497903854783</v>
      </c>
      <c r="T274" s="457"/>
      <c r="U274" s="425"/>
      <c r="V274" s="425"/>
      <c r="W274" s="425"/>
      <c r="X274" s="425"/>
      <c r="Y274" s="425"/>
      <c r="Z274" s="425"/>
      <c r="AA274" s="425"/>
      <c r="AB274" s="425"/>
      <c r="AC274" s="425"/>
      <c r="AD274" s="425"/>
      <c r="AE274" s="425"/>
      <c r="AG274" s="425"/>
      <c r="AH274" s="425"/>
      <c r="AI274" s="425"/>
      <c r="AJ274" s="425"/>
      <c r="AK274" s="425"/>
      <c r="AL274" s="425"/>
      <c r="AM274" s="425"/>
      <c r="AN274" s="425"/>
      <c r="AO274" s="425"/>
      <c r="AP274" s="425"/>
      <c r="AQ274" s="425"/>
    </row>
    <row r="275" spans="1:43" s="270" customFormat="1" x14ac:dyDescent="0.25">
      <c r="A275" s="271">
        <v>501502</v>
      </c>
      <c r="B275" s="271">
        <v>1503</v>
      </c>
      <c r="C275" s="271">
        <v>200497</v>
      </c>
      <c r="D275" s="268" t="s">
        <v>894</v>
      </c>
      <c r="E275" s="268" t="s">
        <v>1290</v>
      </c>
      <c r="F275" s="268" t="s">
        <v>2565</v>
      </c>
      <c r="G275" s="268">
        <v>8</v>
      </c>
      <c r="H275" s="268" t="s">
        <v>2778</v>
      </c>
      <c r="I275" s="268" t="s">
        <v>2779</v>
      </c>
      <c r="J275" s="458">
        <v>344306.08614055614</v>
      </c>
      <c r="K275" s="458">
        <v>28692.173845046345</v>
      </c>
      <c r="L275" s="458">
        <v>11194.760870699611</v>
      </c>
      <c r="M275" s="456">
        <v>0</v>
      </c>
      <c r="N275" s="458">
        <v>119.49693843813893</v>
      </c>
      <c r="O275" s="459">
        <v>0</v>
      </c>
      <c r="P275" s="459">
        <v>6025.3565074597336</v>
      </c>
      <c r="Q275" s="458">
        <v>55400.108403681625</v>
      </c>
      <c r="R275" s="458">
        <v>62216.1097655985</v>
      </c>
      <c r="S275" s="458">
        <v>1959.7497903854783</v>
      </c>
      <c r="T275" s="457"/>
      <c r="U275" s="425"/>
      <c r="V275" s="425"/>
      <c r="W275" s="425"/>
      <c r="X275" s="425"/>
      <c r="Y275" s="425"/>
      <c r="Z275" s="425"/>
      <c r="AA275" s="425"/>
      <c r="AB275" s="425"/>
      <c r="AC275" s="425"/>
      <c r="AD275" s="425"/>
      <c r="AE275" s="425"/>
      <c r="AG275" s="425"/>
      <c r="AH275" s="425"/>
      <c r="AI275" s="425"/>
      <c r="AJ275" s="425"/>
      <c r="AK275" s="425"/>
      <c r="AL275" s="425"/>
      <c r="AM275" s="425"/>
      <c r="AN275" s="425"/>
      <c r="AO275" s="425"/>
      <c r="AP275" s="425"/>
      <c r="AQ275" s="425"/>
    </row>
    <row r="276" spans="1:43" s="270" customFormat="1" x14ac:dyDescent="0.25">
      <c r="A276" s="271">
        <v>501503</v>
      </c>
      <c r="B276" s="271">
        <v>1503</v>
      </c>
      <c r="C276" s="271">
        <v>200537</v>
      </c>
      <c r="D276" s="268" t="s">
        <v>894</v>
      </c>
      <c r="E276" s="268" t="s">
        <v>1290</v>
      </c>
      <c r="F276" s="268" t="s">
        <v>2549</v>
      </c>
      <c r="G276" s="268">
        <v>8</v>
      </c>
      <c r="H276" s="268" t="s">
        <v>2780</v>
      </c>
      <c r="I276" s="268" t="s">
        <v>2781</v>
      </c>
      <c r="J276" s="458">
        <v>344306.08614055614</v>
      </c>
      <c r="K276" s="458">
        <v>28692.173845046345</v>
      </c>
      <c r="L276" s="458">
        <v>11194.760870699611</v>
      </c>
      <c r="M276" s="456">
        <v>0</v>
      </c>
      <c r="N276" s="458">
        <v>119.49693843813893</v>
      </c>
      <c r="O276" s="459">
        <v>0</v>
      </c>
      <c r="P276" s="459">
        <v>6025.3565074597336</v>
      </c>
      <c r="Q276" s="458">
        <v>55400.108403681625</v>
      </c>
      <c r="R276" s="458">
        <v>62216.1097655985</v>
      </c>
      <c r="S276" s="458">
        <v>1959.7497903854783</v>
      </c>
      <c r="T276" s="457"/>
      <c r="U276" s="425"/>
      <c r="V276" s="425"/>
      <c r="W276" s="425"/>
      <c r="X276" s="425"/>
      <c r="Y276" s="425"/>
      <c r="Z276" s="425"/>
      <c r="AA276" s="425"/>
      <c r="AB276" s="425"/>
      <c r="AC276" s="425"/>
      <c r="AD276" s="425"/>
      <c r="AE276" s="425"/>
      <c r="AG276" s="425"/>
      <c r="AH276" s="425"/>
      <c r="AI276" s="425"/>
      <c r="AJ276" s="425"/>
      <c r="AK276" s="425"/>
      <c r="AL276" s="425"/>
      <c r="AM276" s="425"/>
      <c r="AN276" s="425"/>
      <c r="AO276" s="425"/>
      <c r="AP276" s="425"/>
      <c r="AQ276" s="425"/>
    </row>
    <row r="277" spans="1:43" s="270" customFormat="1" x14ac:dyDescent="0.25">
      <c r="A277" s="271">
        <v>501443</v>
      </c>
      <c r="B277" s="271">
        <v>1443</v>
      </c>
      <c r="C277" s="271">
        <v>2930</v>
      </c>
      <c r="D277" s="268" t="s">
        <v>894</v>
      </c>
      <c r="E277" s="268" t="s">
        <v>1290</v>
      </c>
      <c r="F277" s="268" t="s">
        <v>2713</v>
      </c>
      <c r="G277" s="268">
        <v>9</v>
      </c>
      <c r="H277" s="268" t="s">
        <v>2782</v>
      </c>
      <c r="I277" s="268" t="s">
        <v>2712</v>
      </c>
      <c r="J277" s="458">
        <v>337877.59343383776</v>
      </c>
      <c r="K277" s="458">
        <v>28156.466119486482</v>
      </c>
      <c r="L277" s="458">
        <v>11194.760870699611</v>
      </c>
      <c r="M277" s="456">
        <v>0</v>
      </c>
      <c r="N277" s="458">
        <v>119.49693843813893</v>
      </c>
      <c r="O277" s="459">
        <v>0</v>
      </c>
      <c r="P277" s="459">
        <v>5912.8578850921613</v>
      </c>
      <c r="Q277" s="458">
        <v>55400.108403681625</v>
      </c>
      <c r="R277" s="458">
        <v>61054.481133494482</v>
      </c>
      <c r="S277" s="458">
        <v>1959.7497903854783</v>
      </c>
      <c r="T277" s="457"/>
      <c r="U277" s="425"/>
      <c r="V277" s="425"/>
      <c r="W277" s="425"/>
      <c r="X277" s="425"/>
      <c r="Y277" s="425"/>
      <c r="Z277" s="425"/>
      <c r="AA277" s="425"/>
      <c r="AB277" s="425"/>
      <c r="AC277" s="425"/>
      <c r="AD277" s="425"/>
      <c r="AE277" s="425"/>
      <c r="AG277" s="425"/>
      <c r="AH277" s="425"/>
      <c r="AI277" s="425"/>
      <c r="AJ277" s="425"/>
      <c r="AK277" s="425"/>
      <c r="AL277" s="425"/>
      <c r="AM277" s="425"/>
      <c r="AN277" s="425"/>
      <c r="AO277" s="425"/>
      <c r="AP277" s="425"/>
      <c r="AQ277" s="425"/>
    </row>
    <row r="278" spans="1:43" x14ac:dyDescent="0.25">
      <c r="A278" s="271">
        <v>501443</v>
      </c>
      <c r="B278" s="271">
        <v>1443</v>
      </c>
      <c r="C278" s="271">
        <v>8316</v>
      </c>
      <c r="D278" s="268" t="s">
        <v>876</v>
      </c>
      <c r="E278" s="268" t="s">
        <v>1290</v>
      </c>
      <c r="F278" s="268" t="s">
        <v>2783</v>
      </c>
      <c r="G278" s="268">
        <v>9</v>
      </c>
      <c r="H278" s="268" t="s">
        <v>2784</v>
      </c>
      <c r="I278" s="268" t="s">
        <v>2717</v>
      </c>
      <c r="J278" s="458">
        <v>337877.59343383776</v>
      </c>
      <c r="K278" s="458">
        <v>28156.466119486482</v>
      </c>
      <c r="L278" s="458">
        <v>11194.760870699611</v>
      </c>
      <c r="M278" s="456">
        <v>0</v>
      </c>
      <c r="N278" s="458">
        <v>119.49693843813893</v>
      </c>
      <c r="O278" s="459">
        <v>0</v>
      </c>
      <c r="P278" s="459">
        <v>5912.8578850921613</v>
      </c>
      <c r="Q278" s="458">
        <v>55400.108403681625</v>
      </c>
      <c r="R278" s="458">
        <v>61054.481133494482</v>
      </c>
      <c r="S278" s="458">
        <v>1959.7497903854783</v>
      </c>
      <c r="T278" s="457"/>
      <c r="U278" s="425"/>
      <c r="V278" s="425"/>
      <c r="W278" s="425"/>
      <c r="X278" s="425"/>
      <c r="Y278" s="425"/>
      <c r="Z278" s="425"/>
      <c r="AA278" s="425"/>
      <c r="AB278" s="425"/>
      <c r="AC278" s="425"/>
      <c r="AD278" s="425"/>
      <c r="AE278" s="425"/>
      <c r="AF278" s="424"/>
      <c r="AG278" s="425"/>
      <c r="AH278" s="425"/>
      <c r="AI278" s="425"/>
      <c r="AJ278" s="425"/>
      <c r="AK278" s="425"/>
      <c r="AL278" s="425"/>
      <c r="AM278" s="425"/>
      <c r="AN278" s="425"/>
      <c r="AO278" s="425"/>
      <c r="AP278" s="425"/>
      <c r="AQ278" s="425"/>
    </row>
    <row r="279" spans="1:43" s="270" customFormat="1" x14ac:dyDescent="0.25">
      <c r="A279" s="271">
        <v>501443</v>
      </c>
      <c r="B279" s="271">
        <v>1443</v>
      </c>
      <c r="C279" s="271">
        <v>19965</v>
      </c>
      <c r="D279" s="268" t="s">
        <v>876</v>
      </c>
      <c r="E279" s="268" t="s">
        <v>1290</v>
      </c>
      <c r="F279" s="268" t="s">
        <v>2785</v>
      </c>
      <c r="G279" s="268">
        <v>9</v>
      </c>
      <c r="H279" s="268" t="s">
        <v>2786</v>
      </c>
      <c r="I279" s="268" t="s">
        <v>2787</v>
      </c>
      <c r="J279" s="458">
        <v>337877.59343383776</v>
      </c>
      <c r="K279" s="458">
        <v>28156.466119486482</v>
      </c>
      <c r="L279" s="458">
        <v>11194.760870699611</v>
      </c>
      <c r="M279" s="456">
        <v>0</v>
      </c>
      <c r="N279" s="458">
        <v>119.49693843813893</v>
      </c>
      <c r="O279" s="459">
        <v>0</v>
      </c>
      <c r="P279" s="459">
        <v>5912.8578850921613</v>
      </c>
      <c r="Q279" s="458">
        <v>55400.108403681625</v>
      </c>
      <c r="R279" s="458">
        <v>61054.481133494482</v>
      </c>
      <c r="S279" s="458">
        <v>1959.7497903854783</v>
      </c>
      <c r="T279" s="457"/>
      <c r="U279" s="425"/>
      <c r="V279" s="425"/>
      <c r="W279" s="425"/>
      <c r="X279" s="425"/>
      <c r="Y279" s="425"/>
      <c r="Z279" s="425"/>
      <c r="AA279" s="425"/>
      <c r="AB279" s="425"/>
      <c r="AC279" s="425"/>
      <c r="AD279" s="425"/>
      <c r="AE279" s="425"/>
      <c r="AG279" s="425"/>
      <c r="AH279" s="425"/>
      <c r="AI279" s="425"/>
      <c r="AJ279" s="425"/>
      <c r="AK279" s="425"/>
      <c r="AL279" s="425"/>
      <c r="AM279" s="425"/>
      <c r="AN279" s="425"/>
      <c r="AO279" s="425"/>
      <c r="AP279" s="425"/>
      <c r="AQ279" s="425"/>
    </row>
    <row r="280" spans="1:43" s="270" customFormat="1" x14ac:dyDescent="0.25">
      <c r="A280" s="271">
        <v>501445</v>
      </c>
      <c r="B280" s="271">
        <v>1445</v>
      </c>
      <c r="C280" s="271">
        <v>51554</v>
      </c>
      <c r="D280" s="268" t="s">
        <v>894</v>
      </c>
      <c r="E280" s="268" t="s">
        <v>1290</v>
      </c>
      <c r="F280" s="268" t="s">
        <v>2788</v>
      </c>
      <c r="G280" s="268">
        <v>9</v>
      </c>
      <c r="H280" s="268" t="s">
        <v>2789</v>
      </c>
      <c r="I280" s="268" t="s">
        <v>2717</v>
      </c>
      <c r="J280" s="458">
        <v>337877.59343383776</v>
      </c>
      <c r="K280" s="458">
        <v>28156.466119486482</v>
      </c>
      <c r="L280" s="458">
        <v>11194.760870699611</v>
      </c>
      <c r="M280" s="456">
        <v>0</v>
      </c>
      <c r="N280" s="458">
        <v>119.49693843813893</v>
      </c>
      <c r="O280" s="459">
        <v>0</v>
      </c>
      <c r="P280" s="459">
        <v>5912.8578850921613</v>
      </c>
      <c r="Q280" s="458">
        <v>55400.108403681625</v>
      </c>
      <c r="R280" s="458">
        <v>61054.481133494482</v>
      </c>
      <c r="S280" s="458">
        <v>1959.7497903854783</v>
      </c>
      <c r="T280" s="457"/>
      <c r="U280" s="425"/>
      <c r="V280" s="425"/>
      <c r="W280" s="425"/>
      <c r="X280" s="425"/>
      <c r="Y280" s="425"/>
      <c r="Z280" s="425"/>
      <c r="AA280" s="425"/>
      <c r="AB280" s="425"/>
      <c r="AC280" s="425"/>
      <c r="AD280" s="425"/>
      <c r="AE280" s="425"/>
      <c r="AG280" s="425"/>
      <c r="AH280" s="425"/>
      <c r="AI280" s="425"/>
      <c r="AJ280" s="425"/>
      <c r="AK280" s="425"/>
      <c r="AL280" s="425"/>
      <c r="AM280" s="425"/>
      <c r="AN280" s="425"/>
      <c r="AO280" s="425"/>
      <c r="AP280" s="425"/>
      <c r="AQ280" s="425"/>
    </row>
    <row r="281" spans="1:43" s="270" customFormat="1" x14ac:dyDescent="0.25">
      <c r="A281" s="271">
        <v>501505</v>
      </c>
      <c r="B281" s="271">
        <v>1505</v>
      </c>
      <c r="C281" s="271">
        <v>51716</v>
      </c>
      <c r="D281" s="268" t="s">
        <v>894</v>
      </c>
      <c r="E281" s="268" t="s">
        <v>1290</v>
      </c>
      <c r="F281" s="268" t="s">
        <v>2790</v>
      </c>
      <c r="G281" s="268">
        <v>9</v>
      </c>
      <c r="H281" s="268" t="s">
        <v>2791</v>
      </c>
      <c r="I281" s="268" t="s">
        <v>2792</v>
      </c>
      <c r="J281" s="458">
        <v>337877.59343383776</v>
      </c>
      <c r="K281" s="458">
        <v>28156.466119486482</v>
      </c>
      <c r="L281" s="458">
        <v>11194.760870699611</v>
      </c>
      <c r="M281" s="456">
        <v>0</v>
      </c>
      <c r="N281" s="458">
        <v>119.49693843813893</v>
      </c>
      <c r="O281" s="459">
        <v>0</v>
      </c>
      <c r="P281" s="459">
        <v>5912.8578850921613</v>
      </c>
      <c r="Q281" s="458">
        <v>55400.108403681625</v>
      </c>
      <c r="R281" s="458">
        <v>61054.481133494482</v>
      </c>
      <c r="S281" s="458">
        <v>1959.7497903854783</v>
      </c>
      <c r="T281" s="457"/>
      <c r="U281" s="425"/>
      <c r="V281" s="425"/>
      <c r="W281" s="425"/>
      <c r="X281" s="425"/>
      <c r="Y281" s="425"/>
      <c r="Z281" s="425"/>
      <c r="AA281" s="425"/>
      <c r="AB281" s="425"/>
      <c r="AC281" s="425"/>
      <c r="AD281" s="425"/>
      <c r="AE281" s="425"/>
      <c r="AG281" s="425"/>
      <c r="AH281" s="425"/>
      <c r="AI281" s="425"/>
      <c r="AJ281" s="425"/>
      <c r="AK281" s="425"/>
      <c r="AL281" s="425"/>
      <c r="AM281" s="425"/>
      <c r="AN281" s="425"/>
      <c r="AO281" s="425"/>
      <c r="AP281" s="425"/>
      <c r="AQ281" s="425"/>
    </row>
    <row r="282" spans="1:43" s="270" customFormat="1" x14ac:dyDescent="0.25">
      <c r="A282" s="271">
        <v>501443</v>
      </c>
      <c r="B282" s="271">
        <v>1443</v>
      </c>
      <c r="C282" s="271">
        <v>51868</v>
      </c>
      <c r="D282" s="268" t="s">
        <v>894</v>
      </c>
      <c r="E282" s="268" t="s">
        <v>1290</v>
      </c>
      <c r="F282" s="268" t="s">
        <v>2793</v>
      </c>
      <c r="G282" s="268">
        <v>9</v>
      </c>
      <c r="H282" s="268" t="s">
        <v>2794</v>
      </c>
      <c r="I282" s="268" t="s">
        <v>2717</v>
      </c>
      <c r="J282" s="458">
        <v>337877.59343383776</v>
      </c>
      <c r="K282" s="458">
        <v>28156.466119486482</v>
      </c>
      <c r="L282" s="458">
        <v>11194.760870699611</v>
      </c>
      <c r="M282" s="456">
        <v>0</v>
      </c>
      <c r="N282" s="458">
        <v>119.49693843813893</v>
      </c>
      <c r="O282" s="459">
        <v>0</v>
      </c>
      <c r="P282" s="459">
        <v>5912.8578850921613</v>
      </c>
      <c r="Q282" s="458">
        <v>55400.108403681625</v>
      </c>
      <c r="R282" s="458">
        <v>61054.481133494482</v>
      </c>
      <c r="S282" s="458">
        <v>1959.7497903854783</v>
      </c>
      <c r="T282" s="457"/>
      <c r="U282" s="425"/>
      <c r="V282" s="425"/>
      <c r="W282" s="425"/>
      <c r="X282" s="425"/>
      <c r="Y282" s="425"/>
      <c r="Z282" s="425"/>
      <c r="AA282" s="425"/>
      <c r="AB282" s="425"/>
      <c r="AC282" s="425"/>
      <c r="AD282" s="425"/>
      <c r="AE282" s="425"/>
      <c r="AG282" s="425"/>
      <c r="AH282" s="425"/>
      <c r="AI282" s="425"/>
      <c r="AJ282" s="425"/>
      <c r="AK282" s="425"/>
      <c r="AL282" s="425"/>
      <c r="AM282" s="425"/>
      <c r="AN282" s="425"/>
      <c r="AO282" s="425"/>
      <c r="AP282" s="425"/>
      <c r="AQ282" s="425"/>
    </row>
    <row r="283" spans="1:43" s="270" customFormat="1" x14ac:dyDescent="0.25">
      <c r="A283" s="271">
        <v>501443</v>
      </c>
      <c r="B283" s="271">
        <v>1443</v>
      </c>
      <c r="C283" s="271">
        <v>58861</v>
      </c>
      <c r="D283" s="268" t="s">
        <v>894</v>
      </c>
      <c r="E283" s="268" t="s">
        <v>1290</v>
      </c>
      <c r="F283" s="268" t="s">
        <v>2795</v>
      </c>
      <c r="G283" s="268">
        <v>9</v>
      </c>
      <c r="H283" s="268" t="s">
        <v>2796</v>
      </c>
      <c r="I283" s="268" t="s">
        <v>2712</v>
      </c>
      <c r="J283" s="458">
        <v>337877.59343383776</v>
      </c>
      <c r="K283" s="458">
        <v>28156.466119486482</v>
      </c>
      <c r="L283" s="458">
        <v>11194.760870699611</v>
      </c>
      <c r="M283" s="456">
        <v>0</v>
      </c>
      <c r="N283" s="458">
        <v>119.49693843813893</v>
      </c>
      <c r="O283" s="459">
        <v>0</v>
      </c>
      <c r="P283" s="459">
        <v>5912.8578850921613</v>
      </c>
      <c r="Q283" s="458">
        <v>55400.108403681625</v>
      </c>
      <c r="R283" s="458">
        <v>61054.481133494482</v>
      </c>
      <c r="S283" s="458">
        <v>1959.7497903854783</v>
      </c>
      <c r="T283" s="457"/>
      <c r="U283" s="425"/>
      <c r="V283" s="425"/>
      <c r="W283" s="425"/>
      <c r="X283" s="425"/>
      <c r="Y283" s="425"/>
      <c r="Z283" s="425"/>
      <c r="AA283" s="425"/>
      <c r="AB283" s="425"/>
      <c r="AC283" s="425"/>
      <c r="AD283" s="425"/>
      <c r="AE283" s="425"/>
      <c r="AG283" s="425"/>
      <c r="AH283" s="425"/>
      <c r="AI283" s="425"/>
      <c r="AJ283" s="425"/>
      <c r="AK283" s="425"/>
      <c r="AL283" s="425"/>
      <c r="AM283" s="425"/>
      <c r="AN283" s="425"/>
      <c r="AO283" s="425"/>
      <c r="AP283" s="425"/>
      <c r="AQ283" s="425"/>
    </row>
    <row r="284" spans="1:43" s="270" customFormat="1" x14ac:dyDescent="0.25">
      <c r="A284" s="271">
        <v>501443</v>
      </c>
      <c r="B284" s="271">
        <v>1443</v>
      </c>
      <c r="C284" s="271">
        <v>83577</v>
      </c>
      <c r="D284" s="268" t="s">
        <v>894</v>
      </c>
      <c r="E284" s="268" t="s">
        <v>1290</v>
      </c>
      <c r="F284" s="268" t="s">
        <v>2797</v>
      </c>
      <c r="G284" s="268">
        <v>9</v>
      </c>
      <c r="H284" s="268" t="s">
        <v>2798</v>
      </c>
      <c r="I284" s="268" t="s">
        <v>2712</v>
      </c>
      <c r="J284" s="458">
        <v>337877.59343383776</v>
      </c>
      <c r="K284" s="458">
        <v>28156.466119486482</v>
      </c>
      <c r="L284" s="458">
        <v>11194.760870699611</v>
      </c>
      <c r="M284" s="456">
        <v>0</v>
      </c>
      <c r="N284" s="458">
        <v>119.49693843813893</v>
      </c>
      <c r="O284" s="459">
        <v>0</v>
      </c>
      <c r="P284" s="459">
        <v>5912.8578850921613</v>
      </c>
      <c r="Q284" s="458">
        <v>55400.108403681625</v>
      </c>
      <c r="R284" s="458">
        <v>61054.481133494482</v>
      </c>
      <c r="S284" s="458">
        <v>1959.7497903854783</v>
      </c>
      <c r="T284" s="457"/>
      <c r="U284" s="425"/>
      <c r="V284" s="425"/>
      <c r="W284" s="425"/>
      <c r="X284" s="425"/>
      <c r="Y284" s="425"/>
      <c r="Z284" s="425"/>
      <c r="AA284" s="425"/>
      <c r="AB284" s="425"/>
      <c r="AC284" s="425"/>
      <c r="AD284" s="425"/>
      <c r="AE284" s="425"/>
      <c r="AG284" s="425"/>
      <c r="AH284" s="425"/>
      <c r="AI284" s="425"/>
      <c r="AJ284" s="425"/>
      <c r="AK284" s="425"/>
      <c r="AL284" s="425"/>
      <c r="AM284" s="425"/>
      <c r="AN284" s="425"/>
      <c r="AO284" s="425"/>
      <c r="AP284" s="425"/>
      <c r="AQ284" s="425"/>
    </row>
    <row r="285" spans="1:43" s="270" customFormat="1" x14ac:dyDescent="0.25">
      <c r="A285" s="271">
        <v>501406</v>
      </c>
      <c r="B285" s="271">
        <v>1406</v>
      </c>
      <c r="C285" s="271">
        <v>92186</v>
      </c>
      <c r="D285" s="268" t="s">
        <v>876</v>
      </c>
      <c r="E285" s="268" t="s">
        <v>1290</v>
      </c>
      <c r="F285" s="268" t="s">
        <v>2799</v>
      </c>
      <c r="G285" s="268">
        <v>9</v>
      </c>
      <c r="H285" s="268" t="s">
        <v>2244</v>
      </c>
      <c r="I285" s="268" t="s">
        <v>2712</v>
      </c>
      <c r="J285" s="458">
        <v>337877.59343383776</v>
      </c>
      <c r="K285" s="458">
        <v>28156.466119486482</v>
      </c>
      <c r="L285" s="458">
        <v>11194.760870699611</v>
      </c>
      <c r="M285" s="456">
        <v>0</v>
      </c>
      <c r="N285" s="458">
        <v>119.49693843813893</v>
      </c>
      <c r="O285" s="459">
        <v>0</v>
      </c>
      <c r="P285" s="459">
        <v>5912.8578850921613</v>
      </c>
      <c r="Q285" s="458">
        <v>55400.108403681625</v>
      </c>
      <c r="R285" s="458">
        <v>61054.481133494482</v>
      </c>
      <c r="S285" s="458">
        <v>1959.7497903854783</v>
      </c>
      <c r="T285" s="457"/>
      <c r="U285" s="425"/>
      <c r="V285" s="425"/>
      <c r="W285" s="425"/>
      <c r="X285" s="425"/>
      <c r="Y285" s="425"/>
      <c r="Z285" s="425"/>
      <c r="AA285" s="425"/>
      <c r="AB285" s="425"/>
      <c r="AC285" s="425"/>
      <c r="AD285" s="425"/>
      <c r="AE285" s="425"/>
      <c r="AG285" s="425"/>
      <c r="AH285" s="425"/>
      <c r="AI285" s="425"/>
      <c r="AJ285" s="425"/>
      <c r="AK285" s="425"/>
      <c r="AL285" s="425"/>
      <c r="AM285" s="425"/>
      <c r="AN285" s="425"/>
      <c r="AO285" s="425"/>
      <c r="AP285" s="425"/>
      <c r="AQ285" s="425"/>
    </row>
    <row r="286" spans="1:43" s="270" customFormat="1" x14ac:dyDescent="0.25">
      <c r="A286" s="418">
        <v>501445</v>
      </c>
      <c r="B286" s="271">
        <v>1455</v>
      </c>
      <c r="C286" s="271">
        <v>97466</v>
      </c>
      <c r="D286" s="268" t="s">
        <v>894</v>
      </c>
      <c r="E286" s="268" t="s">
        <v>1290</v>
      </c>
      <c r="F286" s="268" t="s">
        <v>538</v>
      </c>
      <c r="G286" s="268">
        <v>9</v>
      </c>
      <c r="H286" s="268" t="s">
        <v>2800</v>
      </c>
      <c r="I286" s="268" t="s">
        <v>2801</v>
      </c>
      <c r="J286" s="458">
        <v>337877.59343383776</v>
      </c>
      <c r="K286" s="458">
        <v>28156.466119486482</v>
      </c>
      <c r="L286" s="458">
        <v>11194.760870699611</v>
      </c>
      <c r="M286" s="456">
        <v>0</v>
      </c>
      <c r="N286" s="458">
        <v>119.49693843813893</v>
      </c>
      <c r="O286" s="459">
        <v>0</v>
      </c>
      <c r="P286" s="459">
        <v>5912.8578850921613</v>
      </c>
      <c r="Q286" s="458">
        <v>55400.108403681625</v>
      </c>
      <c r="R286" s="458">
        <v>61054.481133494482</v>
      </c>
      <c r="S286" s="458">
        <v>1959.7497903854783</v>
      </c>
      <c r="T286" s="457"/>
      <c r="U286" s="425"/>
      <c r="V286" s="425"/>
      <c r="W286" s="425"/>
      <c r="X286" s="425"/>
      <c r="Y286" s="425"/>
      <c r="Z286" s="425"/>
      <c r="AA286" s="425"/>
      <c r="AB286" s="425"/>
      <c r="AC286" s="425"/>
      <c r="AD286" s="425"/>
      <c r="AE286" s="425"/>
      <c r="AG286" s="425"/>
      <c r="AH286" s="425"/>
      <c r="AI286" s="425"/>
      <c r="AJ286" s="425"/>
      <c r="AK286" s="425"/>
      <c r="AL286" s="425"/>
      <c r="AM286" s="425"/>
      <c r="AN286" s="425"/>
      <c r="AO286" s="425"/>
      <c r="AP286" s="425"/>
      <c r="AQ286" s="425"/>
    </row>
    <row r="287" spans="1:43" s="270" customFormat="1" x14ac:dyDescent="0.25">
      <c r="A287" s="418">
        <v>501445</v>
      </c>
      <c r="B287" s="271">
        <v>1455</v>
      </c>
      <c r="C287" s="271">
        <v>97547</v>
      </c>
      <c r="D287" s="268" t="s">
        <v>894</v>
      </c>
      <c r="E287" s="268" t="s">
        <v>1278</v>
      </c>
      <c r="F287" s="268" t="s">
        <v>2802</v>
      </c>
      <c r="G287" s="268">
        <v>9</v>
      </c>
      <c r="H287" s="268" t="s">
        <v>2803</v>
      </c>
      <c r="I287" s="268" t="s">
        <v>2804</v>
      </c>
      <c r="J287" s="458">
        <v>337877.59343383776</v>
      </c>
      <c r="K287" s="458">
        <v>28156.466119486482</v>
      </c>
      <c r="L287" s="458">
        <v>11194.760870699611</v>
      </c>
      <c r="M287" s="456">
        <v>0</v>
      </c>
      <c r="N287" s="458">
        <v>119.49693843813893</v>
      </c>
      <c r="O287" s="459">
        <v>0</v>
      </c>
      <c r="P287" s="459">
        <v>5912.8578850921613</v>
      </c>
      <c r="Q287" s="458">
        <v>55400.108403681625</v>
      </c>
      <c r="R287" s="458">
        <v>61054.481133494482</v>
      </c>
      <c r="S287" s="458">
        <v>1959.7497903854783</v>
      </c>
      <c r="T287" s="457"/>
      <c r="U287" s="425"/>
      <c r="V287" s="425"/>
      <c r="W287" s="425"/>
      <c r="X287" s="425"/>
      <c r="Y287" s="425"/>
      <c r="Z287" s="425"/>
      <c r="AA287" s="425"/>
      <c r="AB287" s="425"/>
      <c r="AC287" s="425"/>
      <c r="AD287" s="425"/>
      <c r="AE287" s="425"/>
      <c r="AG287" s="425"/>
      <c r="AH287" s="425"/>
      <c r="AI287" s="425"/>
      <c r="AJ287" s="425"/>
      <c r="AK287" s="425"/>
      <c r="AL287" s="425"/>
      <c r="AM287" s="425"/>
      <c r="AN287" s="425"/>
      <c r="AO287" s="425"/>
      <c r="AP287" s="425"/>
      <c r="AQ287" s="425"/>
    </row>
    <row r="288" spans="1:43" s="270" customFormat="1" x14ac:dyDescent="0.25">
      <c r="A288" s="271">
        <v>501443</v>
      </c>
      <c r="B288" s="271">
        <v>1443</v>
      </c>
      <c r="C288" s="271">
        <v>200046</v>
      </c>
      <c r="D288" s="268" t="s">
        <v>894</v>
      </c>
      <c r="E288" s="268" t="s">
        <v>1278</v>
      </c>
      <c r="F288" s="268" t="s">
        <v>1304</v>
      </c>
      <c r="G288" s="268">
        <v>9</v>
      </c>
      <c r="H288" s="268" t="s">
        <v>2805</v>
      </c>
      <c r="I288" s="268" t="s">
        <v>2717</v>
      </c>
      <c r="J288" s="458">
        <v>337877.59343383776</v>
      </c>
      <c r="K288" s="458">
        <v>28156.466119486482</v>
      </c>
      <c r="L288" s="458">
        <v>11194.760870699611</v>
      </c>
      <c r="M288" s="456">
        <v>0</v>
      </c>
      <c r="N288" s="458">
        <v>119.49693843813893</v>
      </c>
      <c r="O288" s="459">
        <v>0</v>
      </c>
      <c r="P288" s="459">
        <v>5912.8578850921613</v>
      </c>
      <c r="Q288" s="458">
        <v>55400.108403681625</v>
      </c>
      <c r="R288" s="458">
        <v>61054.481133494482</v>
      </c>
      <c r="S288" s="458">
        <v>1959.7497903854783</v>
      </c>
      <c r="T288" s="457"/>
      <c r="U288" s="425"/>
      <c r="V288" s="425"/>
      <c r="W288" s="425"/>
      <c r="X288" s="425"/>
      <c r="Y288" s="425"/>
      <c r="Z288" s="425"/>
      <c r="AA288" s="425"/>
      <c r="AB288" s="425"/>
      <c r="AC288" s="425"/>
      <c r="AD288" s="425"/>
      <c r="AE288" s="425"/>
      <c r="AG288" s="425"/>
      <c r="AH288" s="425"/>
      <c r="AI288" s="425"/>
      <c r="AJ288" s="425"/>
      <c r="AK288" s="425"/>
      <c r="AL288" s="425"/>
      <c r="AM288" s="425"/>
      <c r="AN288" s="425"/>
      <c r="AO288" s="425"/>
      <c r="AP288" s="425"/>
      <c r="AQ288" s="425"/>
    </row>
    <row r="289" spans="1:43" s="270" customFormat="1" x14ac:dyDescent="0.25">
      <c r="A289" s="271">
        <v>501108</v>
      </c>
      <c r="B289" s="271">
        <v>1108</v>
      </c>
      <c r="C289" s="271">
        <v>200065</v>
      </c>
      <c r="D289" s="268" t="s">
        <v>894</v>
      </c>
      <c r="E289" s="268" t="s">
        <v>1278</v>
      </c>
      <c r="F289" s="268" t="s">
        <v>1290</v>
      </c>
      <c r="G289" s="268">
        <v>9</v>
      </c>
      <c r="H289" s="268" t="s">
        <v>2295</v>
      </c>
      <c r="I289" s="268" t="s">
        <v>2806</v>
      </c>
      <c r="J289" s="458">
        <v>337877.59343383776</v>
      </c>
      <c r="K289" s="458">
        <v>28156.466119486482</v>
      </c>
      <c r="L289" s="458">
        <v>11194.760870699611</v>
      </c>
      <c r="M289" s="456">
        <v>0</v>
      </c>
      <c r="N289" s="458">
        <v>119.49693843813893</v>
      </c>
      <c r="O289" s="459">
        <v>0</v>
      </c>
      <c r="P289" s="459">
        <v>5912.8578850921613</v>
      </c>
      <c r="Q289" s="458">
        <v>55400.108403681625</v>
      </c>
      <c r="R289" s="458">
        <v>61054.481133494482</v>
      </c>
      <c r="S289" s="458">
        <v>1959.7497903854783</v>
      </c>
      <c r="T289" s="457"/>
      <c r="U289" s="425"/>
      <c r="V289" s="425"/>
      <c r="W289" s="425"/>
      <c r="X289" s="425"/>
      <c r="Y289" s="425"/>
      <c r="Z289" s="425"/>
      <c r="AA289" s="425"/>
      <c r="AB289" s="425"/>
      <c r="AC289" s="425"/>
      <c r="AD289" s="425"/>
      <c r="AE289" s="425"/>
      <c r="AG289" s="425"/>
      <c r="AH289" s="425"/>
      <c r="AI289" s="425"/>
      <c r="AJ289" s="425"/>
      <c r="AK289" s="425"/>
      <c r="AL289" s="425"/>
      <c r="AM289" s="425"/>
      <c r="AN289" s="425"/>
      <c r="AO289" s="425"/>
      <c r="AP289" s="425"/>
      <c r="AQ289" s="425"/>
    </row>
    <row r="290" spans="1:43" s="270" customFormat="1" x14ac:dyDescent="0.25">
      <c r="A290" s="271">
        <v>501407</v>
      </c>
      <c r="B290" s="271">
        <v>1407</v>
      </c>
      <c r="C290" s="271">
        <v>200205</v>
      </c>
      <c r="D290" s="268" t="s">
        <v>894</v>
      </c>
      <c r="E290" s="268" t="s">
        <v>1290</v>
      </c>
      <c r="F290" s="268" t="s">
        <v>2807</v>
      </c>
      <c r="G290" s="268">
        <v>9</v>
      </c>
      <c r="H290" s="268" t="s">
        <v>2808</v>
      </c>
      <c r="I290" s="268" t="s">
        <v>2809</v>
      </c>
      <c r="J290" s="458">
        <v>337877.59343383776</v>
      </c>
      <c r="K290" s="458">
        <v>28156.466119486482</v>
      </c>
      <c r="L290" s="458">
        <v>11194.760870699611</v>
      </c>
      <c r="M290" s="456">
        <v>0</v>
      </c>
      <c r="N290" s="458">
        <v>119.49693843813893</v>
      </c>
      <c r="O290" s="459">
        <v>0</v>
      </c>
      <c r="P290" s="459">
        <v>5912.8578850921613</v>
      </c>
      <c r="Q290" s="458">
        <v>55400.108403681625</v>
      </c>
      <c r="R290" s="458">
        <v>61054.481133494482</v>
      </c>
      <c r="S290" s="458">
        <v>1959.7497903854783</v>
      </c>
      <c r="T290" s="457"/>
      <c r="U290" s="425"/>
      <c r="V290" s="425"/>
      <c r="W290" s="425"/>
      <c r="X290" s="425"/>
      <c r="Y290" s="425"/>
      <c r="Z290" s="425"/>
      <c r="AA290" s="425"/>
      <c r="AB290" s="425"/>
      <c r="AC290" s="425"/>
      <c r="AD290" s="425"/>
      <c r="AE290" s="425"/>
      <c r="AG290" s="425"/>
      <c r="AH290" s="425"/>
      <c r="AI290" s="425"/>
      <c r="AJ290" s="425"/>
      <c r="AK290" s="425"/>
      <c r="AL290" s="425"/>
      <c r="AM290" s="425"/>
      <c r="AN290" s="425"/>
      <c r="AO290" s="425"/>
      <c r="AP290" s="425"/>
      <c r="AQ290" s="425"/>
    </row>
    <row r="291" spans="1:43" s="270" customFormat="1" x14ac:dyDescent="0.25">
      <c r="A291" s="271">
        <v>501407</v>
      </c>
      <c r="B291" s="271">
        <v>1407</v>
      </c>
      <c r="C291" s="271">
        <v>200206</v>
      </c>
      <c r="D291" s="268" t="s">
        <v>894</v>
      </c>
      <c r="E291" s="268" t="s">
        <v>1278</v>
      </c>
      <c r="F291" s="268" t="s">
        <v>2810</v>
      </c>
      <c r="G291" s="268">
        <v>9</v>
      </c>
      <c r="H291" s="268" t="s">
        <v>2811</v>
      </c>
      <c r="I291" s="268" t="s">
        <v>2809</v>
      </c>
      <c r="J291" s="458">
        <v>337877.59343383776</v>
      </c>
      <c r="K291" s="458">
        <v>28156.466119486482</v>
      </c>
      <c r="L291" s="458">
        <v>11194.760870699611</v>
      </c>
      <c r="M291" s="456">
        <v>0</v>
      </c>
      <c r="N291" s="458">
        <v>119.49693843813893</v>
      </c>
      <c r="O291" s="459">
        <v>0</v>
      </c>
      <c r="P291" s="459">
        <v>5912.8578850921613</v>
      </c>
      <c r="Q291" s="458">
        <v>55400.108403681625</v>
      </c>
      <c r="R291" s="458">
        <v>61054.481133494482</v>
      </c>
      <c r="S291" s="458">
        <v>1959.7497903854783</v>
      </c>
      <c r="T291" s="457"/>
      <c r="U291" s="425"/>
      <c r="V291" s="425"/>
      <c r="W291" s="425"/>
      <c r="X291" s="425"/>
      <c r="Y291" s="425"/>
      <c r="Z291" s="425"/>
      <c r="AA291" s="425"/>
      <c r="AB291" s="425"/>
      <c r="AC291" s="425"/>
      <c r="AD291" s="425"/>
      <c r="AE291" s="425"/>
      <c r="AG291" s="425"/>
      <c r="AH291" s="425"/>
      <c r="AI291" s="425"/>
      <c r="AJ291" s="425"/>
      <c r="AK291" s="425"/>
      <c r="AL291" s="425"/>
      <c r="AM291" s="425"/>
      <c r="AN291" s="425"/>
      <c r="AO291" s="425"/>
      <c r="AP291" s="425"/>
      <c r="AQ291" s="425"/>
    </row>
    <row r="292" spans="1:43" s="270" customFormat="1" x14ac:dyDescent="0.25">
      <c r="A292" s="418">
        <v>501406</v>
      </c>
      <c r="B292" s="271">
        <v>1402</v>
      </c>
      <c r="C292" s="271">
        <v>97158</v>
      </c>
      <c r="D292" s="268" t="s">
        <v>894</v>
      </c>
      <c r="E292" s="268" t="s">
        <v>1290</v>
      </c>
      <c r="F292" s="268" t="s">
        <v>2812</v>
      </c>
      <c r="G292" s="268">
        <v>9</v>
      </c>
      <c r="H292" s="268" t="s">
        <v>2813</v>
      </c>
      <c r="I292" s="268" t="s">
        <v>2801</v>
      </c>
      <c r="J292" s="458">
        <v>331017.58400498162</v>
      </c>
      <c r="K292" s="458">
        <v>27584.798667081803</v>
      </c>
      <c r="L292" s="458">
        <v>11194.760870699611</v>
      </c>
      <c r="M292" s="456">
        <v>0</v>
      </c>
      <c r="N292" s="458">
        <v>119.49693843813893</v>
      </c>
      <c r="O292" s="459">
        <v>0</v>
      </c>
      <c r="P292" s="459">
        <v>5792.8077200871794</v>
      </c>
      <c r="Q292" s="458">
        <v>55400.108403681625</v>
      </c>
      <c r="R292" s="458">
        <v>59814.87742970018</v>
      </c>
      <c r="S292" s="458">
        <v>1959.7497903854783</v>
      </c>
      <c r="T292" s="457"/>
      <c r="U292" s="425"/>
      <c r="V292" s="425"/>
      <c r="W292" s="425"/>
      <c r="X292" s="425"/>
      <c r="Y292" s="425"/>
      <c r="Z292" s="425"/>
      <c r="AA292" s="425"/>
      <c r="AB292" s="425"/>
      <c r="AC292" s="425"/>
      <c r="AD292" s="425"/>
      <c r="AE292" s="425"/>
      <c r="AG292" s="425"/>
      <c r="AH292" s="425"/>
      <c r="AI292" s="425"/>
      <c r="AJ292" s="425"/>
      <c r="AK292" s="425"/>
      <c r="AL292" s="425"/>
      <c r="AM292" s="425"/>
      <c r="AN292" s="425"/>
      <c r="AO292" s="425"/>
      <c r="AP292" s="425"/>
      <c r="AQ292" s="425"/>
    </row>
    <row r="293" spans="1:43" s="270" customFormat="1" x14ac:dyDescent="0.25">
      <c r="A293" s="271">
        <v>501443</v>
      </c>
      <c r="B293" s="271">
        <v>1443</v>
      </c>
      <c r="C293" s="271">
        <v>97453</v>
      </c>
      <c r="D293" s="268" t="s">
        <v>894</v>
      </c>
      <c r="E293" s="268" t="s">
        <v>1278</v>
      </c>
      <c r="F293" s="268" t="s">
        <v>1293</v>
      </c>
      <c r="G293" s="268">
        <v>9</v>
      </c>
      <c r="H293" s="268" t="s">
        <v>2814</v>
      </c>
      <c r="I293" s="268" t="s">
        <v>2801</v>
      </c>
      <c r="J293" s="458">
        <v>331017.58400498162</v>
      </c>
      <c r="K293" s="458">
        <v>27584.798667081803</v>
      </c>
      <c r="L293" s="458">
        <v>11194.760870699611</v>
      </c>
      <c r="M293" s="456">
        <v>0</v>
      </c>
      <c r="N293" s="458">
        <v>119.49693843813893</v>
      </c>
      <c r="O293" s="459">
        <v>0</v>
      </c>
      <c r="P293" s="459">
        <v>5792.8077200871794</v>
      </c>
      <c r="Q293" s="458">
        <v>55400.108403681625</v>
      </c>
      <c r="R293" s="458">
        <v>59814.87742970018</v>
      </c>
      <c r="S293" s="458">
        <v>1959.7497903854783</v>
      </c>
      <c r="T293" s="457"/>
      <c r="U293" s="425"/>
      <c r="V293" s="425"/>
      <c r="W293" s="425"/>
      <c r="X293" s="425"/>
      <c r="Y293" s="425"/>
      <c r="Z293" s="425"/>
      <c r="AA293" s="425"/>
      <c r="AB293" s="425"/>
      <c r="AC293" s="425"/>
      <c r="AD293" s="425"/>
      <c r="AE293" s="425"/>
      <c r="AG293" s="425"/>
      <c r="AH293" s="425"/>
      <c r="AI293" s="425"/>
      <c r="AJ293" s="425"/>
      <c r="AK293" s="425"/>
      <c r="AL293" s="425"/>
      <c r="AM293" s="425"/>
      <c r="AN293" s="425"/>
      <c r="AO293" s="425"/>
      <c r="AP293" s="425"/>
      <c r="AQ293" s="425"/>
    </row>
    <row r="294" spans="1:43" s="270" customFormat="1" x14ac:dyDescent="0.25">
      <c r="A294" s="271">
        <v>501305</v>
      </c>
      <c r="B294" s="271">
        <v>1305</v>
      </c>
      <c r="C294" s="271">
        <v>97482</v>
      </c>
      <c r="D294" s="268" t="s">
        <v>894</v>
      </c>
      <c r="E294" s="268" t="s">
        <v>1290</v>
      </c>
      <c r="F294" s="268" t="s">
        <v>2815</v>
      </c>
      <c r="G294" s="268">
        <v>9</v>
      </c>
      <c r="H294" s="268" t="s">
        <v>2816</v>
      </c>
      <c r="I294" s="268" t="s">
        <v>2801</v>
      </c>
      <c r="J294" s="458">
        <v>331017.58400498162</v>
      </c>
      <c r="K294" s="458">
        <v>27584.798667081803</v>
      </c>
      <c r="L294" s="458">
        <v>11194.760870699611</v>
      </c>
      <c r="M294" s="456">
        <v>0</v>
      </c>
      <c r="N294" s="458">
        <v>119.49693843813893</v>
      </c>
      <c r="O294" s="459">
        <v>0</v>
      </c>
      <c r="P294" s="459">
        <v>5792.8077200871794</v>
      </c>
      <c r="Q294" s="458">
        <v>55400.108403681625</v>
      </c>
      <c r="R294" s="458">
        <v>59814.87742970018</v>
      </c>
      <c r="S294" s="458">
        <v>1959.7497903854783</v>
      </c>
      <c r="T294" s="453"/>
      <c r="U294" s="425"/>
      <c r="V294" s="425"/>
      <c r="W294" s="425"/>
      <c r="X294" s="425"/>
      <c r="Y294" s="425"/>
      <c r="Z294" s="425"/>
      <c r="AA294" s="425"/>
      <c r="AB294" s="425"/>
      <c r="AC294" s="425"/>
      <c r="AD294" s="425"/>
      <c r="AE294" s="425"/>
      <c r="AG294" s="425"/>
      <c r="AH294" s="425"/>
      <c r="AI294" s="425"/>
      <c r="AJ294" s="425"/>
      <c r="AK294" s="425"/>
      <c r="AL294" s="425"/>
      <c r="AM294" s="425"/>
      <c r="AN294" s="425"/>
      <c r="AO294" s="425"/>
      <c r="AP294" s="425"/>
      <c r="AQ294" s="425"/>
    </row>
    <row r="295" spans="1:43" s="270" customFormat="1" x14ac:dyDescent="0.25">
      <c r="A295" s="271">
        <v>501443</v>
      </c>
      <c r="B295" s="271">
        <v>1443</v>
      </c>
      <c r="C295" s="271">
        <v>97505</v>
      </c>
      <c r="D295" s="268" t="s">
        <v>894</v>
      </c>
      <c r="E295" s="268" t="s">
        <v>1290</v>
      </c>
      <c r="F295" s="268" t="s">
        <v>2487</v>
      </c>
      <c r="G295" s="268">
        <v>9</v>
      </c>
      <c r="H295" s="268" t="s">
        <v>2817</v>
      </c>
      <c r="I295" s="268" t="s">
        <v>2801</v>
      </c>
      <c r="J295" s="458">
        <v>331017.58400498162</v>
      </c>
      <c r="K295" s="458">
        <v>27584.798667081803</v>
      </c>
      <c r="L295" s="458">
        <v>11194.760870699611</v>
      </c>
      <c r="M295" s="456">
        <v>0</v>
      </c>
      <c r="N295" s="458">
        <v>119.49693843813893</v>
      </c>
      <c r="O295" s="459">
        <v>0</v>
      </c>
      <c r="P295" s="459">
        <v>5792.8077200871794</v>
      </c>
      <c r="Q295" s="458">
        <v>55400.108403681625</v>
      </c>
      <c r="R295" s="458">
        <v>59814.87742970018</v>
      </c>
      <c r="S295" s="458">
        <v>1959.7497903854783</v>
      </c>
      <c r="T295" s="457"/>
      <c r="U295" s="425"/>
      <c r="V295" s="425"/>
      <c r="W295" s="425"/>
      <c r="X295" s="425"/>
      <c r="Y295" s="425"/>
      <c r="Z295" s="425"/>
      <c r="AA295" s="425"/>
      <c r="AB295" s="425"/>
      <c r="AC295" s="425"/>
      <c r="AD295" s="425"/>
      <c r="AE295" s="425"/>
      <c r="AG295" s="425"/>
      <c r="AH295" s="425"/>
      <c r="AI295" s="425"/>
      <c r="AJ295" s="425"/>
      <c r="AK295" s="425"/>
      <c r="AL295" s="425"/>
      <c r="AM295" s="425"/>
      <c r="AN295" s="425"/>
      <c r="AO295" s="425"/>
      <c r="AP295" s="425"/>
      <c r="AQ295" s="425"/>
    </row>
    <row r="296" spans="1:43" s="270" customFormat="1" x14ac:dyDescent="0.25">
      <c r="A296" s="416">
        <v>501445</v>
      </c>
      <c r="B296" s="271">
        <v>1445</v>
      </c>
      <c r="C296" s="271">
        <v>200323</v>
      </c>
      <c r="D296" s="268" t="s">
        <v>894</v>
      </c>
      <c r="E296" s="268" t="s">
        <v>1278</v>
      </c>
      <c r="F296" s="268" t="s">
        <v>1290</v>
      </c>
      <c r="G296" s="268">
        <v>9</v>
      </c>
      <c r="H296" s="268" t="s">
        <v>2818</v>
      </c>
      <c r="I296" s="268" t="s">
        <v>2717</v>
      </c>
      <c r="J296" s="458">
        <v>324157.57457612554</v>
      </c>
      <c r="K296" s="458">
        <v>27013.131214677127</v>
      </c>
      <c r="L296" s="458">
        <v>11194.760870699611</v>
      </c>
      <c r="M296" s="456">
        <v>0</v>
      </c>
      <c r="N296" s="458">
        <v>119.49693843813893</v>
      </c>
      <c r="O296" s="459">
        <v>0</v>
      </c>
      <c r="P296" s="459">
        <v>5672.7575550821975</v>
      </c>
      <c r="Q296" s="458">
        <v>55400.108403681625</v>
      </c>
      <c r="R296" s="458">
        <v>58575.273725905885</v>
      </c>
      <c r="S296" s="458">
        <v>1959.7497903854783</v>
      </c>
      <c r="T296" s="457"/>
      <c r="U296" s="425"/>
      <c r="V296" s="425"/>
      <c r="W296" s="425"/>
      <c r="X296" s="425"/>
      <c r="Y296" s="425"/>
      <c r="Z296" s="425"/>
      <c r="AA296" s="425"/>
      <c r="AB296" s="425"/>
      <c r="AC296" s="425"/>
      <c r="AD296" s="425"/>
      <c r="AE296" s="425"/>
      <c r="AG296" s="425"/>
      <c r="AH296" s="425"/>
      <c r="AI296" s="425"/>
      <c r="AJ296" s="425"/>
      <c r="AK296" s="425"/>
      <c r="AL296" s="425"/>
      <c r="AM296" s="425"/>
      <c r="AN296" s="425"/>
      <c r="AO296" s="425"/>
      <c r="AP296" s="425"/>
      <c r="AQ296" s="425"/>
    </row>
    <row r="297" spans="1:43" s="270" customFormat="1" x14ac:dyDescent="0.25">
      <c r="A297" s="416">
        <v>501406</v>
      </c>
      <c r="B297" s="271">
        <v>1406</v>
      </c>
      <c r="C297" s="271">
        <v>200328</v>
      </c>
      <c r="D297" s="268" t="s">
        <v>894</v>
      </c>
      <c r="E297" s="268" t="s">
        <v>1290</v>
      </c>
      <c r="F297" s="268" t="s">
        <v>2211</v>
      </c>
      <c r="G297" s="268">
        <v>9</v>
      </c>
      <c r="H297" s="268" t="s">
        <v>2819</v>
      </c>
      <c r="I297" s="268" t="s">
        <v>2717</v>
      </c>
      <c r="J297" s="458">
        <v>324157.57457612554</v>
      </c>
      <c r="K297" s="458">
        <v>27013.131214677127</v>
      </c>
      <c r="L297" s="458">
        <v>11194.760870699611</v>
      </c>
      <c r="M297" s="456">
        <v>0</v>
      </c>
      <c r="N297" s="458">
        <v>119.49693843813893</v>
      </c>
      <c r="O297" s="459">
        <v>0</v>
      </c>
      <c r="P297" s="459">
        <v>5672.7575550821975</v>
      </c>
      <c r="Q297" s="458">
        <v>55400.108403681625</v>
      </c>
      <c r="R297" s="458">
        <v>58575.273725905885</v>
      </c>
      <c r="S297" s="458">
        <v>1959.7497903854783</v>
      </c>
      <c r="T297" s="457"/>
      <c r="U297" s="425"/>
      <c r="V297" s="425"/>
      <c r="W297" s="425"/>
      <c r="X297" s="425"/>
      <c r="Y297" s="425"/>
      <c r="Z297" s="425"/>
      <c r="AA297" s="425"/>
      <c r="AB297" s="425"/>
      <c r="AC297" s="425"/>
      <c r="AD297" s="425"/>
      <c r="AE297" s="425"/>
      <c r="AG297" s="425"/>
      <c r="AH297" s="425"/>
      <c r="AI297" s="425"/>
      <c r="AJ297" s="425"/>
      <c r="AK297" s="425"/>
      <c r="AL297" s="425"/>
      <c r="AM297" s="425"/>
      <c r="AN297" s="425"/>
      <c r="AO297" s="425"/>
      <c r="AP297" s="425"/>
      <c r="AQ297" s="425"/>
    </row>
    <row r="298" spans="1:43" s="270" customFormat="1" x14ac:dyDescent="0.25">
      <c r="A298" s="416">
        <v>501406</v>
      </c>
      <c r="B298" s="271">
        <v>1406</v>
      </c>
      <c r="C298" s="271">
        <v>200337</v>
      </c>
      <c r="D298" s="268" t="s">
        <v>894</v>
      </c>
      <c r="E298" s="268" t="s">
        <v>1290</v>
      </c>
      <c r="F298" s="268" t="s">
        <v>2820</v>
      </c>
      <c r="G298" s="268">
        <v>9</v>
      </c>
      <c r="H298" s="268" t="s">
        <v>2821</v>
      </c>
      <c r="I298" s="268" t="s">
        <v>2717</v>
      </c>
      <c r="J298" s="458">
        <v>324157.57457612554</v>
      </c>
      <c r="K298" s="458">
        <v>27013.131214677127</v>
      </c>
      <c r="L298" s="458">
        <v>11194.760870699611</v>
      </c>
      <c r="M298" s="456">
        <v>0</v>
      </c>
      <c r="N298" s="458">
        <v>119.49693843813893</v>
      </c>
      <c r="O298" s="459">
        <v>0</v>
      </c>
      <c r="P298" s="459">
        <v>5672.7575550821975</v>
      </c>
      <c r="Q298" s="458">
        <v>55400.108403681625</v>
      </c>
      <c r="R298" s="458">
        <v>58575.273725905885</v>
      </c>
      <c r="S298" s="458">
        <v>1959.7497903854783</v>
      </c>
      <c r="T298" s="453"/>
      <c r="U298" s="425"/>
      <c r="V298" s="425"/>
      <c r="W298" s="425"/>
      <c r="X298" s="425"/>
      <c r="Y298" s="425"/>
      <c r="Z298" s="425"/>
      <c r="AA298" s="425"/>
      <c r="AB298" s="425"/>
      <c r="AC298" s="425"/>
      <c r="AD298" s="425"/>
      <c r="AE298" s="425"/>
      <c r="AG298" s="425"/>
      <c r="AH298" s="425"/>
      <c r="AI298" s="425"/>
      <c r="AJ298" s="425"/>
      <c r="AK298" s="425"/>
      <c r="AL298" s="425"/>
      <c r="AM298" s="425"/>
      <c r="AN298" s="425"/>
      <c r="AO298" s="425"/>
      <c r="AP298" s="425"/>
      <c r="AQ298" s="425"/>
    </row>
    <row r="299" spans="1:43" s="270" customFormat="1" x14ac:dyDescent="0.25">
      <c r="A299" s="416">
        <v>501406</v>
      </c>
      <c r="B299" s="271">
        <v>1406</v>
      </c>
      <c r="C299" s="271">
        <v>200341</v>
      </c>
      <c r="D299" s="268" t="s">
        <v>894</v>
      </c>
      <c r="E299" s="268" t="s">
        <v>1278</v>
      </c>
      <c r="F299" s="268" t="s">
        <v>2822</v>
      </c>
      <c r="G299" s="268">
        <v>9</v>
      </c>
      <c r="H299" s="268" t="s">
        <v>2823</v>
      </c>
      <c r="I299" s="268" t="s">
        <v>2717</v>
      </c>
      <c r="J299" s="458">
        <v>324157.57457612554</v>
      </c>
      <c r="K299" s="458">
        <v>27013.131214677127</v>
      </c>
      <c r="L299" s="458">
        <v>11194.760870699611</v>
      </c>
      <c r="M299" s="456">
        <v>0</v>
      </c>
      <c r="N299" s="458">
        <v>119.49693843813893</v>
      </c>
      <c r="O299" s="459">
        <v>0</v>
      </c>
      <c r="P299" s="459">
        <v>5672.7575550821975</v>
      </c>
      <c r="Q299" s="458">
        <v>55400.108403681625</v>
      </c>
      <c r="R299" s="458">
        <v>58575.273725905885</v>
      </c>
      <c r="S299" s="458">
        <v>1959.7497903854783</v>
      </c>
      <c r="T299" s="457"/>
      <c r="U299" s="425"/>
      <c r="V299" s="425"/>
      <c r="W299" s="425"/>
      <c r="X299" s="425"/>
      <c r="Y299" s="425"/>
      <c r="Z299" s="425"/>
      <c r="AA299" s="425"/>
      <c r="AB299" s="425"/>
      <c r="AC299" s="425"/>
      <c r="AD299" s="425"/>
      <c r="AE299" s="425"/>
      <c r="AG299" s="425"/>
      <c r="AH299" s="425"/>
      <c r="AI299" s="425"/>
      <c r="AJ299" s="425"/>
      <c r="AK299" s="425"/>
      <c r="AL299" s="425"/>
      <c r="AM299" s="425"/>
      <c r="AN299" s="425"/>
      <c r="AO299" s="425"/>
      <c r="AP299" s="425"/>
      <c r="AQ299" s="425"/>
    </row>
    <row r="300" spans="1:43" s="270" customFormat="1" x14ac:dyDescent="0.25">
      <c r="A300" s="271">
        <v>501406</v>
      </c>
      <c r="B300" s="271">
        <v>1406</v>
      </c>
      <c r="C300" s="271">
        <v>200344</v>
      </c>
      <c r="D300" s="268" t="s">
        <v>894</v>
      </c>
      <c r="E300" s="268" t="s">
        <v>1290</v>
      </c>
      <c r="F300" s="268" t="s">
        <v>2824</v>
      </c>
      <c r="G300" s="268">
        <v>9</v>
      </c>
      <c r="H300" s="268" t="s">
        <v>2537</v>
      </c>
      <c r="I300" s="268" t="s">
        <v>2825</v>
      </c>
      <c r="J300" s="458">
        <v>324157.57457612554</v>
      </c>
      <c r="K300" s="458">
        <v>27013.131214677127</v>
      </c>
      <c r="L300" s="458">
        <v>11194.760870699611</v>
      </c>
      <c r="M300" s="456">
        <v>0</v>
      </c>
      <c r="N300" s="458">
        <v>119.49693843813893</v>
      </c>
      <c r="O300" s="459">
        <v>0</v>
      </c>
      <c r="P300" s="459">
        <v>5672.7575550821975</v>
      </c>
      <c r="Q300" s="458">
        <v>55400.108403681625</v>
      </c>
      <c r="R300" s="458">
        <v>58575.273725905885</v>
      </c>
      <c r="S300" s="458">
        <v>1959.7497903854783</v>
      </c>
      <c r="T300" s="457"/>
      <c r="U300" s="425"/>
      <c r="V300" s="425"/>
      <c r="W300" s="425"/>
      <c r="X300" s="425"/>
      <c r="Y300" s="425"/>
      <c r="Z300" s="425"/>
      <c r="AA300" s="425"/>
      <c r="AB300" s="425"/>
      <c r="AC300" s="425"/>
      <c r="AD300" s="425"/>
      <c r="AE300" s="425"/>
      <c r="AG300" s="425"/>
      <c r="AH300" s="425"/>
      <c r="AI300" s="425"/>
      <c r="AJ300" s="425"/>
      <c r="AK300" s="425"/>
      <c r="AL300" s="425"/>
      <c r="AM300" s="425"/>
      <c r="AN300" s="425"/>
      <c r="AO300" s="425"/>
      <c r="AP300" s="425"/>
      <c r="AQ300" s="425"/>
    </row>
    <row r="301" spans="1:43" s="270" customFormat="1" x14ac:dyDescent="0.25">
      <c r="A301" s="416">
        <v>501406</v>
      </c>
      <c r="B301" s="271">
        <v>1406</v>
      </c>
      <c r="C301" s="271">
        <v>200346</v>
      </c>
      <c r="D301" s="268" t="s">
        <v>894</v>
      </c>
      <c r="E301" s="268" t="s">
        <v>1290</v>
      </c>
      <c r="F301" s="268" t="s">
        <v>2358</v>
      </c>
      <c r="G301" s="268">
        <v>9</v>
      </c>
      <c r="H301" s="268" t="s">
        <v>2826</v>
      </c>
      <c r="I301" s="268" t="s">
        <v>2717</v>
      </c>
      <c r="J301" s="458">
        <v>324157.57457612554</v>
      </c>
      <c r="K301" s="458">
        <v>27013.131214677127</v>
      </c>
      <c r="L301" s="458">
        <v>11194.760870699611</v>
      </c>
      <c r="M301" s="456">
        <v>0</v>
      </c>
      <c r="N301" s="458">
        <v>119.49693843813893</v>
      </c>
      <c r="O301" s="459">
        <v>0</v>
      </c>
      <c r="P301" s="459">
        <v>5672.7575550821975</v>
      </c>
      <c r="Q301" s="458">
        <v>55400.108403681625</v>
      </c>
      <c r="R301" s="458">
        <v>58575.273725905885</v>
      </c>
      <c r="S301" s="458">
        <v>1959.7497903854783</v>
      </c>
      <c r="T301" s="457"/>
      <c r="U301" s="425"/>
      <c r="V301" s="425"/>
      <c r="W301" s="425"/>
      <c r="X301" s="425"/>
      <c r="Y301" s="425"/>
      <c r="Z301" s="425"/>
      <c r="AA301" s="425"/>
      <c r="AB301" s="425"/>
      <c r="AC301" s="425"/>
      <c r="AD301" s="425"/>
      <c r="AE301" s="425"/>
      <c r="AG301" s="425"/>
      <c r="AH301" s="425"/>
      <c r="AI301" s="425"/>
      <c r="AJ301" s="425"/>
      <c r="AK301" s="425"/>
      <c r="AL301" s="425"/>
      <c r="AM301" s="425"/>
      <c r="AN301" s="425"/>
      <c r="AO301" s="425"/>
      <c r="AP301" s="425"/>
      <c r="AQ301" s="425"/>
    </row>
    <row r="302" spans="1:43" s="270" customFormat="1" x14ac:dyDescent="0.25">
      <c r="A302" s="418">
        <v>501406</v>
      </c>
      <c r="B302" s="271">
        <v>1402</v>
      </c>
      <c r="C302" s="271">
        <v>97534</v>
      </c>
      <c r="D302" s="268" t="s">
        <v>894</v>
      </c>
      <c r="E302" s="268" t="s">
        <v>1278</v>
      </c>
      <c r="F302" s="268" t="s">
        <v>2827</v>
      </c>
      <c r="G302" s="268">
        <v>9</v>
      </c>
      <c r="H302" s="268" t="s">
        <v>2828</v>
      </c>
      <c r="I302" s="268" t="s">
        <v>2801</v>
      </c>
      <c r="J302" s="458">
        <v>317352.88780395372</v>
      </c>
      <c r="K302" s="458">
        <v>26446.073983662809</v>
      </c>
      <c r="L302" s="458">
        <v>11194.760870699611</v>
      </c>
      <c r="M302" s="456">
        <v>0</v>
      </c>
      <c r="N302" s="458">
        <v>119.49693843813893</v>
      </c>
      <c r="O302" s="459">
        <v>0</v>
      </c>
      <c r="P302" s="459">
        <v>5553.6755365691906</v>
      </c>
      <c r="Q302" s="458">
        <v>55400.108403681625</v>
      </c>
      <c r="R302" s="458">
        <v>57345.666826174434</v>
      </c>
      <c r="S302" s="458">
        <v>1959.7497903854783</v>
      </c>
      <c r="T302" s="457"/>
      <c r="U302" s="425"/>
      <c r="V302" s="425"/>
      <c r="W302" s="425"/>
      <c r="X302" s="425"/>
      <c r="Y302" s="425"/>
      <c r="Z302" s="425"/>
      <c r="AA302" s="425"/>
      <c r="AB302" s="425"/>
      <c r="AC302" s="425"/>
      <c r="AD302" s="425"/>
      <c r="AE302" s="425"/>
      <c r="AG302" s="425"/>
      <c r="AH302" s="425"/>
      <c r="AI302" s="425"/>
      <c r="AJ302" s="425"/>
      <c r="AK302" s="425"/>
      <c r="AL302" s="425"/>
      <c r="AM302" s="425"/>
      <c r="AN302" s="425"/>
      <c r="AO302" s="425"/>
      <c r="AP302" s="425"/>
      <c r="AQ302" s="425"/>
    </row>
    <row r="303" spans="1:43" s="270" customFormat="1" x14ac:dyDescent="0.25">
      <c r="A303" s="271">
        <v>501505</v>
      </c>
      <c r="B303" s="271">
        <v>1505</v>
      </c>
      <c r="C303" s="271">
        <v>3395</v>
      </c>
      <c r="D303" s="268" t="s">
        <v>894</v>
      </c>
      <c r="E303" s="268" t="s">
        <v>1290</v>
      </c>
      <c r="F303" s="268" t="s">
        <v>2829</v>
      </c>
      <c r="G303" s="268">
        <v>10</v>
      </c>
      <c r="H303" s="268" t="s">
        <v>2830</v>
      </c>
      <c r="I303" s="268" t="s">
        <v>2831</v>
      </c>
      <c r="J303" s="458">
        <v>290277.97962264577</v>
      </c>
      <c r="K303" s="458">
        <v>24189.831635220478</v>
      </c>
      <c r="L303" s="458">
        <v>11194.760870699611</v>
      </c>
      <c r="M303" s="456">
        <v>0</v>
      </c>
      <c r="N303" s="458">
        <v>119.49693843813893</v>
      </c>
      <c r="O303" s="458">
        <v>154029.34074049367</v>
      </c>
      <c r="P303" s="459">
        <v>5079.8646433963013</v>
      </c>
      <c r="Q303" s="458">
        <v>55400.108403681625</v>
      </c>
      <c r="R303" s="458">
        <v>52453.230917812092</v>
      </c>
      <c r="S303" s="458">
        <v>1959.7497903854783</v>
      </c>
      <c r="T303" s="457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G303" s="425"/>
      <c r="AH303" s="425"/>
      <c r="AI303" s="425"/>
      <c r="AJ303" s="425"/>
      <c r="AK303" s="425"/>
      <c r="AL303" s="425"/>
      <c r="AM303" s="425"/>
      <c r="AN303" s="425"/>
      <c r="AO303" s="425"/>
      <c r="AP303" s="425"/>
      <c r="AQ303" s="425"/>
    </row>
    <row r="304" spans="1:43" s="270" customFormat="1" x14ac:dyDescent="0.25">
      <c r="A304" s="271">
        <v>501506</v>
      </c>
      <c r="B304" s="271">
        <v>1506</v>
      </c>
      <c r="C304" s="271">
        <v>5885</v>
      </c>
      <c r="D304" s="268" t="s">
        <v>894</v>
      </c>
      <c r="E304" s="268" t="s">
        <v>1278</v>
      </c>
      <c r="F304" s="268" t="s">
        <v>1306</v>
      </c>
      <c r="G304" s="268">
        <v>10</v>
      </c>
      <c r="H304" s="268" t="s">
        <v>2832</v>
      </c>
      <c r="I304" s="268" t="s">
        <v>2833</v>
      </c>
      <c r="J304" s="458">
        <v>290277.97962264577</v>
      </c>
      <c r="K304" s="458">
        <v>24189.831635220478</v>
      </c>
      <c r="L304" s="458">
        <v>11194.760870699611</v>
      </c>
      <c r="M304" s="456">
        <v>0</v>
      </c>
      <c r="N304" s="458">
        <v>119.49693843813893</v>
      </c>
      <c r="O304" s="459">
        <v>0</v>
      </c>
      <c r="P304" s="459">
        <v>5079.8646433963013</v>
      </c>
      <c r="Q304" s="458">
        <v>55400.108403681625</v>
      </c>
      <c r="R304" s="458">
        <v>52453.230917812092</v>
      </c>
      <c r="S304" s="458">
        <v>1959.7497903854783</v>
      </c>
      <c r="T304" s="453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G304" s="425"/>
      <c r="AH304" s="425"/>
      <c r="AI304" s="425"/>
      <c r="AJ304" s="425"/>
      <c r="AK304" s="425"/>
      <c r="AL304" s="425"/>
      <c r="AM304" s="425"/>
      <c r="AN304" s="425"/>
      <c r="AO304" s="425"/>
      <c r="AP304" s="425"/>
      <c r="AQ304" s="425"/>
    </row>
    <row r="305" spans="1:43" s="270" customFormat="1" x14ac:dyDescent="0.25">
      <c r="A305" s="271">
        <v>501305</v>
      </c>
      <c r="B305" s="271">
        <v>1305</v>
      </c>
      <c r="C305" s="271">
        <v>15804</v>
      </c>
      <c r="D305" s="268" t="s">
        <v>1698</v>
      </c>
      <c r="E305" s="268" t="s">
        <v>1278</v>
      </c>
      <c r="F305" s="268" t="s">
        <v>2834</v>
      </c>
      <c r="G305" s="268">
        <v>10</v>
      </c>
      <c r="H305" s="268" t="s">
        <v>2625</v>
      </c>
      <c r="I305" s="268" t="s">
        <v>2835</v>
      </c>
      <c r="J305" s="458">
        <v>290277.97962264577</v>
      </c>
      <c r="K305" s="458">
        <v>24189.831635220478</v>
      </c>
      <c r="L305" s="458">
        <v>11194.760870699611</v>
      </c>
      <c r="M305" s="456">
        <v>0</v>
      </c>
      <c r="N305" s="458">
        <v>119.49693843813893</v>
      </c>
      <c r="O305" s="459">
        <v>0</v>
      </c>
      <c r="P305" s="459">
        <v>5079.8646433963013</v>
      </c>
      <c r="Q305" s="458">
        <v>55400.108403681625</v>
      </c>
      <c r="R305" s="458">
        <v>52453.230917812092</v>
      </c>
      <c r="S305" s="458">
        <v>1959.7497903854783</v>
      </c>
      <c r="T305" s="457"/>
      <c r="U305" s="425"/>
      <c r="V305" s="425"/>
      <c r="W305" s="425"/>
      <c r="X305" s="425"/>
      <c r="Y305" s="425"/>
      <c r="Z305" s="425"/>
      <c r="AA305" s="425"/>
      <c r="AB305" s="425"/>
      <c r="AC305" s="425"/>
      <c r="AD305" s="425"/>
      <c r="AE305" s="425"/>
      <c r="AG305" s="425"/>
      <c r="AH305" s="425"/>
      <c r="AI305" s="425"/>
      <c r="AJ305" s="425"/>
      <c r="AK305" s="425"/>
      <c r="AL305" s="425"/>
      <c r="AM305" s="425"/>
      <c r="AN305" s="425"/>
      <c r="AO305" s="425"/>
      <c r="AP305" s="425"/>
      <c r="AQ305" s="425"/>
    </row>
    <row r="306" spans="1:43" s="270" customFormat="1" x14ac:dyDescent="0.25">
      <c r="A306" s="271">
        <v>501505</v>
      </c>
      <c r="B306" s="271">
        <v>1505</v>
      </c>
      <c r="C306" s="271">
        <v>22907</v>
      </c>
      <c r="D306" s="268" t="s">
        <v>1698</v>
      </c>
      <c r="E306" s="268" t="s">
        <v>1290</v>
      </c>
      <c r="F306" s="268" t="s">
        <v>2836</v>
      </c>
      <c r="G306" s="268">
        <v>10</v>
      </c>
      <c r="H306" s="268" t="s">
        <v>2837</v>
      </c>
      <c r="I306" s="268" t="s">
        <v>2831</v>
      </c>
      <c r="J306" s="458">
        <v>290277.97962264577</v>
      </c>
      <c r="K306" s="458">
        <v>24189.831635220478</v>
      </c>
      <c r="L306" s="458">
        <v>11194.760870699611</v>
      </c>
      <c r="M306" s="456">
        <v>0</v>
      </c>
      <c r="N306" s="458">
        <v>119.49693843813893</v>
      </c>
      <c r="O306" s="459">
        <v>0</v>
      </c>
      <c r="P306" s="459">
        <v>5079.8646433963013</v>
      </c>
      <c r="Q306" s="458">
        <v>55400.108403681625</v>
      </c>
      <c r="R306" s="458">
        <v>52453.230917812092</v>
      </c>
      <c r="S306" s="458">
        <v>1959.7497903854783</v>
      </c>
      <c r="T306" s="457"/>
      <c r="U306" s="425"/>
      <c r="V306" s="425"/>
      <c r="W306" s="425"/>
      <c r="X306" s="425"/>
      <c r="Y306" s="425"/>
      <c r="Z306" s="425"/>
      <c r="AA306" s="425"/>
      <c r="AB306" s="425"/>
      <c r="AC306" s="425"/>
      <c r="AD306" s="425"/>
      <c r="AE306" s="425"/>
      <c r="AG306" s="425"/>
      <c r="AH306" s="425"/>
      <c r="AI306" s="425"/>
      <c r="AJ306" s="425"/>
      <c r="AK306" s="425"/>
      <c r="AL306" s="425"/>
      <c r="AM306" s="425"/>
      <c r="AN306" s="425"/>
      <c r="AO306" s="425"/>
      <c r="AP306" s="425"/>
      <c r="AQ306" s="425"/>
    </row>
    <row r="307" spans="1:43" s="270" customFormat="1" x14ac:dyDescent="0.25">
      <c r="A307" s="271">
        <v>501206</v>
      </c>
      <c r="B307" s="271">
        <v>1206</v>
      </c>
      <c r="C307" s="271">
        <v>41975</v>
      </c>
      <c r="D307" s="268" t="s">
        <v>894</v>
      </c>
      <c r="E307" s="268" t="s">
        <v>1290</v>
      </c>
      <c r="F307" s="268" t="s">
        <v>2838</v>
      </c>
      <c r="G307" s="268">
        <v>10</v>
      </c>
      <c r="H307" s="268" t="s">
        <v>2839</v>
      </c>
      <c r="I307" s="268" t="s">
        <v>2840</v>
      </c>
      <c r="J307" s="458">
        <v>290277.97962264577</v>
      </c>
      <c r="K307" s="458">
        <v>24189.831635220478</v>
      </c>
      <c r="L307" s="458">
        <v>11194.760870699611</v>
      </c>
      <c r="M307" s="456">
        <v>0</v>
      </c>
      <c r="N307" s="458">
        <v>119.49693843813893</v>
      </c>
      <c r="O307" s="459">
        <v>0</v>
      </c>
      <c r="P307" s="459">
        <v>5079.8646433963013</v>
      </c>
      <c r="Q307" s="458">
        <v>55400.108403681625</v>
      </c>
      <c r="R307" s="458">
        <v>52453.230917812092</v>
      </c>
      <c r="S307" s="458">
        <v>1959.7497903854783</v>
      </c>
      <c r="T307" s="453"/>
      <c r="U307" s="425"/>
      <c r="V307" s="425"/>
      <c r="W307" s="425"/>
      <c r="X307" s="425"/>
      <c r="Y307" s="425"/>
      <c r="Z307" s="425"/>
      <c r="AA307" s="425"/>
      <c r="AB307" s="425"/>
      <c r="AC307" s="425"/>
      <c r="AD307" s="425"/>
      <c r="AE307" s="425"/>
      <c r="AG307" s="425"/>
      <c r="AH307" s="425"/>
      <c r="AI307" s="425"/>
      <c r="AJ307" s="425"/>
      <c r="AK307" s="425"/>
      <c r="AL307" s="425"/>
      <c r="AM307" s="425"/>
      <c r="AN307" s="425"/>
      <c r="AO307" s="425"/>
      <c r="AP307" s="425"/>
      <c r="AQ307" s="425"/>
    </row>
    <row r="308" spans="1:43" s="270" customFormat="1" x14ac:dyDescent="0.25">
      <c r="A308" s="271">
        <v>501206</v>
      </c>
      <c r="B308" s="271">
        <v>1206</v>
      </c>
      <c r="C308" s="271">
        <v>55806</v>
      </c>
      <c r="D308" s="268" t="s">
        <v>894</v>
      </c>
      <c r="E308" s="268" t="s">
        <v>1290</v>
      </c>
      <c r="F308" s="268" t="s">
        <v>2841</v>
      </c>
      <c r="G308" s="268">
        <v>10</v>
      </c>
      <c r="H308" s="268" t="s">
        <v>2842</v>
      </c>
      <c r="I308" s="268" t="s">
        <v>2840</v>
      </c>
      <c r="J308" s="458">
        <v>290277.97962264577</v>
      </c>
      <c r="K308" s="458">
        <v>24189.831635220478</v>
      </c>
      <c r="L308" s="458">
        <v>11194.760870699611</v>
      </c>
      <c r="M308" s="456">
        <v>0</v>
      </c>
      <c r="N308" s="458">
        <v>119.49693843813893</v>
      </c>
      <c r="O308" s="459">
        <v>0</v>
      </c>
      <c r="P308" s="459">
        <v>5079.8646433963013</v>
      </c>
      <c r="Q308" s="458">
        <v>55400.108403681625</v>
      </c>
      <c r="R308" s="458">
        <v>52453.230917812092</v>
      </c>
      <c r="S308" s="458">
        <v>1959.7497903854783</v>
      </c>
      <c r="T308" s="457"/>
      <c r="U308" s="425"/>
      <c r="V308" s="425"/>
      <c r="W308" s="425"/>
      <c r="X308" s="425"/>
      <c r="Y308" s="425"/>
      <c r="Z308" s="425"/>
      <c r="AA308" s="425"/>
      <c r="AB308" s="425"/>
      <c r="AC308" s="425"/>
      <c r="AD308" s="425"/>
      <c r="AE308" s="425"/>
      <c r="AG308" s="425"/>
      <c r="AH308" s="425"/>
      <c r="AI308" s="425"/>
      <c r="AJ308" s="425"/>
      <c r="AK308" s="425"/>
      <c r="AL308" s="425"/>
      <c r="AM308" s="425"/>
      <c r="AN308" s="425"/>
      <c r="AO308" s="425"/>
      <c r="AP308" s="425"/>
      <c r="AQ308" s="425"/>
    </row>
    <row r="309" spans="1:43" s="270" customFormat="1" x14ac:dyDescent="0.25">
      <c r="A309" s="271">
        <v>501406</v>
      </c>
      <c r="B309" s="271">
        <v>1406</v>
      </c>
      <c r="C309" s="271">
        <v>58175</v>
      </c>
      <c r="D309" s="268" t="s">
        <v>876</v>
      </c>
      <c r="E309" s="268" t="s">
        <v>1278</v>
      </c>
      <c r="F309" s="268" t="s">
        <v>1290</v>
      </c>
      <c r="G309" s="268">
        <v>10</v>
      </c>
      <c r="H309" s="268" t="s">
        <v>2843</v>
      </c>
      <c r="I309" s="268" t="s">
        <v>2844</v>
      </c>
      <c r="J309" s="458">
        <v>290277.97962264577</v>
      </c>
      <c r="K309" s="458">
        <v>24189.831635220478</v>
      </c>
      <c r="L309" s="458">
        <v>11194.760870699611</v>
      </c>
      <c r="M309" s="456">
        <v>0</v>
      </c>
      <c r="N309" s="458">
        <v>119.49693843813893</v>
      </c>
      <c r="O309" s="459">
        <v>0</v>
      </c>
      <c r="P309" s="459">
        <v>5079.8646433963013</v>
      </c>
      <c r="Q309" s="458">
        <v>55400.108403681625</v>
      </c>
      <c r="R309" s="458">
        <v>52453.230917812092</v>
      </c>
      <c r="S309" s="458">
        <v>1959.7497903854783</v>
      </c>
      <c r="T309" s="457"/>
      <c r="U309" s="425"/>
      <c r="V309" s="425"/>
      <c r="W309" s="425"/>
      <c r="X309" s="425"/>
      <c r="Y309" s="425"/>
      <c r="Z309" s="425"/>
      <c r="AA309" s="425"/>
      <c r="AB309" s="425"/>
      <c r="AC309" s="425"/>
      <c r="AD309" s="425"/>
      <c r="AE309" s="425"/>
      <c r="AG309" s="425"/>
      <c r="AH309" s="425"/>
      <c r="AI309" s="425"/>
      <c r="AJ309" s="425"/>
      <c r="AK309" s="425"/>
      <c r="AL309" s="425"/>
      <c r="AM309" s="425"/>
      <c r="AN309" s="425"/>
      <c r="AO309" s="425"/>
      <c r="AP309" s="425"/>
      <c r="AQ309" s="425"/>
    </row>
    <row r="310" spans="1:43" s="270" customFormat="1" x14ac:dyDescent="0.25">
      <c r="A310" s="271">
        <v>501445</v>
      </c>
      <c r="B310" s="271">
        <v>1445</v>
      </c>
      <c r="C310" s="271">
        <v>86710</v>
      </c>
      <c r="D310" s="268" t="s">
        <v>894</v>
      </c>
      <c r="E310" s="268" t="s">
        <v>1278</v>
      </c>
      <c r="F310" s="268" t="s">
        <v>2845</v>
      </c>
      <c r="G310" s="268">
        <v>10</v>
      </c>
      <c r="H310" s="268" t="s">
        <v>2846</v>
      </c>
      <c r="I310" s="268" t="s">
        <v>2847</v>
      </c>
      <c r="J310" s="458">
        <v>290277.97962264577</v>
      </c>
      <c r="K310" s="458">
        <v>24189.831635220478</v>
      </c>
      <c r="L310" s="458">
        <v>11194.760870699611</v>
      </c>
      <c r="M310" s="456">
        <v>0</v>
      </c>
      <c r="N310" s="458">
        <v>119.49693843813893</v>
      </c>
      <c r="O310" s="459">
        <v>0</v>
      </c>
      <c r="P310" s="459">
        <v>5079.8646433963013</v>
      </c>
      <c r="Q310" s="458">
        <v>55400.108403681625</v>
      </c>
      <c r="R310" s="458">
        <v>52453.230917812092</v>
      </c>
      <c r="S310" s="458">
        <v>1959.7497903854783</v>
      </c>
      <c r="T310" s="453"/>
      <c r="U310" s="425"/>
      <c r="V310" s="425"/>
      <c r="W310" s="425"/>
      <c r="X310" s="425"/>
      <c r="Y310" s="425"/>
      <c r="Z310" s="425"/>
      <c r="AA310" s="425"/>
      <c r="AB310" s="425"/>
      <c r="AC310" s="425"/>
      <c r="AD310" s="425"/>
      <c r="AE310" s="425"/>
      <c r="AG310" s="425"/>
      <c r="AH310" s="425"/>
      <c r="AI310" s="425"/>
      <c r="AJ310" s="425"/>
      <c r="AK310" s="425"/>
      <c r="AL310" s="425"/>
      <c r="AM310" s="425"/>
      <c r="AN310" s="425"/>
      <c r="AO310" s="425"/>
      <c r="AP310" s="425"/>
      <c r="AQ310" s="425"/>
    </row>
    <row r="311" spans="1:43" s="270" customFormat="1" x14ac:dyDescent="0.25">
      <c r="A311" s="418">
        <v>501406</v>
      </c>
      <c r="B311" s="271">
        <v>1412</v>
      </c>
      <c r="C311" s="271">
        <v>87379</v>
      </c>
      <c r="D311" s="268" t="s">
        <v>894</v>
      </c>
      <c r="E311" s="268" t="s">
        <v>1290</v>
      </c>
      <c r="F311" s="268" t="s">
        <v>2637</v>
      </c>
      <c r="G311" s="268">
        <v>10</v>
      </c>
      <c r="H311" s="268" t="s">
        <v>2664</v>
      </c>
      <c r="I311" s="268" t="s">
        <v>2848</v>
      </c>
      <c r="J311" s="458">
        <v>290277.97962264577</v>
      </c>
      <c r="K311" s="458">
        <v>24189.831635220478</v>
      </c>
      <c r="L311" s="458">
        <v>11194.760870699611</v>
      </c>
      <c r="M311" s="456">
        <v>0</v>
      </c>
      <c r="N311" s="458">
        <v>119.49693843813893</v>
      </c>
      <c r="O311" s="459">
        <v>0</v>
      </c>
      <c r="P311" s="459">
        <v>5079.8646433963013</v>
      </c>
      <c r="Q311" s="458">
        <v>55400.108403681625</v>
      </c>
      <c r="R311" s="458">
        <v>52453.230917812092</v>
      </c>
      <c r="S311" s="458">
        <v>1959.7497903854783</v>
      </c>
      <c r="T311" s="453"/>
      <c r="U311" s="425"/>
      <c r="V311" s="425"/>
      <c r="W311" s="425"/>
      <c r="X311" s="425"/>
      <c r="Y311" s="425"/>
      <c r="Z311" s="425"/>
      <c r="AA311" s="425"/>
      <c r="AB311" s="425"/>
      <c r="AC311" s="425"/>
      <c r="AD311" s="425"/>
      <c r="AE311" s="425"/>
      <c r="AG311" s="425"/>
      <c r="AH311" s="425"/>
      <c r="AI311" s="425"/>
      <c r="AJ311" s="425"/>
      <c r="AK311" s="425"/>
      <c r="AL311" s="425"/>
      <c r="AM311" s="425"/>
      <c r="AN311" s="425"/>
      <c r="AO311" s="425"/>
      <c r="AP311" s="425"/>
      <c r="AQ311" s="425"/>
    </row>
    <row r="312" spans="1:43" s="270" customFormat="1" x14ac:dyDescent="0.25">
      <c r="A312" s="271">
        <v>501406</v>
      </c>
      <c r="B312" s="271">
        <v>1406</v>
      </c>
      <c r="C312" s="271">
        <v>87586</v>
      </c>
      <c r="D312" s="268" t="s">
        <v>894</v>
      </c>
      <c r="E312" s="268" t="s">
        <v>1278</v>
      </c>
      <c r="F312" s="268" t="s">
        <v>776</v>
      </c>
      <c r="G312" s="268">
        <v>10</v>
      </c>
      <c r="H312" s="268" t="s">
        <v>2849</v>
      </c>
      <c r="I312" s="268" t="s">
        <v>2848</v>
      </c>
      <c r="J312" s="458">
        <v>290277.97962264577</v>
      </c>
      <c r="K312" s="458">
        <v>24189.831635220478</v>
      </c>
      <c r="L312" s="458">
        <v>11194.760870699611</v>
      </c>
      <c r="M312" s="456">
        <v>0</v>
      </c>
      <c r="N312" s="458">
        <v>119.49693843813893</v>
      </c>
      <c r="O312" s="459">
        <v>0</v>
      </c>
      <c r="P312" s="459">
        <v>5079.8646433963013</v>
      </c>
      <c r="Q312" s="458">
        <v>55400.108403681625</v>
      </c>
      <c r="R312" s="458">
        <v>52453.230917812092</v>
      </c>
      <c r="S312" s="458">
        <v>1959.7497903854783</v>
      </c>
      <c r="T312" s="453"/>
      <c r="U312" s="425"/>
      <c r="V312" s="425"/>
      <c r="W312" s="425"/>
      <c r="X312" s="425"/>
      <c r="Y312" s="425"/>
      <c r="Z312" s="425"/>
      <c r="AA312" s="425"/>
      <c r="AB312" s="425"/>
      <c r="AC312" s="425"/>
      <c r="AD312" s="425"/>
      <c r="AE312" s="425"/>
      <c r="AG312" s="425"/>
      <c r="AH312" s="425"/>
      <c r="AI312" s="425"/>
      <c r="AJ312" s="425"/>
      <c r="AK312" s="425"/>
      <c r="AL312" s="425"/>
      <c r="AM312" s="425"/>
      <c r="AN312" s="425"/>
      <c r="AO312" s="425"/>
      <c r="AP312" s="425"/>
      <c r="AQ312" s="425"/>
    </row>
    <row r="313" spans="1:43" s="270" customFormat="1" x14ac:dyDescent="0.25">
      <c r="A313" s="418">
        <v>501406</v>
      </c>
      <c r="B313" s="271">
        <v>1412</v>
      </c>
      <c r="C313" s="271">
        <v>87654</v>
      </c>
      <c r="D313" s="268" t="s">
        <v>894</v>
      </c>
      <c r="E313" s="268" t="s">
        <v>1290</v>
      </c>
      <c r="F313" s="268" t="s">
        <v>2768</v>
      </c>
      <c r="G313" s="268">
        <v>10</v>
      </c>
      <c r="H313" s="268" t="s">
        <v>2309</v>
      </c>
      <c r="I313" s="268" t="s">
        <v>2848</v>
      </c>
      <c r="J313" s="458">
        <v>290277.97962264577</v>
      </c>
      <c r="K313" s="458">
        <v>24189.831635220478</v>
      </c>
      <c r="L313" s="458">
        <v>11194.760870699611</v>
      </c>
      <c r="M313" s="456">
        <v>0</v>
      </c>
      <c r="N313" s="458">
        <v>119.49693843813893</v>
      </c>
      <c r="O313" s="459">
        <v>0</v>
      </c>
      <c r="P313" s="459">
        <v>5079.8646433963013</v>
      </c>
      <c r="Q313" s="458">
        <v>55400.108403681625</v>
      </c>
      <c r="R313" s="458">
        <v>52453.230917812092</v>
      </c>
      <c r="S313" s="458">
        <v>1959.7497903854783</v>
      </c>
      <c r="T313" s="457"/>
      <c r="U313" s="425"/>
      <c r="V313" s="425"/>
      <c r="W313" s="425"/>
      <c r="X313" s="425"/>
      <c r="Y313" s="425"/>
      <c r="Z313" s="425"/>
      <c r="AA313" s="425"/>
      <c r="AB313" s="425"/>
      <c r="AC313" s="425"/>
      <c r="AD313" s="425"/>
      <c r="AE313" s="425"/>
      <c r="AG313" s="425"/>
      <c r="AH313" s="425"/>
      <c r="AI313" s="425"/>
      <c r="AJ313" s="425"/>
      <c r="AK313" s="425"/>
      <c r="AL313" s="425"/>
      <c r="AM313" s="425"/>
      <c r="AN313" s="425"/>
      <c r="AO313" s="425"/>
      <c r="AP313" s="425"/>
      <c r="AQ313" s="425"/>
    </row>
    <row r="314" spans="1:43" s="270" customFormat="1" x14ac:dyDescent="0.25">
      <c r="A314" s="271">
        <v>501407</v>
      </c>
      <c r="B314" s="271">
        <v>1407</v>
      </c>
      <c r="C314" s="271">
        <v>87670</v>
      </c>
      <c r="D314" s="268" t="s">
        <v>894</v>
      </c>
      <c r="E314" s="268" t="s">
        <v>1278</v>
      </c>
      <c r="F314" s="268" t="s">
        <v>2850</v>
      </c>
      <c r="G314" s="268">
        <v>10</v>
      </c>
      <c r="H314" s="268" t="s">
        <v>2851</v>
      </c>
      <c r="I314" s="268" t="s">
        <v>2844</v>
      </c>
      <c r="J314" s="458">
        <v>290277.97962264577</v>
      </c>
      <c r="K314" s="458">
        <v>24189.831635220478</v>
      </c>
      <c r="L314" s="458">
        <v>11194.760870699611</v>
      </c>
      <c r="M314" s="456">
        <v>0</v>
      </c>
      <c r="N314" s="458">
        <v>119.49693843813893</v>
      </c>
      <c r="O314" s="459">
        <v>0</v>
      </c>
      <c r="P314" s="459">
        <v>5079.8646433963013</v>
      </c>
      <c r="Q314" s="458">
        <v>55400.108403681625</v>
      </c>
      <c r="R314" s="458">
        <v>52453.230917812092</v>
      </c>
      <c r="S314" s="458">
        <v>1959.7497903854783</v>
      </c>
      <c r="T314" s="457"/>
      <c r="U314" s="425"/>
      <c r="V314" s="425"/>
      <c r="W314" s="425"/>
      <c r="X314" s="425"/>
      <c r="Y314" s="425"/>
      <c r="Z314" s="425"/>
      <c r="AA314" s="425"/>
      <c r="AB314" s="425"/>
      <c r="AC314" s="425"/>
      <c r="AD314" s="425"/>
      <c r="AE314" s="425"/>
      <c r="AG314" s="425"/>
      <c r="AH314" s="425"/>
      <c r="AI314" s="425"/>
      <c r="AJ314" s="425"/>
      <c r="AK314" s="425"/>
      <c r="AL314" s="425"/>
      <c r="AM314" s="425"/>
      <c r="AN314" s="425"/>
      <c r="AO314" s="425"/>
      <c r="AP314" s="425"/>
      <c r="AQ314" s="425"/>
    </row>
    <row r="315" spans="1:43" s="270" customFormat="1" x14ac:dyDescent="0.25">
      <c r="A315" s="271">
        <v>501505</v>
      </c>
      <c r="B315" s="271">
        <v>1505</v>
      </c>
      <c r="C315" s="271">
        <v>91190</v>
      </c>
      <c r="D315" s="268" t="s">
        <v>876</v>
      </c>
      <c r="E315" s="268" t="s">
        <v>1290</v>
      </c>
      <c r="F315" s="268" t="s">
        <v>2852</v>
      </c>
      <c r="G315" s="268">
        <v>10</v>
      </c>
      <c r="H315" s="268" t="s">
        <v>2853</v>
      </c>
      <c r="I315" s="268" t="s">
        <v>2831</v>
      </c>
      <c r="J315" s="458">
        <v>290277.97962264577</v>
      </c>
      <c r="K315" s="458">
        <v>24189.831635220478</v>
      </c>
      <c r="L315" s="458">
        <v>11194.760870699611</v>
      </c>
      <c r="M315" s="456">
        <v>0</v>
      </c>
      <c r="N315" s="458">
        <v>119.49693843813893</v>
      </c>
      <c r="O315" s="459">
        <v>0</v>
      </c>
      <c r="P315" s="459">
        <v>5079.8646433963013</v>
      </c>
      <c r="Q315" s="458">
        <v>55400.108403681625</v>
      </c>
      <c r="R315" s="458">
        <v>52453.230917812092</v>
      </c>
      <c r="S315" s="458">
        <v>1959.7497903854783</v>
      </c>
      <c r="T315" s="457"/>
      <c r="U315" s="425"/>
      <c r="V315" s="425"/>
      <c r="W315" s="425"/>
      <c r="X315" s="425"/>
      <c r="Y315" s="425"/>
      <c r="Z315" s="425"/>
      <c r="AA315" s="425"/>
      <c r="AB315" s="425"/>
      <c r="AC315" s="425"/>
      <c r="AD315" s="425"/>
      <c r="AE315" s="425"/>
      <c r="AG315" s="425"/>
      <c r="AH315" s="425"/>
      <c r="AI315" s="425"/>
      <c r="AJ315" s="425"/>
      <c r="AK315" s="425"/>
      <c r="AL315" s="425"/>
      <c r="AM315" s="425"/>
      <c r="AN315" s="425"/>
      <c r="AO315" s="425"/>
      <c r="AP315" s="425"/>
      <c r="AQ315" s="425"/>
    </row>
    <row r="316" spans="1:43" x14ac:dyDescent="0.25">
      <c r="A316" s="271">
        <v>501445</v>
      </c>
      <c r="B316" s="271">
        <v>1445</v>
      </c>
      <c r="C316" s="271">
        <v>91420</v>
      </c>
      <c r="D316" s="268" t="s">
        <v>876</v>
      </c>
      <c r="E316" s="268" t="s">
        <v>1278</v>
      </c>
      <c r="F316" s="268" t="s">
        <v>2854</v>
      </c>
      <c r="G316" s="268">
        <v>10</v>
      </c>
      <c r="H316" s="268" t="s">
        <v>2855</v>
      </c>
      <c r="I316" s="268" t="s">
        <v>2844</v>
      </c>
      <c r="J316" s="458">
        <v>290277.97962264577</v>
      </c>
      <c r="K316" s="458">
        <v>24189.831635220478</v>
      </c>
      <c r="L316" s="458">
        <v>11194.760870699611</v>
      </c>
      <c r="M316" s="456">
        <v>0</v>
      </c>
      <c r="N316" s="458">
        <v>119.49693843813893</v>
      </c>
      <c r="O316" s="459">
        <v>0</v>
      </c>
      <c r="P316" s="459">
        <v>5079.8646433963013</v>
      </c>
      <c r="Q316" s="458">
        <v>55400.108403681625</v>
      </c>
      <c r="R316" s="458">
        <v>52453.230917812092</v>
      </c>
      <c r="S316" s="458">
        <v>1959.7497903854783</v>
      </c>
      <c r="T316" s="457"/>
      <c r="U316" s="425"/>
      <c r="V316" s="425"/>
      <c r="W316" s="425"/>
      <c r="X316" s="425"/>
      <c r="Y316" s="425"/>
      <c r="Z316" s="425"/>
      <c r="AA316" s="425"/>
      <c r="AB316" s="425"/>
      <c r="AC316" s="425"/>
      <c r="AD316" s="425"/>
      <c r="AE316" s="425"/>
      <c r="AF316" s="424"/>
      <c r="AG316" s="425"/>
      <c r="AH316" s="425"/>
      <c r="AI316" s="425"/>
      <c r="AJ316" s="425"/>
      <c r="AK316" s="425"/>
      <c r="AL316" s="425"/>
      <c r="AM316" s="425"/>
      <c r="AN316" s="425"/>
      <c r="AO316" s="425"/>
      <c r="AP316" s="425"/>
      <c r="AQ316" s="425"/>
    </row>
    <row r="317" spans="1:43" s="270" customFormat="1" x14ac:dyDescent="0.25">
      <c r="A317" s="271">
        <v>501505</v>
      </c>
      <c r="B317" s="271">
        <v>1505</v>
      </c>
      <c r="C317" s="271">
        <v>92283</v>
      </c>
      <c r="D317" s="268" t="s">
        <v>876</v>
      </c>
      <c r="E317" s="268" t="s">
        <v>1290</v>
      </c>
      <c r="F317" s="268" t="s">
        <v>2402</v>
      </c>
      <c r="G317" s="268">
        <v>10</v>
      </c>
      <c r="H317" s="268" t="s">
        <v>2244</v>
      </c>
      <c r="I317" s="268" t="s">
        <v>2831</v>
      </c>
      <c r="J317" s="458">
        <v>290277.97962264577</v>
      </c>
      <c r="K317" s="458">
        <v>24189.831635220478</v>
      </c>
      <c r="L317" s="458">
        <v>11194.760870699611</v>
      </c>
      <c r="M317" s="456">
        <v>0</v>
      </c>
      <c r="N317" s="458">
        <v>119.49693843813893</v>
      </c>
      <c r="O317" s="459">
        <v>0</v>
      </c>
      <c r="P317" s="459">
        <v>5079.8646433963013</v>
      </c>
      <c r="Q317" s="458">
        <v>55400.108403681625</v>
      </c>
      <c r="R317" s="458">
        <v>52453.230917812092</v>
      </c>
      <c r="S317" s="458">
        <v>1959.7497903854783</v>
      </c>
      <c r="T317" s="453"/>
      <c r="U317" s="425"/>
      <c r="V317" s="425"/>
      <c r="W317" s="425"/>
      <c r="X317" s="425"/>
      <c r="Y317" s="425"/>
      <c r="Z317" s="425"/>
      <c r="AA317" s="425"/>
      <c r="AB317" s="425"/>
      <c r="AC317" s="425"/>
      <c r="AD317" s="425"/>
      <c r="AE317" s="425"/>
      <c r="AG317" s="425"/>
      <c r="AH317" s="425"/>
      <c r="AI317" s="425"/>
      <c r="AJ317" s="425"/>
      <c r="AK317" s="425"/>
      <c r="AL317" s="425"/>
      <c r="AM317" s="425"/>
      <c r="AN317" s="425"/>
      <c r="AO317" s="425"/>
      <c r="AP317" s="425"/>
      <c r="AQ317" s="425"/>
    </row>
    <row r="318" spans="1:43" s="270" customFormat="1" x14ac:dyDescent="0.25">
      <c r="A318" s="271">
        <v>501206</v>
      </c>
      <c r="B318" s="271">
        <v>1206</v>
      </c>
      <c r="C318" s="271">
        <v>200188</v>
      </c>
      <c r="D318" s="268" t="s">
        <v>894</v>
      </c>
      <c r="E318" s="268" t="s">
        <v>1290</v>
      </c>
      <c r="F318" s="268" t="s">
        <v>2364</v>
      </c>
      <c r="G318" s="268">
        <v>10</v>
      </c>
      <c r="H318" s="268" t="s">
        <v>2856</v>
      </c>
      <c r="I318" s="268" t="s">
        <v>2840</v>
      </c>
      <c r="J318" s="458">
        <v>290277.97962264577</v>
      </c>
      <c r="K318" s="458">
        <v>24189.831635220478</v>
      </c>
      <c r="L318" s="458">
        <v>11194.760870699611</v>
      </c>
      <c r="M318" s="456">
        <v>0</v>
      </c>
      <c r="N318" s="458">
        <v>119.49693843813893</v>
      </c>
      <c r="O318" s="459">
        <v>0</v>
      </c>
      <c r="P318" s="459">
        <v>5079.8646433963013</v>
      </c>
      <c r="Q318" s="458">
        <v>55400.108403681625</v>
      </c>
      <c r="R318" s="458">
        <v>52453.230917812092</v>
      </c>
      <c r="S318" s="458">
        <v>1959.7497903854783</v>
      </c>
      <c r="T318" s="453"/>
      <c r="U318" s="425"/>
      <c r="V318" s="425"/>
      <c r="W318" s="425"/>
      <c r="X318" s="425"/>
      <c r="Y318" s="425"/>
      <c r="Z318" s="425"/>
      <c r="AA318" s="425"/>
      <c r="AB318" s="425"/>
      <c r="AC318" s="425"/>
      <c r="AD318" s="425"/>
      <c r="AE318" s="425"/>
      <c r="AG318" s="425"/>
      <c r="AH318" s="425"/>
      <c r="AI318" s="425"/>
      <c r="AJ318" s="425"/>
      <c r="AK318" s="425"/>
      <c r="AL318" s="425"/>
      <c r="AM318" s="425"/>
      <c r="AN318" s="425"/>
      <c r="AO318" s="425"/>
      <c r="AP318" s="425"/>
      <c r="AQ318" s="425"/>
    </row>
    <row r="319" spans="1:43" s="270" customFormat="1" x14ac:dyDescent="0.25">
      <c r="A319" s="416">
        <v>501443</v>
      </c>
      <c r="B319" s="271">
        <v>1443</v>
      </c>
      <c r="C319" s="271">
        <v>200462</v>
      </c>
      <c r="D319" s="268" t="s">
        <v>894</v>
      </c>
      <c r="E319" s="268" t="s">
        <v>1290</v>
      </c>
      <c r="F319" s="268" t="s">
        <v>2226</v>
      </c>
      <c r="G319" s="268"/>
      <c r="H319" s="268" t="s">
        <v>2857</v>
      </c>
      <c r="I319" s="268" t="s">
        <v>2801</v>
      </c>
      <c r="J319" s="458">
        <v>287207.57217666582</v>
      </c>
      <c r="K319" s="458">
        <v>23933.964348055484</v>
      </c>
      <c r="L319" s="458">
        <v>11194.760870699611</v>
      </c>
      <c r="M319" s="456">
        <v>0</v>
      </c>
      <c r="N319" s="458">
        <v>119.49693843813893</v>
      </c>
      <c r="O319" s="459">
        <v>0</v>
      </c>
      <c r="P319" s="459">
        <v>5026.1325130916521</v>
      </c>
      <c r="Q319" s="458">
        <v>55400.108403681625</v>
      </c>
      <c r="R319" s="458">
        <v>51898.408292323511</v>
      </c>
      <c r="S319" s="458">
        <v>1959.7497903854783</v>
      </c>
      <c r="T319" s="453"/>
      <c r="U319" s="425"/>
      <c r="V319" s="425"/>
      <c r="W319" s="425"/>
      <c r="X319" s="425"/>
      <c r="Y319" s="425"/>
      <c r="Z319" s="425"/>
      <c r="AA319" s="425"/>
      <c r="AB319" s="425"/>
      <c r="AC319" s="425"/>
      <c r="AD319" s="425"/>
      <c r="AE319" s="425"/>
      <c r="AG319" s="425"/>
      <c r="AH319" s="425"/>
      <c r="AI319" s="425"/>
      <c r="AJ319" s="425"/>
      <c r="AK319" s="425"/>
      <c r="AL319" s="425"/>
      <c r="AM319" s="425"/>
      <c r="AN319" s="425"/>
      <c r="AO319" s="425"/>
      <c r="AP319" s="425"/>
      <c r="AQ319" s="425"/>
    </row>
    <row r="320" spans="1:43" s="270" customFormat="1" x14ac:dyDescent="0.25">
      <c r="A320" s="416">
        <v>501406</v>
      </c>
      <c r="B320" s="271">
        <v>1406</v>
      </c>
      <c r="C320" s="271">
        <v>200212</v>
      </c>
      <c r="D320" s="268" t="s">
        <v>894</v>
      </c>
      <c r="E320" s="268" t="s">
        <v>1278</v>
      </c>
      <c r="F320" s="268" t="s">
        <v>2858</v>
      </c>
      <c r="G320" s="268"/>
      <c r="H320" s="268" t="s">
        <v>2859</v>
      </c>
      <c r="I320" s="268" t="s">
        <v>2801</v>
      </c>
      <c r="J320" s="458">
        <v>286917.12822907313</v>
      </c>
      <c r="K320" s="458">
        <v>23909.760685756093</v>
      </c>
      <c r="L320" s="458">
        <v>11194.760870699611</v>
      </c>
      <c r="M320" s="456">
        <v>0</v>
      </c>
      <c r="N320" s="458">
        <v>119.49693843813893</v>
      </c>
      <c r="O320" s="459">
        <v>0</v>
      </c>
      <c r="P320" s="459">
        <v>5021.0497440087802</v>
      </c>
      <c r="Q320" s="458">
        <v>55400.108403681625</v>
      </c>
      <c r="R320" s="458">
        <v>51845.925070993515</v>
      </c>
      <c r="S320" s="458">
        <v>1959.7497903854783</v>
      </c>
      <c r="T320" s="453"/>
      <c r="U320" s="425"/>
      <c r="V320" s="425"/>
      <c r="W320" s="425"/>
      <c r="X320" s="425"/>
      <c r="Y320" s="425"/>
      <c r="Z320" s="425"/>
      <c r="AA320" s="425"/>
      <c r="AB320" s="425"/>
      <c r="AC320" s="425"/>
      <c r="AD320" s="425"/>
      <c r="AE320" s="425"/>
      <c r="AG320" s="425"/>
      <c r="AH320" s="425"/>
      <c r="AI320" s="425"/>
      <c r="AJ320" s="425"/>
      <c r="AK320" s="425"/>
      <c r="AL320" s="425"/>
      <c r="AM320" s="425"/>
      <c r="AN320" s="425"/>
      <c r="AO320" s="425"/>
      <c r="AP320" s="425"/>
      <c r="AQ320" s="425"/>
    </row>
    <row r="321" spans="1:43" s="270" customFormat="1" x14ac:dyDescent="0.25">
      <c r="A321" s="416">
        <v>501443</v>
      </c>
      <c r="B321" s="271">
        <v>1443</v>
      </c>
      <c r="C321" s="271">
        <v>200213</v>
      </c>
      <c r="D321" s="268" t="s">
        <v>894</v>
      </c>
      <c r="E321" s="268" t="s">
        <v>1290</v>
      </c>
      <c r="F321" s="268" t="s">
        <v>2860</v>
      </c>
      <c r="G321" s="268"/>
      <c r="H321" s="268" t="s">
        <v>2861</v>
      </c>
      <c r="I321" s="268" t="s">
        <v>2801</v>
      </c>
      <c r="J321" s="458">
        <v>286917.12822907313</v>
      </c>
      <c r="K321" s="458">
        <v>23909.760685756093</v>
      </c>
      <c r="L321" s="458">
        <v>11194.760870699611</v>
      </c>
      <c r="M321" s="456">
        <v>0</v>
      </c>
      <c r="N321" s="458">
        <v>119.49693843813893</v>
      </c>
      <c r="O321" s="459">
        <v>0</v>
      </c>
      <c r="P321" s="459">
        <v>5021.0497440087802</v>
      </c>
      <c r="Q321" s="458">
        <v>55400.108403681625</v>
      </c>
      <c r="R321" s="458">
        <v>51845.925070993515</v>
      </c>
      <c r="S321" s="458">
        <v>1959.7497903854783</v>
      </c>
      <c r="T321" s="457"/>
      <c r="U321" s="425"/>
      <c r="V321" s="425"/>
      <c r="W321" s="425"/>
      <c r="X321" s="425"/>
      <c r="Y321" s="425"/>
      <c r="Z321" s="425"/>
      <c r="AA321" s="425"/>
      <c r="AB321" s="425"/>
      <c r="AC321" s="425"/>
      <c r="AD321" s="425"/>
      <c r="AE321" s="425"/>
      <c r="AG321" s="425"/>
      <c r="AH321" s="425"/>
      <c r="AI321" s="425"/>
      <c r="AJ321" s="425"/>
      <c r="AK321" s="425"/>
      <c r="AL321" s="425"/>
      <c r="AM321" s="425"/>
      <c r="AN321" s="425"/>
      <c r="AO321" s="425"/>
      <c r="AP321" s="425"/>
      <c r="AQ321" s="425"/>
    </row>
    <row r="322" spans="1:43" s="270" customFormat="1" x14ac:dyDescent="0.25">
      <c r="A322" s="416">
        <v>501443</v>
      </c>
      <c r="B322" s="271">
        <v>1443</v>
      </c>
      <c r="C322" s="271">
        <v>200214</v>
      </c>
      <c r="D322" s="268" t="s">
        <v>894</v>
      </c>
      <c r="E322" s="268" t="s">
        <v>1278</v>
      </c>
      <c r="F322" s="268" t="s">
        <v>2862</v>
      </c>
      <c r="G322" s="268"/>
      <c r="H322" s="268" t="s">
        <v>2630</v>
      </c>
      <c r="I322" s="268" t="s">
        <v>2801</v>
      </c>
      <c r="J322" s="458">
        <v>286917.12822907313</v>
      </c>
      <c r="K322" s="458">
        <v>23909.760685756093</v>
      </c>
      <c r="L322" s="458">
        <v>11194.760870699611</v>
      </c>
      <c r="M322" s="456">
        <v>0</v>
      </c>
      <c r="N322" s="458">
        <v>119.49693843813893</v>
      </c>
      <c r="O322" s="459">
        <v>0</v>
      </c>
      <c r="P322" s="459">
        <v>5021.0497440087802</v>
      </c>
      <c r="Q322" s="458">
        <v>55400.108403681625</v>
      </c>
      <c r="R322" s="458">
        <v>51845.925070993515</v>
      </c>
      <c r="S322" s="458">
        <v>1959.7497903854783</v>
      </c>
      <c r="T322" s="457"/>
      <c r="U322" s="425"/>
      <c r="V322" s="425"/>
      <c r="W322" s="425"/>
      <c r="X322" s="425"/>
      <c r="Y322" s="425"/>
      <c r="Z322" s="425"/>
      <c r="AA322" s="425"/>
      <c r="AB322" s="425"/>
      <c r="AC322" s="425"/>
      <c r="AD322" s="425"/>
      <c r="AE322" s="425"/>
      <c r="AG322" s="425"/>
      <c r="AH322" s="425"/>
      <c r="AI322" s="425"/>
      <c r="AJ322" s="425"/>
      <c r="AK322" s="425"/>
      <c r="AL322" s="425"/>
      <c r="AM322" s="425"/>
      <c r="AN322" s="425"/>
      <c r="AO322" s="425"/>
      <c r="AP322" s="425"/>
      <c r="AQ322" s="425"/>
    </row>
    <row r="323" spans="1:43" s="270" customFormat="1" x14ac:dyDescent="0.25">
      <c r="A323" s="416">
        <v>501443</v>
      </c>
      <c r="B323" s="271">
        <v>1443</v>
      </c>
      <c r="C323" s="271">
        <v>200216</v>
      </c>
      <c r="D323" s="268" t="s">
        <v>894</v>
      </c>
      <c r="E323" s="268" t="s">
        <v>1290</v>
      </c>
      <c r="F323" s="268" t="s">
        <v>1286</v>
      </c>
      <c r="G323" s="268"/>
      <c r="H323" s="268" t="s">
        <v>2863</v>
      </c>
      <c r="I323" s="268" t="s">
        <v>2801</v>
      </c>
      <c r="J323" s="458">
        <v>286917.12822907313</v>
      </c>
      <c r="K323" s="458">
        <v>23909.760685756093</v>
      </c>
      <c r="L323" s="458">
        <v>11194.760870699611</v>
      </c>
      <c r="M323" s="456">
        <v>0</v>
      </c>
      <c r="N323" s="458">
        <v>119.49693843813893</v>
      </c>
      <c r="O323" s="459">
        <v>0</v>
      </c>
      <c r="P323" s="459">
        <v>5021.0497440087802</v>
      </c>
      <c r="Q323" s="458">
        <v>55400.108403681625</v>
      </c>
      <c r="R323" s="458">
        <v>51845.925070993515</v>
      </c>
      <c r="S323" s="458">
        <v>1959.7497903854783</v>
      </c>
      <c r="T323" s="457"/>
      <c r="U323" s="425"/>
      <c r="V323" s="425"/>
      <c r="W323" s="425"/>
      <c r="X323" s="425"/>
      <c r="Y323" s="425"/>
      <c r="Z323" s="425"/>
      <c r="AA323" s="425"/>
      <c r="AB323" s="425"/>
      <c r="AC323" s="425"/>
      <c r="AD323" s="425"/>
      <c r="AE323" s="425"/>
      <c r="AG323" s="425"/>
      <c r="AH323" s="425"/>
      <c r="AI323" s="425"/>
      <c r="AJ323" s="425"/>
      <c r="AK323" s="425"/>
      <c r="AL323" s="425"/>
      <c r="AM323" s="425"/>
      <c r="AN323" s="425"/>
      <c r="AO323" s="425"/>
      <c r="AP323" s="425"/>
      <c r="AQ323" s="425"/>
    </row>
    <row r="324" spans="1:43" s="270" customFormat="1" x14ac:dyDescent="0.25">
      <c r="A324" s="416">
        <v>501406</v>
      </c>
      <c r="B324" s="271">
        <v>1406</v>
      </c>
      <c r="C324" s="271">
        <v>200218</v>
      </c>
      <c r="D324" s="268" t="s">
        <v>894</v>
      </c>
      <c r="E324" s="268" t="s">
        <v>1278</v>
      </c>
      <c r="F324" s="268" t="s">
        <v>2653</v>
      </c>
      <c r="G324" s="268"/>
      <c r="H324" s="268" t="s">
        <v>2864</v>
      </c>
      <c r="I324" s="268" t="s">
        <v>2801</v>
      </c>
      <c r="J324" s="458">
        <v>286917.12822907313</v>
      </c>
      <c r="K324" s="458">
        <v>23909.760685756093</v>
      </c>
      <c r="L324" s="458">
        <v>11194.760870699611</v>
      </c>
      <c r="M324" s="456">
        <v>0</v>
      </c>
      <c r="N324" s="458">
        <v>119.49693843813893</v>
      </c>
      <c r="O324" s="459">
        <v>0</v>
      </c>
      <c r="P324" s="459">
        <v>5021.0497440087802</v>
      </c>
      <c r="Q324" s="458">
        <v>55400.108403681625</v>
      </c>
      <c r="R324" s="458">
        <v>51845.925070993515</v>
      </c>
      <c r="S324" s="458">
        <v>1959.7497903854783</v>
      </c>
      <c r="T324" s="457"/>
      <c r="U324" s="425"/>
      <c r="V324" s="425"/>
      <c r="W324" s="425"/>
      <c r="X324" s="425"/>
      <c r="Y324" s="425"/>
      <c r="Z324" s="425"/>
      <c r="AA324" s="425"/>
      <c r="AB324" s="425"/>
      <c r="AC324" s="425"/>
      <c r="AD324" s="425"/>
      <c r="AE324" s="425"/>
      <c r="AG324" s="425"/>
      <c r="AH324" s="425"/>
      <c r="AI324" s="425"/>
      <c r="AJ324" s="425"/>
      <c r="AK324" s="425"/>
      <c r="AL324" s="425"/>
      <c r="AM324" s="425"/>
      <c r="AN324" s="425"/>
      <c r="AO324" s="425"/>
      <c r="AP324" s="425"/>
      <c r="AQ324" s="425"/>
    </row>
    <row r="325" spans="1:43" s="270" customFormat="1" x14ac:dyDescent="0.25">
      <c r="A325" s="416">
        <v>501443</v>
      </c>
      <c r="B325" s="271">
        <v>1443</v>
      </c>
      <c r="C325" s="271">
        <v>200220</v>
      </c>
      <c r="D325" s="268" t="s">
        <v>894</v>
      </c>
      <c r="E325" s="268" t="s">
        <v>1278</v>
      </c>
      <c r="F325" s="268" t="s">
        <v>1309</v>
      </c>
      <c r="G325" s="268"/>
      <c r="H325" s="268" t="s">
        <v>2865</v>
      </c>
      <c r="I325" s="268" t="s">
        <v>2801</v>
      </c>
      <c r="J325" s="458">
        <v>286917.12822907313</v>
      </c>
      <c r="K325" s="458">
        <v>23909.760685756093</v>
      </c>
      <c r="L325" s="458">
        <v>11194.760870699611</v>
      </c>
      <c r="M325" s="456">
        <v>0</v>
      </c>
      <c r="N325" s="458">
        <v>119.49693843813893</v>
      </c>
      <c r="O325" s="459">
        <v>0</v>
      </c>
      <c r="P325" s="459">
        <v>5021.0497440087802</v>
      </c>
      <c r="Q325" s="458">
        <v>55400.108403681625</v>
      </c>
      <c r="R325" s="458">
        <v>51845.925070993515</v>
      </c>
      <c r="S325" s="458">
        <v>1959.7497903854783</v>
      </c>
      <c r="T325" s="457"/>
      <c r="U325" s="425"/>
      <c r="V325" s="425"/>
      <c r="W325" s="425"/>
      <c r="X325" s="425"/>
      <c r="Y325" s="425"/>
      <c r="Z325" s="425"/>
      <c r="AA325" s="425"/>
      <c r="AB325" s="425"/>
      <c r="AC325" s="425"/>
      <c r="AD325" s="425"/>
      <c r="AE325" s="425"/>
      <c r="AG325" s="425"/>
      <c r="AH325" s="425"/>
      <c r="AI325" s="425"/>
      <c r="AJ325" s="425"/>
      <c r="AK325" s="425"/>
      <c r="AL325" s="425"/>
      <c r="AM325" s="425"/>
      <c r="AN325" s="425"/>
      <c r="AO325" s="425"/>
      <c r="AP325" s="425"/>
      <c r="AQ325" s="425"/>
    </row>
    <row r="326" spans="1:43" s="270" customFormat="1" x14ac:dyDescent="0.25">
      <c r="A326" s="416">
        <v>501406</v>
      </c>
      <c r="B326" s="271">
        <v>1406</v>
      </c>
      <c r="C326" s="271">
        <v>200221</v>
      </c>
      <c r="D326" s="268" t="s">
        <v>894</v>
      </c>
      <c r="E326" s="268" t="s">
        <v>1278</v>
      </c>
      <c r="F326" s="268" t="s">
        <v>2866</v>
      </c>
      <c r="G326" s="268"/>
      <c r="H326" s="268" t="s">
        <v>2867</v>
      </c>
      <c r="I326" s="268" t="s">
        <v>2801</v>
      </c>
      <c r="J326" s="458">
        <v>286917.12822907313</v>
      </c>
      <c r="K326" s="458">
        <v>23909.760685756093</v>
      </c>
      <c r="L326" s="458">
        <v>11194.760870699611</v>
      </c>
      <c r="M326" s="456">
        <v>0</v>
      </c>
      <c r="N326" s="458">
        <v>119.49693843813893</v>
      </c>
      <c r="O326" s="459">
        <v>0</v>
      </c>
      <c r="P326" s="459">
        <v>5021.0497440087802</v>
      </c>
      <c r="Q326" s="458">
        <v>55400.108403681625</v>
      </c>
      <c r="R326" s="458">
        <v>51845.925070993515</v>
      </c>
      <c r="S326" s="458">
        <v>1959.7497903854783</v>
      </c>
      <c r="T326" s="457"/>
      <c r="U326" s="425"/>
      <c r="V326" s="425"/>
      <c r="W326" s="425"/>
      <c r="X326" s="425"/>
      <c r="Y326" s="425"/>
      <c r="Z326" s="425"/>
      <c r="AA326" s="425"/>
      <c r="AB326" s="425"/>
      <c r="AC326" s="425"/>
      <c r="AD326" s="425"/>
      <c r="AE326" s="425"/>
      <c r="AG326" s="425"/>
      <c r="AH326" s="425"/>
      <c r="AI326" s="425"/>
      <c r="AJ326" s="425"/>
      <c r="AK326" s="425"/>
      <c r="AL326" s="425"/>
      <c r="AM326" s="425"/>
      <c r="AN326" s="425"/>
      <c r="AO326" s="425"/>
      <c r="AP326" s="425"/>
      <c r="AQ326" s="425"/>
    </row>
    <row r="327" spans="1:43" s="270" customFormat="1" x14ac:dyDescent="0.25">
      <c r="A327" s="416">
        <v>501443</v>
      </c>
      <c r="B327" s="271">
        <v>1443</v>
      </c>
      <c r="C327" s="271">
        <v>200223</v>
      </c>
      <c r="D327" s="268" t="s">
        <v>894</v>
      </c>
      <c r="E327" s="268" t="s">
        <v>1290</v>
      </c>
      <c r="F327" s="268" t="s">
        <v>2868</v>
      </c>
      <c r="G327" s="268"/>
      <c r="H327" s="268" t="s">
        <v>2869</v>
      </c>
      <c r="I327" s="268" t="s">
        <v>2801</v>
      </c>
      <c r="J327" s="458">
        <v>286917.12822907313</v>
      </c>
      <c r="K327" s="458">
        <v>23909.760685756093</v>
      </c>
      <c r="L327" s="458">
        <v>11194.760870699611</v>
      </c>
      <c r="M327" s="456">
        <v>0</v>
      </c>
      <c r="N327" s="458">
        <v>119.49693843813893</v>
      </c>
      <c r="O327" s="459">
        <v>0</v>
      </c>
      <c r="P327" s="459">
        <v>5021.0497440087802</v>
      </c>
      <c r="Q327" s="458">
        <v>55400.108403681625</v>
      </c>
      <c r="R327" s="458">
        <v>51845.925070993515</v>
      </c>
      <c r="S327" s="458">
        <v>1959.7497903854783</v>
      </c>
      <c r="T327" s="457"/>
      <c r="U327" s="425"/>
      <c r="V327" s="425"/>
      <c r="W327" s="425"/>
      <c r="X327" s="425"/>
      <c r="Y327" s="425"/>
      <c r="Z327" s="425"/>
      <c r="AA327" s="425"/>
      <c r="AB327" s="425"/>
      <c r="AC327" s="425"/>
      <c r="AD327" s="425"/>
      <c r="AE327" s="425"/>
      <c r="AG327" s="425"/>
      <c r="AH327" s="425"/>
      <c r="AI327" s="425"/>
      <c r="AJ327" s="425"/>
      <c r="AK327" s="425"/>
      <c r="AL327" s="425"/>
      <c r="AM327" s="425"/>
      <c r="AN327" s="425"/>
      <c r="AO327" s="425"/>
      <c r="AP327" s="425"/>
      <c r="AQ327" s="425"/>
    </row>
    <row r="328" spans="1:43" s="270" customFormat="1" x14ac:dyDescent="0.25">
      <c r="A328" s="416">
        <v>501406</v>
      </c>
      <c r="B328" s="271">
        <v>1406</v>
      </c>
      <c r="C328" s="271">
        <v>200224</v>
      </c>
      <c r="D328" s="268" t="s">
        <v>894</v>
      </c>
      <c r="E328" s="268" t="s">
        <v>1278</v>
      </c>
      <c r="F328" s="268" t="s">
        <v>2870</v>
      </c>
      <c r="G328" s="268"/>
      <c r="H328" s="268" t="s">
        <v>2871</v>
      </c>
      <c r="I328" s="268" t="s">
        <v>2801</v>
      </c>
      <c r="J328" s="458">
        <v>286917.12822907313</v>
      </c>
      <c r="K328" s="458">
        <v>23909.760685756093</v>
      </c>
      <c r="L328" s="458">
        <v>11194.760870699611</v>
      </c>
      <c r="M328" s="456">
        <v>0</v>
      </c>
      <c r="N328" s="458">
        <v>119.49693843813893</v>
      </c>
      <c r="O328" s="459">
        <v>0</v>
      </c>
      <c r="P328" s="459">
        <v>5021.0497440087802</v>
      </c>
      <c r="Q328" s="458">
        <v>55400.108403681625</v>
      </c>
      <c r="R328" s="458">
        <v>51845.925070993515</v>
      </c>
      <c r="S328" s="458">
        <v>1959.7497903854783</v>
      </c>
      <c r="T328" s="457"/>
      <c r="U328" s="425"/>
      <c r="V328" s="425"/>
      <c r="W328" s="425"/>
      <c r="X328" s="425"/>
      <c r="Y328" s="425"/>
      <c r="Z328" s="425"/>
      <c r="AA328" s="425"/>
      <c r="AB328" s="425"/>
      <c r="AC328" s="425"/>
      <c r="AD328" s="425"/>
      <c r="AE328" s="425"/>
      <c r="AG328" s="425"/>
      <c r="AH328" s="425"/>
      <c r="AI328" s="425"/>
      <c r="AJ328" s="425"/>
      <c r="AK328" s="425"/>
      <c r="AL328" s="425"/>
      <c r="AM328" s="425"/>
      <c r="AN328" s="425"/>
      <c r="AO328" s="425"/>
      <c r="AP328" s="425"/>
      <c r="AQ328" s="425"/>
    </row>
    <row r="329" spans="1:43" s="270" customFormat="1" x14ac:dyDescent="0.25">
      <c r="A329" s="416">
        <v>501443</v>
      </c>
      <c r="B329" s="271">
        <v>1443</v>
      </c>
      <c r="C329" s="271">
        <v>200226</v>
      </c>
      <c r="D329" s="268" t="s">
        <v>894</v>
      </c>
      <c r="E329" s="268" t="s">
        <v>1278</v>
      </c>
      <c r="F329" s="268" t="s">
        <v>2872</v>
      </c>
      <c r="G329" s="268"/>
      <c r="H329" s="268" t="s">
        <v>2873</v>
      </c>
      <c r="I329" s="268" t="s">
        <v>2801</v>
      </c>
      <c r="J329" s="458">
        <v>286917.12822907313</v>
      </c>
      <c r="K329" s="458">
        <v>23909.760685756093</v>
      </c>
      <c r="L329" s="458">
        <v>11194.760870699611</v>
      </c>
      <c r="M329" s="456">
        <v>0</v>
      </c>
      <c r="N329" s="458">
        <v>119.49693843813893</v>
      </c>
      <c r="O329" s="459">
        <v>0</v>
      </c>
      <c r="P329" s="459">
        <v>5021.0497440087802</v>
      </c>
      <c r="Q329" s="458">
        <v>55400.108403681625</v>
      </c>
      <c r="R329" s="458">
        <v>51845.925070993515</v>
      </c>
      <c r="S329" s="458">
        <v>1959.7497903854783</v>
      </c>
      <c r="T329" s="457"/>
      <c r="U329" s="425"/>
      <c r="V329" s="425"/>
      <c r="W329" s="425"/>
      <c r="X329" s="425"/>
      <c r="Y329" s="425"/>
      <c r="Z329" s="425"/>
      <c r="AA329" s="425"/>
      <c r="AB329" s="425"/>
      <c r="AC329" s="425"/>
      <c r="AD329" s="425"/>
      <c r="AE329" s="425"/>
      <c r="AG329" s="425"/>
      <c r="AH329" s="425"/>
      <c r="AI329" s="425"/>
      <c r="AJ329" s="425"/>
      <c r="AK329" s="425"/>
      <c r="AL329" s="425"/>
      <c r="AM329" s="425"/>
      <c r="AN329" s="425"/>
      <c r="AO329" s="425"/>
      <c r="AP329" s="425"/>
      <c r="AQ329" s="425"/>
    </row>
    <row r="330" spans="1:43" s="270" customFormat="1" x14ac:dyDescent="0.25">
      <c r="A330" s="416">
        <v>501443</v>
      </c>
      <c r="B330" s="271">
        <v>1443</v>
      </c>
      <c r="C330" s="271">
        <v>200227</v>
      </c>
      <c r="D330" s="268" t="s">
        <v>894</v>
      </c>
      <c r="E330" s="268" t="s">
        <v>1290</v>
      </c>
      <c r="F330" s="268" t="s">
        <v>2874</v>
      </c>
      <c r="G330" s="268"/>
      <c r="H330" s="268" t="s">
        <v>2875</v>
      </c>
      <c r="I330" s="268" t="s">
        <v>2801</v>
      </c>
      <c r="J330" s="458">
        <v>286917.12822907313</v>
      </c>
      <c r="K330" s="458">
        <v>23909.760685756093</v>
      </c>
      <c r="L330" s="458">
        <v>11194.760870699611</v>
      </c>
      <c r="M330" s="456">
        <v>0</v>
      </c>
      <c r="N330" s="458">
        <v>119.49693843813893</v>
      </c>
      <c r="O330" s="459">
        <v>0</v>
      </c>
      <c r="P330" s="459">
        <v>5021.0497440087802</v>
      </c>
      <c r="Q330" s="458">
        <v>55400.108403681625</v>
      </c>
      <c r="R330" s="458">
        <v>51845.925070993515</v>
      </c>
      <c r="S330" s="458">
        <v>1959.7497903854783</v>
      </c>
      <c r="T330" s="457"/>
      <c r="U330" s="425"/>
      <c r="V330" s="425"/>
      <c r="W330" s="425"/>
      <c r="X330" s="425"/>
      <c r="Y330" s="425"/>
      <c r="Z330" s="425"/>
      <c r="AA330" s="425"/>
      <c r="AB330" s="425"/>
      <c r="AC330" s="425"/>
      <c r="AD330" s="425"/>
      <c r="AE330" s="425"/>
      <c r="AG330" s="425"/>
      <c r="AH330" s="425"/>
      <c r="AI330" s="425"/>
      <c r="AJ330" s="425"/>
      <c r="AK330" s="425"/>
      <c r="AL330" s="425"/>
      <c r="AM330" s="425"/>
      <c r="AN330" s="425"/>
      <c r="AO330" s="425"/>
      <c r="AP330" s="425"/>
      <c r="AQ330" s="425"/>
    </row>
    <row r="331" spans="1:43" s="270" customFormat="1" x14ac:dyDescent="0.25">
      <c r="A331" s="416">
        <v>501443</v>
      </c>
      <c r="B331" s="271">
        <v>1443</v>
      </c>
      <c r="C331" s="271">
        <v>200230</v>
      </c>
      <c r="D331" s="268" t="s">
        <v>894</v>
      </c>
      <c r="E331" s="268" t="s">
        <v>1290</v>
      </c>
      <c r="F331" s="268" t="s">
        <v>2484</v>
      </c>
      <c r="G331" s="268"/>
      <c r="H331" s="268" t="s">
        <v>2876</v>
      </c>
      <c r="I331" s="268" t="s">
        <v>2801</v>
      </c>
      <c r="J331" s="458">
        <v>286917.12822907313</v>
      </c>
      <c r="K331" s="458">
        <v>23909.760685756093</v>
      </c>
      <c r="L331" s="458">
        <v>11194.760870699611</v>
      </c>
      <c r="M331" s="456">
        <v>0</v>
      </c>
      <c r="N331" s="458">
        <v>119.49693843813893</v>
      </c>
      <c r="O331" s="459">
        <v>0</v>
      </c>
      <c r="P331" s="459">
        <v>5021.0497440087802</v>
      </c>
      <c r="Q331" s="458">
        <v>55400.108403681625</v>
      </c>
      <c r="R331" s="458">
        <v>51845.925070993515</v>
      </c>
      <c r="S331" s="458">
        <v>1959.7497903854783</v>
      </c>
      <c r="T331" s="457"/>
      <c r="U331" s="425"/>
      <c r="V331" s="425"/>
      <c r="W331" s="425"/>
      <c r="X331" s="425"/>
      <c r="Y331" s="425"/>
      <c r="Z331" s="425"/>
      <c r="AA331" s="425"/>
      <c r="AB331" s="425"/>
      <c r="AC331" s="425"/>
      <c r="AD331" s="425"/>
      <c r="AE331" s="425"/>
      <c r="AG331" s="425"/>
      <c r="AH331" s="425"/>
      <c r="AI331" s="425"/>
      <c r="AJ331" s="425"/>
      <c r="AK331" s="425"/>
      <c r="AL331" s="425"/>
      <c r="AM331" s="425"/>
      <c r="AN331" s="425"/>
      <c r="AO331" s="425"/>
      <c r="AP331" s="425"/>
      <c r="AQ331" s="425"/>
    </row>
    <row r="332" spans="1:43" s="270" customFormat="1" x14ac:dyDescent="0.25">
      <c r="A332" s="416">
        <v>501406</v>
      </c>
      <c r="B332" s="271">
        <v>1406</v>
      </c>
      <c r="C332" s="271">
        <v>200233</v>
      </c>
      <c r="D332" s="268" t="s">
        <v>894</v>
      </c>
      <c r="E332" s="268" t="s">
        <v>1290</v>
      </c>
      <c r="F332" s="268" t="s">
        <v>2217</v>
      </c>
      <c r="G332" s="268"/>
      <c r="H332" s="268" t="s">
        <v>2877</v>
      </c>
      <c r="I332" s="268" t="s">
        <v>2801</v>
      </c>
      <c r="J332" s="458">
        <v>286917.12822907313</v>
      </c>
      <c r="K332" s="458">
        <v>23909.760685756093</v>
      </c>
      <c r="L332" s="458">
        <v>11194.760870699611</v>
      </c>
      <c r="M332" s="456">
        <v>0</v>
      </c>
      <c r="N332" s="458">
        <v>119.49693843813893</v>
      </c>
      <c r="O332" s="459">
        <v>0</v>
      </c>
      <c r="P332" s="459">
        <v>5021.0497440087802</v>
      </c>
      <c r="Q332" s="458">
        <v>55400.108403681625</v>
      </c>
      <c r="R332" s="458">
        <v>51845.925070993515</v>
      </c>
      <c r="S332" s="458">
        <v>1959.7497903854783</v>
      </c>
      <c r="T332" s="457"/>
      <c r="U332" s="425"/>
      <c r="V332" s="425"/>
      <c r="W332" s="425"/>
      <c r="X332" s="425"/>
      <c r="Y332" s="425"/>
      <c r="Z332" s="425"/>
      <c r="AA332" s="425"/>
      <c r="AB332" s="425"/>
      <c r="AC332" s="425"/>
      <c r="AD332" s="425"/>
      <c r="AE332" s="425"/>
      <c r="AG332" s="425"/>
      <c r="AH332" s="425"/>
      <c r="AI332" s="425"/>
      <c r="AJ332" s="425"/>
      <c r="AK332" s="425"/>
      <c r="AL332" s="425"/>
      <c r="AM332" s="425"/>
      <c r="AN332" s="425"/>
      <c r="AO332" s="425"/>
      <c r="AP332" s="425"/>
      <c r="AQ332" s="425"/>
    </row>
    <row r="333" spans="1:43" s="270" customFormat="1" x14ac:dyDescent="0.25">
      <c r="A333" s="271">
        <v>501443</v>
      </c>
      <c r="B333" s="271">
        <v>1443</v>
      </c>
      <c r="C333" s="271">
        <v>30070</v>
      </c>
      <c r="D333" s="268" t="s">
        <v>894</v>
      </c>
      <c r="E333" s="268" t="s">
        <v>1290</v>
      </c>
      <c r="F333" s="268" t="s">
        <v>2878</v>
      </c>
      <c r="G333" s="268">
        <v>10</v>
      </c>
      <c r="H333" s="268" t="s">
        <v>2664</v>
      </c>
      <c r="I333" s="268" t="s">
        <v>2879</v>
      </c>
      <c r="J333" s="458">
        <v>283716.71253988502</v>
      </c>
      <c r="K333" s="458">
        <v>23643.059378323749</v>
      </c>
      <c r="L333" s="458">
        <v>11194.760870699611</v>
      </c>
      <c r="M333" s="456">
        <v>0</v>
      </c>
      <c r="N333" s="458">
        <v>119.49693843813893</v>
      </c>
      <c r="O333" s="459">
        <v>0</v>
      </c>
      <c r="P333" s="459">
        <v>4965.042469447988</v>
      </c>
      <c r="Q333" s="458">
        <v>55400.108403681625</v>
      </c>
      <c r="R333" s="458">
        <v>51267.609955957218</v>
      </c>
      <c r="S333" s="458">
        <v>1959.7497903854783</v>
      </c>
      <c r="T333" s="457"/>
      <c r="U333" s="425"/>
      <c r="V333" s="425"/>
      <c r="W333" s="425"/>
      <c r="X333" s="425"/>
      <c r="Y333" s="425"/>
      <c r="Z333" s="425"/>
      <c r="AA333" s="425"/>
      <c r="AB333" s="425"/>
      <c r="AC333" s="425"/>
      <c r="AD333" s="425"/>
      <c r="AE333" s="425"/>
      <c r="AG333" s="425"/>
      <c r="AH333" s="425"/>
      <c r="AI333" s="425"/>
      <c r="AJ333" s="425"/>
      <c r="AK333" s="425"/>
      <c r="AL333" s="425"/>
      <c r="AM333" s="425"/>
      <c r="AN333" s="425"/>
      <c r="AO333" s="425"/>
      <c r="AP333" s="425"/>
      <c r="AQ333" s="425"/>
    </row>
    <row r="334" spans="1:43" s="270" customFormat="1" x14ac:dyDescent="0.25">
      <c r="A334" s="271">
        <v>501445</v>
      </c>
      <c r="B334" s="271">
        <v>1451</v>
      </c>
      <c r="C334" s="271">
        <v>85630</v>
      </c>
      <c r="D334" s="268" t="s">
        <v>894</v>
      </c>
      <c r="E334" s="268" t="s">
        <v>1278</v>
      </c>
      <c r="F334" s="268" t="s">
        <v>2880</v>
      </c>
      <c r="G334" s="268">
        <v>10</v>
      </c>
      <c r="H334" s="268" t="s">
        <v>2881</v>
      </c>
      <c r="I334" s="268" t="s">
        <v>2848</v>
      </c>
      <c r="J334" s="458">
        <v>283716.71253988502</v>
      </c>
      <c r="K334" s="458">
        <v>23643.059378323749</v>
      </c>
      <c r="L334" s="458">
        <v>11194.760870699611</v>
      </c>
      <c r="M334" s="456">
        <v>0</v>
      </c>
      <c r="N334" s="458">
        <v>119.49693843813893</v>
      </c>
      <c r="O334" s="459">
        <v>0</v>
      </c>
      <c r="P334" s="459">
        <v>4965.042469447988</v>
      </c>
      <c r="Q334" s="458">
        <v>55400.108403681625</v>
      </c>
      <c r="R334" s="458">
        <v>51267.609955957218</v>
      </c>
      <c r="S334" s="458">
        <v>1959.7497903854783</v>
      </c>
      <c r="T334" s="457"/>
      <c r="U334" s="425"/>
      <c r="V334" s="425"/>
      <c r="W334" s="425"/>
      <c r="X334" s="425"/>
      <c r="Y334" s="425"/>
      <c r="Z334" s="425"/>
      <c r="AA334" s="425"/>
      <c r="AB334" s="425"/>
      <c r="AC334" s="425"/>
      <c r="AD334" s="425"/>
      <c r="AE334" s="425"/>
      <c r="AG334" s="425"/>
      <c r="AH334" s="425"/>
      <c r="AI334" s="425"/>
      <c r="AJ334" s="425"/>
      <c r="AK334" s="425"/>
      <c r="AL334" s="425"/>
      <c r="AM334" s="425"/>
      <c r="AN334" s="425"/>
      <c r="AO334" s="425"/>
      <c r="AP334" s="425"/>
      <c r="AQ334" s="425"/>
    </row>
    <row r="335" spans="1:43" x14ac:dyDescent="0.25">
      <c r="A335" s="276">
        <v>501444</v>
      </c>
      <c r="B335" s="276">
        <v>1444</v>
      </c>
      <c r="C335" s="276">
        <v>23427</v>
      </c>
      <c r="D335" s="268" t="s">
        <v>894</v>
      </c>
      <c r="E335" s="268" t="s">
        <v>1290</v>
      </c>
      <c r="F335" s="268" t="s">
        <v>2497</v>
      </c>
      <c r="G335" s="268">
        <v>10</v>
      </c>
      <c r="H335" s="268" t="s">
        <v>2882</v>
      </c>
      <c r="I335" s="268" t="s">
        <v>2883</v>
      </c>
      <c r="J335" s="456">
        <v>277122.2518631136</v>
      </c>
      <c r="K335" s="459">
        <v>23093.520988592802</v>
      </c>
      <c r="L335" s="458">
        <v>11194.760870699611</v>
      </c>
      <c r="M335" s="456">
        <v>5532.2656684323565</v>
      </c>
      <c r="N335" s="459">
        <v>119.49693843813893</v>
      </c>
      <c r="O335" s="459">
        <v>0</v>
      </c>
      <c r="P335" s="459">
        <v>4849.639407604489</v>
      </c>
      <c r="Q335" s="458">
        <v>55400.108403681625</v>
      </c>
      <c r="R335" s="459">
        <v>50075.99091166463</v>
      </c>
      <c r="S335" s="459">
        <v>1959.7497903854783</v>
      </c>
      <c r="T335" s="457"/>
      <c r="U335" s="425"/>
      <c r="V335" s="425"/>
      <c r="W335" s="425"/>
      <c r="X335" s="425"/>
      <c r="Y335" s="425"/>
      <c r="Z335" s="425"/>
      <c r="AA335" s="425"/>
      <c r="AB335" s="425"/>
      <c r="AC335" s="425"/>
      <c r="AD335" s="425"/>
      <c r="AE335" s="425"/>
      <c r="AF335" s="424"/>
      <c r="AG335" s="425"/>
      <c r="AH335" s="425"/>
      <c r="AI335" s="425"/>
      <c r="AJ335" s="425"/>
      <c r="AK335" s="425"/>
      <c r="AL335" s="425"/>
      <c r="AM335" s="425"/>
      <c r="AN335" s="425"/>
      <c r="AO335" s="425"/>
      <c r="AP335" s="425"/>
      <c r="AQ335" s="425"/>
    </row>
    <row r="336" spans="1:43" s="270" customFormat="1" x14ac:dyDescent="0.25">
      <c r="A336" s="271">
        <v>501443</v>
      </c>
      <c r="B336" s="271">
        <v>1443</v>
      </c>
      <c r="C336" s="271">
        <v>34720</v>
      </c>
      <c r="D336" s="268" t="s">
        <v>894</v>
      </c>
      <c r="E336" s="268" t="s">
        <v>1290</v>
      </c>
      <c r="F336" s="268" t="s">
        <v>2878</v>
      </c>
      <c r="G336" s="268">
        <v>10</v>
      </c>
      <c r="H336" s="268" t="s">
        <v>2884</v>
      </c>
      <c r="I336" s="268" t="s">
        <v>2885</v>
      </c>
      <c r="J336" s="458">
        <v>277122.2518631136</v>
      </c>
      <c r="K336" s="458">
        <v>23093.520988592802</v>
      </c>
      <c r="L336" s="458">
        <v>11194.760870699611</v>
      </c>
      <c r="M336" s="456">
        <v>0</v>
      </c>
      <c r="N336" s="458">
        <v>119.49693843813893</v>
      </c>
      <c r="O336" s="459">
        <v>0</v>
      </c>
      <c r="P336" s="459">
        <v>4849.639407604489</v>
      </c>
      <c r="Q336" s="458">
        <v>55400.108403681625</v>
      </c>
      <c r="R336" s="458">
        <v>50075.99091166463</v>
      </c>
      <c r="S336" s="458">
        <v>1959.7497903854783</v>
      </c>
      <c r="T336" s="457"/>
      <c r="U336" s="425"/>
      <c r="V336" s="425"/>
      <c r="W336" s="425"/>
      <c r="X336" s="425"/>
      <c r="Y336" s="425"/>
      <c r="Z336" s="425"/>
      <c r="AA336" s="425"/>
      <c r="AB336" s="425"/>
      <c r="AC336" s="425"/>
      <c r="AD336" s="425"/>
      <c r="AE336" s="425"/>
      <c r="AG336" s="425"/>
      <c r="AH336" s="425"/>
      <c r="AI336" s="425"/>
      <c r="AJ336" s="425"/>
      <c r="AK336" s="425"/>
      <c r="AL336" s="425"/>
      <c r="AM336" s="425"/>
      <c r="AN336" s="425"/>
      <c r="AO336" s="425"/>
      <c r="AP336" s="425"/>
      <c r="AQ336" s="425"/>
    </row>
    <row r="337" spans="1:43" s="270" customFormat="1" x14ac:dyDescent="0.25">
      <c r="A337" s="271">
        <v>501443</v>
      </c>
      <c r="B337" s="271">
        <v>1443</v>
      </c>
      <c r="C337" s="271">
        <v>58900</v>
      </c>
      <c r="D337" s="268" t="s">
        <v>894</v>
      </c>
      <c r="E337" s="268" t="s">
        <v>1290</v>
      </c>
      <c r="F337" s="268" t="s">
        <v>2886</v>
      </c>
      <c r="G337" s="268">
        <v>10</v>
      </c>
      <c r="H337" s="268" t="s">
        <v>2887</v>
      </c>
      <c r="I337" s="268" t="s">
        <v>2888</v>
      </c>
      <c r="J337" s="458">
        <v>277122.2518631136</v>
      </c>
      <c r="K337" s="458">
        <v>23093.520988592802</v>
      </c>
      <c r="L337" s="458">
        <v>11194.760870699611</v>
      </c>
      <c r="M337" s="456">
        <v>0</v>
      </c>
      <c r="N337" s="458">
        <v>119.49693843813893</v>
      </c>
      <c r="O337" s="459">
        <v>0</v>
      </c>
      <c r="P337" s="459">
        <v>4849.639407604489</v>
      </c>
      <c r="Q337" s="458">
        <v>55400.108403681625</v>
      </c>
      <c r="R337" s="458">
        <v>50075.99091166463</v>
      </c>
      <c r="S337" s="458">
        <v>1959.7497903854783</v>
      </c>
      <c r="T337" s="457"/>
      <c r="U337" s="425"/>
      <c r="V337" s="425"/>
      <c r="W337" s="425"/>
      <c r="X337" s="425"/>
      <c r="Y337" s="425"/>
      <c r="Z337" s="425"/>
      <c r="AA337" s="425"/>
      <c r="AB337" s="425"/>
      <c r="AC337" s="425"/>
      <c r="AD337" s="425"/>
      <c r="AE337" s="425"/>
      <c r="AG337" s="425"/>
      <c r="AH337" s="425"/>
      <c r="AI337" s="425"/>
      <c r="AJ337" s="425"/>
      <c r="AK337" s="425"/>
      <c r="AL337" s="425"/>
      <c r="AM337" s="425"/>
      <c r="AN337" s="425"/>
      <c r="AO337" s="425"/>
      <c r="AP337" s="425"/>
      <c r="AQ337" s="425"/>
    </row>
    <row r="338" spans="1:43" s="270" customFormat="1" x14ac:dyDescent="0.25">
      <c r="A338" s="276">
        <v>501444</v>
      </c>
      <c r="B338" s="276">
        <v>1444</v>
      </c>
      <c r="C338" s="276">
        <v>33954</v>
      </c>
      <c r="D338" s="268" t="s">
        <v>894</v>
      </c>
      <c r="E338" s="268" t="s">
        <v>1290</v>
      </c>
      <c r="F338" s="268" t="s">
        <v>1306</v>
      </c>
      <c r="G338" s="268">
        <v>10</v>
      </c>
      <c r="H338" s="268" t="s">
        <v>2889</v>
      </c>
      <c r="I338" s="268" t="s">
        <v>2890</v>
      </c>
      <c r="J338" s="456">
        <v>270782.27540709014</v>
      </c>
      <c r="K338" s="459">
        <v>22565.189617257511</v>
      </c>
      <c r="L338" s="458">
        <v>11194.760870699611</v>
      </c>
      <c r="M338" s="456">
        <v>5532.2656684323565</v>
      </c>
      <c r="N338" s="459">
        <v>119.49693843813893</v>
      </c>
      <c r="O338" s="459">
        <v>0</v>
      </c>
      <c r="P338" s="459">
        <v>4738.6898196240782</v>
      </c>
      <c r="Q338" s="458">
        <v>55400.108403681625</v>
      </c>
      <c r="R338" s="459">
        <v>48930.357166061185</v>
      </c>
      <c r="S338" s="459">
        <v>1959.7497903854783</v>
      </c>
      <c r="T338" s="457"/>
      <c r="U338" s="425"/>
      <c r="V338" s="425"/>
      <c r="W338" s="425"/>
      <c r="X338" s="425"/>
      <c r="Y338" s="425"/>
      <c r="Z338" s="425"/>
      <c r="AA338" s="425"/>
      <c r="AB338" s="425"/>
      <c r="AC338" s="425"/>
      <c r="AD338" s="425"/>
      <c r="AE338" s="425"/>
      <c r="AG338" s="425"/>
      <c r="AH338" s="425"/>
      <c r="AI338" s="425"/>
      <c r="AJ338" s="425"/>
      <c r="AK338" s="425"/>
      <c r="AL338" s="425"/>
      <c r="AM338" s="425"/>
      <c r="AN338" s="425"/>
      <c r="AO338" s="425"/>
      <c r="AP338" s="425"/>
      <c r="AQ338" s="425"/>
    </row>
    <row r="339" spans="1:43" s="270" customFormat="1" x14ac:dyDescent="0.25">
      <c r="A339" s="271">
        <v>501406</v>
      </c>
      <c r="B339" s="271">
        <v>1406</v>
      </c>
      <c r="C339" s="271">
        <v>35897</v>
      </c>
      <c r="D339" s="268" t="s">
        <v>894</v>
      </c>
      <c r="E339" s="268" t="s">
        <v>1278</v>
      </c>
      <c r="F339" s="268" t="s">
        <v>2502</v>
      </c>
      <c r="G339" s="268">
        <v>10</v>
      </c>
      <c r="H339" s="268" t="s">
        <v>2891</v>
      </c>
      <c r="I339" s="268" t="s">
        <v>2844</v>
      </c>
      <c r="J339" s="458">
        <v>270782.27540709014</v>
      </c>
      <c r="K339" s="458">
        <v>22565.189617257511</v>
      </c>
      <c r="L339" s="458">
        <v>11194.760870699611</v>
      </c>
      <c r="M339" s="456">
        <v>0</v>
      </c>
      <c r="N339" s="458">
        <v>119.49693843813893</v>
      </c>
      <c r="O339" s="459">
        <v>0</v>
      </c>
      <c r="P339" s="459">
        <v>4738.6898196240782</v>
      </c>
      <c r="Q339" s="458">
        <v>55400.108403681625</v>
      </c>
      <c r="R339" s="458">
        <v>48930.357166061185</v>
      </c>
      <c r="S339" s="458">
        <v>1959.7497903854783</v>
      </c>
      <c r="T339" s="457"/>
      <c r="U339" s="425"/>
      <c r="V339" s="425"/>
      <c r="W339" s="425"/>
      <c r="X339" s="425"/>
      <c r="Y339" s="425"/>
      <c r="Z339" s="425"/>
      <c r="AA339" s="425"/>
      <c r="AB339" s="425"/>
      <c r="AC339" s="425"/>
      <c r="AD339" s="425"/>
      <c r="AE339" s="425"/>
      <c r="AG339" s="425"/>
      <c r="AH339" s="425"/>
      <c r="AI339" s="425"/>
      <c r="AJ339" s="425"/>
      <c r="AK339" s="425"/>
      <c r="AL339" s="425"/>
      <c r="AM339" s="425"/>
      <c r="AN339" s="425"/>
      <c r="AO339" s="425"/>
      <c r="AP339" s="425"/>
      <c r="AQ339" s="425"/>
    </row>
    <row r="340" spans="1:43" s="270" customFormat="1" x14ac:dyDescent="0.25">
      <c r="A340" s="271">
        <v>501443</v>
      </c>
      <c r="B340" s="271">
        <v>1443</v>
      </c>
      <c r="C340" s="271">
        <v>58586</v>
      </c>
      <c r="D340" s="268" t="s">
        <v>894</v>
      </c>
      <c r="E340" s="268" t="s">
        <v>1290</v>
      </c>
      <c r="F340" s="268" t="s">
        <v>2768</v>
      </c>
      <c r="G340" s="268">
        <v>10</v>
      </c>
      <c r="H340" s="268" t="s">
        <v>2892</v>
      </c>
      <c r="I340" s="268" t="s">
        <v>2890</v>
      </c>
      <c r="J340" s="458">
        <v>270782.27540709014</v>
      </c>
      <c r="K340" s="458">
        <v>22565.189617257511</v>
      </c>
      <c r="L340" s="458">
        <v>11194.760870699611</v>
      </c>
      <c r="M340" s="456">
        <v>0</v>
      </c>
      <c r="N340" s="458">
        <v>119.49693843813893</v>
      </c>
      <c r="O340" s="459">
        <v>0</v>
      </c>
      <c r="P340" s="459">
        <v>4738.6898196240782</v>
      </c>
      <c r="Q340" s="458">
        <v>55400.108403681625</v>
      </c>
      <c r="R340" s="458">
        <v>48930.357166061185</v>
      </c>
      <c r="S340" s="458">
        <v>1959.7497903854783</v>
      </c>
      <c r="T340" s="457"/>
      <c r="U340" s="425"/>
      <c r="V340" s="425"/>
      <c r="W340" s="425"/>
      <c r="X340" s="425"/>
      <c r="Y340" s="425"/>
      <c r="Z340" s="425"/>
      <c r="AA340" s="425"/>
      <c r="AB340" s="425"/>
      <c r="AC340" s="425"/>
      <c r="AD340" s="425"/>
      <c r="AE340" s="425"/>
      <c r="AG340" s="425"/>
      <c r="AH340" s="425"/>
      <c r="AI340" s="425"/>
      <c r="AJ340" s="425"/>
      <c r="AK340" s="425"/>
      <c r="AL340" s="425"/>
      <c r="AM340" s="425"/>
      <c r="AN340" s="425"/>
      <c r="AO340" s="425"/>
      <c r="AP340" s="425"/>
      <c r="AQ340" s="425"/>
    </row>
    <row r="341" spans="1:43" s="270" customFormat="1" x14ac:dyDescent="0.25">
      <c r="A341" s="271">
        <v>501406</v>
      </c>
      <c r="B341" s="271">
        <v>1406</v>
      </c>
      <c r="C341" s="271">
        <v>59543</v>
      </c>
      <c r="D341" s="268" t="s">
        <v>894</v>
      </c>
      <c r="E341" s="268" t="s">
        <v>1278</v>
      </c>
      <c r="F341" s="268" t="s">
        <v>2893</v>
      </c>
      <c r="G341" s="268">
        <v>10</v>
      </c>
      <c r="H341" s="268" t="s">
        <v>2894</v>
      </c>
      <c r="I341" s="268" t="s">
        <v>2848</v>
      </c>
      <c r="J341" s="458">
        <v>270782.27540709014</v>
      </c>
      <c r="K341" s="458">
        <v>22565.189617257511</v>
      </c>
      <c r="L341" s="458">
        <v>11194.760870699611</v>
      </c>
      <c r="M341" s="456">
        <v>0</v>
      </c>
      <c r="N341" s="458">
        <v>119.49693843813893</v>
      </c>
      <c r="O341" s="459">
        <v>0</v>
      </c>
      <c r="P341" s="459">
        <v>4738.6898196240782</v>
      </c>
      <c r="Q341" s="458">
        <v>55400.108403681625</v>
      </c>
      <c r="R341" s="458">
        <v>48930.357166061185</v>
      </c>
      <c r="S341" s="458">
        <v>1959.7497903854783</v>
      </c>
      <c r="T341" s="457"/>
      <c r="U341" s="425"/>
      <c r="V341" s="425"/>
      <c r="W341" s="425"/>
      <c r="X341" s="425"/>
      <c r="Y341" s="425"/>
      <c r="Z341" s="425"/>
      <c r="AA341" s="425"/>
      <c r="AB341" s="425"/>
      <c r="AC341" s="425"/>
      <c r="AD341" s="425"/>
      <c r="AE341" s="425"/>
      <c r="AG341" s="425"/>
      <c r="AH341" s="425"/>
      <c r="AI341" s="425"/>
      <c r="AJ341" s="425"/>
      <c r="AK341" s="425"/>
      <c r="AL341" s="425"/>
      <c r="AM341" s="425"/>
      <c r="AN341" s="425"/>
      <c r="AO341" s="425"/>
      <c r="AP341" s="425"/>
      <c r="AQ341" s="425"/>
    </row>
    <row r="342" spans="1:43" s="270" customFormat="1" x14ac:dyDescent="0.25">
      <c r="A342" s="271">
        <v>501444</v>
      </c>
      <c r="B342" s="271">
        <v>1444</v>
      </c>
      <c r="C342" s="271">
        <v>83690</v>
      </c>
      <c r="D342" s="268" t="s">
        <v>894</v>
      </c>
      <c r="E342" s="268" t="s">
        <v>1278</v>
      </c>
      <c r="F342" s="268" t="s">
        <v>2895</v>
      </c>
      <c r="G342" s="268">
        <v>10</v>
      </c>
      <c r="H342" s="268" t="s">
        <v>2896</v>
      </c>
      <c r="I342" s="268" t="s">
        <v>2848</v>
      </c>
      <c r="J342" s="458">
        <v>270782.27540709014</v>
      </c>
      <c r="K342" s="458">
        <v>22565.189617257511</v>
      </c>
      <c r="L342" s="458">
        <v>11194.760870699611</v>
      </c>
      <c r="M342" s="456">
        <v>0</v>
      </c>
      <c r="N342" s="458">
        <v>119.49693843813893</v>
      </c>
      <c r="O342" s="459">
        <v>0</v>
      </c>
      <c r="P342" s="459">
        <v>4738.6898196240782</v>
      </c>
      <c r="Q342" s="458">
        <v>55400.108403681625</v>
      </c>
      <c r="R342" s="458">
        <v>48930.357166061185</v>
      </c>
      <c r="S342" s="458">
        <v>1959.7497903854783</v>
      </c>
      <c r="T342" s="457"/>
      <c r="U342" s="425"/>
      <c r="V342" s="425"/>
      <c r="W342" s="425"/>
      <c r="X342" s="425"/>
      <c r="Y342" s="425"/>
      <c r="Z342" s="425"/>
      <c r="AA342" s="425"/>
      <c r="AB342" s="425"/>
      <c r="AC342" s="425"/>
      <c r="AD342" s="425"/>
      <c r="AE342" s="425"/>
      <c r="AG342" s="425"/>
      <c r="AH342" s="425"/>
      <c r="AI342" s="425"/>
      <c r="AJ342" s="425"/>
      <c r="AK342" s="425"/>
      <c r="AL342" s="425"/>
      <c r="AM342" s="425"/>
      <c r="AN342" s="425"/>
      <c r="AO342" s="425"/>
      <c r="AP342" s="425"/>
      <c r="AQ342" s="425"/>
    </row>
    <row r="343" spans="1:43" s="270" customFormat="1" x14ac:dyDescent="0.25">
      <c r="A343" s="271">
        <v>501443</v>
      </c>
      <c r="B343" s="271">
        <v>1443</v>
      </c>
      <c r="C343" s="271">
        <v>27601</v>
      </c>
      <c r="D343" s="268" t="s">
        <v>894</v>
      </c>
      <c r="E343" s="268" t="s">
        <v>1290</v>
      </c>
      <c r="F343" s="268" t="s">
        <v>2897</v>
      </c>
      <c r="G343" s="268">
        <v>10</v>
      </c>
      <c r="H343" s="268" t="s">
        <v>2898</v>
      </c>
      <c r="I343" s="268" t="s">
        <v>2787</v>
      </c>
      <c r="J343" s="458">
        <v>264575.07332710904</v>
      </c>
      <c r="K343" s="458">
        <v>22047.922777259086</v>
      </c>
      <c r="L343" s="458">
        <v>11194.760870699611</v>
      </c>
      <c r="M343" s="456">
        <v>0</v>
      </c>
      <c r="N343" s="458">
        <v>119.49693843813893</v>
      </c>
      <c r="O343" s="459">
        <v>0</v>
      </c>
      <c r="P343" s="459">
        <v>4630.0637832244083</v>
      </c>
      <c r="Q343" s="458">
        <v>55400.108403681625</v>
      </c>
      <c r="R343" s="458">
        <v>47808.715750208605</v>
      </c>
      <c r="S343" s="458">
        <v>1959.7497903854783</v>
      </c>
      <c r="T343" s="457"/>
      <c r="U343" s="425"/>
      <c r="V343" s="425"/>
      <c r="W343" s="425"/>
      <c r="X343" s="425"/>
      <c r="Y343" s="425"/>
      <c r="Z343" s="425"/>
      <c r="AA343" s="425"/>
      <c r="AB343" s="425"/>
      <c r="AC343" s="425"/>
      <c r="AD343" s="425"/>
      <c r="AE343" s="425"/>
      <c r="AG343" s="425"/>
      <c r="AH343" s="425"/>
      <c r="AI343" s="425"/>
      <c r="AJ343" s="425"/>
      <c r="AK343" s="425"/>
      <c r="AL343" s="425"/>
      <c r="AM343" s="425"/>
      <c r="AN343" s="425"/>
      <c r="AO343" s="425"/>
      <c r="AP343" s="425"/>
      <c r="AQ343" s="425"/>
    </row>
    <row r="344" spans="1:43" s="270" customFormat="1" x14ac:dyDescent="0.25">
      <c r="A344" s="271">
        <v>501443</v>
      </c>
      <c r="B344" s="271">
        <v>1443</v>
      </c>
      <c r="C344" s="271">
        <v>44383</v>
      </c>
      <c r="D344" s="268" t="s">
        <v>894</v>
      </c>
      <c r="E344" s="268" t="s">
        <v>1290</v>
      </c>
      <c r="F344" s="268" t="s">
        <v>2838</v>
      </c>
      <c r="G344" s="268">
        <v>10</v>
      </c>
      <c r="H344" s="268" t="s">
        <v>2899</v>
      </c>
      <c r="I344" s="268" t="s">
        <v>2883</v>
      </c>
      <c r="J344" s="458">
        <v>264575.07332710904</v>
      </c>
      <c r="K344" s="458">
        <v>22047.922777259086</v>
      </c>
      <c r="L344" s="458">
        <v>11194.760870699611</v>
      </c>
      <c r="M344" s="456">
        <v>0</v>
      </c>
      <c r="N344" s="458">
        <v>119.49693843813893</v>
      </c>
      <c r="O344" s="459">
        <v>0</v>
      </c>
      <c r="P344" s="459">
        <v>4630.0637832244083</v>
      </c>
      <c r="Q344" s="458">
        <v>55400.108403681625</v>
      </c>
      <c r="R344" s="458">
        <v>47808.715750208605</v>
      </c>
      <c r="S344" s="458">
        <v>1959.7497903854783</v>
      </c>
      <c r="T344" s="457"/>
      <c r="U344" s="425"/>
      <c r="V344" s="425"/>
      <c r="W344" s="425"/>
      <c r="X344" s="425"/>
      <c r="Y344" s="425"/>
      <c r="Z344" s="425"/>
      <c r="AA344" s="425"/>
      <c r="AB344" s="425"/>
      <c r="AC344" s="425"/>
      <c r="AD344" s="425"/>
      <c r="AE344" s="425"/>
      <c r="AG344" s="425"/>
      <c r="AH344" s="425"/>
      <c r="AI344" s="425"/>
      <c r="AJ344" s="425"/>
      <c r="AK344" s="425"/>
      <c r="AL344" s="425"/>
      <c r="AM344" s="425"/>
      <c r="AN344" s="425"/>
      <c r="AO344" s="425"/>
      <c r="AP344" s="425"/>
      <c r="AQ344" s="425"/>
    </row>
    <row r="345" spans="1:43" s="270" customFormat="1" x14ac:dyDescent="0.25">
      <c r="A345" s="271">
        <v>501443</v>
      </c>
      <c r="B345" s="271">
        <v>1443</v>
      </c>
      <c r="C345" s="271">
        <v>58366</v>
      </c>
      <c r="D345" s="268" t="s">
        <v>894</v>
      </c>
      <c r="E345" s="268" t="s">
        <v>1290</v>
      </c>
      <c r="F345" s="268" t="s">
        <v>2900</v>
      </c>
      <c r="G345" s="268">
        <v>10</v>
      </c>
      <c r="H345" s="268" t="s">
        <v>2901</v>
      </c>
      <c r="I345" s="268" t="s">
        <v>2902</v>
      </c>
      <c r="J345" s="458">
        <v>264575.07332710904</v>
      </c>
      <c r="K345" s="458">
        <v>22047.922777259086</v>
      </c>
      <c r="L345" s="458">
        <v>11194.760870699611</v>
      </c>
      <c r="M345" s="456">
        <v>0</v>
      </c>
      <c r="N345" s="458">
        <v>119.49693843813893</v>
      </c>
      <c r="O345" s="459">
        <v>0</v>
      </c>
      <c r="P345" s="459">
        <v>4630.0637832244083</v>
      </c>
      <c r="Q345" s="458">
        <v>55400.108403681625</v>
      </c>
      <c r="R345" s="458">
        <v>47808.715750208605</v>
      </c>
      <c r="S345" s="458">
        <v>1959.7497903854783</v>
      </c>
      <c r="T345" s="453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G345" s="425"/>
      <c r="AH345" s="425"/>
      <c r="AI345" s="425"/>
      <c r="AJ345" s="425"/>
      <c r="AK345" s="425"/>
      <c r="AL345" s="425"/>
      <c r="AM345" s="425"/>
      <c r="AN345" s="425"/>
      <c r="AO345" s="425"/>
      <c r="AP345" s="425"/>
      <c r="AQ345" s="425"/>
    </row>
    <row r="346" spans="1:43" s="270" customFormat="1" x14ac:dyDescent="0.25">
      <c r="A346" s="271">
        <v>501443</v>
      </c>
      <c r="B346" s="271">
        <v>1443</v>
      </c>
      <c r="C346" s="271">
        <v>85711</v>
      </c>
      <c r="D346" s="268" t="s">
        <v>894</v>
      </c>
      <c r="E346" s="268" t="s">
        <v>1290</v>
      </c>
      <c r="F346" s="268" t="s">
        <v>2903</v>
      </c>
      <c r="G346" s="268">
        <v>10</v>
      </c>
      <c r="H346" s="268" t="s">
        <v>2904</v>
      </c>
      <c r="I346" s="268" t="s">
        <v>2883</v>
      </c>
      <c r="J346" s="458">
        <v>264575.07332710904</v>
      </c>
      <c r="K346" s="458">
        <v>22047.922777259086</v>
      </c>
      <c r="L346" s="458">
        <v>11194.760870699611</v>
      </c>
      <c r="M346" s="456">
        <v>0</v>
      </c>
      <c r="N346" s="458">
        <v>119.49693843813893</v>
      </c>
      <c r="O346" s="459">
        <v>0</v>
      </c>
      <c r="P346" s="459">
        <v>4630.0637832244083</v>
      </c>
      <c r="Q346" s="458">
        <v>55400.108403681625</v>
      </c>
      <c r="R346" s="458">
        <v>47808.715750208605</v>
      </c>
      <c r="S346" s="458">
        <v>1959.7497903854783</v>
      </c>
      <c r="T346" s="457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G346" s="425"/>
      <c r="AH346" s="425"/>
      <c r="AI346" s="425"/>
      <c r="AJ346" s="425"/>
      <c r="AK346" s="425"/>
      <c r="AL346" s="425"/>
      <c r="AM346" s="425"/>
      <c r="AN346" s="425"/>
      <c r="AO346" s="425"/>
      <c r="AP346" s="425"/>
      <c r="AQ346" s="425"/>
    </row>
    <row r="347" spans="1:43" s="270" customFormat="1" x14ac:dyDescent="0.25">
      <c r="A347" s="271">
        <v>501204</v>
      </c>
      <c r="B347" s="271">
        <v>1204</v>
      </c>
      <c r="C347" s="271">
        <v>85795</v>
      </c>
      <c r="D347" s="268" t="s">
        <v>894</v>
      </c>
      <c r="E347" s="268" t="s">
        <v>1278</v>
      </c>
      <c r="F347" s="268" t="s">
        <v>2512</v>
      </c>
      <c r="G347" s="268">
        <v>10</v>
      </c>
      <c r="H347" s="268" t="s">
        <v>2905</v>
      </c>
      <c r="I347" s="268" t="s">
        <v>2906</v>
      </c>
      <c r="J347" s="458">
        <v>252558.99229527396</v>
      </c>
      <c r="K347" s="458">
        <v>21046.58269127283</v>
      </c>
      <c r="L347" s="458">
        <v>11194.760870699611</v>
      </c>
      <c r="M347" s="456">
        <v>0</v>
      </c>
      <c r="N347" s="458">
        <v>119.49693843813893</v>
      </c>
      <c r="O347" s="459">
        <v>0</v>
      </c>
      <c r="P347" s="459">
        <v>4419.7823651672943</v>
      </c>
      <c r="Q347" s="458">
        <v>55400.108403681625</v>
      </c>
      <c r="R347" s="458">
        <v>45637.409907756002</v>
      </c>
      <c r="S347" s="458">
        <v>1959.7497903854783</v>
      </c>
      <c r="T347" s="457"/>
      <c r="U347" s="425"/>
      <c r="V347" s="425"/>
      <c r="W347" s="425"/>
      <c r="X347" s="425"/>
      <c r="Y347" s="425"/>
      <c r="Z347" s="425"/>
      <c r="AA347" s="425"/>
      <c r="AB347" s="425"/>
      <c r="AC347" s="425"/>
      <c r="AD347" s="425"/>
      <c r="AE347" s="425"/>
      <c r="AG347" s="425"/>
      <c r="AH347" s="425"/>
      <c r="AI347" s="425"/>
      <c r="AJ347" s="425"/>
      <c r="AK347" s="425"/>
      <c r="AL347" s="425"/>
      <c r="AM347" s="425"/>
      <c r="AN347" s="425"/>
      <c r="AO347" s="425"/>
      <c r="AP347" s="425"/>
      <c r="AQ347" s="425"/>
    </row>
    <row r="348" spans="1:43" s="270" customFormat="1" x14ac:dyDescent="0.25">
      <c r="A348" s="271">
        <v>501406</v>
      </c>
      <c r="B348" s="271">
        <v>1406</v>
      </c>
      <c r="C348" s="271">
        <v>200176</v>
      </c>
      <c r="D348" s="268" t="s">
        <v>894</v>
      </c>
      <c r="E348" s="268" t="s">
        <v>1278</v>
      </c>
      <c r="F348" s="268" t="s">
        <v>2193</v>
      </c>
      <c r="G348" s="268">
        <v>10</v>
      </c>
      <c r="H348" s="268" t="s">
        <v>2907</v>
      </c>
      <c r="I348" s="268" t="s">
        <v>2848</v>
      </c>
      <c r="J348" s="458">
        <v>252558.99229527396</v>
      </c>
      <c r="K348" s="458">
        <v>21046.58269127283</v>
      </c>
      <c r="L348" s="458">
        <v>11194.760870699611</v>
      </c>
      <c r="M348" s="456">
        <v>0</v>
      </c>
      <c r="N348" s="458">
        <v>119.49693843813893</v>
      </c>
      <c r="O348" s="459">
        <v>0</v>
      </c>
      <c r="P348" s="459">
        <v>4419.7823651672943</v>
      </c>
      <c r="Q348" s="458">
        <v>55400.108403681625</v>
      </c>
      <c r="R348" s="458">
        <v>45637.409907756002</v>
      </c>
      <c r="S348" s="458">
        <v>1959.7497903854783</v>
      </c>
      <c r="T348" s="457"/>
      <c r="U348" s="425"/>
      <c r="V348" s="425"/>
      <c r="W348" s="425"/>
      <c r="X348" s="425"/>
      <c r="Y348" s="425"/>
      <c r="Z348" s="425"/>
      <c r="AA348" s="425"/>
      <c r="AB348" s="425"/>
      <c r="AC348" s="425"/>
      <c r="AD348" s="425"/>
      <c r="AE348" s="425"/>
      <c r="AG348" s="425"/>
      <c r="AH348" s="425"/>
      <c r="AI348" s="425"/>
      <c r="AJ348" s="425"/>
      <c r="AK348" s="425"/>
      <c r="AL348" s="425"/>
      <c r="AM348" s="425"/>
      <c r="AN348" s="425"/>
      <c r="AO348" s="425"/>
      <c r="AP348" s="425"/>
      <c r="AQ348" s="425"/>
    </row>
    <row r="349" spans="1:43" s="270" customFormat="1" x14ac:dyDescent="0.25">
      <c r="A349" s="271">
        <v>501443</v>
      </c>
      <c r="B349" s="271">
        <v>1443</v>
      </c>
      <c r="C349" s="271">
        <v>1601</v>
      </c>
      <c r="D349" s="268" t="s">
        <v>894</v>
      </c>
      <c r="E349" s="268" t="s">
        <v>1290</v>
      </c>
      <c r="F349" s="268" t="s">
        <v>2450</v>
      </c>
      <c r="G349" s="268">
        <v>11</v>
      </c>
      <c r="H349" s="268" t="s">
        <v>2322</v>
      </c>
      <c r="I349" s="268" t="s">
        <v>2908</v>
      </c>
      <c r="J349" s="458">
        <v>252558.99229527396</v>
      </c>
      <c r="K349" s="458">
        <v>21046.58269127283</v>
      </c>
      <c r="L349" s="458">
        <v>11194.760870699611</v>
      </c>
      <c r="M349" s="456">
        <v>0</v>
      </c>
      <c r="N349" s="458">
        <v>119.49693843813893</v>
      </c>
      <c r="O349" s="459">
        <v>0</v>
      </c>
      <c r="P349" s="459">
        <v>4419.7823651672943</v>
      </c>
      <c r="Q349" s="458">
        <v>55400.108403681625</v>
      </c>
      <c r="R349" s="458">
        <v>45637.409907756002</v>
      </c>
      <c r="S349" s="458">
        <v>1959.7497903854783</v>
      </c>
      <c r="T349" s="457"/>
      <c r="U349" s="425"/>
      <c r="V349" s="425"/>
      <c r="W349" s="425"/>
      <c r="X349" s="425"/>
      <c r="Y349" s="425"/>
      <c r="Z349" s="425"/>
      <c r="AA349" s="425"/>
      <c r="AB349" s="425"/>
      <c r="AC349" s="425"/>
      <c r="AD349" s="425"/>
      <c r="AE349" s="425"/>
      <c r="AG349" s="425"/>
      <c r="AH349" s="425"/>
      <c r="AI349" s="425"/>
      <c r="AJ349" s="425"/>
      <c r="AK349" s="425"/>
      <c r="AL349" s="425"/>
      <c r="AM349" s="425"/>
      <c r="AN349" s="425"/>
      <c r="AO349" s="425"/>
      <c r="AP349" s="425"/>
      <c r="AQ349" s="425"/>
    </row>
    <row r="350" spans="1:43" x14ac:dyDescent="0.25">
      <c r="A350" s="271">
        <v>501443</v>
      </c>
      <c r="B350" s="271">
        <v>1443</v>
      </c>
      <c r="C350" s="271">
        <v>59666</v>
      </c>
      <c r="D350" s="268" t="s">
        <v>894</v>
      </c>
      <c r="E350" s="268" t="s">
        <v>1278</v>
      </c>
      <c r="F350" s="268" t="s">
        <v>2520</v>
      </c>
      <c r="G350" s="268">
        <v>11</v>
      </c>
      <c r="H350" s="268" t="s">
        <v>2909</v>
      </c>
      <c r="I350" s="268" t="s">
        <v>2910</v>
      </c>
      <c r="J350" s="458">
        <v>252558.99229527396</v>
      </c>
      <c r="K350" s="458">
        <v>21046.58269127283</v>
      </c>
      <c r="L350" s="458">
        <v>11194.760870699611</v>
      </c>
      <c r="M350" s="456">
        <v>0</v>
      </c>
      <c r="N350" s="458">
        <v>119.49693843813893</v>
      </c>
      <c r="O350" s="459">
        <v>0</v>
      </c>
      <c r="P350" s="459">
        <v>4419.7823651672943</v>
      </c>
      <c r="Q350" s="458">
        <v>55400.108403681625</v>
      </c>
      <c r="R350" s="458">
        <v>45637.409907756002</v>
      </c>
      <c r="S350" s="458">
        <v>1959.7497903854783</v>
      </c>
      <c r="U350" s="425"/>
      <c r="V350" s="425"/>
      <c r="W350" s="425"/>
      <c r="X350" s="425"/>
      <c r="Y350" s="425"/>
      <c r="Z350" s="425"/>
      <c r="AA350" s="425"/>
      <c r="AB350" s="425"/>
      <c r="AC350" s="425"/>
      <c r="AD350" s="425"/>
      <c r="AE350" s="425"/>
      <c r="AF350" s="424"/>
      <c r="AG350" s="425"/>
      <c r="AH350" s="425"/>
      <c r="AI350" s="425"/>
      <c r="AJ350" s="425"/>
      <c r="AK350" s="425"/>
      <c r="AL350" s="425"/>
      <c r="AM350" s="425"/>
      <c r="AN350" s="425"/>
      <c r="AO350" s="425"/>
      <c r="AP350" s="425"/>
      <c r="AQ350" s="425"/>
    </row>
    <row r="351" spans="1:43" s="270" customFormat="1" x14ac:dyDescent="0.25">
      <c r="A351" s="271">
        <v>501206</v>
      </c>
      <c r="B351" s="271">
        <v>1206</v>
      </c>
      <c r="C351" s="271">
        <v>59909</v>
      </c>
      <c r="D351" s="268" t="s">
        <v>876</v>
      </c>
      <c r="E351" s="268" t="s">
        <v>1290</v>
      </c>
      <c r="F351" s="268" t="s">
        <v>731</v>
      </c>
      <c r="G351" s="268">
        <v>11</v>
      </c>
      <c r="H351" s="268" t="s">
        <v>2911</v>
      </c>
      <c r="I351" s="268" t="s">
        <v>2912</v>
      </c>
      <c r="J351" s="458">
        <v>252558.99229527396</v>
      </c>
      <c r="K351" s="458">
        <v>21046.58269127283</v>
      </c>
      <c r="L351" s="458">
        <v>11194.760870699611</v>
      </c>
      <c r="M351" s="456">
        <v>0</v>
      </c>
      <c r="N351" s="458">
        <v>119.49693843813893</v>
      </c>
      <c r="O351" s="459">
        <v>0</v>
      </c>
      <c r="P351" s="459">
        <v>4419.7823651672943</v>
      </c>
      <c r="Q351" s="458">
        <v>55400.108403681625</v>
      </c>
      <c r="R351" s="458">
        <v>45637.409907756002</v>
      </c>
      <c r="S351" s="458">
        <v>1959.7497903854783</v>
      </c>
      <c r="T351" s="457"/>
      <c r="U351" s="425"/>
      <c r="V351" s="425"/>
      <c r="W351" s="425"/>
      <c r="X351" s="425"/>
      <c r="Y351" s="425"/>
      <c r="Z351" s="425"/>
      <c r="AA351" s="425"/>
      <c r="AB351" s="425"/>
      <c r="AC351" s="425"/>
      <c r="AD351" s="425"/>
      <c r="AE351" s="425"/>
      <c r="AG351" s="425"/>
      <c r="AH351" s="425"/>
      <c r="AI351" s="425"/>
      <c r="AJ351" s="425"/>
      <c r="AK351" s="425"/>
      <c r="AL351" s="425"/>
      <c r="AM351" s="425"/>
      <c r="AN351" s="425"/>
      <c r="AO351" s="425"/>
      <c r="AP351" s="425"/>
      <c r="AQ351" s="425"/>
    </row>
    <row r="352" spans="1:43" s="270" customFormat="1" x14ac:dyDescent="0.25">
      <c r="A352" s="271">
        <v>501101</v>
      </c>
      <c r="B352" s="271">
        <v>1101</v>
      </c>
      <c r="C352" s="271">
        <v>84848</v>
      </c>
      <c r="D352" s="268" t="s">
        <v>894</v>
      </c>
      <c r="E352" s="268" t="s">
        <v>1278</v>
      </c>
      <c r="F352" s="268" t="s">
        <v>2913</v>
      </c>
      <c r="G352" s="268">
        <v>11</v>
      </c>
      <c r="H352" s="268" t="s">
        <v>2914</v>
      </c>
      <c r="I352" s="268" t="s">
        <v>2915</v>
      </c>
      <c r="J352" s="458">
        <v>252558.99229527396</v>
      </c>
      <c r="K352" s="458">
        <v>21046.58269127283</v>
      </c>
      <c r="L352" s="458">
        <v>11194.760870699611</v>
      </c>
      <c r="M352" s="456">
        <v>0</v>
      </c>
      <c r="N352" s="458">
        <v>119.49693843813893</v>
      </c>
      <c r="O352" s="459">
        <v>0</v>
      </c>
      <c r="P352" s="459">
        <v>4419.7823651672943</v>
      </c>
      <c r="Q352" s="458">
        <v>55400.108403681625</v>
      </c>
      <c r="R352" s="458">
        <v>45637.409907756002</v>
      </c>
      <c r="S352" s="458">
        <v>1959.7497903854783</v>
      </c>
      <c r="T352" s="457"/>
      <c r="U352" s="425"/>
      <c r="V352" s="425"/>
      <c r="W352" s="425"/>
      <c r="X352" s="425"/>
      <c r="Y352" s="425"/>
      <c r="Z352" s="425"/>
      <c r="AA352" s="425"/>
      <c r="AB352" s="425"/>
      <c r="AC352" s="425"/>
      <c r="AD352" s="425"/>
      <c r="AE352" s="425"/>
      <c r="AG352" s="425"/>
      <c r="AH352" s="425"/>
      <c r="AI352" s="425"/>
      <c r="AJ352" s="425"/>
      <c r="AK352" s="425"/>
      <c r="AL352" s="425"/>
      <c r="AM352" s="425"/>
      <c r="AN352" s="425"/>
      <c r="AO352" s="425"/>
      <c r="AP352" s="425"/>
      <c r="AQ352" s="425"/>
    </row>
    <row r="353" spans="1:43" s="270" customFormat="1" x14ac:dyDescent="0.25">
      <c r="A353" s="271">
        <v>501206</v>
      </c>
      <c r="B353" s="271">
        <v>1206</v>
      </c>
      <c r="C353" s="271">
        <v>85740</v>
      </c>
      <c r="D353" s="268" t="s">
        <v>876</v>
      </c>
      <c r="E353" s="268" t="s">
        <v>1278</v>
      </c>
      <c r="F353" s="268" t="s">
        <v>2802</v>
      </c>
      <c r="G353" s="268">
        <v>11</v>
      </c>
      <c r="H353" s="268" t="s">
        <v>2916</v>
      </c>
      <c r="I353" s="268" t="s">
        <v>2917</v>
      </c>
      <c r="J353" s="458">
        <v>252558.99229527396</v>
      </c>
      <c r="K353" s="458">
        <v>21046.58269127283</v>
      </c>
      <c r="L353" s="458">
        <v>11194.760870699611</v>
      </c>
      <c r="M353" s="456">
        <v>0</v>
      </c>
      <c r="N353" s="458">
        <v>119.49693843813893</v>
      </c>
      <c r="O353" s="459">
        <v>0</v>
      </c>
      <c r="P353" s="459">
        <v>4419.7823651672943</v>
      </c>
      <c r="Q353" s="458">
        <v>55400.108403681625</v>
      </c>
      <c r="R353" s="458">
        <v>45637.409907756002</v>
      </c>
      <c r="S353" s="458">
        <v>1959.7497903854783</v>
      </c>
      <c r="T353" s="457"/>
      <c r="U353" s="425"/>
      <c r="V353" s="425"/>
      <c r="W353" s="425"/>
      <c r="X353" s="425"/>
      <c r="Y353" s="425"/>
      <c r="Z353" s="425"/>
      <c r="AA353" s="425"/>
      <c r="AB353" s="425"/>
      <c r="AC353" s="425"/>
      <c r="AD353" s="425"/>
      <c r="AE353" s="425"/>
      <c r="AG353" s="425"/>
      <c r="AH353" s="425"/>
      <c r="AI353" s="425"/>
      <c r="AJ353" s="425"/>
      <c r="AK353" s="425"/>
      <c r="AL353" s="425"/>
      <c r="AM353" s="425"/>
      <c r="AN353" s="425"/>
      <c r="AO353" s="425"/>
      <c r="AP353" s="425"/>
      <c r="AQ353" s="425"/>
    </row>
    <row r="354" spans="1:43" s="270" customFormat="1" x14ac:dyDescent="0.25">
      <c r="A354" s="271">
        <v>501443</v>
      </c>
      <c r="B354" s="271">
        <v>1443</v>
      </c>
      <c r="C354" s="271">
        <v>91983</v>
      </c>
      <c r="D354" s="268" t="s">
        <v>876</v>
      </c>
      <c r="E354" s="268" t="s">
        <v>1290</v>
      </c>
      <c r="F354" s="268" t="s">
        <v>2627</v>
      </c>
      <c r="G354" s="268">
        <v>11</v>
      </c>
      <c r="H354" s="268" t="s">
        <v>2918</v>
      </c>
      <c r="I354" s="268" t="s">
        <v>2912</v>
      </c>
      <c r="J354" s="458">
        <v>252558.99229527396</v>
      </c>
      <c r="K354" s="458">
        <v>21046.58269127283</v>
      </c>
      <c r="L354" s="458">
        <v>11194.760870699611</v>
      </c>
      <c r="M354" s="456">
        <v>0</v>
      </c>
      <c r="N354" s="458">
        <v>119.49693843813893</v>
      </c>
      <c r="O354" s="459">
        <v>0</v>
      </c>
      <c r="P354" s="459">
        <v>4419.7823651672943</v>
      </c>
      <c r="Q354" s="458">
        <v>55400.108403681625</v>
      </c>
      <c r="R354" s="458">
        <v>45637.409907756002</v>
      </c>
      <c r="S354" s="458">
        <v>1959.7497903854783</v>
      </c>
      <c r="T354" s="457"/>
      <c r="U354" s="425"/>
      <c r="V354" s="425"/>
      <c r="W354" s="425"/>
      <c r="X354" s="425"/>
      <c r="Y354" s="425"/>
      <c r="Z354" s="425"/>
      <c r="AA354" s="425"/>
      <c r="AB354" s="425"/>
      <c r="AC354" s="425"/>
      <c r="AD354" s="425"/>
      <c r="AE354" s="425"/>
      <c r="AG354" s="425"/>
      <c r="AH354" s="425"/>
      <c r="AI354" s="425"/>
      <c r="AJ354" s="425"/>
      <c r="AK354" s="425"/>
      <c r="AL354" s="425"/>
      <c r="AM354" s="425"/>
      <c r="AN354" s="425"/>
      <c r="AO354" s="425"/>
      <c r="AP354" s="425"/>
      <c r="AQ354" s="425"/>
    </row>
    <row r="355" spans="1:43" s="270" customFormat="1" x14ac:dyDescent="0.25">
      <c r="A355" s="271">
        <v>501103</v>
      </c>
      <c r="B355" s="271">
        <v>1103</v>
      </c>
      <c r="C355" s="271">
        <v>200044</v>
      </c>
      <c r="D355" s="268" t="s">
        <v>894</v>
      </c>
      <c r="E355" s="268" t="s">
        <v>1290</v>
      </c>
      <c r="F355" s="268" t="s">
        <v>1306</v>
      </c>
      <c r="G355" s="268">
        <v>11</v>
      </c>
      <c r="H355" s="268" t="s">
        <v>2919</v>
      </c>
      <c r="I355" s="268" t="s">
        <v>2835</v>
      </c>
      <c r="J355" s="458">
        <v>252558.99229527396</v>
      </c>
      <c r="K355" s="458">
        <v>21046.58269127283</v>
      </c>
      <c r="L355" s="458">
        <v>11194.760870699611</v>
      </c>
      <c r="M355" s="456">
        <v>0</v>
      </c>
      <c r="N355" s="458">
        <v>119.49693843813893</v>
      </c>
      <c r="O355" s="459">
        <v>0</v>
      </c>
      <c r="P355" s="459">
        <v>4419.7823651672943</v>
      </c>
      <c r="Q355" s="458">
        <v>55400.108403681625</v>
      </c>
      <c r="R355" s="458">
        <v>45637.409907756002</v>
      </c>
      <c r="S355" s="458">
        <v>1959.7497903854783</v>
      </c>
      <c r="T355" s="457"/>
      <c r="U355" s="425"/>
      <c r="V355" s="425"/>
      <c r="W355" s="425"/>
      <c r="X355" s="425"/>
      <c r="Y355" s="425"/>
      <c r="Z355" s="425"/>
      <c r="AA355" s="425"/>
      <c r="AB355" s="425"/>
      <c r="AC355" s="425"/>
      <c r="AD355" s="425"/>
      <c r="AE355" s="425"/>
      <c r="AG355" s="425"/>
      <c r="AH355" s="425"/>
      <c r="AI355" s="425"/>
      <c r="AJ355" s="425"/>
      <c r="AK355" s="425"/>
      <c r="AL355" s="425"/>
      <c r="AM355" s="425"/>
      <c r="AN355" s="425"/>
      <c r="AO355" s="425"/>
      <c r="AP355" s="425"/>
      <c r="AQ355" s="425"/>
    </row>
    <row r="356" spans="1:43" s="270" customFormat="1" x14ac:dyDescent="0.25">
      <c r="A356" s="271">
        <v>501406</v>
      </c>
      <c r="B356" s="271">
        <v>1406</v>
      </c>
      <c r="C356" s="271">
        <v>200136</v>
      </c>
      <c r="D356" s="268" t="s">
        <v>894</v>
      </c>
      <c r="E356" s="268" t="s">
        <v>1290</v>
      </c>
      <c r="F356" s="268" t="s">
        <v>2920</v>
      </c>
      <c r="G356" s="268">
        <v>11</v>
      </c>
      <c r="H356" s="268" t="s">
        <v>2921</v>
      </c>
      <c r="I356" s="268" t="s">
        <v>2848</v>
      </c>
      <c r="J356" s="458">
        <v>252558.99229527396</v>
      </c>
      <c r="K356" s="458">
        <v>21046.58269127283</v>
      </c>
      <c r="L356" s="458">
        <v>11194.760870699611</v>
      </c>
      <c r="M356" s="456">
        <v>0</v>
      </c>
      <c r="N356" s="458">
        <v>119.49693843813893</v>
      </c>
      <c r="O356" s="459">
        <v>0</v>
      </c>
      <c r="P356" s="459">
        <v>4419.7823651672943</v>
      </c>
      <c r="Q356" s="458">
        <v>55400.108403681625</v>
      </c>
      <c r="R356" s="458">
        <v>45637.409907756002</v>
      </c>
      <c r="S356" s="458">
        <v>1959.7497903854783</v>
      </c>
      <c r="T356" s="457"/>
      <c r="U356" s="425"/>
      <c r="V356" s="425"/>
      <c r="W356" s="425"/>
      <c r="X356" s="425"/>
      <c r="Y356" s="425"/>
      <c r="Z356" s="425"/>
      <c r="AA356" s="425"/>
      <c r="AB356" s="425"/>
      <c r="AC356" s="425"/>
      <c r="AD356" s="425"/>
      <c r="AE356" s="425"/>
      <c r="AG356" s="425"/>
      <c r="AH356" s="425"/>
      <c r="AI356" s="425"/>
      <c r="AJ356" s="425"/>
      <c r="AK356" s="425"/>
      <c r="AL356" s="425"/>
      <c r="AM356" s="425"/>
      <c r="AN356" s="425"/>
      <c r="AO356" s="425"/>
      <c r="AP356" s="425"/>
      <c r="AQ356" s="425"/>
    </row>
    <row r="357" spans="1:43" s="270" customFormat="1" x14ac:dyDescent="0.25">
      <c r="A357" s="271">
        <v>501445</v>
      </c>
      <c r="B357" s="271">
        <v>1445</v>
      </c>
      <c r="C357" s="271">
        <v>200155</v>
      </c>
      <c r="D357" s="268" t="s">
        <v>894</v>
      </c>
      <c r="E357" s="268" t="s">
        <v>1278</v>
      </c>
      <c r="F357" s="268" t="s">
        <v>2922</v>
      </c>
      <c r="G357" s="268">
        <v>11</v>
      </c>
      <c r="H357" s="268" t="s">
        <v>2398</v>
      </c>
      <c r="I357" s="268" t="s">
        <v>2910</v>
      </c>
      <c r="J357" s="458">
        <v>252558.99229527396</v>
      </c>
      <c r="K357" s="458">
        <v>21046.58269127283</v>
      </c>
      <c r="L357" s="458">
        <v>11194.760870699611</v>
      </c>
      <c r="M357" s="456">
        <v>0</v>
      </c>
      <c r="N357" s="458">
        <v>119.49693843813893</v>
      </c>
      <c r="O357" s="459">
        <v>0</v>
      </c>
      <c r="P357" s="459">
        <v>4419.7823651672943</v>
      </c>
      <c r="Q357" s="458">
        <v>55400.108403681625</v>
      </c>
      <c r="R357" s="458">
        <v>45637.409907756002</v>
      </c>
      <c r="S357" s="458">
        <v>1959.7497903854783</v>
      </c>
      <c r="T357" s="457"/>
      <c r="U357" s="425"/>
      <c r="V357" s="425"/>
      <c r="W357" s="425"/>
      <c r="X357" s="425"/>
      <c r="Y357" s="425"/>
      <c r="Z357" s="425"/>
      <c r="AA357" s="425"/>
      <c r="AB357" s="425"/>
      <c r="AC357" s="425"/>
      <c r="AD357" s="425"/>
      <c r="AE357" s="425"/>
      <c r="AG357" s="425"/>
      <c r="AH357" s="425"/>
      <c r="AI357" s="425"/>
      <c r="AJ357" s="425"/>
      <c r="AK357" s="425"/>
      <c r="AL357" s="425"/>
      <c r="AM357" s="425"/>
      <c r="AN357" s="425"/>
      <c r="AO357" s="425"/>
      <c r="AP357" s="425"/>
      <c r="AQ357" s="425"/>
    </row>
    <row r="358" spans="1:43" s="270" customFormat="1" x14ac:dyDescent="0.25">
      <c r="A358" s="271">
        <v>501101</v>
      </c>
      <c r="B358" s="271">
        <v>1101</v>
      </c>
      <c r="C358" s="271">
        <v>200169</v>
      </c>
      <c r="D358" s="268" t="s">
        <v>894</v>
      </c>
      <c r="E358" s="268" t="s">
        <v>1278</v>
      </c>
      <c r="F358" s="268" t="s">
        <v>2391</v>
      </c>
      <c r="G358" s="268">
        <v>11</v>
      </c>
      <c r="H358" s="268" t="s">
        <v>2923</v>
      </c>
      <c r="I358" s="268" t="s">
        <v>2835</v>
      </c>
      <c r="J358" s="458">
        <v>252558.99229527396</v>
      </c>
      <c r="K358" s="458">
        <v>21046.58269127283</v>
      </c>
      <c r="L358" s="458">
        <v>11194.760870699611</v>
      </c>
      <c r="M358" s="456">
        <v>0</v>
      </c>
      <c r="N358" s="458">
        <v>119.49693843813893</v>
      </c>
      <c r="O358" s="459">
        <v>0</v>
      </c>
      <c r="P358" s="459">
        <v>4419.7823651672943</v>
      </c>
      <c r="Q358" s="458">
        <v>55400.108403681625</v>
      </c>
      <c r="R358" s="458">
        <v>45637.409907756002</v>
      </c>
      <c r="S358" s="458">
        <v>1959.7497903854783</v>
      </c>
      <c r="T358" s="457"/>
      <c r="U358" s="425"/>
      <c r="V358" s="425"/>
      <c r="W358" s="425"/>
      <c r="X358" s="425"/>
      <c r="Y358" s="425"/>
      <c r="Z358" s="425"/>
      <c r="AA358" s="425"/>
      <c r="AB358" s="425"/>
      <c r="AC358" s="425"/>
      <c r="AD358" s="425"/>
      <c r="AE358" s="425"/>
      <c r="AG358" s="425"/>
      <c r="AH358" s="425"/>
      <c r="AI358" s="425"/>
      <c r="AJ358" s="425"/>
      <c r="AK358" s="425"/>
      <c r="AL358" s="425"/>
      <c r="AM358" s="425"/>
      <c r="AN358" s="425"/>
      <c r="AO358" s="425"/>
      <c r="AP358" s="425"/>
      <c r="AQ358" s="425"/>
    </row>
    <row r="359" spans="1:43" s="270" customFormat="1" x14ac:dyDescent="0.25">
      <c r="A359" s="271">
        <v>501304</v>
      </c>
      <c r="B359" s="271">
        <v>1304</v>
      </c>
      <c r="C359" s="271">
        <v>200201</v>
      </c>
      <c r="D359" s="268" t="s">
        <v>894</v>
      </c>
      <c r="E359" s="268" t="s">
        <v>1278</v>
      </c>
      <c r="F359" s="268" t="s">
        <v>2742</v>
      </c>
      <c r="G359" s="268">
        <v>11</v>
      </c>
      <c r="H359" s="268" t="s">
        <v>2924</v>
      </c>
      <c r="I359" s="268" t="s">
        <v>2910</v>
      </c>
      <c r="J359" s="458">
        <v>252558.99229527396</v>
      </c>
      <c r="K359" s="458">
        <v>21046.58269127283</v>
      </c>
      <c r="L359" s="458">
        <v>11194.760870699611</v>
      </c>
      <c r="M359" s="456">
        <v>0</v>
      </c>
      <c r="N359" s="458">
        <v>119.49693843813893</v>
      </c>
      <c r="O359" s="459">
        <v>0</v>
      </c>
      <c r="P359" s="459">
        <v>4419.7823651672943</v>
      </c>
      <c r="Q359" s="458">
        <v>55400.108403681625</v>
      </c>
      <c r="R359" s="458">
        <v>45637.409907756002</v>
      </c>
      <c r="S359" s="458">
        <v>1959.7497903854783</v>
      </c>
      <c r="T359" s="457"/>
      <c r="U359" s="425"/>
      <c r="V359" s="425"/>
      <c r="W359" s="425"/>
      <c r="X359" s="425"/>
      <c r="Y359" s="425"/>
      <c r="Z359" s="425"/>
      <c r="AA359" s="425"/>
      <c r="AB359" s="425"/>
      <c r="AC359" s="425"/>
      <c r="AD359" s="425"/>
      <c r="AE359" s="425"/>
      <c r="AG359" s="425"/>
      <c r="AH359" s="425"/>
      <c r="AI359" s="425"/>
      <c r="AJ359" s="425"/>
      <c r="AK359" s="425"/>
      <c r="AL359" s="425"/>
      <c r="AM359" s="425"/>
      <c r="AN359" s="425"/>
      <c r="AO359" s="425"/>
      <c r="AP359" s="425"/>
      <c r="AQ359" s="425"/>
    </row>
    <row r="360" spans="1:43" s="270" customFormat="1" x14ac:dyDescent="0.25">
      <c r="A360" s="271">
        <v>501205</v>
      </c>
      <c r="B360" s="271">
        <v>1205</v>
      </c>
      <c r="C360" s="271">
        <v>200202</v>
      </c>
      <c r="D360" s="268" t="s">
        <v>894</v>
      </c>
      <c r="E360" s="268" t="s">
        <v>1278</v>
      </c>
      <c r="F360" s="268" t="s">
        <v>2925</v>
      </c>
      <c r="G360" s="268">
        <v>11</v>
      </c>
      <c r="H360" s="268" t="s">
        <v>2926</v>
      </c>
      <c r="I360" s="268" t="s">
        <v>2910</v>
      </c>
      <c r="J360" s="458">
        <v>252558.99229527396</v>
      </c>
      <c r="K360" s="458">
        <v>21046.58269127283</v>
      </c>
      <c r="L360" s="458">
        <v>11194.760870699611</v>
      </c>
      <c r="M360" s="456">
        <v>0</v>
      </c>
      <c r="N360" s="458">
        <v>119.49693843813893</v>
      </c>
      <c r="O360" s="459">
        <v>0</v>
      </c>
      <c r="P360" s="459">
        <v>4419.7823651672943</v>
      </c>
      <c r="Q360" s="458">
        <v>55400.108403681625</v>
      </c>
      <c r="R360" s="458">
        <v>45637.409907756002</v>
      </c>
      <c r="S360" s="458">
        <v>1959.7497903854783</v>
      </c>
      <c r="T360" s="457"/>
      <c r="U360" s="425"/>
      <c r="V360" s="425"/>
      <c r="W360" s="425"/>
      <c r="X360" s="425"/>
      <c r="Y360" s="425"/>
      <c r="Z360" s="425"/>
      <c r="AA360" s="425"/>
      <c r="AB360" s="425"/>
      <c r="AC360" s="425"/>
      <c r="AD360" s="425"/>
      <c r="AE360" s="425"/>
      <c r="AG360" s="425"/>
      <c r="AH360" s="425"/>
      <c r="AI360" s="425"/>
      <c r="AJ360" s="425"/>
      <c r="AK360" s="425"/>
      <c r="AL360" s="425"/>
      <c r="AM360" s="425"/>
      <c r="AN360" s="425"/>
      <c r="AO360" s="425"/>
      <c r="AP360" s="425"/>
      <c r="AQ360" s="425"/>
    </row>
    <row r="361" spans="1:43" x14ac:dyDescent="0.25">
      <c r="A361" s="271">
        <v>501503</v>
      </c>
      <c r="B361" s="271">
        <v>1503</v>
      </c>
      <c r="C361" s="271">
        <v>200203</v>
      </c>
      <c r="D361" s="268" t="s">
        <v>894</v>
      </c>
      <c r="E361" s="268" t="s">
        <v>1278</v>
      </c>
      <c r="F361" s="268" t="s">
        <v>2927</v>
      </c>
      <c r="G361" s="268">
        <v>11</v>
      </c>
      <c r="H361" s="268" t="s">
        <v>2928</v>
      </c>
      <c r="I361" s="268" t="s">
        <v>2929</v>
      </c>
      <c r="J361" s="458">
        <v>252558.99229527396</v>
      </c>
      <c r="K361" s="458">
        <v>21046.58269127283</v>
      </c>
      <c r="L361" s="458">
        <v>11194.760870699611</v>
      </c>
      <c r="M361" s="456">
        <v>0</v>
      </c>
      <c r="N361" s="458">
        <v>119.49693843813893</v>
      </c>
      <c r="O361" s="459">
        <v>0</v>
      </c>
      <c r="P361" s="459">
        <v>4419.7823651672943</v>
      </c>
      <c r="Q361" s="458">
        <v>55400.108403681625</v>
      </c>
      <c r="R361" s="458">
        <v>45637.409907756002</v>
      </c>
      <c r="S361" s="458">
        <v>1959.7497903854783</v>
      </c>
      <c r="T361" s="457"/>
      <c r="U361" s="425"/>
      <c r="V361" s="425"/>
      <c r="W361" s="425"/>
      <c r="X361" s="425"/>
      <c r="Y361" s="425"/>
      <c r="Z361" s="425"/>
      <c r="AA361" s="425"/>
      <c r="AB361" s="425"/>
      <c r="AC361" s="425"/>
      <c r="AD361" s="425"/>
      <c r="AE361" s="425"/>
      <c r="AF361" s="424"/>
      <c r="AG361" s="425"/>
      <c r="AH361" s="425"/>
      <c r="AI361" s="425"/>
      <c r="AJ361" s="425"/>
      <c r="AK361" s="425"/>
      <c r="AL361" s="425"/>
      <c r="AM361" s="425"/>
      <c r="AN361" s="425"/>
      <c r="AO361" s="425"/>
      <c r="AP361" s="425"/>
      <c r="AQ361" s="425"/>
    </row>
    <row r="362" spans="1:43" s="270" customFormat="1" x14ac:dyDescent="0.25">
      <c r="A362" s="271">
        <v>501105</v>
      </c>
      <c r="B362" s="271">
        <v>1105</v>
      </c>
      <c r="C362" s="271">
        <v>200235</v>
      </c>
      <c r="D362" s="268" t="s">
        <v>894</v>
      </c>
      <c r="E362" s="268" t="s">
        <v>1278</v>
      </c>
      <c r="F362" s="268" t="s">
        <v>2391</v>
      </c>
      <c r="G362" s="268">
        <v>11</v>
      </c>
      <c r="H362" s="268" t="s">
        <v>2622</v>
      </c>
      <c r="I362" s="268" t="s">
        <v>2848</v>
      </c>
      <c r="J362" s="458">
        <v>252558.99229527396</v>
      </c>
      <c r="K362" s="458">
        <v>21046.58269127283</v>
      </c>
      <c r="L362" s="458">
        <v>11194.760870699611</v>
      </c>
      <c r="M362" s="456">
        <v>0</v>
      </c>
      <c r="N362" s="458">
        <v>119.49693843813893</v>
      </c>
      <c r="O362" s="459">
        <v>0</v>
      </c>
      <c r="P362" s="459">
        <v>4419.7823651672943</v>
      </c>
      <c r="Q362" s="458">
        <v>55400.108403681625</v>
      </c>
      <c r="R362" s="458">
        <v>45637.409907756002</v>
      </c>
      <c r="S362" s="458">
        <v>1959.7497903854783</v>
      </c>
      <c r="T362" s="457"/>
      <c r="U362" s="425"/>
      <c r="V362" s="425"/>
      <c r="W362" s="425"/>
      <c r="X362" s="425"/>
      <c r="Y362" s="425"/>
      <c r="Z362" s="425"/>
      <c r="AA362" s="425"/>
      <c r="AB362" s="425"/>
      <c r="AC362" s="425"/>
      <c r="AD362" s="425"/>
      <c r="AE362" s="425"/>
      <c r="AG362" s="425"/>
      <c r="AH362" s="425"/>
      <c r="AI362" s="425"/>
      <c r="AJ362" s="425"/>
      <c r="AK362" s="425"/>
      <c r="AL362" s="425"/>
      <c r="AM362" s="425"/>
      <c r="AN362" s="425"/>
      <c r="AO362" s="425"/>
      <c r="AP362" s="425"/>
      <c r="AQ362" s="425"/>
    </row>
    <row r="363" spans="1:43" s="270" customFormat="1" x14ac:dyDescent="0.25">
      <c r="A363" s="416">
        <v>501305</v>
      </c>
      <c r="B363" s="271">
        <v>1305</v>
      </c>
      <c r="C363" s="271">
        <v>200240</v>
      </c>
      <c r="D363" s="268" t="s">
        <v>894</v>
      </c>
      <c r="E363" s="268" t="s">
        <v>1278</v>
      </c>
      <c r="F363" s="268" t="s">
        <v>2240</v>
      </c>
      <c r="G363" s="268">
        <v>11</v>
      </c>
      <c r="H363" s="268" t="s">
        <v>2930</v>
      </c>
      <c r="I363" s="268" t="s">
        <v>2910</v>
      </c>
      <c r="J363" s="458">
        <v>252558.99229527396</v>
      </c>
      <c r="K363" s="458">
        <v>21046.58269127283</v>
      </c>
      <c r="L363" s="458">
        <v>11194.760870699611</v>
      </c>
      <c r="M363" s="456">
        <v>0</v>
      </c>
      <c r="N363" s="458">
        <v>119.49693843813893</v>
      </c>
      <c r="O363" s="459">
        <v>0</v>
      </c>
      <c r="P363" s="459">
        <v>4419.7823651672943</v>
      </c>
      <c r="Q363" s="458">
        <v>55400.108403681625</v>
      </c>
      <c r="R363" s="458">
        <v>45637.409907756002</v>
      </c>
      <c r="S363" s="458">
        <v>1959.7497903854783</v>
      </c>
      <c r="T363" s="457"/>
      <c r="U363" s="425"/>
      <c r="V363" s="425"/>
      <c r="W363" s="425"/>
      <c r="X363" s="425"/>
      <c r="Y363" s="425"/>
      <c r="Z363" s="425"/>
      <c r="AA363" s="425"/>
      <c r="AB363" s="425"/>
      <c r="AC363" s="425"/>
      <c r="AD363" s="425"/>
      <c r="AE363" s="425"/>
      <c r="AG363" s="425"/>
      <c r="AH363" s="425"/>
      <c r="AI363" s="425"/>
      <c r="AJ363" s="425"/>
      <c r="AK363" s="425"/>
      <c r="AL363" s="425"/>
      <c r="AM363" s="425"/>
      <c r="AN363" s="425"/>
      <c r="AO363" s="425"/>
      <c r="AP363" s="425"/>
      <c r="AQ363" s="425"/>
    </row>
    <row r="364" spans="1:43" s="270" customFormat="1" x14ac:dyDescent="0.25">
      <c r="A364" s="418">
        <v>501445</v>
      </c>
      <c r="B364" s="271">
        <v>1452</v>
      </c>
      <c r="C364" s="271">
        <v>200246</v>
      </c>
      <c r="D364" s="268" t="s">
        <v>894</v>
      </c>
      <c r="E364" s="268" t="s">
        <v>1278</v>
      </c>
      <c r="F364" s="268" t="s">
        <v>2506</v>
      </c>
      <c r="G364" s="268">
        <v>11</v>
      </c>
      <c r="H364" s="268" t="s">
        <v>2931</v>
      </c>
      <c r="I364" s="268" t="s">
        <v>2932</v>
      </c>
      <c r="J364" s="458">
        <v>252558.99229527396</v>
      </c>
      <c r="K364" s="458">
        <v>21046.58269127283</v>
      </c>
      <c r="L364" s="458">
        <v>11194.760870699611</v>
      </c>
      <c r="M364" s="456">
        <v>0</v>
      </c>
      <c r="N364" s="458">
        <v>119.49693843813893</v>
      </c>
      <c r="O364" s="459">
        <v>0</v>
      </c>
      <c r="P364" s="459">
        <v>4419.7823651672943</v>
      </c>
      <c r="Q364" s="458">
        <v>55400.108403681625</v>
      </c>
      <c r="R364" s="458">
        <v>45637.409907756002</v>
      </c>
      <c r="S364" s="458">
        <v>1959.7497903854783</v>
      </c>
      <c r="T364" s="457"/>
      <c r="U364" s="425"/>
      <c r="V364" s="425"/>
      <c r="W364" s="425"/>
      <c r="X364" s="425"/>
      <c r="Y364" s="425"/>
      <c r="Z364" s="425"/>
      <c r="AA364" s="425"/>
      <c r="AB364" s="425"/>
      <c r="AC364" s="425"/>
      <c r="AD364" s="425"/>
      <c r="AE364" s="425"/>
      <c r="AG364" s="425"/>
      <c r="AH364" s="425"/>
      <c r="AI364" s="425"/>
      <c r="AJ364" s="425"/>
      <c r="AK364" s="425"/>
      <c r="AL364" s="425"/>
      <c r="AM364" s="425"/>
      <c r="AN364" s="425"/>
      <c r="AO364" s="425"/>
      <c r="AP364" s="425"/>
      <c r="AQ364" s="425"/>
    </row>
    <row r="365" spans="1:43" s="270" customFormat="1" x14ac:dyDescent="0.25">
      <c r="A365" s="271">
        <v>501101</v>
      </c>
      <c r="B365" s="271">
        <v>1101</v>
      </c>
      <c r="C365" s="271">
        <v>200256</v>
      </c>
      <c r="D365" s="268" t="s">
        <v>894</v>
      </c>
      <c r="E365" s="268" t="s">
        <v>1278</v>
      </c>
      <c r="F365" s="268" t="s">
        <v>2261</v>
      </c>
      <c r="G365" s="268">
        <v>11</v>
      </c>
      <c r="H365" s="268" t="s">
        <v>2645</v>
      </c>
      <c r="I365" s="268" t="s">
        <v>2848</v>
      </c>
      <c r="J365" s="458">
        <v>252558.99229527396</v>
      </c>
      <c r="K365" s="458">
        <v>21046.58269127283</v>
      </c>
      <c r="L365" s="458">
        <v>11194.760870699611</v>
      </c>
      <c r="M365" s="456">
        <v>0</v>
      </c>
      <c r="N365" s="458">
        <v>119.49693843813893</v>
      </c>
      <c r="O365" s="459">
        <v>0</v>
      </c>
      <c r="P365" s="459">
        <v>4419.7823651672943</v>
      </c>
      <c r="Q365" s="458">
        <v>55400.108403681625</v>
      </c>
      <c r="R365" s="458">
        <v>45637.409907756002</v>
      </c>
      <c r="S365" s="458">
        <v>1959.7497903854783</v>
      </c>
      <c r="T365" s="457"/>
      <c r="U365" s="425"/>
      <c r="V365" s="425"/>
      <c r="W365" s="425"/>
      <c r="X365" s="425"/>
      <c r="Y365" s="425"/>
      <c r="Z365" s="425"/>
      <c r="AA365" s="425"/>
      <c r="AB365" s="425"/>
      <c r="AC365" s="425"/>
      <c r="AD365" s="425"/>
      <c r="AE365" s="425"/>
      <c r="AG365" s="425"/>
      <c r="AH365" s="425"/>
      <c r="AI365" s="425"/>
      <c r="AJ365" s="425"/>
      <c r="AK365" s="425"/>
      <c r="AL365" s="425"/>
      <c r="AM365" s="425"/>
      <c r="AN365" s="425"/>
      <c r="AO365" s="425"/>
      <c r="AP365" s="425"/>
      <c r="AQ365" s="425"/>
    </row>
    <row r="366" spans="1:43" s="270" customFormat="1" x14ac:dyDescent="0.25">
      <c r="A366" s="416">
        <v>501305</v>
      </c>
      <c r="B366" s="271">
        <v>1305</v>
      </c>
      <c r="C366" s="271">
        <v>200348</v>
      </c>
      <c r="D366" s="268" t="s">
        <v>894</v>
      </c>
      <c r="E366" s="268" t="s">
        <v>1278</v>
      </c>
      <c r="F366" s="268" t="s">
        <v>2933</v>
      </c>
      <c r="G366" s="268">
        <v>11</v>
      </c>
      <c r="H366" s="268" t="s">
        <v>2934</v>
      </c>
      <c r="I366" s="268" t="s">
        <v>2848</v>
      </c>
      <c r="J366" s="458">
        <v>252558.99229527396</v>
      </c>
      <c r="K366" s="458">
        <v>21046.58269127283</v>
      </c>
      <c r="L366" s="458">
        <v>11194.760870699611</v>
      </c>
      <c r="M366" s="456">
        <v>0</v>
      </c>
      <c r="N366" s="458">
        <v>119.49693843813893</v>
      </c>
      <c r="O366" s="459">
        <v>0</v>
      </c>
      <c r="P366" s="459">
        <v>4419.7823651672943</v>
      </c>
      <c r="Q366" s="458">
        <v>55400.108403681625</v>
      </c>
      <c r="R366" s="458">
        <v>45637.409907756002</v>
      </c>
      <c r="S366" s="458">
        <v>1959.7497903854783</v>
      </c>
      <c r="T366" s="457"/>
      <c r="U366" s="425"/>
      <c r="V366" s="425"/>
      <c r="W366" s="425"/>
      <c r="X366" s="425"/>
      <c r="Y366" s="425"/>
      <c r="Z366" s="425"/>
      <c r="AA366" s="425"/>
      <c r="AB366" s="425"/>
      <c r="AC366" s="425"/>
      <c r="AD366" s="425"/>
      <c r="AE366" s="425"/>
      <c r="AG366" s="425"/>
      <c r="AH366" s="425"/>
      <c r="AI366" s="425"/>
      <c r="AJ366" s="425"/>
      <c r="AK366" s="425"/>
      <c r="AL366" s="425"/>
      <c r="AM366" s="425"/>
      <c r="AN366" s="425"/>
      <c r="AO366" s="425"/>
      <c r="AP366" s="425"/>
      <c r="AQ366" s="425"/>
    </row>
    <row r="367" spans="1:43" s="270" customFormat="1" x14ac:dyDescent="0.25">
      <c r="A367" s="271">
        <v>501443</v>
      </c>
      <c r="B367" s="271">
        <v>1443</v>
      </c>
      <c r="C367" s="271">
        <v>4417</v>
      </c>
      <c r="D367" s="268" t="s">
        <v>1698</v>
      </c>
      <c r="E367" s="268" t="s">
        <v>1278</v>
      </c>
      <c r="F367" s="268" t="s">
        <v>2935</v>
      </c>
      <c r="G367" s="268">
        <v>11</v>
      </c>
      <c r="H367" s="268" t="s">
        <v>2936</v>
      </c>
      <c r="I367" s="268" t="s">
        <v>2937</v>
      </c>
      <c r="J367" s="458">
        <v>252558.99229527396</v>
      </c>
      <c r="K367" s="458">
        <v>21046.58269127283</v>
      </c>
      <c r="L367" s="458">
        <v>11194.760870699611</v>
      </c>
      <c r="M367" s="456">
        <v>0</v>
      </c>
      <c r="N367" s="458">
        <v>119.49693843813893</v>
      </c>
      <c r="O367" s="459">
        <v>0</v>
      </c>
      <c r="P367" s="459">
        <v>4419.7823651672943</v>
      </c>
      <c r="Q367" s="458">
        <v>55400.108403681625</v>
      </c>
      <c r="R367" s="458">
        <v>45637.409907756002</v>
      </c>
      <c r="S367" s="458">
        <v>1959.7497903854783</v>
      </c>
      <c r="T367" s="457"/>
      <c r="U367" s="425"/>
      <c r="V367" s="425"/>
      <c r="W367" s="425"/>
      <c r="X367" s="425"/>
      <c r="Y367" s="425"/>
      <c r="Z367" s="425"/>
      <c r="AA367" s="425"/>
      <c r="AB367" s="425"/>
      <c r="AC367" s="425"/>
      <c r="AD367" s="425"/>
      <c r="AE367" s="425"/>
      <c r="AG367" s="425"/>
      <c r="AH367" s="425"/>
      <c r="AI367" s="425"/>
      <c r="AJ367" s="425"/>
      <c r="AK367" s="425"/>
      <c r="AL367" s="425"/>
      <c r="AM367" s="425"/>
      <c r="AN367" s="425"/>
      <c r="AO367" s="425"/>
      <c r="AP367" s="425"/>
      <c r="AQ367" s="425"/>
    </row>
    <row r="368" spans="1:43" s="270" customFormat="1" x14ac:dyDescent="0.25">
      <c r="A368" s="271">
        <v>501406</v>
      </c>
      <c r="B368" s="271">
        <v>1406</v>
      </c>
      <c r="C368" s="271">
        <v>200013</v>
      </c>
      <c r="D368" s="268" t="s">
        <v>894</v>
      </c>
      <c r="E368" s="268" t="s">
        <v>1278</v>
      </c>
      <c r="F368" s="268" t="s">
        <v>2938</v>
      </c>
      <c r="G368" s="268">
        <v>10</v>
      </c>
      <c r="H368" s="268" t="s">
        <v>2939</v>
      </c>
      <c r="I368" s="268" t="s">
        <v>2848</v>
      </c>
      <c r="J368" s="458">
        <v>246727.98428074626</v>
      </c>
      <c r="K368" s="458">
        <v>20560.665356728856</v>
      </c>
      <c r="L368" s="458">
        <v>11194.760870699611</v>
      </c>
      <c r="M368" s="456">
        <v>0</v>
      </c>
      <c r="N368" s="458">
        <v>119.49693843813893</v>
      </c>
      <c r="O368" s="459">
        <v>0</v>
      </c>
      <c r="P368" s="459">
        <v>4317.7397249130599</v>
      </c>
      <c r="Q368" s="458">
        <v>55400.108403681625</v>
      </c>
      <c r="R368" s="458">
        <v>44583.746759530848</v>
      </c>
      <c r="S368" s="458">
        <v>1959.7497903854783</v>
      </c>
      <c r="T368" s="453"/>
      <c r="U368" s="425"/>
      <c r="V368" s="425"/>
      <c r="W368" s="425"/>
      <c r="X368" s="425"/>
      <c r="Y368" s="425"/>
      <c r="Z368" s="425"/>
      <c r="AA368" s="425"/>
      <c r="AB368" s="425"/>
      <c r="AC368" s="425"/>
      <c r="AD368" s="425"/>
      <c r="AE368" s="425"/>
      <c r="AG368" s="425"/>
      <c r="AH368" s="425"/>
      <c r="AI368" s="425"/>
      <c r="AJ368" s="425"/>
      <c r="AK368" s="425"/>
      <c r="AL368" s="425"/>
      <c r="AM368" s="425"/>
      <c r="AN368" s="425"/>
      <c r="AO368" s="425"/>
      <c r="AP368" s="425"/>
      <c r="AQ368" s="425"/>
    </row>
    <row r="369" spans="1:43" s="270" customFormat="1" x14ac:dyDescent="0.25">
      <c r="A369" s="271">
        <v>501406</v>
      </c>
      <c r="B369" s="271">
        <v>1406</v>
      </c>
      <c r="C369" s="271">
        <v>200127</v>
      </c>
      <c r="D369" s="268" t="s">
        <v>894</v>
      </c>
      <c r="E369" s="268" t="s">
        <v>1278</v>
      </c>
      <c r="F369" s="268" t="s">
        <v>2940</v>
      </c>
      <c r="G369" s="268">
        <v>10</v>
      </c>
      <c r="H369" s="268" t="s">
        <v>2941</v>
      </c>
      <c r="I369" s="268" t="s">
        <v>2848</v>
      </c>
      <c r="J369" s="458">
        <v>246727.98428074626</v>
      </c>
      <c r="K369" s="458">
        <v>20560.665356728856</v>
      </c>
      <c r="L369" s="458">
        <v>11194.760870699611</v>
      </c>
      <c r="M369" s="456">
        <v>0</v>
      </c>
      <c r="N369" s="458">
        <v>119.49693843813893</v>
      </c>
      <c r="O369" s="459">
        <v>0</v>
      </c>
      <c r="P369" s="459">
        <v>4317.7397249130599</v>
      </c>
      <c r="Q369" s="458">
        <v>55400.108403681625</v>
      </c>
      <c r="R369" s="458">
        <v>44583.746759530848</v>
      </c>
      <c r="S369" s="458">
        <v>1959.7497903854783</v>
      </c>
      <c r="T369" s="457"/>
      <c r="U369" s="425"/>
      <c r="V369" s="425"/>
      <c r="W369" s="425"/>
      <c r="X369" s="425"/>
      <c r="Y369" s="425"/>
      <c r="Z369" s="425"/>
      <c r="AA369" s="425"/>
      <c r="AB369" s="425"/>
      <c r="AC369" s="425"/>
      <c r="AD369" s="425"/>
      <c r="AE369" s="425"/>
      <c r="AG369" s="425"/>
      <c r="AH369" s="425"/>
      <c r="AI369" s="425"/>
      <c r="AJ369" s="425"/>
      <c r="AK369" s="425"/>
      <c r="AL369" s="425"/>
      <c r="AM369" s="425"/>
      <c r="AN369" s="425"/>
      <c r="AO369" s="425"/>
      <c r="AP369" s="425"/>
      <c r="AQ369" s="425"/>
    </row>
    <row r="370" spans="1:43" s="270" customFormat="1" x14ac:dyDescent="0.25">
      <c r="A370" s="416">
        <v>501406</v>
      </c>
      <c r="B370" s="271">
        <v>1406</v>
      </c>
      <c r="C370" s="271">
        <v>200354</v>
      </c>
      <c r="D370" s="268" t="s">
        <v>894</v>
      </c>
      <c r="E370" s="268" t="s">
        <v>1290</v>
      </c>
      <c r="F370" s="268" t="s">
        <v>2386</v>
      </c>
      <c r="G370" s="268">
        <v>10</v>
      </c>
      <c r="H370" s="268" t="s">
        <v>2942</v>
      </c>
      <c r="I370" s="268" t="s">
        <v>2879</v>
      </c>
      <c r="J370" s="458">
        <v>246727.98428074626</v>
      </c>
      <c r="K370" s="458">
        <v>20560.665356728856</v>
      </c>
      <c r="L370" s="458">
        <v>11194.760870699611</v>
      </c>
      <c r="M370" s="456">
        <v>0</v>
      </c>
      <c r="N370" s="458">
        <v>119.49693843813893</v>
      </c>
      <c r="O370" s="459">
        <v>0</v>
      </c>
      <c r="P370" s="459">
        <v>4317.7397249130599</v>
      </c>
      <c r="Q370" s="458">
        <v>55400.108403681625</v>
      </c>
      <c r="R370" s="458">
        <v>44583.746759530848</v>
      </c>
      <c r="S370" s="458">
        <v>1959.7497903854783</v>
      </c>
      <c r="T370" s="457"/>
      <c r="U370" s="425"/>
      <c r="V370" s="425"/>
      <c r="W370" s="425"/>
      <c r="X370" s="425"/>
      <c r="Y370" s="425"/>
      <c r="Z370" s="425"/>
      <c r="AA370" s="425"/>
      <c r="AB370" s="425"/>
      <c r="AC370" s="425"/>
      <c r="AD370" s="425"/>
      <c r="AE370" s="425"/>
      <c r="AG370" s="425"/>
      <c r="AH370" s="425"/>
      <c r="AI370" s="425"/>
      <c r="AJ370" s="425"/>
      <c r="AK370" s="425"/>
      <c r="AL370" s="425"/>
      <c r="AM370" s="425"/>
      <c r="AN370" s="425"/>
      <c r="AO370" s="425"/>
      <c r="AP370" s="425"/>
      <c r="AQ370" s="425"/>
    </row>
    <row r="371" spans="1:43" s="270" customFormat="1" x14ac:dyDescent="0.25">
      <c r="A371" s="271">
        <v>501406</v>
      </c>
      <c r="B371" s="271">
        <v>1406</v>
      </c>
      <c r="C371" s="271">
        <v>1656</v>
      </c>
      <c r="D371" s="268" t="s">
        <v>894</v>
      </c>
      <c r="E371" s="268" t="s">
        <v>1290</v>
      </c>
      <c r="F371" s="268" t="s">
        <v>2306</v>
      </c>
      <c r="G371" s="268">
        <v>11</v>
      </c>
      <c r="H371" s="268" t="s">
        <v>2943</v>
      </c>
      <c r="I371" s="268" t="s">
        <v>2944</v>
      </c>
      <c r="J371" s="458">
        <v>246727.98428074626</v>
      </c>
      <c r="K371" s="458">
        <v>20560.665356728856</v>
      </c>
      <c r="L371" s="458">
        <v>11194.760870699611</v>
      </c>
      <c r="M371" s="456">
        <v>0</v>
      </c>
      <c r="N371" s="458">
        <v>119.49693843813893</v>
      </c>
      <c r="O371" s="459">
        <v>0</v>
      </c>
      <c r="P371" s="459">
        <v>4317.7397249130599</v>
      </c>
      <c r="Q371" s="458">
        <v>55400.108403681625</v>
      </c>
      <c r="R371" s="458">
        <v>44583.746759530848</v>
      </c>
      <c r="S371" s="458">
        <v>1959.7497903854783</v>
      </c>
      <c r="T371" s="457"/>
      <c r="U371" s="425"/>
      <c r="V371" s="425"/>
      <c r="W371" s="425"/>
      <c r="X371" s="425"/>
      <c r="Y371" s="425"/>
      <c r="Z371" s="425"/>
      <c r="AA371" s="425"/>
      <c r="AB371" s="425"/>
      <c r="AC371" s="425"/>
      <c r="AD371" s="425"/>
      <c r="AE371" s="425"/>
      <c r="AG371" s="425"/>
      <c r="AH371" s="425"/>
      <c r="AI371" s="425"/>
      <c r="AJ371" s="425"/>
      <c r="AK371" s="425"/>
      <c r="AL371" s="425"/>
      <c r="AM371" s="425"/>
      <c r="AN371" s="425"/>
      <c r="AO371" s="425"/>
      <c r="AP371" s="425"/>
      <c r="AQ371" s="425"/>
    </row>
    <row r="372" spans="1:43" x14ac:dyDescent="0.25">
      <c r="A372" s="276">
        <v>501444</v>
      </c>
      <c r="B372" s="276">
        <v>1444</v>
      </c>
      <c r="C372" s="276">
        <v>8280</v>
      </c>
      <c r="D372" s="268" t="s">
        <v>894</v>
      </c>
      <c r="E372" s="268" t="s">
        <v>1290</v>
      </c>
      <c r="F372" s="268" t="s">
        <v>2768</v>
      </c>
      <c r="G372" s="268">
        <v>11</v>
      </c>
      <c r="H372" s="268" t="s">
        <v>2945</v>
      </c>
      <c r="I372" s="268" t="s">
        <v>2946</v>
      </c>
      <c r="J372" s="456">
        <v>246727.98428074626</v>
      </c>
      <c r="K372" s="459">
        <v>20560.665356728856</v>
      </c>
      <c r="L372" s="458">
        <v>11194.760870699611</v>
      </c>
      <c r="M372" s="456">
        <v>8298.3985026485352</v>
      </c>
      <c r="N372" s="459">
        <v>119.49693843813893</v>
      </c>
      <c r="O372" s="459">
        <v>0</v>
      </c>
      <c r="P372" s="459">
        <v>4317.7397249130599</v>
      </c>
      <c r="Q372" s="458">
        <v>55400.108403681625</v>
      </c>
      <c r="R372" s="459">
        <v>44583.746759530848</v>
      </c>
      <c r="S372" s="459">
        <v>1959.7497903854783</v>
      </c>
      <c r="T372" s="457"/>
      <c r="U372" s="425"/>
      <c r="V372" s="425"/>
      <c r="W372" s="425"/>
      <c r="X372" s="425"/>
      <c r="Y372" s="425"/>
      <c r="Z372" s="425"/>
      <c r="AA372" s="425"/>
      <c r="AB372" s="425"/>
      <c r="AC372" s="425"/>
      <c r="AD372" s="425"/>
      <c r="AE372" s="425"/>
      <c r="AF372" s="424"/>
      <c r="AG372" s="425"/>
      <c r="AH372" s="425"/>
      <c r="AI372" s="425"/>
      <c r="AJ372" s="425"/>
      <c r="AK372" s="425"/>
      <c r="AL372" s="425"/>
      <c r="AM372" s="425"/>
      <c r="AN372" s="425"/>
      <c r="AO372" s="425"/>
      <c r="AP372" s="425"/>
      <c r="AQ372" s="425"/>
    </row>
    <row r="373" spans="1:43" s="270" customFormat="1" x14ac:dyDescent="0.25">
      <c r="A373" s="271">
        <v>501406</v>
      </c>
      <c r="B373" s="271">
        <v>1406</v>
      </c>
      <c r="C373" s="271">
        <v>8358</v>
      </c>
      <c r="D373" s="268" t="s">
        <v>894</v>
      </c>
      <c r="E373" s="268" t="s">
        <v>1290</v>
      </c>
      <c r="F373" s="268" t="s">
        <v>2565</v>
      </c>
      <c r="G373" s="268">
        <v>11</v>
      </c>
      <c r="H373" s="268" t="s">
        <v>2796</v>
      </c>
      <c r="I373" s="268" t="s">
        <v>2946</v>
      </c>
      <c r="J373" s="458">
        <v>246727.98428074626</v>
      </c>
      <c r="K373" s="458">
        <v>20560.665356728856</v>
      </c>
      <c r="L373" s="458">
        <v>11194.760870699611</v>
      </c>
      <c r="M373" s="456">
        <v>0</v>
      </c>
      <c r="N373" s="458">
        <v>119.49693843813893</v>
      </c>
      <c r="O373" s="459">
        <v>0</v>
      </c>
      <c r="P373" s="459">
        <v>4317.7397249130599</v>
      </c>
      <c r="Q373" s="458">
        <v>55400.108403681625</v>
      </c>
      <c r="R373" s="458">
        <v>44583.746759530848</v>
      </c>
      <c r="S373" s="458">
        <v>1959.7497903854783</v>
      </c>
      <c r="T373" s="457"/>
      <c r="U373" s="425"/>
      <c r="V373" s="425"/>
      <c r="W373" s="425"/>
      <c r="X373" s="425"/>
      <c r="Y373" s="425"/>
      <c r="Z373" s="425"/>
      <c r="AA373" s="425"/>
      <c r="AB373" s="425"/>
      <c r="AC373" s="425"/>
      <c r="AD373" s="425"/>
      <c r="AE373" s="425"/>
      <c r="AG373" s="425"/>
      <c r="AH373" s="425"/>
      <c r="AI373" s="425"/>
      <c r="AJ373" s="425"/>
      <c r="AK373" s="425"/>
      <c r="AL373" s="425"/>
      <c r="AM373" s="425"/>
      <c r="AN373" s="425"/>
      <c r="AO373" s="425"/>
      <c r="AP373" s="425"/>
      <c r="AQ373" s="425"/>
    </row>
    <row r="374" spans="1:43" x14ac:dyDescent="0.25">
      <c r="A374" s="271">
        <v>501406</v>
      </c>
      <c r="B374" s="271">
        <v>1406</v>
      </c>
      <c r="C374" s="271">
        <v>23430</v>
      </c>
      <c r="D374" s="268" t="s">
        <v>894</v>
      </c>
      <c r="E374" s="268" t="s">
        <v>1290</v>
      </c>
      <c r="F374" s="268" t="s">
        <v>2799</v>
      </c>
      <c r="G374" s="268">
        <v>11</v>
      </c>
      <c r="H374" s="268" t="s">
        <v>2947</v>
      </c>
      <c r="I374" s="268" t="s">
        <v>2946</v>
      </c>
      <c r="J374" s="458">
        <v>246727.98428074626</v>
      </c>
      <c r="K374" s="458">
        <v>20560.665356728856</v>
      </c>
      <c r="L374" s="458">
        <v>11194.760870699611</v>
      </c>
      <c r="M374" s="456">
        <v>0</v>
      </c>
      <c r="N374" s="458">
        <v>119.49693843813893</v>
      </c>
      <c r="O374" s="459">
        <v>0</v>
      </c>
      <c r="P374" s="459">
        <v>4317.7397249130599</v>
      </c>
      <c r="Q374" s="458">
        <v>55400.108403681625</v>
      </c>
      <c r="R374" s="458">
        <v>44583.746759530848</v>
      </c>
      <c r="S374" s="458">
        <v>1959.7497903854783</v>
      </c>
      <c r="T374" s="457"/>
      <c r="U374" s="425"/>
      <c r="V374" s="425"/>
      <c r="W374" s="425"/>
      <c r="X374" s="425"/>
      <c r="Y374" s="425"/>
      <c r="Z374" s="425"/>
      <c r="AA374" s="425"/>
      <c r="AB374" s="425"/>
      <c r="AC374" s="425"/>
      <c r="AD374" s="425"/>
      <c r="AE374" s="425"/>
      <c r="AF374" s="424"/>
      <c r="AG374" s="425"/>
      <c r="AH374" s="425"/>
      <c r="AI374" s="425"/>
      <c r="AJ374" s="425"/>
      <c r="AK374" s="425"/>
      <c r="AL374" s="425"/>
      <c r="AM374" s="425"/>
      <c r="AN374" s="425"/>
      <c r="AO374" s="425"/>
      <c r="AP374" s="425"/>
      <c r="AQ374" s="425"/>
    </row>
    <row r="375" spans="1:43" s="270" customFormat="1" x14ac:dyDescent="0.25">
      <c r="A375" s="276">
        <v>501443</v>
      </c>
      <c r="B375" s="276">
        <v>1443</v>
      </c>
      <c r="C375" s="276">
        <v>34005</v>
      </c>
      <c r="D375" s="268" t="s">
        <v>894</v>
      </c>
      <c r="E375" s="268" t="s">
        <v>1290</v>
      </c>
      <c r="F375" s="268" t="s">
        <v>1290</v>
      </c>
      <c r="G375" s="268">
        <v>11</v>
      </c>
      <c r="H375" s="268" t="s">
        <v>2948</v>
      </c>
      <c r="I375" s="268" t="s">
        <v>2946</v>
      </c>
      <c r="J375" s="456">
        <v>246727.98428074626</v>
      </c>
      <c r="K375" s="459">
        <v>20560.665356728856</v>
      </c>
      <c r="L375" s="458">
        <v>11194.760870699611</v>
      </c>
      <c r="M375" s="456">
        <v>8298.3985026485352</v>
      </c>
      <c r="N375" s="459">
        <v>119.49693843813893</v>
      </c>
      <c r="O375" s="459">
        <v>0</v>
      </c>
      <c r="P375" s="459">
        <v>4317.7397249130599</v>
      </c>
      <c r="Q375" s="458">
        <v>55400.108403681625</v>
      </c>
      <c r="R375" s="459">
        <v>44583.746759530848</v>
      </c>
      <c r="S375" s="459">
        <v>1959.7497903854783</v>
      </c>
      <c r="T375" s="457"/>
      <c r="U375" s="425"/>
      <c r="V375" s="425"/>
      <c r="W375" s="425"/>
      <c r="X375" s="425"/>
      <c r="Y375" s="425"/>
      <c r="Z375" s="425"/>
      <c r="AA375" s="425"/>
      <c r="AB375" s="425"/>
      <c r="AC375" s="425"/>
      <c r="AD375" s="425"/>
      <c r="AE375" s="425"/>
      <c r="AG375" s="425"/>
      <c r="AH375" s="425"/>
      <c r="AI375" s="425"/>
      <c r="AJ375" s="425"/>
      <c r="AK375" s="425"/>
      <c r="AL375" s="425"/>
      <c r="AM375" s="425"/>
      <c r="AN375" s="425"/>
      <c r="AO375" s="425"/>
      <c r="AP375" s="425"/>
      <c r="AQ375" s="425"/>
    </row>
    <row r="376" spans="1:43" s="270" customFormat="1" x14ac:dyDescent="0.25">
      <c r="A376" s="271">
        <v>501406</v>
      </c>
      <c r="B376" s="271">
        <v>1406</v>
      </c>
      <c r="C376" s="271">
        <v>34212</v>
      </c>
      <c r="D376" s="268" t="s">
        <v>894</v>
      </c>
      <c r="E376" s="268" t="s">
        <v>1290</v>
      </c>
      <c r="F376" s="268" t="s">
        <v>2949</v>
      </c>
      <c r="G376" s="268">
        <v>11</v>
      </c>
      <c r="H376" s="268" t="s">
        <v>2796</v>
      </c>
      <c r="I376" s="268" t="s">
        <v>2946</v>
      </c>
      <c r="J376" s="458">
        <v>246727.98428074626</v>
      </c>
      <c r="K376" s="458">
        <v>20560.665356728856</v>
      </c>
      <c r="L376" s="458">
        <v>11194.760870699611</v>
      </c>
      <c r="M376" s="456">
        <v>0</v>
      </c>
      <c r="N376" s="458">
        <v>119.49693843813893</v>
      </c>
      <c r="O376" s="459">
        <v>0</v>
      </c>
      <c r="P376" s="459">
        <v>4317.7397249130599</v>
      </c>
      <c r="Q376" s="458">
        <v>55400.108403681625</v>
      </c>
      <c r="R376" s="458">
        <v>44583.746759530848</v>
      </c>
      <c r="S376" s="458">
        <v>1959.7497903854783</v>
      </c>
      <c r="T376" s="457"/>
      <c r="U376" s="425"/>
      <c r="V376" s="425"/>
      <c r="W376" s="425"/>
      <c r="X376" s="425"/>
      <c r="Y376" s="425"/>
      <c r="Z376" s="425"/>
      <c r="AA376" s="425"/>
      <c r="AB376" s="425"/>
      <c r="AC376" s="425"/>
      <c r="AD376" s="425"/>
      <c r="AE376" s="425"/>
      <c r="AG376" s="425"/>
      <c r="AH376" s="425"/>
      <c r="AI376" s="425"/>
      <c r="AJ376" s="425"/>
      <c r="AK376" s="425"/>
      <c r="AL376" s="425"/>
      <c r="AM376" s="425"/>
      <c r="AN376" s="425"/>
      <c r="AO376" s="425"/>
      <c r="AP376" s="425"/>
      <c r="AQ376" s="425"/>
    </row>
    <row r="377" spans="1:43" s="270" customFormat="1" x14ac:dyDescent="0.25">
      <c r="A377" s="271">
        <v>501444</v>
      </c>
      <c r="B377" s="271">
        <v>1444</v>
      </c>
      <c r="C377" s="271">
        <v>34238</v>
      </c>
      <c r="D377" s="268" t="s">
        <v>894</v>
      </c>
      <c r="E377" s="268" t="s">
        <v>1290</v>
      </c>
      <c r="F377" s="268" t="s">
        <v>2950</v>
      </c>
      <c r="G377" s="268">
        <v>11</v>
      </c>
      <c r="H377" s="268" t="s">
        <v>2951</v>
      </c>
      <c r="I377" s="268" t="s">
        <v>2946</v>
      </c>
      <c r="J377" s="458">
        <v>246727.98428074626</v>
      </c>
      <c r="K377" s="458">
        <v>20560.665356728856</v>
      </c>
      <c r="L377" s="458">
        <v>11194.760870699611</v>
      </c>
      <c r="M377" s="456">
        <v>0</v>
      </c>
      <c r="N377" s="458">
        <v>119.49693843813893</v>
      </c>
      <c r="O377" s="459">
        <v>0</v>
      </c>
      <c r="P377" s="459">
        <v>4317.7397249130599</v>
      </c>
      <c r="Q377" s="458">
        <v>55400.108403681625</v>
      </c>
      <c r="R377" s="458">
        <v>44583.746759530848</v>
      </c>
      <c r="S377" s="458">
        <v>1959.7497903854783</v>
      </c>
      <c r="T377" s="457"/>
      <c r="U377" s="425"/>
      <c r="V377" s="425"/>
      <c r="W377" s="425"/>
      <c r="X377" s="425"/>
      <c r="Y377" s="425"/>
      <c r="Z377" s="425"/>
      <c r="AA377" s="425"/>
      <c r="AB377" s="425"/>
      <c r="AC377" s="425"/>
      <c r="AD377" s="425"/>
      <c r="AE377" s="425"/>
      <c r="AG377" s="425"/>
      <c r="AH377" s="425"/>
      <c r="AI377" s="425"/>
      <c r="AJ377" s="425"/>
      <c r="AK377" s="425"/>
      <c r="AL377" s="425"/>
      <c r="AM377" s="425"/>
      <c r="AN377" s="425"/>
      <c r="AO377" s="425"/>
      <c r="AP377" s="425"/>
      <c r="AQ377" s="425"/>
    </row>
    <row r="378" spans="1:43" s="270" customFormat="1" x14ac:dyDescent="0.25">
      <c r="A378" s="276">
        <v>501443</v>
      </c>
      <c r="B378" s="276">
        <v>1443</v>
      </c>
      <c r="C378" s="276">
        <v>35952</v>
      </c>
      <c r="D378" s="268" t="s">
        <v>894</v>
      </c>
      <c r="E378" s="268" t="s">
        <v>1290</v>
      </c>
      <c r="F378" s="268" t="s">
        <v>2952</v>
      </c>
      <c r="G378" s="268">
        <v>11</v>
      </c>
      <c r="H378" s="268" t="s">
        <v>2295</v>
      </c>
      <c r="I378" s="268" t="s">
        <v>2946</v>
      </c>
      <c r="J378" s="456">
        <v>246727.98428074626</v>
      </c>
      <c r="K378" s="459">
        <v>20560.665356728856</v>
      </c>
      <c r="L378" s="458">
        <v>11194.760870699611</v>
      </c>
      <c r="M378" s="456">
        <v>8298.3985026485352</v>
      </c>
      <c r="N378" s="459">
        <v>119.49693843813893</v>
      </c>
      <c r="O378" s="459">
        <v>0</v>
      </c>
      <c r="P378" s="459">
        <v>4317.7397249130599</v>
      </c>
      <c r="Q378" s="458">
        <v>55400.108403681625</v>
      </c>
      <c r="R378" s="459">
        <v>44583.746759530848</v>
      </c>
      <c r="S378" s="459">
        <v>1959.7497903854783</v>
      </c>
      <c r="T378" s="457"/>
      <c r="U378" s="425"/>
      <c r="V378" s="425"/>
      <c r="W378" s="425"/>
      <c r="X378" s="425"/>
      <c r="Y378" s="425"/>
      <c r="Z378" s="425"/>
      <c r="AA378" s="425"/>
      <c r="AB378" s="425"/>
      <c r="AC378" s="425"/>
      <c r="AD378" s="425"/>
      <c r="AE378" s="425"/>
      <c r="AG378" s="425"/>
      <c r="AH378" s="425"/>
      <c r="AI378" s="425"/>
      <c r="AJ378" s="425"/>
      <c r="AK378" s="425"/>
      <c r="AL378" s="425"/>
      <c r="AM378" s="425"/>
      <c r="AN378" s="425"/>
      <c r="AO378" s="425"/>
      <c r="AP378" s="425"/>
      <c r="AQ378" s="425"/>
    </row>
    <row r="379" spans="1:43" s="270" customFormat="1" x14ac:dyDescent="0.25">
      <c r="A379" s="276">
        <v>501443</v>
      </c>
      <c r="B379" s="419">
        <v>1443</v>
      </c>
      <c r="C379" s="276">
        <v>36045</v>
      </c>
      <c r="D379" s="268" t="s">
        <v>894</v>
      </c>
      <c r="E379" s="268" t="s">
        <v>1290</v>
      </c>
      <c r="F379" s="268" t="s">
        <v>2953</v>
      </c>
      <c r="G379" s="268">
        <v>11</v>
      </c>
      <c r="H379" s="268" t="s">
        <v>2954</v>
      </c>
      <c r="I379" s="268" t="s">
        <v>2955</v>
      </c>
      <c r="J379" s="456">
        <v>246727.98428074626</v>
      </c>
      <c r="K379" s="459">
        <v>20560.665356728856</v>
      </c>
      <c r="L379" s="458">
        <v>11194.760870699611</v>
      </c>
      <c r="M379" s="456">
        <v>5532.2656684323565</v>
      </c>
      <c r="N379" s="459">
        <v>119.49693843813893</v>
      </c>
      <c r="O379" s="459">
        <v>0</v>
      </c>
      <c r="P379" s="459">
        <v>4317.7397249130599</v>
      </c>
      <c r="Q379" s="458">
        <v>55400.108403681625</v>
      </c>
      <c r="R379" s="459">
        <v>44583.746759530848</v>
      </c>
      <c r="S379" s="459">
        <v>1959.7497903854783</v>
      </c>
      <c r="T379" s="457"/>
      <c r="U379" s="425"/>
      <c r="V379" s="425"/>
      <c r="W379" s="425"/>
      <c r="X379" s="425"/>
      <c r="Y379" s="425"/>
      <c r="Z379" s="425"/>
      <c r="AA379" s="425"/>
      <c r="AB379" s="425"/>
      <c r="AC379" s="425"/>
      <c r="AD379" s="425"/>
      <c r="AE379" s="425"/>
      <c r="AG379" s="425"/>
      <c r="AH379" s="425"/>
      <c r="AI379" s="425"/>
      <c r="AJ379" s="425"/>
      <c r="AK379" s="425"/>
      <c r="AL379" s="425"/>
      <c r="AM379" s="425"/>
      <c r="AN379" s="425"/>
      <c r="AO379" s="425"/>
      <c r="AP379" s="425"/>
      <c r="AQ379" s="425"/>
    </row>
    <row r="380" spans="1:43" s="270" customFormat="1" x14ac:dyDescent="0.25">
      <c r="A380" s="276">
        <v>501444</v>
      </c>
      <c r="B380" s="276">
        <v>1444</v>
      </c>
      <c r="C380" s="276">
        <v>44260</v>
      </c>
      <c r="D380" s="268" t="s">
        <v>894</v>
      </c>
      <c r="E380" s="268" t="s">
        <v>1290</v>
      </c>
      <c r="F380" s="268" t="s">
        <v>2229</v>
      </c>
      <c r="G380" s="268">
        <v>11</v>
      </c>
      <c r="H380" s="268" t="s">
        <v>2956</v>
      </c>
      <c r="I380" s="268" t="s">
        <v>2946</v>
      </c>
      <c r="J380" s="456">
        <v>246727.98428074626</v>
      </c>
      <c r="K380" s="459">
        <v>20560.665356728856</v>
      </c>
      <c r="L380" s="458">
        <v>11194.760870699611</v>
      </c>
      <c r="M380" s="456">
        <v>5532.2656684323565</v>
      </c>
      <c r="N380" s="459">
        <v>119.49693843813893</v>
      </c>
      <c r="O380" s="459">
        <v>0</v>
      </c>
      <c r="P380" s="459">
        <v>4317.7397249130599</v>
      </c>
      <c r="Q380" s="458">
        <v>55400.108403681625</v>
      </c>
      <c r="R380" s="459">
        <v>44583.746759530848</v>
      </c>
      <c r="S380" s="459">
        <v>1959.7497903854783</v>
      </c>
      <c r="T380" s="457"/>
      <c r="U380" s="425"/>
      <c r="V380" s="425"/>
      <c r="W380" s="425"/>
      <c r="X380" s="425"/>
      <c r="Y380" s="425"/>
      <c r="Z380" s="425"/>
      <c r="AA380" s="425"/>
      <c r="AB380" s="425"/>
      <c r="AC380" s="425"/>
      <c r="AD380" s="425"/>
      <c r="AE380" s="425"/>
      <c r="AG380" s="425"/>
      <c r="AH380" s="425"/>
      <c r="AI380" s="425"/>
      <c r="AJ380" s="425"/>
      <c r="AK380" s="425"/>
      <c r="AL380" s="425"/>
      <c r="AM380" s="425"/>
      <c r="AN380" s="425"/>
      <c r="AO380" s="425"/>
      <c r="AP380" s="425"/>
      <c r="AQ380" s="425"/>
    </row>
    <row r="381" spans="1:43" s="270" customFormat="1" x14ac:dyDescent="0.25">
      <c r="A381" s="271">
        <v>501443</v>
      </c>
      <c r="B381" s="271">
        <v>1443</v>
      </c>
      <c r="C381" s="271">
        <v>51619</v>
      </c>
      <c r="D381" s="268" t="s">
        <v>894</v>
      </c>
      <c r="E381" s="268" t="s">
        <v>1278</v>
      </c>
      <c r="F381" s="268" t="s">
        <v>2957</v>
      </c>
      <c r="G381" s="268">
        <v>11</v>
      </c>
      <c r="H381" s="268" t="s">
        <v>2958</v>
      </c>
      <c r="I381" s="268" t="s">
        <v>2908</v>
      </c>
      <c r="J381" s="458">
        <v>246727.98428074626</v>
      </c>
      <c r="K381" s="458">
        <v>20560.665356728856</v>
      </c>
      <c r="L381" s="458">
        <v>11194.760870699611</v>
      </c>
      <c r="M381" s="456">
        <v>0</v>
      </c>
      <c r="N381" s="458">
        <v>119.49693843813893</v>
      </c>
      <c r="O381" s="459">
        <v>0</v>
      </c>
      <c r="P381" s="459">
        <v>4317.7397249130599</v>
      </c>
      <c r="Q381" s="458">
        <v>55400.108403681625</v>
      </c>
      <c r="R381" s="458">
        <v>44583.746759530848</v>
      </c>
      <c r="S381" s="458">
        <v>1959.7497903854783</v>
      </c>
      <c r="T381" s="457"/>
      <c r="U381" s="425"/>
      <c r="V381" s="425"/>
      <c r="W381" s="425"/>
      <c r="X381" s="425"/>
      <c r="Y381" s="425"/>
      <c r="Z381" s="425"/>
      <c r="AA381" s="425"/>
      <c r="AB381" s="425"/>
      <c r="AC381" s="425"/>
      <c r="AD381" s="425"/>
      <c r="AE381" s="425"/>
      <c r="AG381" s="425"/>
      <c r="AH381" s="425"/>
      <c r="AI381" s="425"/>
      <c r="AJ381" s="425"/>
      <c r="AK381" s="425"/>
      <c r="AL381" s="425"/>
      <c r="AM381" s="425"/>
      <c r="AN381" s="425"/>
      <c r="AO381" s="425"/>
      <c r="AP381" s="425"/>
      <c r="AQ381" s="425"/>
    </row>
    <row r="382" spans="1:43" s="270" customFormat="1" x14ac:dyDescent="0.25">
      <c r="A382" s="271">
        <v>501443</v>
      </c>
      <c r="B382" s="271">
        <v>1443</v>
      </c>
      <c r="C382" s="271">
        <v>51664</v>
      </c>
      <c r="D382" s="268" t="s">
        <v>894</v>
      </c>
      <c r="E382" s="268" t="s">
        <v>1290</v>
      </c>
      <c r="F382" s="268" t="s">
        <v>2737</v>
      </c>
      <c r="G382" s="268">
        <v>11</v>
      </c>
      <c r="H382" s="268" t="s">
        <v>2959</v>
      </c>
      <c r="I382" s="268" t="s">
        <v>2960</v>
      </c>
      <c r="J382" s="458">
        <v>246727.98428074626</v>
      </c>
      <c r="K382" s="458">
        <v>20560.665356728856</v>
      </c>
      <c r="L382" s="458">
        <v>11194.760870699611</v>
      </c>
      <c r="M382" s="456">
        <v>0</v>
      </c>
      <c r="N382" s="458">
        <v>119.49693843813893</v>
      </c>
      <c r="O382" s="459">
        <v>0</v>
      </c>
      <c r="P382" s="459">
        <v>4317.7397249130599</v>
      </c>
      <c r="Q382" s="458">
        <v>55400.108403681625</v>
      </c>
      <c r="R382" s="458">
        <v>44583.746759530848</v>
      </c>
      <c r="S382" s="458">
        <v>1959.7497903854783</v>
      </c>
      <c r="T382" s="457"/>
      <c r="U382" s="425"/>
      <c r="V382" s="425"/>
      <c r="W382" s="425"/>
      <c r="X382" s="425"/>
      <c r="Y382" s="425"/>
      <c r="Z382" s="425"/>
      <c r="AA382" s="425"/>
      <c r="AB382" s="425"/>
      <c r="AC382" s="425"/>
      <c r="AD382" s="425"/>
      <c r="AE382" s="425"/>
      <c r="AG382" s="425"/>
      <c r="AH382" s="425"/>
      <c r="AI382" s="425"/>
      <c r="AJ382" s="425"/>
      <c r="AK382" s="425"/>
      <c r="AL382" s="425"/>
      <c r="AM382" s="425"/>
      <c r="AN382" s="425"/>
      <c r="AO382" s="425"/>
      <c r="AP382" s="425"/>
      <c r="AQ382" s="425"/>
    </row>
    <row r="383" spans="1:43" s="270" customFormat="1" x14ac:dyDescent="0.25">
      <c r="A383" s="271">
        <v>501406</v>
      </c>
      <c r="B383" s="271">
        <v>1406</v>
      </c>
      <c r="C383" s="271">
        <v>51884</v>
      </c>
      <c r="D383" s="268" t="s">
        <v>894</v>
      </c>
      <c r="E383" s="268" t="s">
        <v>1290</v>
      </c>
      <c r="F383" s="268" t="s">
        <v>2838</v>
      </c>
      <c r="G383" s="268">
        <v>11</v>
      </c>
      <c r="H383" s="268" t="s">
        <v>2961</v>
      </c>
      <c r="I383" s="268" t="s">
        <v>2946</v>
      </c>
      <c r="J383" s="458">
        <v>246727.98428074626</v>
      </c>
      <c r="K383" s="458">
        <v>20560.665356728856</v>
      </c>
      <c r="L383" s="458">
        <v>11194.760870699611</v>
      </c>
      <c r="M383" s="456">
        <v>0</v>
      </c>
      <c r="N383" s="458">
        <v>119.49693843813893</v>
      </c>
      <c r="O383" s="459">
        <v>0</v>
      </c>
      <c r="P383" s="459">
        <v>4317.7397249130599</v>
      </c>
      <c r="Q383" s="458">
        <v>55400.108403681625</v>
      </c>
      <c r="R383" s="458">
        <v>44583.746759530848</v>
      </c>
      <c r="S383" s="458">
        <v>1959.7497903854783</v>
      </c>
      <c r="T383" s="457"/>
      <c r="U383" s="425"/>
      <c r="V383" s="425"/>
      <c r="W383" s="425"/>
      <c r="X383" s="425"/>
      <c r="Y383" s="425"/>
      <c r="Z383" s="425"/>
      <c r="AA383" s="425"/>
      <c r="AB383" s="425"/>
      <c r="AC383" s="425"/>
      <c r="AD383" s="425"/>
      <c r="AE383" s="425"/>
      <c r="AG383" s="425"/>
      <c r="AH383" s="425"/>
      <c r="AI383" s="425"/>
      <c r="AJ383" s="425"/>
      <c r="AK383" s="425"/>
      <c r="AL383" s="425"/>
      <c r="AM383" s="425"/>
      <c r="AN383" s="425"/>
      <c r="AO383" s="425"/>
      <c r="AP383" s="425"/>
      <c r="AQ383" s="425"/>
    </row>
    <row r="384" spans="1:43" s="270" customFormat="1" x14ac:dyDescent="0.25">
      <c r="A384" s="271">
        <v>501406</v>
      </c>
      <c r="B384" s="271">
        <v>1406</v>
      </c>
      <c r="C384" s="271">
        <v>51907</v>
      </c>
      <c r="D384" s="268" t="s">
        <v>894</v>
      </c>
      <c r="E384" s="268" t="s">
        <v>1290</v>
      </c>
      <c r="F384" s="268" t="s">
        <v>1293</v>
      </c>
      <c r="G384" s="268">
        <v>11</v>
      </c>
      <c r="H384" s="268" t="s">
        <v>2962</v>
      </c>
      <c r="I384" s="268" t="s">
        <v>2963</v>
      </c>
      <c r="J384" s="458">
        <v>246727.98428074626</v>
      </c>
      <c r="K384" s="458">
        <v>20560.665356728856</v>
      </c>
      <c r="L384" s="458">
        <v>11194.760870699611</v>
      </c>
      <c r="M384" s="456">
        <v>0</v>
      </c>
      <c r="N384" s="458">
        <v>119.49693843813893</v>
      </c>
      <c r="O384" s="459">
        <v>0</v>
      </c>
      <c r="P384" s="459">
        <v>4317.7397249130599</v>
      </c>
      <c r="Q384" s="458">
        <v>55400.108403681625</v>
      </c>
      <c r="R384" s="458">
        <v>44583.746759530848</v>
      </c>
      <c r="S384" s="458">
        <v>1959.7497903854783</v>
      </c>
      <c r="T384" s="457"/>
      <c r="U384" s="425"/>
      <c r="V384" s="425"/>
      <c r="W384" s="425"/>
      <c r="X384" s="425"/>
      <c r="Y384" s="425"/>
      <c r="Z384" s="425"/>
      <c r="AA384" s="425"/>
      <c r="AB384" s="425"/>
      <c r="AC384" s="425"/>
      <c r="AD384" s="425"/>
      <c r="AE384" s="425"/>
      <c r="AG384" s="425"/>
      <c r="AH384" s="425"/>
      <c r="AI384" s="425"/>
      <c r="AJ384" s="425"/>
      <c r="AK384" s="425"/>
      <c r="AL384" s="425"/>
      <c r="AM384" s="425"/>
      <c r="AN384" s="425"/>
      <c r="AO384" s="425"/>
      <c r="AP384" s="425"/>
      <c r="AQ384" s="425"/>
    </row>
    <row r="385" spans="1:43" s="270" customFormat="1" x14ac:dyDescent="0.25">
      <c r="A385" s="276">
        <v>501443</v>
      </c>
      <c r="B385" s="276">
        <v>1443</v>
      </c>
      <c r="C385" s="276">
        <v>83658</v>
      </c>
      <c r="D385" s="268" t="s">
        <v>894</v>
      </c>
      <c r="E385" s="268" t="s">
        <v>1290</v>
      </c>
      <c r="F385" s="268" t="s">
        <v>2964</v>
      </c>
      <c r="G385" s="268">
        <v>11</v>
      </c>
      <c r="H385" s="268" t="s">
        <v>2965</v>
      </c>
      <c r="I385" s="268" t="s">
        <v>2946</v>
      </c>
      <c r="J385" s="456">
        <v>246727.98428074626</v>
      </c>
      <c r="K385" s="459">
        <v>20560.665356728856</v>
      </c>
      <c r="L385" s="458">
        <v>11194.760870699611</v>
      </c>
      <c r="M385" s="456">
        <v>8298.3985026485352</v>
      </c>
      <c r="N385" s="459">
        <v>119.49693843813893</v>
      </c>
      <c r="O385" s="459">
        <v>0</v>
      </c>
      <c r="P385" s="459">
        <v>4317.7397249130599</v>
      </c>
      <c r="Q385" s="458">
        <v>55400.108403681625</v>
      </c>
      <c r="R385" s="459">
        <v>44583.746759530848</v>
      </c>
      <c r="S385" s="459">
        <v>1959.7497903854783</v>
      </c>
      <c r="T385" s="457"/>
      <c r="U385" s="425"/>
      <c r="V385" s="425"/>
      <c r="W385" s="425"/>
      <c r="X385" s="425"/>
      <c r="Y385" s="425"/>
      <c r="Z385" s="425"/>
      <c r="AA385" s="425"/>
      <c r="AB385" s="425"/>
      <c r="AC385" s="425"/>
      <c r="AD385" s="425"/>
      <c r="AE385" s="425"/>
      <c r="AG385" s="425"/>
      <c r="AH385" s="425"/>
      <c r="AI385" s="425"/>
      <c r="AJ385" s="425"/>
      <c r="AK385" s="425"/>
      <c r="AL385" s="425"/>
      <c r="AM385" s="425"/>
      <c r="AN385" s="425"/>
      <c r="AO385" s="425"/>
      <c r="AP385" s="425"/>
      <c r="AQ385" s="425"/>
    </row>
    <row r="386" spans="1:43" s="270" customFormat="1" x14ac:dyDescent="0.25">
      <c r="A386" s="276">
        <v>501443</v>
      </c>
      <c r="B386" s="276">
        <v>1443</v>
      </c>
      <c r="C386" s="276">
        <v>83742</v>
      </c>
      <c r="D386" s="268" t="s">
        <v>894</v>
      </c>
      <c r="E386" s="268" t="s">
        <v>1290</v>
      </c>
      <c r="F386" s="268" t="s">
        <v>2966</v>
      </c>
      <c r="G386" s="268">
        <v>11</v>
      </c>
      <c r="H386" s="268" t="s">
        <v>2967</v>
      </c>
      <c r="I386" s="268" t="s">
        <v>2946</v>
      </c>
      <c r="J386" s="456">
        <v>246727.98428074626</v>
      </c>
      <c r="K386" s="459">
        <v>20560.665356728856</v>
      </c>
      <c r="L386" s="458">
        <v>11194.760870699611</v>
      </c>
      <c r="M386" s="456">
        <v>8298.3985026485352</v>
      </c>
      <c r="N386" s="459">
        <v>119.49693843813893</v>
      </c>
      <c r="O386" s="459">
        <v>0</v>
      </c>
      <c r="P386" s="459">
        <v>4317.7397249130599</v>
      </c>
      <c r="Q386" s="458">
        <v>55400.108403681625</v>
      </c>
      <c r="R386" s="459">
        <v>44583.746759530848</v>
      </c>
      <c r="S386" s="459">
        <v>1959.7497903854783</v>
      </c>
      <c r="T386" s="457"/>
      <c r="U386" s="425"/>
      <c r="V386" s="425"/>
      <c r="W386" s="425"/>
      <c r="X386" s="425"/>
      <c r="Y386" s="425"/>
      <c r="Z386" s="425"/>
      <c r="AA386" s="425"/>
      <c r="AB386" s="425"/>
      <c r="AC386" s="425"/>
      <c r="AD386" s="425"/>
      <c r="AE386" s="425"/>
      <c r="AG386" s="425"/>
      <c r="AH386" s="425"/>
      <c r="AI386" s="425"/>
      <c r="AJ386" s="425"/>
      <c r="AK386" s="425"/>
      <c r="AL386" s="425"/>
      <c r="AM386" s="425"/>
      <c r="AN386" s="425"/>
      <c r="AO386" s="425"/>
      <c r="AP386" s="425"/>
      <c r="AQ386" s="425"/>
    </row>
    <row r="387" spans="1:43" s="270" customFormat="1" x14ac:dyDescent="0.25">
      <c r="A387" s="276">
        <v>501443</v>
      </c>
      <c r="B387" s="276">
        <v>1443</v>
      </c>
      <c r="C387" s="276">
        <v>83755</v>
      </c>
      <c r="D387" s="268" t="s">
        <v>894</v>
      </c>
      <c r="E387" s="268" t="s">
        <v>1290</v>
      </c>
      <c r="F387" s="268" t="s">
        <v>2968</v>
      </c>
      <c r="G387" s="268">
        <v>11</v>
      </c>
      <c r="H387" s="268" t="s">
        <v>2969</v>
      </c>
      <c r="I387" s="268" t="s">
        <v>2946</v>
      </c>
      <c r="J387" s="456">
        <v>246727.98428074626</v>
      </c>
      <c r="K387" s="459">
        <v>20560.665356728856</v>
      </c>
      <c r="L387" s="458">
        <v>11194.760870699611</v>
      </c>
      <c r="M387" s="456">
        <v>8298.3985026485352</v>
      </c>
      <c r="N387" s="459">
        <v>119.49693843813893</v>
      </c>
      <c r="O387" s="459">
        <v>0</v>
      </c>
      <c r="P387" s="459">
        <v>4317.7397249130599</v>
      </c>
      <c r="Q387" s="458">
        <v>55400.108403681625</v>
      </c>
      <c r="R387" s="459">
        <v>44583.746759530848</v>
      </c>
      <c r="S387" s="459">
        <v>1959.7497903854783</v>
      </c>
      <c r="T387" s="457"/>
      <c r="U387" s="425"/>
      <c r="V387" s="425"/>
      <c r="W387" s="425"/>
      <c r="X387" s="425"/>
      <c r="Y387" s="425"/>
      <c r="Z387" s="425"/>
      <c r="AA387" s="425"/>
      <c r="AB387" s="425"/>
      <c r="AC387" s="425"/>
      <c r="AD387" s="425"/>
      <c r="AE387" s="425"/>
      <c r="AG387" s="425"/>
      <c r="AH387" s="425"/>
      <c r="AI387" s="425"/>
      <c r="AJ387" s="425"/>
      <c r="AK387" s="425"/>
      <c r="AL387" s="425"/>
      <c r="AM387" s="425"/>
      <c r="AN387" s="425"/>
      <c r="AO387" s="425"/>
      <c r="AP387" s="425"/>
      <c r="AQ387" s="425"/>
    </row>
    <row r="388" spans="1:43" s="270" customFormat="1" x14ac:dyDescent="0.25">
      <c r="A388" s="276">
        <v>501443</v>
      </c>
      <c r="B388" s="276">
        <v>1443</v>
      </c>
      <c r="C388" s="276">
        <v>84026</v>
      </c>
      <c r="D388" s="268" t="s">
        <v>894</v>
      </c>
      <c r="E388" s="268" t="s">
        <v>1290</v>
      </c>
      <c r="F388" s="268" t="s">
        <v>2637</v>
      </c>
      <c r="G388" s="268">
        <v>11</v>
      </c>
      <c r="H388" s="268" t="s">
        <v>2970</v>
      </c>
      <c r="I388" s="268" t="s">
        <v>2946</v>
      </c>
      <c r="J388" s="456">
        <v>246727.98428074626</v>
      </c>
      <c r="K388" s="459">
        <v>20560.665356728856</v>
      </c>
      <c r="L388" s="458">
        <v>11194.760870699611</v>
      </c>
      <c r="M388" s="456">
        <v>8298.3985026485352</v>
      </c>
      <c r="N388" s="459">
        <v>119.49693843813893</v>
      </c>
      <c r="O388" s="459">
        <v>0</v>
      </c>
      <c r="P388" s="459">
        <v>4317.7397249130599</v>
      </c>
      <c r="Q388" s="458">
        <v>55400.108403681625</v>
      </c>
      <c r="R388" s="459">
        <v>44583.746759530848</v>
      </c>
      <c r="S388" s="459">
        <v>1959.7497903854783</v>
      </c>
      <c r="T388" s="457"/>
      <c r="U388" s="425"/>
      <c r="V388" s="425"/>
      <c r="W388" s="425"/>
      <c r="X388" s="425"/>
      <c r="Y388" s="425"/>
      <c r="Z388" s="425"/>
      <c r="AA388" s="425"/>
      <c r="AB388" s="425"/>
      <c r="AC388" s="425"/>
      <c r="AD388" s="425"/>
      <c r="AE388" s="425"/>
      <c r="AG388" s="425"/>
      <c r="AH388" s="425"/>
      <c r="AI388" s="425"/>
      <c r="AJ388" s="425"/>
      <c r="AK388" s="425"/>
      <c r="AL388" s="425"/>
      <c r="AM388" s="425"/>
      <c r="AN388" s="425"/>
      <c r="AO388" s="425"/>
      <c r="AP388" s="425"/>
      <c r="AQ388" s="425"/>
    </row>
    <row r="389" spans="1:43" s="270" customFormat="1" x14ac:dyDescent="0.25">
      <c r="A389" s="271">
        <v>501204</v>
      </c>
      <c r="B389" s="271">
        <v>1204</v>
      </c>
      <c r="C389" s="271">
        <v>51635</v>
      </c>
      <c r="D389" s="268" t="s">
        <v>894</v>
      </c>
      <c r="E389" s="268" t="s">
        <v>1278</v>
      </c>
      <c r="F389" s="268" t="s">
        <v>2971</v>
      </c>
      <c r="G389" s="268">
        <v>10</v>
      </c>
      <c r="H389" s="268" t="s">
        <v>2972</v>
      </c>
      <c r="I389" s="268" t="s">
        <v>2906</v>
      </c>
      <c r="J389" s="458">
        <v>241118.26689295584</v>
      </c>
      <c r="K389" s="458">
        <v>20093.18890774632</v>
      </c>
      <c r="L389" s="458">
        <v>11194.760870699611</v>
      </c>
      <c r="M389" s="456">
        <v>0</v>
      </c>
      <c r="N389" s="458">
        <v>119.49693843813893</v>
      </c>
      <c r="O389" s="459">
        <v>0</v>
      </c>
      <c r="P389" s="459">
        <v>4219.5696706267281</v>
      </c>
      <c r="Q389" s="458">
        <v>55400.108403681625</v>
      </c>
      <c r="R389" s="458">
        <v>43570.070827557123</v>
      </c>
      <c r="S389" s="458">
        <v>1959.7497903854783</v>
      </c>
      <c r="T389" s="457"/>
      <c r="U389" s="425"/>
      <c r="V389" s="425"/>
      <c r="W389" s="425"/>
      <c r="X389" s="425"/>
      <c r="Y389" s="425"/>
      <c r="Z389" s="425"/>
      <c r="AA389" s="425"/>
      <c r="AB389" s="425"/>
      <c r="AC389" s="425"/>
      <c r="AD389" s="425"/>
      <c r="AE389" s="425"/>
      <c r="AG389" s="425"/>
      <c r="AH389" s="425"/>
      <c r="AI389" s="425"/>
      <c r="AJ389" s="425"/>
      <c r="AK389" s="425"/>
      <c r="AL389" s="425"/>
      <c r="AM389" s="425"/>
      <c r="AN389" s="425"/>
      <c r="AO389" s="425"/>
      <c r="AP389" s="425"/>
      <c r="AQ389" s="425"/>
    </row>
    <row r="390" spans="1:43" s="270" customFormat="1" x14ac:dyDescent="0.25">
      <c r="A390" s="271">
        <v>501204</v>
      </c>
      <c r="B390" s="271">
        <v>1204</v>
      </c>
      <c r="C390" s="271">
        <v>200012</v>
      </c>
      <c r="D390" s="268" t="s">
        <v>1698</v>
      </c>
      <c r="E390" s="268" t="s">
        <v>1278</v>
      </c>
      <c r="F390" s="268" t="s">
        <v>2973</v>
      </c>
      <c r="G390" s="268">
        <v>10</v>
      </c>
      <c r="H390" s="268" t="s">
        <v>2974</v>
      </c>
      <c r="I390" s="268" t="s">
        <v>2906</v>
      </c>
      <c r="J390" s="458">
        <v>241118.26689295584</v>
      </c>
      <c r="K390" s="458">
        <v>20093.18890774632</v>
      </c>
      <c r="L390" s="458">
        <v>11194.760870699611</v>
      </c>
      <c r="M390" s="456">
        <v>0</v>
      </c>
      <c r="N390" s="458">
        <v>119.49693843813893</v>
      </c>
      <c r="O390" s="459">
        <v>0</v>
      </c>
      <c r="P390" s="459">
        <v>4219.5696706267281</v>
      </c>
      <c r="Q390" s="458">
        <v>55400.108403681625</v>
      </c>
      <c r="R390" s="458">
        <v>43570.070827557123</v>
      </c>
      <c r="S390" s="458">
        <v>1959.7497903854783</v>
      </c>
      <c r="T390" s="457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G390" s="425"/>
      <c r="AH390" s="425"/>
      <c r="AI390" s="425"/>
      <c r="AJ390" s="425"/>
      <c r="AK390" s="425"/>
      <c r="AL390" s="425"/>
      <c r="AM390" s="425"/>
      <c r="AN390" s="425"/>
      <c r="AO390" s="425"/>
      <c r="AP390" s="425"/>
      <c r="AQ390" s="425"/>
    </row>
    <row r="391" spans="1:43" s="270" customFormat="1" x14ac:dyDescent="0.25">
      <c r="A391" s="276">
        <v>501443</v>
      </c>
      <c r="B391" s="276">
        <v>1443</v>
      </c>
      <c r="C391" s="276">
        <v>34128</v>
      </c>
      <c r="D391" s="268" t="s">
        <v>894</v>
      </c>
      <c r="E391" s="268" t="s">
        <v>1290</v>
      </c>
      <c r="F391" s="268" t="s">
        <v>2971</v>
      </c>
      <c r="G391" s="268">
        <v>11</v>
      </c>
      <c r="H391" s="268" t="s">
        <v>2975</v>
      </c>
      <c r="I391" s="268" t="s">
        <v>2946</v>
      </c>
      <c r="J391" s="456">
        <v>241118.26689295584</v>
      </c>
      <c r="K391" s="459">
        <v>20093.18890774632</v>
      </c>
      <c r="L391" s="458">
        <v>11194.760870699611</v>
      </c>
      <c r="M391" s="456">
        <v>8298.3985026485352</v>
      </c>
      <c r="N391" s="459">
        <v>119.49693843813893</v>
      </c>
      <c r="O391" s="459">
        <v>0</v>
      </c>
      <c r="P391" s="459">
        <v>4219.5696706267281</v>
      </c>
      <c r="Q391" s="458">
        <v>55400.108403681625</v>
      </c>
      <c r="R391" s="459">
        <v>43570.070827557123</v>
      </c>
      <c r="S391" s="459">
        <v>1959.7497903854783</v>
      </c>
      <c r="T391" s="457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G391" s="425"/>
      <c r="AH391" s="425"/>
      <c r="AI391" s="425"/>
      <c r="AJ391" s="425"/>
      <c r="AK391" s="425"/>
      <c r="AL391" s="425"/>
      <c r="AM391" s="425"/>
      <c r="AN391" s="425"/>
      <c r="AO391" s="425"/>
      <c r="AP391" s="425"/>
      <c r="AQ391" s="425"/>
    </row>
    <row r="392" spans="1:43" s="270" customFormat="1" x14ac:dyDescent="0.25">
      <c r="A392" s="271">
        <v>501443</v>
      </c>
      <c r="B392" s="271">
        <v>1443</v>
      </c>
      <c r="C392" s="271">
        <v>56562</v>
      </c>
      <c r="D392" s="268" t="s">
        <v>894</v>
      </c>
      <c r="E392" s="268" t="s">
        <v>1290</v>
      </c>
      <c r="F392" s="268" t="s">
        <v>2976</v>
      </c>
      <c r="G392" s="268">
        <v>11</v>
      </c>
      <c r="H392" s="268" t="s">
        <v>2977</v>
      </c>
      <c r="I392" s="268" t="s">
        <v>2978</v>
      </c>
      <c r="J392" s="458">
        <v>241118.26689295584</v>
      </c>
      <c r="K392" s="458">
        <v>20093.18890774632</v>
      </c>
      <c r="L392" s="458">
        <v>11194.760870699611</v>
      </c>
      <c r="M392" s="456">
        <v>0</v>
      </c>
      <c r="N392" s="458">
        <v>119.49693843813893</v>
      </c>
      <c r="O392" s="459">
        <v>0</v>
      </c>
      <c r="P392" s="459">
        <v>4219.5696706267281</v>
      </c>
      <c r="Q392" s="458">
        <v>55400.108403681625</v>
      </c>
      <c r="R392" s="458">
        <v>43570.070827557123</v>
      </c>
      <c r="S392" s="458">
        <v>1959.7497903854783</v>
      </c>
      <c r="T392" s="457"/>
      <c r="U392" s="425"/>
      <c r="V392" s="425"/>
      <c r="W392" s="425"/>
      <c r="X392" s="425"/>
      <c r="Y392" s="425"/>
      <c r="Z392" s="425"/>
      <c r="AA392" s="425"/>
      <c r="AB392" s="425"/>
      <c r="AC392" s="425"/>
      <c r="AD392" s="425"/>
      <c r="AE392" s="425"/>
      <c r="AG392" s="425"/>
      <c r="AH392" s="425"/>
      <c r="AI392" s="425"/>
      <c r="AJ392" s="425"/>
      <c r="AK392" s="425"/>
      <c r="AL392" s="425"/>
      <c r="AM392" s="425"/>
      <c r="AN392" s="425"/>
      <c r="AO392" s="425"/>
      <c r="AP392" s="425"/>
      <c r="AQ392" s="425"/>
    </row>
    <row r="393" spans="1:43" s="270" customFormat="1" x14ac:dyDescent="0.25">
      <c r="A393" s="416">
        <v>501406</v>
      </c>
      <c r="B393" s="271">
        <v>1406</v>
      </c>
      <c r="C393" s="271">
        <v>200349</v>
      </c>
      <c r="D393" s="268" t="s">
        <v>894</v>
      </c>
      <c r="E393" s="268" t="s">
        <v>1278</v>
      </c>
      <c r="F393" s="268" t="s">
        <v>2979</v>
      </c>
      <c r="G393" s="268">
        <v>11</v>
      </c>
      <c r="H393" s="268" t="s">
        <v>2980</v>
      </c>
      <c r="I393" s="268" t="s">
        <v>2848</v>
      </c>
      <c r="J393" s="458">
        <v>240753.1373588393</v>
      </c>
      <c r="K393" s="458">
        <v>20062.761446569941</v>
      </c>
      <c r="L393" s="458">
        <v>11194.760870699611</v>
      </c>
      <c r="M393" s="456">
        <v>0</v>
      </c>
      <c r="N393" s="458">
        <v>119.49693843813893</v>
      </c>
      <c r="O393" s="459">
        <v>0</v>
      </c>
      <c r="P393" s="459">
        <v>4213.1799037796882</v>
      </c>
      <c r="Q393" s="458">
        <v>55400.108403681625</v>
      </c>
      <c r="R393" s="458">
        <v>43504.091920742263</v>
      </c>
      <c r="S393" s="458">
        <v>1959.7497903854783</v>
      </c>
      <c r="T393" s="457"/>
      <c r="U393" s="425"/>
      <c r="V393" s="425"/>
      <c r="W393" s="425"/>
      <c r="X393" s="425"/>
      <c r="Y393" s="425"/>
      <c r="Z393" s="425"/>
      <c r="AA393" s="425"/>
      <c r="AB393" s="425"/>
      <c r="AC393" s="425"/>
      <c r="AD393" s="425"/>
      <c r="AE393" s="425"/>
      <c r="AG393" s="425"/>
      <c r="AH393" s="425"/>
      <c r="AI393" s="425"/>
      <c r="AJ393" s="425"/>
      <c r="AK393" s="425"/>
      <c r="AL393" s="425"/>
      <c r="AM393" s="425"/>
      <c r="AN393" s="425"/>
      <c r="AO393" s="425"/>
      <c r="AP393" s="425"/>
      <c r="AQ393" s="425"/>
    </row>
    <row r="394" spans="1:43" s="270" customFormat="1" x14ac:dyDescent="0.25">
      <c r="A394" s="271">
        <v>501406</v>
      </c>
      <c r="B394" s="271">
        <v>1406</v>
      </c>
      <c r="C394" s="271">
        <v>83632</v>
      </c>
      <c r="D394" s="268" t="s">
        <v>894</v>
      </c>
      <c r="E394" s="268" t="s">
        <v>1290</v>
      </c>
      <c r="F394" s="268" t="s">
        <v>2647</v>
      </c>
      <c r="G394" s="268">
        <v>10</v>
      </c>
      <c r="H394" s="268" t="s">
        <v>2981</v>
      </c>
      <c r="I394" s="268" t="s">
        <v>2848</v>
      </c>
      <c r="J394" s="458">
        <v>235630.25934987093</v>
      </c>
      <c r="K394" s="458">
        <v>19635.854945822579</v>
      </c>
      <c r="L394" s="458">
        <v>11194.760870699611</v>
      </c>
      <c r="M394" s="456">
        <v>0</v>
      </c>
      <c r="N394" s="458">
        <v>119.49693843813893</v>
      </c>
      <c r="O394" s="459">
        <v>0</v>
      </c>
      <c r="P394" s="459">
        <v>4123.5295386227426</v>
      </c>
      <c r="Q394" s="458">
        <v>55400.108403681625</v>
      </c>
      <c r="R394" s="458">
        <v>42578.387864521676</v>
      </c>
      <c r="S394" s="458">
        <v>1959.7497903854783</v>
      </c>
      <c r="T394" s="457"/>
      <c r="U394" s="425"/>
      <c r="V394" s="425"/>
      <c r="W394" s="425"/>
      <c r="X394" s="425"/>
      <c r="Y394" s="425"/>
      <c r="Z394" s="425"/>
      <c r="AA394" s="425"/>
      <c r="AB394" s="425"/>
      <c r="AC394" s="425"/>
      <c r="AD394" s="425"/>
      <c r="AE394" s="425"/>
      <c r="AG394" s="425"/>
      <c r="AH394" s="425"/>
      <c r="AI394" s="425"/>
      <c r="AJ394" s="425"/>
      <c r="AK394" s="425"/>
      <c r="AL394" s="425"/>
      <c r="AM394" s="425"/>
      <c r="AN394" s="425"/>
      <c r="AO394" s="425"/>
      <c r="AP394" s="425"/>
      <c r="AQ394" s="425"/>
    </row>
    <row r="395" spans="1:43" s="270" customFormat="1" x14ac:dyDescent="0.25">
      <c r="A395" s="271">
        <v>501406</v>
      </c>
      <c r="B395" s="271">
        <v>1406</v>
      </c>
      <c r="C395" s="271">
        <v>83700</v>
      </c>
      <c r="D395" s="268" t="s">
        <v>894</v>
      </c>
      <c r="E395" s="268" t="s">
        <v>1290</v>
      </c>
      <c r="F395" s="268" t="s">
        <v>2982</v>
      </c>
      <c r="G395" s="268">
        <v>10</v>
      </c>
      <c r="H395" s="268" t="s">
        <v>2983</v>
      </c>
      <c r="I395" s="268" t="s">
        <v>2848</v>
      </c>
      <c r="J395" s="458">
        <v>235630.25934987093</v>
      </c>
      <c r="K395" s="458">
        <v>19635.854945822579</v>
      </c>
      <c r="L395" s="458">
        <v>11194.760870699611</v>
      </c>
      <c r="M395" s="456">
        <v>0</v>
      </c>
      <c r="N395" s="458">
        <v>119.49693843813893</v>
      </c>
      <c r="O395" s="459">
        <v>0</v>
      </c>
      <c r="P395" s="459">
        <v>4123.5295386227426</v>
      </c>
      <c r="Q395" s="458">
        <v>55400.108403681625</v>
      </c>
      <c r="R395" s="458">
        <v>42578.387864521676</v>
      </c>
      <c r="S395" s="458">
        <v>1959.7497903854783</v>
      </c>
      <c r="T395" s="457"/>
      <c r="U395" s="425"/>
      <c r="V395" s="425"/>
      <c r="W395" s="425"/>
      <c r="X395" s="425"/>
      <c r="Y395" s="425"/>
      <c r="Z395" s="425"/>
      <c r="AA395" s="425"/>
      <c r="AB395" s="425"/>
      <c r="AC395" s="425"/>
      <c r="AD395" s="425"/>
      <c r="AE395" s="425"/>
      <c r="AG395" s="425"/>
      <c r="AH395" s="425"/>
      <c r="AI395" s="425"/>
      <c r="AJ395" s="425"/>
      <c r="AK395" s="425"/>
      <c r="AL395" s="425"/>
      <c r="AM395" s="425"/>
      <c r="AN395" s="425"/>
      <c r="AO395" s="425"/>
      <c r="AP395" s="425"/>
      <c r="AQ395" s="425"/>
    </row>
    <row r="396" spans="1:43" s="270" customFormat="1" x14ac:dyDescent="0.25">
      <c r="A396" s="271">
        <v>501203</v>
      </c>
      <c r="B396" s="271">
        <v>1203</v>
      </c>
      <c r="C396" s="271">
        <v>200011</v>
      </c>
      <c r="D396" s="268" t="s">
        <v>894</v>
      </c>
      <c r="E396" s="268" t="s">
        <v>1278</v>
      </c>
      <c r="F396" s="268" t="s">
        <v>2984</v>
      </c>
      <c r="G396" s="268">
        <v>10</v>
      </c>
      <c r="H396" s="268" t="s">
        <v>2985</v>
      </c>
      <c r="I396" s="268" t="s">
        <v>2929</v>
      </c>
      <c r="J396" s="458">
        <v>235630.25934987093</v>
      </c>
      <c r="K396" s="458">
        <v>19635.854945822579</v>
      </c>
      <c r="L396" s="458">
        <v>11194.760870699611</v>
      </c>
      <c r="M396" s="456">
        <v>0</v>
      </c>
      <c r="N396" s="458">
        <v>119.49693843813893</v>
      </c>
      <c r="O396" s="459">
        <v>0</v>
      </c>
      <c r="P396" s="459">
        <v>4123.5295386227426</v>
      </c>
      <c r="Q396" s="458">
        <v>55400.108403681625</v>
      </c>
      <c r="R396" s="458">
        <v>42578.387864521676</v>
      </c>
      <c r="S396" s="458">
        <v>1959.7497903854783</v>
      </c>
      <c r="T396" s="457"/>
      <c r="U396" s="425"/>
      <c r="V396" s="425"/>
      <c r="W396" s="425"/>
      <c r="X396" s="425"/>
      <c r="Y396" s="425"/>
      <c r="Z396" s="425"/>
      <c r="AA396" s="425"/>
      <c r="AB396" s="425"/>
      <c r="AC396" s="425"/>
      <c r="AD396" s="425"/>
      <c r="AE396" s="425"/>
      <c r="AG396" s="425"/>
      <c r="AH396" s="425"/>
      <c r="AI396" s="425"/>
      <c r="AJ396" s="425"/>
      <c r="AK396" s="425"/>
      <c r="AL396" s="425"/>
      <c r="AM396" s="425"/>
      <c r="AN396" s="425"/>
      <c r="AO396" s="425"/>
      <c r="AP396" s="425"/>
      <c r="AQ396" s="425"/>
    </row>
    <row r="397" spans="1:43" s="270" customFormat="1" x14ac:dyDescent="0.25">
      <c r="A397" s="271">
        <v>501406</v>
      </c>
      <c r="B397" s="271">
        <v>1406</v>
      </c>
      <c r="C397" s="271">
        <v>200123</v>
      </c>
      <c r="D397" s="268" t="s">
        <v>894</v>
      </c>
      <c r="E397" s="268" t="s">
        <v>1278</v>
      </c>
      <c r="F397" s="268" t="s">
        <v>2434</v>
      </c>
      <c r="G397" s="268">
        <v>10</v>
      </c>
      <c r="H397" s="268" t="s">
        <v>2582</v>
      </c>
      <c r="I397" s="268" t="s">
        <v>2848</v>
      </c>
      <c r="J397" s="458">
        <v>235630.25934987093</v>
      </c>
      <c r="K397" s="458">
        <v>19635.854945822579</v>
      </c>
      <c r="L397" s="458">
        <v>11194.760870699611</v>
      </c>
      <c r="M397" s="456">
        <v>0</v>
      </c>
      <c r="N397" s="458">
        <v>119.49693843813893</v>
      </c>
      <c r="O397" s="459">
        <v>0</v>
      </c>
      <c r="P397" s="459">
        <v>4123.5295386227426</v>
      </c>
      <c r="Q397" s="458">
        <v>55400.108403681625</v>
      </c>
      <c r="R397" s="458">
        <v>42578.387864521676</v>
      </c>
      <c r="S397" s="458">
        <v>1959.7497903854783</v>
      </c>
      <c r="T397" s="457"/>
      <c r="U397" s="425"/>
      <c r="V397" s="425"/>
      <c r="W397" s="425"/>
      <c r="X397" s="425"/>
      <c r="Y397" s="425"/>
      <c r="Z397" s="425"/>
      <c r="AA397" s="425"/>
      <c r="AB397" s="425"/>
      <c r="AC397" s="425"/>
      <c r="AD397" s="425"/>
      <c r="AE397" s="425"/>
      <c r="AG397" s="425"/>
      <c r="AH397" s="425"/>
      <c r="AI397" s="425"/>
      <c r="AJ397" s="425"/>
      <c r="AK397" s="425"/>
      <c r="AL397" s="425"/>
      <c r="AM397" s="425"/>
      <c r="AN397" s="425"/>
      <c r="AO397" s="425"/>
      <c r="AP397" s="425"/>
      <c r="AQ397" s="425"/>
    </row>
    <row r="398" spans="1:43" s="270" customFormat="1" x14ac:dyDescent="0.25">
      <c r="A398" s="271">
        <v>501443</v>
      </c>
      <c r="B398" s="271">
        <v>1443</v>
      </c>
      <c r="C398" s="271">
        <v>200160</v>
      </c>
      <c r="D398" s="268" t="s">
        <v>894</v>
      </c>
      <c r="E398" s="268" t="s">
        <v>1278</v>
      </c>
      <c r="F398" s="268" t="s">
        <v>1306</v>
      </c>
      <c r="G398" s="268">
        <v>10</v>
      </c>
      <c r="H398" s="268" t="s">
        <v>2986</v>
      </c>
      <c r="I398" s="268" t="s">
        <v>2987</v>
      </c>
      <c r="J398" s="458">
        <v>235630.25934987093</v>
      </c>
      <c r="K398" s="458">
        <v>19635.854945822579</v>
      </c>
      <c r="L398" s="458">
        <v>11194.760870699611</v>
      </c>
      <c r="M398" s="456">
        <v>0</v>
      </c>
      <c r="N398" s="458">
        <v>119.49693843813893</v>
      </c>
      <c r="O398" s="459">
        <v>0</v>
      </c>
      <c r="P398" s="459">
        <v>4123.5295386227426</v>
      </c>
      <c r="Q398" s="458">
        <v>55400.108403681625</v>
      </c>
      <c r="R398" s="458">
        <v>42578.387864521676</v>
      </c>
      <c r="S398" s="458">
        <v>1959.7497903854783</v>
      </c>
      <c r="T398" s="457"/>
      <c r="U398" s="425"/>
      <c r="V398" s="425"/>
      <c r="W398" s="425"/>
      <c r="X398" s="425"/>
      <c r="Y398" s="425"/>
      <c r="Z398" s="425"/>
      <c r="AA398" s="425"/>
      <c r="AB398" s="425"/>
      <c r="AC398" s="425"/>
      <c r="AD398" s="425"/>
      <c r="AE398" s="425"/>
      <c r="AG398" s="425"/>
      <c r="AH398" s="425"/>
      <c r="AI398" s="425"/>
      <c r="AJ398" s="425"/>
      <c r="AK398" s="425"/>
      <c r="AL398" s="425"/>
      <c r="AM398" s="425"/>
      <c r="AN398" s="425"/>
      <c r="AO398" s="425"/>
      <c r="AP398" s="425"/>
      <c r="AQ398" s="425"/>
    </row>
    <row r="399" spans="1:43" s="270" customFormat="1" x14ac:dyDescent="0.25">
      <c r="A399" s="416">
        <v>501445</v>
      </c>
      <c r="B399" s="271">
        <v>1445</v>
      </c>
      <c r="C399" s="271">
        <v>200321</v>
      </c>
      <c r="D399" s="268" t="s">
        <v>894</v>
      </c>
      <c r="E399" s="268" t="s">
        <v>1278</v>
      </c>
      <c r="F399" s="268" t="s">
        <v>2971</v>
      </c>
      <c r="G399" s="268">
        <v>10</v>
      </c>
      <c r="H399" s="268" t="s">
        <v>2635</v>
      </c>
      <c r="I399" s="268" t="s">
        <v>2844</v>
      </c>
      <c r="J399" s="458">
        <v>235630.25934987093</v>
      </c>
      <c r="K399" s="458">
        <v>19635.854945822579</v>
      </c>
      <c r="L399" s="458">
        <v>11194.760870699611</v>
      </c>
      <c r="M399" s="456">
        <v>0</v>
      </c>
      <c r="N399" s="458">
        <v>119.49693843813893</v>
      </c>
      <c r="O399" s="459">
        <v>0</v>
      </c>
      <c r="P399" s="459">
        <v>4123.5295386227426</v>
      </c>
      <c r="Q399" s="458">
        <v>55400.108403681625</v>
      </c>
      <c r="R399" s="458">
        <v>42578.387864521676</v>
      </c>
      <c r="S399" s="458">
        <v>1959.7497903854783</v>
      </c>
      <c r="T399" s="457"/>
      <c r="U399" s="425"/>
      <c r="V399" s="425"/>
      <c r="W399" s="425"/>
      <c r="X399" s="425"/>
      <c r="Y399" s="425"/>
      <c r="Z399" s="425"/>
      <c r="AA399" s="425"/>
      <c r="AB399" s="425"/>
      <c r="AC399" s="425"/>
      <c r="AD399" s="425"/>
      <c r="AE399" s="425"/>
      <c r="AG399" s="425"/>
      <c r="AH399" s="425"/>
      <c r="AI399" s="425"/>
      <c r="AJ399" s="425"/>
      <c r="AK399" s="425"/>
      <c r="AL399" s="425"/>
      <c r="AM399" s="425"/>
      <c r="AN399" s="425"/>
      <c r="AO399" s="425"/>
      <c r="AP399" s="425"/>
      <c r="AQ399" s="425"/>
    </row>
    <row r="400" spans="1:43" s="270" customFormat="1" x14ac:dyDescent="0.25">
      <c r="A400" s="416">
        <v>501445</v>
      </c>
      <c r="B400" s="271">
        <v>1445</v>
      </c>
      <c r="C400" s="271">
        <v>200421</v>
      </c>
      <c r="D400" s="268" t="s">
        <v>894</v>
      </c>
      <c r="E400" s="268" t="s">
        <v>1278</v>
      </c>
      <c r="F400" s="268" t="s">
        <v>2976</v>
      </c>
      <c r="G400" s="268">
        <v>10</v>
      </c>
      <c r="H400" s="268" t="s">
        <v>2988</v>
      </c>
      <c r="I400" s="268" t="s">
        <v>2844</v>
      </c>
      <c r="J400" s="458">
        <v>235630.25934987093</v>
      </c>
      <c r="K400" s="458">
        <v>19635.854945822579</v>
      </c>
      <c r="L400" s="458">
        <v>11194.760870699611</v>
      </c>
      <c r="M400" s="456">
        <v>0</v>
      </c>
      <c r="N400" s="458">
        <v>119.49693843813893</v>
      </c>
      <c r="O400" s="459">
        <v>0</v>
      </c>
      <c r="P400" s="459">
        <v>4123.5295386227426</v>
      </c>
      <c r="Q400" s="458">
        <v>55400.108403681625</v>
      </c>
      <c r="R400" s="458">
        <v>42578.387864521676</v>
      </c>
      <c r="S400" s="458">
        <v>1959.7497903854783</v>
      </c>
      <c r="T400" s="457"/>
      <c r="U400" s="425"/>
      <c r="V400" s="425"/>
      <c r="W400" s="425"/>
      <c r="X400" s="425"/>
      <c r="Y400" s="425"/>
      <c r="Z400" s="425"/>
      <c r="AA400" s="425"/>
      <c r="AB400" s="425"/>
      <c r="AC400" s="425"/>
      <c r="AD400" s="425"/>
      <c r="AE400" s="425"/>
      <c r="AG400" s="425"/>
      <c r="AH400" s="425"/>
      <c r="AI400" s="425"/>
      <c r="AJ400" s="425"/>
      <c r="AK400" s="425"/>
      <c r="AL400" s="425"/>
      <c r="AM400" s="425"/>
      <c r="AN400" s="425"/>
      <c r="AO400" s="425"/>
      <c r="AP400" s="425"/>
      <c r="AQ400" s="425"/>
    </row>
    <row r="401" spans="1:43" s="270" customFormat="1" x14ac:dyDescent="0.25">
      <c r="A401" s="416">
        <v>501406</v>
      </c>
      <c r="B401" s="271">
        <v>1406</v>
      </c>
      <c r="C401" s="271">
        <v>200441</v>
      </c>
      <c r="D401" s="268" t="s">
        <v>894</v>
      </c>
      <c r="E401" s="268" t="s">
        <v>1278</v>
      </c>
      <c r="F401" s="268" t="s">
        <v>2362</v>
      </c>
      <c r="G401" s="268">
        <v>10</v>
      </c>
      <c r="H401" s="268" t="s">
        <v>2989</v>
      </c>
      <c r="I401" s="268" t="s">
        <v>2848</v>
      </c>
      <c r="J401" s="458">
        <v>235630.25934987093</v>
      </c>
      <c r="K401" s="458">
        <v>19635.854945822579</v>
      </c>
      <c r="L401" s="458">
        <v>11194.760870699611</v>
      </c>
      <c r="M401" s="456">
        <v>0</v>
      </c>
      <c r="N401" s="458">
        <v>119.49693843813893</v>
      </c>
      <c r="O401" s="459">
        <v>0</v>
      </c>
      <c r="P401" s="459">
        <v>4123.5295386227426</v>
      </c>
      <c r="Q401" s="458">
        <v>55400.108403681625</v>
      </c>
      <c r="R401" s="458">
        <v>42578.387864521676</v>
      </c>
      <c r="S401" s="458">
        <v>1959.7497903854783</v>
      </c>
      <c r="T401" s="457"/>
      <c r="U401" s="425"/>
      <c r="V401" s="425"/>
      <c r="W401" s="425"/>
      <c r="X401" s="425"/>
      <c r="Y401" s="425"/>
      <c r="Z401" s="425"/>
      <c r="AA401" s="425"/>
      <c r="AB401" s="425"/>
      <c r="AC401" s="425"/>
      <c r="AD401" s="425"/>
      <c r="AE401" s="425"/>
      <c r="AG401" s="425"/>
      <c r="AH401" s="425"/>
      <c r="AI401" s="425"/>
      <c r="AJ401" s="425"/>
      <c r="AK401" s="425"/>
      <c r="AL401" s="425"/>
      <c r="AM401" s="425"/>
      <c r="AN401" s="425"/>
      <c r="AO401" s="425"/>
      <c r="AP401" s="425"/>
      <c r="AQ401" s="425"/>
    </row>
    <row r="402" spans="1:43" s="270" customFormat="1" x14ac:dyDescent="0.25">
      <c r="A402" s="416">
        <v>501406</v>
      </c>
      <c r="B402" s="271">
        <v>1406</v>
      </c>
      <c r="C402" s="271">
        <v>200444</v>
      </c>
      <c r="D402" s="268" t="s">
        <v>894</v>
      </c>
      <c r="E402" s="268" t="s">
        <v>1278</v>
      </c>
      <c r="F402" s="268" t="s">
        <v>894</v>
      </c>
      <c r="G402" s="268">
        <v>10</v>
      </c>
      <c r="H402" s="268" t="s">
        <v>2990</v>
      </c>
      <c r="I402" s="268" t="s">
        <v>2848</v>
      </c>
      <c r="J402" s="458">
        <v>235630.25934987093</v>
      </c>
      <c r="K402" s="458">
        <v>19635.854945822579</v>
      </c>
      <c r="L402" s="458">
        <v>11194.760870699611</v>
      </c>
      <c r="M402" s="456">
        <v>0</v>
      </c>
      <c r="N402" s="458">
        <v>119.49693843813893</v>
      </c>
      <c r="O402" s="459">
        <v>0</v>
      </c>
      <c r="P402" s="459">
        <v>4123.5295386227426</v>
      </c>
      <c r="Q402" s="458">
        <v>55400.108403681625</v>
      </c>
      <c r="R402" s="458">
        <v>42578.387864521676</v>
      </c>
      <c r="S402" s="458">
        <v>1959.7497903854783</v>
      </c>
      <c r="T402" s="457"/>
      <c r="U402" s="425"/>
      <c r="V402" s="425"/>
      <c r="W402" s="425"/>
      <c r="X402" s="425"/>
      <c r="Y402" s="425"/>
      <c r="Z402" s="425"/>
      <c r="AA402" s="425"/>
      <c r="AB402" s="425"/>
      <c r="AC402" s="425"/>
      <c r="AD402" s="425"/>
      <c r="AE402" s="425"/>
      <c r="AG402" s="425"/>
      <c r="AH402" s="425"/>
      <c r="AI402" s="425"/>
      <c r="AJ402" s="425"/>
      <c r="AK402" s="425"/>
      <c r="AL402" s="425"/>
      <c r="AM402" s="425"/>
      <c r="AN402" s="425"/>
      <c r="AO402" s="425"/>
      <c r="AP402" s="425"/>
      <c r="AQ402" s="425"/>
    </row>
    <row r="403" spans="1:43" s="270" customFormat="1" x14ac:dyDescent="0.25">
      <c r="A403" s="271">
        <v>501406</v>
      </c>
      <c r="B403" s="271">
        <v>1406</v>
      </c>
      <c r="C403" s="271">
        <v>34160</v>
      </c>
      <c r="D403" s="268" t="s">
        <v>894</v>
      </c>
      <c r="E403" s="268" t="s">
        <v>1290</v>
      </c>
      <c r="F403" s="268" t="s">
        <v>2991</v>
      </c>
      <c r="G403" s="268">
        <v>11</v>
      </c>
      <c r="H403" s="268" t="s">
        <v>2992</v>
      </c>
      <c r="I403" s="268" t="s">
        <v>2944</v>
      </c>
      <c r="J403" s="458">
        <v>235630.25934987093</v>
      </c>
      <c r="K403" s="458">
        <v>19635.854945822579</v>
      </c>
      <c r="L403" s="458">
        <v>11194.760870699611</v>
      </c>
      <c r="M403" s="456">
        <v>0</v>
      </c>
      <c r="N403" s="458">
        <v>119.49693843813893</v>
      </c>
      <c r="O403" s="459">
        <v>0</v>
      </c>
      <c r="P403" s="459">
        <v>4123.5295386227426</v>
      </c>
      <c r="Q403" s="458">
        <v>55400.108403681625</v>
      </c>
      <c r="R403" s="458">
        <v>42578.387864521676</v>
      </c>
      <c r="S403" s="458">
        <v>1959.7497903854783</v>
      </c>
      <c r="T403" s="457"/>
      <c r="U403" s="425"/>
      <c r="V403" s="425"/>
      <c r="W403" s="425"/>
      <c r="X403" s="425"/>
      <c r="Y403" s="425"/>
      <c r="Z403" s="425"/>
      <c r="AA403" s="425"/>
      <c r="AB403" s="425"/>
      <c r="AC403" s="425"/>
      <c r="AD403" s="425"/>
      <c r="AE403" s="425"/>
      <c r="AG403" s="425"/>
      <c r="AH403" s="425"/>
      <c r="AI403" s="425"/>
      <c r="AJ403" s="425"/>
      <c r="AK403" s="425"/>
      <c r="AL403" s="425"/>
      <c r="AM403" s="425"/>
      <c r="AN403" s="425"/>
      <c r="AO403" s="425"/>
      <c r="AP403" s="425"/>
      <c r="AQ403" s="425"/>
    </row>
    <row r="404" spans="1:43" s="270" customFormat="1" x14ac:dyDescent="0.25">
      <c r="A404" s="271">
        <v>501444</v>
      </c>
      <c r="B404" s="271">
        <v>1444</v>
      </c>
      <c r="C404" s="271">
        <v>35570</v>
      </c>
      <c r="D404" s="268" t="s">
        <v>894</v>
      </c>
      <c r="E404" s="268" t="s">
        <v>1290</v>
      </c>
      <c r="F404" s="268" t="s">
        <v>2993</v>
      </c>
      <c r="G404" s="268">
        <v>11</v>
      </c>
      <c r="H404" s="268" t="s">
        <v>2994</v>
      </c>
      <c r="I404" s="268" t="s">
        <v>2995</v>
      </c>
      <c r="J404" s="458">
        <v>235630.25934987093</v>
      </c>
      <c r="K404" s="458">
        <v>19635.854945822579</v>
      </c>
      <c r="L404" s="458">
        <v>11194.760870699611</v>
      </c>
      <c r="M404" s="456">
        <v>0</v>
      </c>
      <c r="N404" s="458">
        <v>119.49693843813893</v>
      </c>
      <c r="O404" s="459">
        <v>0</v>
      </c>
      <c r="P404" s="459">
        <v>4123.5295386227426</v>
      </c>
      <c r="Q404" s="458">
        <v>55400.108403681625</v>
      </c>
      <c r="R404" s="458">
        <v>42578.387864521676</v>
      </c>
      <c r="S404" s="458">
        <v>1959.7497903854783</v>
      </c>
      <c r="T404" s="457"/>
      <c r="U404" s="425"/>
      <c r="V404" s="425"/>
      <c r="W404" s="425"/>
      <c r="X404" s="425"/>
      <c r="Y404" s="425"/>
      <c r="Z404" s="425"/>
      <c r="AA404" s="425"/>
      <c r="AB404" s="425"/>
      <c r="AC404" s="425"/>
      <c r="AD404" s="425"/>
      <c r="AE404" s="425"/>
      <c r="AG404" s="425"/>
      <c r="AH404" s="425"/>
      <c r="AI404" s="425"/>
      <c r="AJ404" s="425"/>
      <c r="AK404" s="425"/>
      <c r="AL404" s="425"/>
      <c r="AM404" s="425"/>
      <c r="AN404" s="425"/>
      <c r="AO404" s="425"/>
      <c r="AP404" s="425"/>
      <c r="AQ404" s="425"/>
    </row>
    <row r="405" spans="1:43" s="270" customFormat="1" x14ac:dyDescent="0.25">
      <c r="A405" s="271">
        <v>501443</v>
      </c>
      <c r="B405" s="271">
        <v>1443</v>
      </c>
      <c r="C405" s="271">
        <v>38933</v>
      </c>
      <c r="D405" s="268" t="s">
        <v>894</v>
      </c>
      <c r="E405" s="268" t="s">
        <v>1290</v>
      </c>
      <c r="F405" s="268" t="s">
        <v>2996</v>
      </c>
      <c r="G405" s="268">
        <v>11</v>
      </c>
      <c r="H405" s="268" t="s">
        <v>2997</v>
      </c>
      <c r="I405" s="268" t="s">
        <v>2946</v>
      </c>
      <c r="J405" s="458">
        <v>235630.25934987093</v>
      </c>
      <c r="K405" s="458">
        <v>19635.854945822579</v>
      </c>
      <c r="L405" s="458">
        <v>11194.760870699611</v>
      </c>
      <c r="M405" s="456">
        <v>0</v>
      </c>
      <c r="N405" s="458">
        <v>119.49693843813893</v>
      </c>
      <c r="O405" s="459">
        <v>0</v>
      </c>
      <c r="P405" s="459">
        <v>4123.5295386227426</v>
      </c>
      <c r="Q405" s="458">
        <v>55400.108403681625</v>
      </c>
      <c r="R405" s="458">
        <v>42578.387864521676</v>
      </c>
      <c r="S405" s="458">
        <v>1959.7497903854783</v>
      </c>
      <c r="T405" s="457"/>
      <c r="U405" s="425"/>
      <c r="V405" s="425"/>
      <c r="W405" s="425"/>
      <c r="X405" s="425"/>
      <c r="Y405" s="425"/>
      <c r="Z405" s="425"/>
      <c r="AA405" s="425"/>
      <c r="AB405" s="425"/>
      <c r="AC405" s="425"/>
      <c r="AD405" s="425"/>
      <c r="AE405" s="425"/>
      <c r="AG405" s="425"/>
      <c r="AH405" s="425"/>
      <c r="AI405" s="425"/>
      <c r="AJ405" s="425"/>
      <c r="AK405" s="425"/>
      <c r="AL405" s="425"/>
      <c r="AM405" s="425"/>
      <c r="AN405" s="425"/>
      <c r="AO405" s="425"/>
      <c r="AP405" s="425"/>
      <c r="AQ405" s="425"/>
    </row>
    <row r="406" spans="1:43" s="270" customFormat="1" x14ac:dyDescent="0.25">
      <c r="A406" s="271">
        <v>501444</v>
      </c>
      <c r="B406" s="271">
        <v>1444</v>
      </c>
      <c r="C406" s="271">
        <v>44341</v>
      </c>
      <c r="D406" s="268" t="s">
        <v>894</v>
      </c>
      <c r="E406" s="268" t="s">
        <v>1290</v>
      </c>
      <c r="F406" s="268" t="s">
        <v>2998</v>
      </c>
      <c r="G406" s="268">
        <v>11</v>
      </c>
      <c r="H406" s="268" t="s">
        <v>2999</v>
      </c>
      <c r="I406" s="268" t="s">
        <v>2995</v>
      </c>
      <c r="J406" s="458">
        <v>235630.25934987093</v>
      </c>
      <c r="K406" s="458">
        <v>19635.854945822579</v>
      </c>
      <c r="L406" s="458">
        <v>11194.760870699611</v>
      </c>
      <c r="M406" s="456">
        <v>0</v>
      </c>
      <c r="N406" s="458">
        <v>119.49693843813893</v>
      </c>
      <c r="O406" s="459">
        <v>0</v>
      </c>
      <c r="P406" s="459">
        <v>4123.5295386227426</v>
      </c>
      <c r="Q406" s="458">
        <v>55400.108403681625</v>
      </c>
      <c r="R406" s="458">
        <v>42578.387864521676</v>
      </c>
      <c r="S406" s="458">
        <v>1959.7497903854783</v>
      </c>
      <c r="T406" s="457"/>
      <c r="U406" s="425"/>
      <c r="V406" s="425"/>
      <c r="W406" s="425"/>
      <c r="X406" s="425"/>
      <c r="Y406" s="425"/>
      <c r="Z406" s="425"/>
      <c r="AA406" s="425"/>
      <c r="AB406" s="425"/>
      <c r="AC406" s="425"/>
      <c r="AD406" s="425"/>
      <c r="AE406" s="425"/>
      <c r="AG406" s="425"/>
      <c r="AH406" s="425"/>
      <c r="AI406" s="425"/>
      <c r="AJ406" s="425"/>
      <c r="AK406" s="425"/>
      <c r="AL406" s="425"/>
      <c r="AM406" s="425"/>
      <c r="AN406" s="425"/>
      <c r="AO406" s="425"/>
      <c r="AP406" s="425"/>
      <c r="AQ406" s="425"/>
    </row>
    <row r="407" spans="1:43" s="270" customFormat="1" x14ac:dyDescent="0.25">
      <c r="A407" s="271">
        <v>501444</v>
      </c>
      <c r="B407" s="271">
        <v>1444</v>
      </c>
      <c r="C407" s="271">
        <v>51583</v>
      </c>
      <c r="D407" s="268" t="s">
        <v>894</v>
      </c>
      <c r="E407" s="268" t="s">
        <v>1290</v>
      </c>
      <c r="F407" s="268" t="s">
        <v>2381</v>
      </c>
      <c r="G407" s="268">
        <v>11</v>
      </c>
      <c r="H407" s="268" t="s">
        <v>3000</v>
      </c>
      <c r="I407" s="268" t="s">
        <v>2995</v>
      </c>
      <c r="J407" s="458">
        <v>235630.25934987093</v>
      </c>
      <c r="K407" s="458">
        <v>19635.854945822579</v>
      </c>
      <c r="L407" s="458">
        <v>11194.760870699611</v>
      </c>
      <c r="M407" s="456">
        <v>0</v>
      </c>
      <c r="N407" s="458">
        <v>119.49693843813893</v>
      </c>
      <c r="O407" s="459">
        <v>0</v>
      </c>
      <c r="P407" s="459">
        <v>4123.5295386227426</v>
      </c>
      <c r="Q407" s="458">
        <v>55400.108403681625</v>
      </c>
      <c r="R407" s="458">
        <v>42578.387864521676</v>
      </c>
      <c r="S407" s="458">
        <v>1959.7497903854783</v>
      </c>
      <c r="T407" s="457"/>
      <c r="U407" s="425"/>
      <c r="V407" s="425"/>
      <c r="W407" s="425"/>
      <c r="X407" s="425"/>
      <c r="Y407" s="425"/>
      <c r="Z407" s="425"/>
      <c r="AA407" s="425"/>
      <c r="AB407" s="425"/>
      <c r="AC407" s="425"/>
      <c r="AD407" s="425"/>
      <c r="AE407" s="425"/>
      <c r="AG407" s="425"/>
      <c r="AH407" s="425"/>
      <c r="AI407" s="425"/>
      <c r="AJ407" s="425"/>
      <c r="AK407" s="425"/>
      <c r="AL407" s="425"/>
      <c r="AM407" s="425"/>
      <c r="AN407" s="425"/>
      <c r="AO407" s="425"/>
      <c r="AP407" s="425"/>
      <c r="AQ407" s="425"/>
    </row>
    <row r="408" spans="1:43" s="270" customFormat="1" x14ac:dyDescent="0.25">
      <c r="A408" s="271">
        <v>501443</v>
      </c>
      <c r="B408" s="271">
        <v>1443</v>
      </c>
      <c r="C408" s="271">
        <v>51693</v>
      </c>
      <c r="D408" s="268" t="s">
        <v>894</v>
      </c>
      <c r="E408" s="268" t="s">
        <v>1290</v>
      </c>
      <c r="F408" s="268" t="s">
        <v>3001</v>
      </c>
      <c r="G408" s="268">
        <v>11</v>
      </c>
      <c r="H408" s="268" t="s">
        <v>3002</v>
      </c>
      <c r="I408" s="268" t="s">
        <v>2944</v>
      </c>
      <c r="J408" s="458">
        <v>235630.25934987093</v>
      </c>
      <c r="K408" s="458">
        <v>19635.854945822579</v>
      </c>
      <c r="L408" s="458">
        <v>11194.760870699611</v>
      </c>
      <c r="M408" s="456">
        <v>0</v>
      </c>
      <c r="N408" s="458">
        <v>119.49693843813893</v>
      </c>
      <c r="O408" s="459">
        <v>0</v>
      </c>
      <c r="P408" s="459">
        <v>4123.5295386227426</v>
      </c>
      <c r="Q408" s="458">
        <v>55400.108403681625</v>
      </c>
      <c r="R408" s="458">
        <v>42578.387864521676</v>
      </c>
      <c r="S408" s="458">
        <v>1959.7497903854783</v>
      </c>
      <c r="T408" s="457"/>
      <c r="U408" s="425"/>
      <c r="V408" s="425"/>
      <c r="W408" s="425"/>
      <c r="X408" s="425"/>
      <c r="Y408" s="425"/>
      <c r="Z408" s="425"/>
      <c r="AA408" s="425"/>
      <c r="AB408" s="425"/>
      <c r="AC408" s="425"/>
      <c r="AD408" s="425"/>
      <c r="AE408" s="425"/>
      <c r="AG408" s="425"/>
      <c r="AH408" s="425"/>
      <c r="AI408" s="425"/>
      <c r="AJ408" s="425"/>
      <c r="AK408" s="425"/>
      <c r="AL408" s="425"/>
      <c r="AM408" s="425"/>
      <c r="AN408" s="425"/>
      <c r="AO408" s="425"/>
      <c r="AP408" s="425"/>
      <c r="AQ408" s="425"/>
    </row>
    <row r="409" spans="1:43" s="270" customFormat="1" x14ac:dyDescent="0.25">
      <c r="A409" s="271">
        <v>501443</v>
      </c>
      <c r="B409" s="271">
        <v>1443</v>
      </c>
      <c r="C409" s="271">
        <v>51703</v>
      </c>
      <c r="D409" s="268" t="s">
        <v>894</v>
      </c>
      <c r="E409" s="268" t="s">
        <v>1290</v>
      </c>
      <c r="F409" s="268" t="s">
        <v>2637</v>
      </c>
      <c r="G409" s="268">
        <v>11</v>
      </c>
      <c r="H409" s="268" t="s">
        <v>3003</v>
      </c>
      <c r="I409" s="268" t="s">
        <v>2946</v>
      </c>
      <c r="J409" s="458">
        <v>235630.25934987093</v>
      </c>
      <c r="K409" s="458">
        <v>19635.854945822579</v>
      </c>
      <c r="L409" s="458">
        <v>11194.760870699611</v>
      </c>
      <c r="M409" s="456">
        <v>0</v>
      </c>
      <c r="N409" s="458">
        <v>119.49693843813893</v>
      </c>
      <c r="O409" s="459">
        <v>0</v>
      </c>
      <c r="P409" s="459">
        <v>4123.5295386227426</v>
      </c>
      <c r="Q409" s="458">
        <v>55400.108403681625</v>
      </c>
      <c r="R409" s="458">
        <v>42578.387864521676</v>
      </c>
      <c r="S409" s="458">
        <v>1959.7497903854783</v>
      </c>
      <c r="T409" s="457"/>
      <c r="U409" s="425"/>
      <c r="V409" s="425"/>
      <c r="W409" s="425"/>
      <c r="X409" s="425"/>
      <c r="Y409" s="425"/>
      <c r="Z409" s="425"/>
      <c r="AA409" s="425"/>
      <c r="AB409" s="425"/>
      <c r="AC409" s="425"/>
      <c r="AD409" s="425"/>
      <c r="AE409" s="425"/>
      <c r="AG409" s="425"/>
      <c r="AH409" s="425"/>
      <c r="AI409" s="425"/>
      <c r="AJ409" s="425"/>
      <c r="AK409" s="425"/>
      <c r="AL409" s="425"/>
      <c r="AM409" s="425"/>
      <c r="AN409" s="425"/>
      <c r="AO409" s="425"/>
      <c r="AP409" s="425"/>
      <c r="AQ409" s="425"/>
    </row>
    <row r="410" spans="1:43" s="270" customFormat="1" x14ac:dyDescent="0.25">
      <c r="A410" s="271">
        <v>501444</v>
      </c>
      <c r="B410" s="271">
        <v>1444</v>
      </c>
      <c r="C410" s="271">
        <v>57435</v>
      </c>
      <c r="D410" s="268" t="s">
        <v>894</v>
      </c>
      <c r="E410" s="268" t="s">
        <v>1290</v>
      </c>
      <c r="F410" s="268" t="s">
        <v>894</v>
      </c>
      <c r="G410" s="268">
        <v>11</v>
      </c>
      <c r="H410" s="268" t="s">
        <v>3004</v>
      </c>
      <c r="I410" s="268" t="s">
        <v>2995</v>
      </c>
      <c r="J410" s="458">
        <v>235630.25934987093</v>
      </c>
      <c r="K410" s="458">
        <v>19635.854945822579</v>
      </c>
      <c r="L410" s="458">
        <v>11194.760870699611</v>
      </c>
      <c r="M410" s="456">
        <v>0</v>
      </c>
      <c r="N410" s="458">
        <v>119.49693843813893</v>
      </c>
      <c r="O410" s="459">
        <v>0</v>
      </c>
      <c r="P410" s="459">
        <v>4123.5295386227426</v>
      </c>
      <c r="Q410" s="458">
        <v>55400.108403681625</v>
      </c>
      <c r="R410" s="458">
        <v>42578.387864521676</v>
      </c>
      <c r="S410" s="458">
        <v>1959.7497903854783</v>
      </c>
      <c r="T410" s="457"/>
      <c r="U410" s="425"/>
      <c r="V410" s="425"/>
      <c r="W410" s="425"/>
      <c r="X410" s="425"/>
      <c r="Y410" s="425"/>
      <c r="Z410" s="425"/>
      <c r="AA410" s="425"/>
      <c r="AB410" s="425"/>
      <c r="AC410" s="425"/>
      <c r="AD410" s="425"/>
      <c r="AE410" s="425"/>
      <c r="AG410" s="425"/>
      <c r="AH410" s="425"/>
      <c r="AI410" s="425"/>
      <c r="AJ410" s="425"/>
      <c r="AK410" s="425"/>
      <c r="AL410" s="425"/>
      <c r="AM410" s="425"/>
      <c r="AN410" s="425"/>
      <c r="AO410" s="425"/>
      <c r="AP410" s="425"/>
      <c r="AQ410" s="425"/>
    </row>
    <row r="411" spans="1:43" s="270" customFormat="1" x14ac:dyDescent="0.25">
      <c r="A411" s="271">
        <v>501444</v>
      </c>
      <c r="B411" s="271">
        <v>1444</v>
      </c>
      <c r="C411" s="271">
        <v>58971</v>
      </c>
      <c r="D411" s="268" t="s">
        <v>894</v>
      </c>
      <c r="E411" s="268" t="s">
        <v>1290</v>
      </c>
      <c r="F411" s="268" t="s">
        <v>2637</v>
      </c>
      <c r="G411" s="268">
        <v>11</v>
      </c>
      <c r="H411" s="268" t="s">
        <v>3005</v>
      </c>
      <c r="I411" s="268" t="s">
        <v>2995</v>
      </c>
      <c r="J411" s="458">
        <v>235630.25934987093</v>
      </c>
      <c r="K411" s="458">
        <v>19635.854945822579</v>
      </c>
      <c r="L411" s="458">
        <v>11194.760870699611</v>
      </c>
      <c r="M411" s="456">
        <v>0</v>
      </c>
      <c r="N411" s="458">
        <v>119.49693843813893</v>
      </c>
      <c r="O411" s="459">
        <v>0</v>
      </c>
      <c r="P411" s="459">
        <v>4123.5295386227426</v>
      </c>
      <c r="Q411" s="458">
        <v>55400.108403681625</v>
      </c>
      <c r="R411" s="458">
        <v>42578.387864521676</v>
      </c>
      <c r="S411" s="458">
        <v>1959.7497903854783</v>
      </c>
      <c r="T411" s="457"/>
      <c r="U411" s="425"/>
      <c r="V411" s="425"/>
      <c r="W411" s="425"/>
      <c r="X411" s="425"/>
      <c r="Y411" s="425"/>
      <c r="Z411" s="425"/>
      <c r="AA411" s="425"/>
      <c r="AB411" s="425"/>
      <c r="AC411" s="425"/>
      <c r="AD411" s="425"/>
      <c r="AE411" s="425"/>
      <c r="AG411" s="425"/>
      <c r="AH411" s="425"/>
      <c r="AI411" s="425"/>
      <c r="AJ411" s="425"/>
      <c r="AK411" s="425"/>
      <c r="AL411" s="425"/>
      <c r="AM411" s="425"/>
      <c r="AN411" s="425"/>
      <c r="AO411" s="425"/>
      <c r="AP411" s="425"/>
      <c r="AQ411" s="425"/>
    </row>
    <row r="412" spans="1:43" s="270" customFormat="1" x14ac:dyDescent="0.25">
      <c r="A412" s="271">
        <v>501206</v>
      </c>
      <c r="B412" s="271">
        <v>1206</v>
      </c>
      <c r="C412" s="271">
        <v>59501</v>
      </c>
      <c r="D412" s="268" t="s">
        <v>894</v>
      </c>
      <c r="E412" s="268" t="s">
        <v>1290</v>
      </c>
      <c r="F412" s="268" t="s">
        <v>3006</v>
      </c>
      <c r="G412" s="268">
        <v>11</v>
      </c>
      <c r="H412" s="268" t="s">
        <v>3007</v>
      </c>
      <c r="I412" s="268" t="s">
        <v>2840</v>
      </c>
      <c r="J412" s="458">
        <v>235630.25934987093</v>
      </c>
      <c r="K412" s="458">
        <v>19635.854945822579</v>
      </c>
      <c r="L412" s="458">
        <v>11194.760870699611</v>
      </c>
      <c r="M412" s="456">
        <v>0</v>
      </c>
      <c r="N412" s="458">
        <v>119.49693843813893</v>
      </c>
      <c r="O412" s="459">
        <v>0</v>
      </c>
      <c r="P412" s="459">
        <v>4123.5295386227426</v>
      </c>
      <c r="Q412" s="458">
        <v>55400.108403681625</v>
      </c>
      <c r="R412" s="458">
        <v>42578.387864521676</v>
      </c>
      <c r="S412" s="458">
        <v>1959.7497903854783</v>
      </c>
      <c r="T412" s="457"/>
      <c r="U412" s="425"/>
      <c r="V412" s="425"/>
      <c r="W412" s="425"/>
      <c r="X412" s="425"/>
      <c r="Y412" s="425"/>
      <c r="Z412" s="425"/>
      <c r="AA412" s="425"/>
      <c r="AB412" s="425"/>
      <c r="AC412" s="425"/>
      <c r="AD412" s="425"/>
      <c r="AE412" s="425"/>
      <c r="AG412" s="425"/>
      <c r="AH412" s="425"/>
      <c r="AI412" s="425"/>
      <c r="AJ412" s="425"/>
      <c r="AK412" s="425"/>
      <c r="AL412" s="425"/>
      <c r="AM412" s="425"/>
      <c r="AN412" s="425"/>
      <c r="AO412" s="425"/>
      <c r="AP412" s="425"/>
      <c r="AQ412" s="425"/>
    </row>
    <row r="413" spans="1:43" s="270" customFormat="1" x14ac:dyDescent="0.25">
      <c r="A413" s="276">
        <v>501444</v>
      </c>
      <c r="B413" s="276">
        <v>1444</v>
      </c>
      <c r="C413" s="276">
        <v>84615</v>
      </c>
      <c r="D413" s="268" t="s">
        <v>894</v>
      </c>
      <c r="E413" s="268" t="s">
        <v>1290</v>
      </c>
      <c r="F413" s="268" t="s">
        <v>3008</v>
      </c>
      <c r="G413" s="268">
        <v>11</v>
      </c>
      <c r="H413" s="268" t="s">
        <v>3009</v>
      </c>
      <c r="I413" s="268" t="s">
        <v>2995</v>
      </c>
      <c r="J413" s="456">
        <v>235630.25934987093</v>
      </c>
      <c r="K413" s="459">
        <v>19635.854945822579</v>
      </c>
      <c r="L413" s="458">
        <v>11194.760870699611</v>
      </c>
      <c r="M413" s="456">
        <v>5532.2656684323565</v>
      </c>
      <c r="N413" s="459">
        <v>119.49693843813893</v>
      </c>
      <c r="O413" s="459">
        <v>0</v>
      </c>
      <c r="P413" s="459">
        <v>4123.5295386227426</v>
      </c>
      <c r="Q413" s="458">
        <v>55400.108403681625</v>
      </c>
      <c r="R413" s="459">
        <v>42578.387864521676</v>
      </c>
      <c r="S413" s="459">
        <v>1959.7497903854783</v>
      </c>
      <c r="T413" s="453"/>
      <c r="U413" s="425"/>
      <c r="V413" s="425"/>
      <c r="W413" s="425"/>
      <c r="X413" s="425"/>
      <c r="Y413" s="425"/>
      <c r="Z413" s="425"/>
      <c r="AA413" s="425"/>
      <c r="AB413" s="425"/>
      <c r="AC413" s="425"/>
      <c r="AD413" s="425"/>
      <c r="AE413" s="425"/>
      <c r="AG413" s="425"/>
      <c r="AH413" s="425"/>
      <c r="AI413" s="425"/>
      <c r="AJ413" s="425"/>
      <c r="AK413" s="425"/>
      <c r="AL413" s="425"/>
      <c r="AM413" s="425"/>
      <c r="AN413" s="425"/>
      <c r="AO413" s="425"/>
      <c r="AP413" s="425"/>
      <c r="AQ413" s="425"/>
    </row>
    <row r="414" spans="1:43" s="270" customFormat="1" x14ac:dyDescent="0.25">
      <c r="A414" s="416">
        <v>501406</v>
      </c>
      <c r="B414" s="271">
        <v>1406</v>
      </c>
      <c r="C414" s="271">
        <v>200436</v>
      </c>
      <c r="D414" s="268" t="s">
        <v>894</v>
      </c>
      <c r="E414" s="268" t="s">
        <v>1278</v>
      </c>
      <c r="F414" s="268" t="s">
        <v>1306</v>
      </c>
      <c r="G414" s="268">
        <v>10</v>
      </c>
      <c r="H414" s="268" t="s">
        <v>3010</v>
      </c>
      <c r="I414" s="268" t="s">
        <v>2848</v>
      </c>
      <c r="J414" s="458">
        <v>230363.54243352334</v>
      </c>
      <c r="K414" s="458">
        <v>19196.96186946028</v>
      </c>
      <c r="L414" s="458">
        <v>11194.760870699611</v>
      </c>
      <c r="M414" s="456">
        <v>0</v>
      </c>
      <c r="N414" s="458">
        <v>119.49693843813893</v>
      </c>
      <c r="O414" s="459">
        <v>0</v>
      </c>
      <c r="P414" s="459">
        <v>4031.3619925866592</v>
      </c>
      <c r="Q414" s="458">
        <v>55400.108403681625</v>
      </c>
      <c r="R414" s="458">
        <v>41626.692117737672</v>
      </c>
      <c r="S414" s="458">
        <v>1959.7497903854783</v>
      </c>
      <c r="T414" s="453"/>
      <c r="U414" s="425"/>
      <c r="V414" s="425"/>
      <c r="W414" s="425"/>
      <c r="X414" s="425"/>
      <c r="Y414" s="425"/>
      <c r="Z414" s="425"/>
      <c r="AA414" s="425"/>
      <c r="AB414" s="425"/>
      <c r="AC414" s="425"/>
      <c r="AD414" s="425"/>
      <c r="AE414" s="425"/>
      <c r="AG414" s="425"/>
      <c r="AH414" s="425"/>
      <c r="AI414" s="425"/>
      <c r="AJ414" s="425"/>
      <c r="AK414" s="425"/>
      <c r="AL414" s="425"/>
      <c r="AM414" s="425"/>
      <c r="AN414" s="425"/>
      <c r="AO414" s="425"/>
      <c r="AP414" s="425"/>
      <c r="AQ414" s="425"/>
    </row>
    <row r="415" spans="1:43" s="270" customFormat="1" x14ac:dyDescent="0.25">
      <c r="A415" s="416">
        <v>501406</v>
      </c>
      <c r="B415" s="271">
        <v>1406</v>
      </c>
      <c r="C415" s="271">
        <v>200437</v>
      </c>
      <c r="D415" s="268" t="s">
        <v>894</v>
      </c>
      <c r="E415" s="268" t="s">
        <v>1278</v>
      </c>
      <c r="F415" s="268" t="s">
        <v>3011</v>
      </c>
      <c r="G415" s="268">
        <v>10</v>
      </c>
      <c r="H415" s="268" t="s">
        <v>3012</v>
      </c>
      <c r="I415" s="268" t="s">
        <v>2848</v>
      </c>
      <c r="J415" s="458">
        <v>230363.54243352334</v>
      </c>
      <c r="K415" s="458">
        <v>19196.96186946028</v>
      </c>
      <c r="L415" s="458">
        <v>11194.760870699611</v>
      </c>
      <c r="M415" s="456">
        <v>0</v>
      </c>
      <c r="N415" s="458">
        <v>119.49693843813893</v>
      </c>
      <c r="O415" s="459">
        <v>0</v>
      </c>
      <c r="P415" s="459">
        <v>4031.3619925866592</v>
      </c>
      <c r="Q415" s="458">
        <v>55400.108403681625</v>
      </c>
      <c r="R415" s="458">
        <v>41626.692117737672</v>
      </c>
      <c r="S415" s="458">
        <v>1959.7497903854783</v>
      </c>
      <c r="T415" s="457"/>
      <c r="U415" s="425"/>
      <c r="V415" s="425"/>
      <c r="W415" s="425"/>
      <c r="X415" s="425"/>
      <c r="Y415" s="425"/>
      <c r="Z415" s="425"/>
      <c r="AA415" s="425"/>
      <c r="AB415" s="425"/>
      <c r="AC415" s="425"/>
      <c r="AD415" s="425"/>
      <c r="AE415" s="425"/>
      <c r="AG415" s="425"/>
      <c r="AH415" s="425"/>
      <c r="AI415" s="425"/>
      <c r="AJ415" s="425"/>
      <c r="AK415" s="425"/>
      <c r="AL415" s="425"/>
      <c r="AM415" s="425"/>
      <c r="AN415" s="425"/>
      <c r="AO415" s="425"/>
      <c r="AP415" s="425"/>
      <c r="AQ415" s="425"/>
    </row>
    <row r="416" spans="1:43" s="270" customFormat="1" x14ac:dyDescent="0.25">
      <c r="A416" s="416">
        <v>501406</v>
      </c>
      <c r="B416" s="271">
        <v>1406</v>
      </c>
      <c r="C416" s="271">
        <v>200475</v>
      </c>
      <c r="D416" s="268" t="s">
        <v>894</v>
      </c>
      <c r="E416" s="268" t="s">
        <v>1290</v>
      </c>
      <c r="F416" s="268" t="s">
        <v>3013</v>
      </c>
      <c r="G416" s="268">
        <v>10</v>
      </c>
      <c r="H416" s="268" t="s">
        <v>3014</v>
      </c>
      <c r="I416" s="268" t="s">
        <v>2848</v>
      </c>
      <c r="J416" s="458">
        <v>230363.54243352334</v>
      </c>
      <c r="K416" s="458">
        <v>19196.96186946028</v>
      </c>
      <c r="L416" s="458">
        <v>11194.760870699611</v>
      </c>
      <c r="M416" s="456">
        <v>0</v>
      </c>
      <c r="N416" s="458">
        <v>119.49693843813893</v>
      </c>
      <c r="O416" s="459">
        <v>0</v>
      </c>
      <c r="P416" s="459">
        <v>4031.3619925866592</v>
      </c>
      <c r="Q416" s="458">
        <v>55400.108403681625</v>
      </c>
      <c r="R416" s="458">
        <v>41626.692117737672</v>
      </c>
      <c r="S416" s="458">
        <v>1959.7497903854783</v>
      </c>
      <c r="T416" s="453"/>
      <c r="U416" s="425"/>
      <c r="V416" s="425"/>
      <c r="W416" s="425"/>
      <c r="X416" s="425"/>
      <c r="Y416" s="425"/>
      <c r="Z416" s="425"/>
      <c r="AA416" s="425"/>
      <c r="AB416" s="425"/>
      <c r="AC416" s="425"/>
      <c r="AD416" s="425"/>
      <c r="AE416" s="425"/>
      <c r="AG416" s="425"/>
      <c r="AH416" s="425"/>
      <c r="AI416" s="425"/>
      <c r="AJ416" s="425"/>
      <c r="AK416" s="425"/>
      <c r="AL416" s="425"/>
      <c r="AM416" s="425"/>
      <c r="AN416" s="425"/>
      <c r="AO416" s="425"/>
      <c r="AP416" s="425"/>
      <c r="AQ416" s="425"/>
    </row>
    <row r="417" spans="1:43" s="270" customFormat="1" x14ac:dyDescent="0.25">
      <c r="A417" s="271">
        <v>501444</v>
      </c>
      <c r="B417" s="271">
        <v>1444</v>
      </c>
      <c r="C417" s="271">
        <v>1724</v>
      </c>
      <c r="D417" s="268" t="s">
        <v>894</v>
      </c>
      <c r="E417" s="268" t="s">
        <v>1290</v>
      </c>
      <c r="F417" s="268" t="s">
        <v>2971</v>
      </c>
      <c r="G417" s="268">
        <v>11</v>
      </c>
      <c r="H417" s="268" t="s">
        <v>3015</v>
      </c>
      <c r="I417" s="268" t="s">
        <v>2946</v>
      </c>
      <c r="J417" s="458">
        <v>230363.54243352334</v>
      </c>
      <c r="K417" s="458">
        <v>19196.96186946028</v>
      </c>
      <c r="L417" s="458">
        <v>11194.760870699611</v>
      </c>
      <c r="M417" s="456">
        <v>0</v>
      </c>
      <c r="N417" s="458">
        <v>119.49693843813893</v>
      </c>
      <c r="O417" s="459">
        <v>0</v>
      </c>
      <c r="P417" s="459">
        <v>4031.3619925866592</v>
      </c>
      <c r="Q417" s="458">
        <v>55400.108403681625</v>
      </c>
      <c r="R417" s="458">
        <v>41626.692117737672</v>
      </c>
      <c r="S417" s="458">
        <v>1959.7497903854783</v>
      </c>
      <c r="T417" s="457"/>
      <c r="U417" s="425"/>
      <c r="V417" s="425"/>
      <c r="W417" s="425"/>
      <c r="X417" s="425"/>
      <c r="Y417" s="425"/>
      <c r="Z417" s="425"/>
      <c r="AA417" s="425"/>
      <c r="AB417" s="425"/>
      <c r="AC417" s="425"/>
      <c r="AD417" s="425"/>
      <c r="AE417" s="425"/>
      <c r="AG417" s="425"/>
      <c r="AH417" s="425"/>
      <c r="AI417" s="425"/>
      <c r="AJ417" s="425"/>
      <c r="AK417" s="425"/>
      <c r="AL417" s="425"/>
      <c r="AM417" s="425"/>
      <c r="AN417" s="425"/>
      <c r="AO417" s="425"/>
      <c r="AP417" s="425"/>
      <c r="AQ417" s="425"/>
    </row>
    <row r="418" spans="1:43" s="270" customFormat="1" x14ac:dyDescent="0.25">
      <c r="A418" s="271">
        <v>501406</v>
      </c>
      <c r="B418" s="271">
        <v>1406</v>
      </c>
      <c r="C418" s="271">
        <v>44325</v>
      </c>
      <c r="D418" s="268" t="s">
        <v>894</v>
      </c>
      <c r="E418" s="268" t="s">
        <v>1290</v>
      </c>
      <c r="F418" s="268" t="s">
        <v>2838</v>
      </c>
      <c r="G418" s="268">
        <v>11</v>
      </c>
      <c r="H418" s="268" t="s">
        <v>3016</v>
      </c>
      <c r="I418" s="268" t="s">
        <v>2946</v>
      </c>
      <c r="J418" s="458">
        <v>230363.54243352334</v>
      </c>
      <c r="K418" s="458">
        <v>19196.96186946028</v>
      </c>
      <c r="L418" s="458">
        <v>11194.760870699611</v>
      </c>
      <c r="M418" s="456">
        <v>0</v>
      </c>
      <c r="N418" s="458">
        <v>119.49693843813893</v>
      </c>
      <c r="O418" s="459">
        <v>0</v>
      </c>
      <c r="P418" s="459">
        <v>4031.3619925866592</v>
      </c>
      <c r="Q418" s="458">
        <v>55400.108403681625</v>
      </c>
      <c r="R418" s="458">
        <v>41626.692117737672</v>
      </c>
      <c r="S418" s="458">
        <v>1959.7497903854783</v>
      </c>
      <c r="T418" s="457"/>
      <c r="U418" s="425"/>
      <c r="V418" s="425"/>
      <c r="W418" s="425"/>
      <c r="X418" s="425"/>
      <c r="Y418" s="425"/>
      <c r="Z418" s="425"/>
      <c r="AA418" s="425"/>
      <c r="AB418" s="425"/>
      <c r="AC418" s="425"/>
      <c r="AD418" s="425"/>
      <c r="AE418" s="425"/>
      <c r="AG418" s="425"/>
      <c r="AH418" s="425"/>
      <c r="AI418" s="425"/>
      <c r="AJ418" s="425"/>
      <c r="AK418" s="425"/>
      <c r="AL418" s="425"/>
      <c r="AM418" s="425"/>
      <c r="AN418" s="425"/>
      <c r="AO418" s="425"/>
      <c r="AP418" s="425"/>
      <c r="AQ418" s="425"/>
    </row>
    <row r="419" spans="1:43" s="270" customFormat="1" x14ac:dyDescent="0.25">
      <c r="A419" s="271">
        <v>501406</v>
      </c>
      <c r="B419" s="271">
        <v>1406</v>
      </c>
      <c r="C419" s="271">
        <v>200014</v>
      </c>
      <c r="D419" s="268" t="s">
        <v>894</v>
      </c>
      <c r="E419" s="268" t="s">
        <v>1278</v>
      </c>
      <c r="F419" s="268" t="s">
        <v>3017</v>
      </c>
      <c r="G419" s="268">
        <v>11</v>
      </c>
      <c r="H419" s="268" t="s">
        <v>3018</v>
      </c>
      <c r="I419" s="268" t="s">
        <v>2848</v>
      </c>
      <c r="J419" s="458">
        <v>230363.54243352334</v>
      </c>
      <c r="K419" s="458">
        <v>19196.96186946028</v>
      </c>
      <c r="L419" s="458">
        <v>11194.760870699611</v>
      </c>
      <c r="M419" s="456">
        <v>0</v>
      </c>
      <c r="N419" s="458">
        <v>119.49693843813893</v>
      </c>
      <c r="O419" s="459">
        <v>0</v>
      </c>
      <c r="P419" s="459">
        <v>4031.3619925866592</v>
      </c>
      <c r="Q419" s="458">
        <v>55400.108403681625</v>
      </c>
      <c r="R419" s="458">
        <v>41626.692117737672</v>
      </c>
      <c r="S419" s="458">
        <v>1959.7497903854783</v>
      </c>
      <c r="T419" s="457"/>
      <c r="U419" s="425"/>
      <c r="V419" s="425"/>
      <c r="W419" s="425"/>
      <c r="X419" s="425"/>
      <c r="Y419" s="425"/>
      <c r="Z419" s="425"/>
      <c r="AA419" s="425"/>
      <c r="AB419" s="425"/>
      <c r="AC419" s="425"/>
      <c r="AD419" s="425"/>
      <c r="AE419" s="425"/>
      <c r="AG419" s="425"/>
      <c r="AH419" s="425"/>
      <c r="AI419" s="425"/>
      <c r="AJ419" s="425"/>
      <c r="AK419" s="425"/>
      <c r="AL419" s="425"/>
      <c r="AM419" s="425"/>
      <c r="AN419" s="425"/>
      <c r="AO419" s="425"/>
      <c r="AP419" s="425"/>
      <c r="AQ419" s="425"/>
    </row>
    <row r="420" spans="1:43" s="270" customFormat="1" x14ac:dyDescent="0.25">
      <c r="A420" s="271">
        <v>501406</v>
      </c>
      <c r="B420" s="271">
        <v>1406</v>
      </c>
      <c r="C420" s="271">
        <v>200262</v>
      </c>
      <c r="D420" s="268" t="s">
        <v>894</v>
      </c>
      <c r="E420" s="268" t="s">
        <v>1278</v>
      </c>
      <c r="F420" s="268" t="s">
        <v>3006</v>
      </c>
      <c r="G420" s="268">
        <v>11</v>
      </c>
      <c r="H420" s="268" t="s">
        <v>3019</v>
      </c>
      <c r="I420" s="268" t="s">
        <v>2848</v>
      </c>
      <c r="J420" s="458">
        <v>230363.54243352334</v>
      </c>
      <c r="K420" s="458">
        <v>19196.96186946028</v>
      </c>
      <c r="L420" s="458">
        <v>11194.760870699611</v>
      </c>
      <c r="M420" s="456">
        <v>0</v>
      </c>
      <c r="N420" s="458">
        <v>119.49693843813893</v>
      </c>
      <c r="O420" s="459">
        <v>0</v>
      </c>
      <c r="P420" s="459">
        <v>4031.3619925866592</v>
      </c>
      <c r="Q420" s="458">
        <v>55400.108403681625</v>
      </c>
      <c r="R420" s="458">
        <v>41626.692117737672</v>
      </c>
      <c r="S420" s="458">
        <v>1959.7497903854783</v>
      </c>
      <c r="T420" s="457"/>
      <c r="U420" s="425"/>
      <c r="V420" s="425"/>
      <c r="W420" s="425"/>
      <c r="X420" s="425"/>
      <c r="Y420" s="425"/>
      <c r="Z420" s="425"/>
      <c r="AA420" s="425"/>
      <c r="AB420" s="425"/>
      <c r="AC420" s="425"/>
      <c r="AD420" s="425"/>
      <c r="AE420" s="425"/>
      <c r="AG420" s="425"/>
      <c r="AH420" s="425"/>
      <c r="AI420" s="425"/>
      <c r="AJ420" s="425"/>
      <c r="AK420" s="425"/>
      <c r="AL420" s="425"/>
      <c r="AM420" s="425"/>
      <c r="AN420" s="425"/>
      <c r="AO420" s="425"/>
      <c r="AP420" s="425"/>
      <c r="AQ420" s="425"/>
    </row>
    <row r="421" spans="1:43" s="270" customFormat="1" x14ac:dyDescent="0.25">
      <c r="A421" s="416">
        <v>501406</v>
      </c>
      <c r="B421" s="271">
        <v>1406</v>
      </c>
      <c r="C421" s="271">
        <v>200513</v>
      </c>
      <c r="D421" s="268" t="s">
        <v>894</v>
      </c>
      <c r="E421" s="268" t="s">
        <v>1278</v>
      </c>
      <c r="F421" s="268" t="s">
        <v>3006</v>
      </c>
      <c r="G421" s="268">
        <v>11</v>
      </c>
      <c r="H421" s="268" t="s">
        <v>3020</v>
      </c>
      <c r="I421" s="268" t="s">
        <v>3021</v>
      </c>
      <c r="J421" s="458">
        <v>230363.54243352334</v>
      </c>
      <c r="K421" s="458">
        <v>19196.96186946028</v>
      </c>
      <c r="L421" s="458">
        <v>11194.760870699611</v>
      </c>
      <c r="M421" s="456">
        <v>0</v>
      </c>
      <c r="N421" s="458">
        <v>119.49693843813893</v>
      </c>
      <c r="O421" s="459">
        <v>0</v>
      </c>
      <c r="P421" s="459">
        <v>4031.3619925866592</v>
      </c>
      <c r="Q421" s="458">
        <v>55400.108403681625</v>
      </c>
      <c r="R421" s="458">
        <v>41626.692117737672</v>
      </c>
      <c r="S421" s="458">
        <v>1959.7497903854783</v>
      </c>
      <c r="T421" s="457"/>
      <c r="U421" s="425"/>
      <c r="V421" s="425"/>
      <c r="W421" s="425"/>
      <c r="X421" s="425"/>
      <c r="Y421" s="425"/>
      <c r="Z421" s="425"/>
      <c r="AA421" s="425"/>
      <c r="AB421" s="425"/>
      <c r="AC421" s="425"/>
      <c r="AD421" s="425"/>
      <c r="AE421" s="425"/>
      <c r="AG421" s="425"/>
      <c r="AH421" s="425"/>
      <c r="AI421" s="425"/>
      <c r="AJ421" s="425"/>
      <c r="AK421" s="425"/>
      <c r="AL421" s="425"/>
      <c r="AM421" s="425"/>
      <c r="AN421" s="425"/>
      <c r="AO421" s="425"/>
      <c r="AP421" s="425"/>
      <c r="AQ421" s="425"/>
    </row>
    <row r="422" spans="1:43" s="270" customFormat="1" x14ac:dyDescent="0.25">
      <c r="A422" s="271">
        <v>501406</v>
      </c>
      <c r="B422" s="271">
        <v>1406</v>
      </c>
      <c r="C422" s="271">
        <v>34089</v>
      </c>
      <c r="D422" s="268" t="s">
        <v>894</v>
      </c>
      <c r="E422" s="268" t="s">
        <v>1290</v>
      </c>
      <c r="F422" s="268" t="s">
        <v>2229</v>
      </c>
      <c r="G422" s="268">
        <v>12</v>
      </c>
      <c r="H422" s="268" t="s">
        <v>3022</v>
      </c>
      <c r="I422" s="268" t="s">
        <v>3023</v>
      </c>
      <c r="J422" s="458">
        <v>226258.60130754655</v>
      </c>
      <c r="K422" s="458">
        <v>18854.883442295544</v>
      </c>
      <c r="L422" s="458">
        <v>11194.760870699611</v>
      </c>
      <c r="M422" s="456">
        <v>0</v>
      </c>
      <c r="N422" s="458">
        <v>119.49693843813893</v>
      </c>
      <c r="O422" s="459">
        <v>0</v>
      </c>
      <c r="P422" s="459">
        <v>3959.5255228820643</v>
      </c>
      <c r="Q422" s="458">
        <v>55400.108403681625</v>
      </c>
      <c r="R422" s="458">
        <v>40884.929256273652</v>
      </c>
      <c r="S422" s="458">
        <v>1959.7497903854783</v>
      </c>
      <c r="T422" s="457"/>
      <c r="U422" s="425"/>
      <c r="V422" s="425"/>
      <c r="W422" s="425"/>
      <c r="X422" s="425"/>
      <c r="Y422" s="425"/>
      <c r="Z422" s="425"/>
      <c r="AA422" s="425"/>
      <c r="AB422" s="425"/>
      <c r="AC422" s="425"/>
      <c r="AD422" s="425"/>
      <c r="AE422" s="425"/>
      <c r="AG422" s="425"/>
      <c r="AH422" s="425"/>
      <c r="AI422" s="425"/>
      <c r="AJ422" s="425"/>
      <c r="AK422" s="425"/>
      <c r="AL422" s="425"/>
      <c r="AM422" s="425"/>
      <c r="AN422" s="425"/>
      <c r="AO422" s="425"/>
      <c r="AP422" s="425"/>
      <c r="AQ422" s="425"/>
    </row>
    <row r="423" spans="1:43" s="270" customFormat="1" x14ac:dyDescent="0.25">
      <c r="A423" s="271">
        <v>501206</v>
      </c>
      <c r="B423" s="271">
        <v>1206</v>
      </c>
      <c r="C423" s="271">
        <v>200037</v>
      </c>
      <c r="D423" s="268" t="s">
        <v>894</v>
      </c>
      <c r="E423" s="268" t="s">
        <v>1290</v>
      </c>
      <c r="F423" s="268" t="s">
        <v>2193</v>
      </c>
      <c r="G423" s="268">
        <v>12</v>
      </c>
      <c r="H423" s="268" t="s">
        <v>3024</v>
      </c>
      <c r="I423" s="268" t="s">
        <v>2840</v>
      </c>
      <c r="J423" s="458">
        <v>226258.60130754655</v>
      </c>
      <c r="K423" s="458">
        <v>18854.883442295544</v>
      </c>
      <c r="L423" s="458">
        <v>11194.760870699611</v>
      </c>
      <c r="M423" s="456">
        <v>0</v>
      </c>
      <c r="N423" s="458">
        <v>119.49693843813893</v>
      </c>
      <c r="O423" s="459">
        <v>0</v>
      </c>
      <c r="P423" s="459">
        <v>3959.5255228820643</v>
      </c>
      <c r="Q423" s="458">
        <v>55400.108403681625</v>
      </c>
      <c r="R423" s="458">
        <v>40884.929256273652</v>
      </c>
      <c r="S423" s="458">
        <v>1959.7497903854783</v>
      </c>
      <c r="T423" s="457"/>
      <c r="U423" s="425"/>
      <c r="V423" s="425"/>
      <c r="W423" s="425"/>
      <c r="X423" s="425"/>
      <c r="Y423" s="425"/>
      <c r="Z423" s="425"/>
      <c r="AA423" s="425"/>
      <c r="AB423" s="425"/>
      <c r="AC423" s="425"/>
      <c r="AD423" s="425"/>
      <c r="AE423" s="425"/>
      <c r="AG423" s="425"/>
      <c r="AH423" s="425"/>
      <c r="AI423" s="425"/>
      <c r="AJ423" s="425"/>
      <c r="AK423" s="425"/>
      <c r="AL423" s="425"/>
      <c r="AM423" s="425"/>
      <c r="AN423" s="425"/>
      <c r="AO423" s="425"/>
      <c r="AP423" s="425"/>
      <c r="AQ423" s="425"/>
    </row>
    <row r="424" spans="1:43" s="270" customFormat="1" x14ac:dyDescent="0.25">
      <c r="A424" s="271">
        <v>501503</v>
      </c>
      <c r="B424" s="271">
        <v>1503</v>
      </c>
      <c r="C424" s="271">
        <v>200091</v>
      </c>
      <c r="D424" s="268" t="s">
        <v>894</v>
      </c>
      <c r="E424" s="268" t="s">
        <v>1290</v>
      </c>
      <c r="F424" s="268" t="s">
        <v>3025</v>
      </c>
      <c r="G424" s="268">
        <v>12</v>
      </c>
      <c r="H424" s="268" t="s">
        <v>3026</v>
      </c>
      <c r="I424" s="268" t="s">
        <v>3027</v>
      </c>
      <c r="J424" s="458">
        <v>226258.60130754655</v>
      </c>
      <c r="K424" s="458">
        <v>18854.883442295544</v>
      </c>
      <c r="L424" s="458">
        <v>11194.760870699611</v>
      </c>
      <c r="M424" s="456">
        <v>0</v>
      </c>
      <c r="N424" s="458">
        <v>119.49693843813893</v>
      </c>
      <c r="O424" s="459">
        <v>0</v>
      </c>
      <c r="P424" s="459">
        <v>3959.5255228820643</v>
      </c>
      <c r="Q424" s="458">
        <v>55400.108403681625</v>
      </c>
      <c r="R424" s="458">
        <v>40884.929256273652</v>
      </c>
      <c r="S424" s="458">
        <v>1959.7497903854783</v>
      </c>
      <c r="T424" s="457"/>
      <c r="U424" s="425"/>
      <c r="V424" s="425"/>
      <c r="W424" s="425"/>
      <c r="X424" s="425"/>
      <c r="Y424" s="425"/>
      <c r="Z424" s="425"/>
      <c r="AA424" s="425"/>
      <c r="AB424" s="425"/>
      <c r="AC424" s="425"/>
      <c r="AD424" s="425"/>
      <c r="AE424" s="425"/>
      <c r="AG424" s="425"/>
      <c r="AH424" s="425"/>
      <c r="AI424" s="425"/>
      <c r="AJ424" s="425"/>
      <c r="AK424" s="425"/>
      <c r="AL424" s="425"/>
      <c r="AM424" s="425"/>
      <c r="AN424" s="425"/>
      <c r="AO424" s="425"/>
      <c r="AP424" s="425"/>
      <c r="AQ424" s="425"/>
    </row>
    <row r="425" spans="1:43" s="270" customFormat="1" x14ac:dyDescent="0.25">
      <c r="A425" s="271">
        <v>501503</v>
      </c>
      <c r="B425" s="271">
        <v>1503</v>
      </c>
      <c r="C425" s="271">
        <v>200095</v>
      </c>
      <c r="D425" s="268" t="s">
        <v>894</v>
      </c>
      <c r="E425" s="268" t="s">
        <v>1290</v>
      </c>
      <c r="F425" s="268" t="s">
        <v>3028</v>
      </c>
      <c r="G425" s="268">
        <v>12</v>
      </c>
      <c r="H425" s="268" t="s">
        <v>3029</v>
      </c>
      <c r="I425" s="268" t="s">
        <v>3027</v>
      </c>
      <c r="J425" s="458">
        <v>226258.60130754655</v>
      </c>
      <c r="K425" s="458">
        <v>18854.883442295544</v>
      </c>
      <c r="L425" s="458">
        <v>11194.760870699611</v>
      </c>
      <c r="M425" s="456">
        <v>0</v>
      </c>
      <c r="N425" s="458">
        <v>119.49693843813893</v>
      </c>
      <c r="O425" s="459">
        <v>0</v>
      </c>
      <c r="P425" s="459">
        <v>3959.5255228820643</v>
      </c>
      <c r="Q425" s="458">
        <v>55400.108403681625</v>
      </c>
      <c r="R425" s="458">
        <v>40884.929256273652</v>
      </c>
      <c r="S425" s="458">
        <v>1959.7497903854783</v>
      </c>
      <c r="T425" s="457"/>
      <c r="U425" s="425"/>
      <c r="V425" s="425"/>
      <c r="W425" s="425"/>
      <c r="X425" s="425"/>
      <c r="Y425" s="425"/>
      <c r="Z425" s="425"/>
      <c r="AA425" s="425"/>
      <c r="AB425" s="425"/>
      <c r="AC425" s="425"/>
      <c r="AD425" s="425"/>
      <c r="AE425" s="425"/>
      <c r="AG425" s="425"/>
      <c r="AH425" s="425"/>
      <c r="AI425" s="425"/>
      <c r="AJ425" s="425"/>
      <c r="AK425" s="425"/>
      <c r="AL425" s="425"/>
      <c r="AM425" s="425"/>
      <c r="AN425" s="425"/>
      <c r="AO425" s="425"/>
      <c r="AP425" s="425"/>
      <c r="AQ425" s="425"/>
    </row>
    <row r="426" spans="1:43" s="270" customFormat="1" x14ac:dyDescent="0.25">
      <c r="A426" s="271">
        <v>501408</v>
      </c>
      <c r="B426" s="271">
        <v>1408</v>
      </c>
      <c r="C426" s="271">
        <v>200204</v>
      </c>
      <c r="D426" s="268" t="s">
        <v>894</v>
      </c>
      <c r="E426" s="268" t="s">
        <v>1278</v>
      </c>
      <c r="F426" s="268" t="s">
        <v>2514</v>
      </c>
      <c r="G426" s="268">
        <v>12</v>
      </c>
      <c r="H426" s="268" t="s">
        <v>2209</v>
      </c>
      <c r="I426" s="268" t="s">
        <v>2847</v>
      </c>
      <c r="J426" s="458">
        <v>226258.60130754655</v>
      </c>
      <c r="K426" s="458">
        <v>18854.883442295544</v>
      </c>
      <c r="L426" s="458">
        <v>11194.760870699611</v>
      </c>
      <c r="M426" s="456">
        <v>0</v>
      </c>
      <c r="N426" s="458">
        <v>119.49693843813893</v>
      </c>
      <c r="O426" s="459">
        <v>0</v>
      </c>
      <c r="P426" s="459">
        <v>3959.5255228820643</v>
      </c>
      <c r="Q426" s="458">
        <v>55400.108403681625</v>
      </c>
      <c r="R426" s="458">
        <v>40884.929256273652</v>
      </c>
      <c r="S426" s="458">
        <v>1959.7497903854783</v>
      </c>
      <c r="T426" s="457"/>
      <c r="U426" s="425"/>
      <c r="V426" s="425"/>
      <c r="W426" s="425"/>
      <c r="X426" s="425"/>
      <c r="Y426" s="425"/>
      <c r="Z426" s="425"/>
      <c r="AA426" s="425"/>
      <c r="AB426" s="425"/>
      <c r="AC426" s="425"/>
      <c r="AD426" s="425"/>
      <c r="AE426" s="425"/>
      <c r="AG426" s="425"/>
      <c r="AH426" s="425"/>
      <c r="AI426" s="425"/>
      <c r="AJ426" s="425"/>
      <c r="AK426" s="425"/>
      <c r="AL426" s="425"/>
      <c r="AM426" s="425"/>
      <c r="AN426" s="425"/>
      <c r="AO426" s="425"/>
      <c r="AP426" s="425"/>
      <c r="AQ426" s="425"/>
    </row>
    <row r="427" spans="1:43" s="270" customFormat="1" x14ac:dyDescent="0.25">
      <c r="A427" s="271">
        <v>501503</v>
      </c>
      <c r="B427" s="271">
        <v>1503</v>
      </c>
      <c r="C427" s="271">
        <v>200350</v>
      </c>
      <c r="D427" s="268" t="s">
        <v>894</v>
      </c>
      <c r="E427" s="268" t="s">
        <v>1290</v>
      </c>
      <c r="F427" s="268" t="s">
        <v>2217</v>
      </c>
      <c r="G427" s="268">
        <v>12</v>
      </c>
      <c r="H427" s="268" t="s">
        <v>3030</v>
      </c>
      <c r="I427" s="268" t="s">
        <v>3031</v>
      </c>
      <c r="J427" s="458">
        <v>226258.60130754655</v>
      </c>
      <c r="K427" s="458">
        <v>18854.883442295544</v>
      </c>
      <c r="L427" s="458">
        <v>11194.760870699611</v>
      </c>
      <c r="M427" s="456">
        <v>0</v>
      </c>
      <c r="N427" s="458">
        <v>119.49693843813893</v>
      </c>
      <c r="O427" s="459">
        <v>0</v>
      </c>
      <c r="P427" s="459">
        <v>3959.5255228820643</v>
      </c>
      <c r="Q427" s="458">
        <v>55400.108403681625</v>
      </c>
      <c r="R427" s="458">
        <v>40884.929256273652</v>
      </c>
      <c r="S427" s="458">
        <v>1959.7497903854783</v>
      </c>
      <c r="T427" s="457"/>
      <c r="U427" s="425"/>
      <c r="V427" s="425"/>
      <c r="W427" s="425"/>
      <c r="X427" s="425"/>
      <c r="Y427" s="425"/>
      <c r="Z427" s="425"/>
      <c r="AA427" s="425"/>
      <c r="AB427" s="425"/>
      <c r="AC427" s="425"/>
      <c r="AD427" s="425"/>
      <c r="AE427" s="425"/>
      <c r="AG427" s="425"/>
      <c r="AH427" s="425"/>
      <c r="AI427" s="425"/>
      <c r="AJ427" s="425"/>
      <c r="AK427" s="425"/>
      <c r="AL427" s="425"/>
      <c r="AM427" s="425"/>
      <c r="AN427" s="425"/>
      <c r="AO427" s="425"/>
      <c r="AP427" s="425"/>
      <c r="AQ427" s="425"/>
    </row>
    <row r="428" spans="1:43" s="270" customFormat="1" x14ac:dyDescent="0.25">
      <c r="A428" s="271">
        <v>501406</v>
      </c>
      <c r="B428" s="271">
        <v>1406</v>
      </c>
      <c r="C428" s="271">
        <v>23375</v>
      </c>
      <c r="D428" s="268" t="s">
        <v>894</v>
      </c>
      <c r="E428" s="268" t="s">
        <v>1290</v>
      </c>
      <c r="F428" s="268" t="s">
        <v>2565</v>
      </c>
      <c r="G428" s="268">
        <v>12</v>
      </c>
      <c r="H428" s="268" t="s">
        <v>2943</v>
      </c>
      <c r="I428" s="268" t="s">
        <v>2890</v>
      </c>
      <c r="J428" s="458">
        <v>216012.8452896098</v>
      </c>
      <c r="K428" s="458">
        <v>18001.070440800817</v>
      </c>
      <c r="L428" s="458">
        <v>11194.760870699611</v>
      </c>
      <c r="M428" s="456">
        <v>0</v>
      </c>
      <c r="N428" s="458">
        <v>119.49693843813893</v>
      </c>
      <c r="O428" s="459">
        <v>0</v>
      </c>
      <c r="P428" s="459">
        <v>3780.2247925681722</v>
      </c>
      <c r="Q428" s="458">
        <v>55400.108403681625</v>
      </c>
      <c r="R428" s="458">
        <v>39033.521143832491</v>
      </c>
      <c r="S428" s="458">
        <v>1959.7497903854783</v>
      </c>
      <c r="T428" s="457"/>
      <c r="U428" s="425"/>
      <c r="V428" s="425"/>
      <c r="W428" s="425"/>
      <c r="X428" s="425"/>
      <c r="Y428" s="425"/>
      <c r="Z428" s="425"/>
      <c r="AA428" s="425"/>
      <c r="AB428" s="425"/>
      <c r="AC428" s="425"/>
      <c r="AD428" s="425"/>
      <c r="AE428" s="425"/>
      <c r="AG428" s="425"/>
      <c r="AH428" s="425"/>
      <c r="AI428" s="425"/>
      <c r="AJ428" s="425"/>
      <c r="AK428" s="425"/>
      <c r="AL428" s="425"/>
      <c r="AM428" s="425"/>
      <c r="AN428" s="425"/>
      <c r="AO428" s="425"/>
      <c r="AP428" s="425"/>
      <c r="AQ428" s="425"/>
    </row>
    <row r="429" spans="1:43" s="270" customFormat="1" x14ac:dyDescent="0.25">
      <c r="A429" s="271">
        <v>501444</v>
      </c>
      <c r="B429" s="271">
        <v>1444</v>
      </c>
      <c r="C429" s="271">
        <v>36061</v>
      </c>
      <c r="D429" s="268" t="s">
        <v>894</v>
      </c>
      <c r="E429" s="268" t="s">
        <v>1278</v>
      </c>
      <c r="F429" s="268" t="s">
        <v>2649</v>
      </c>
      <c r="G429" s="268">
        <v>12</v>
      </c>
      <c r="H429" s="268" t="s">
        <v>2496</v>
      </c>
      <c r="I429" s="268" t="s">
        <v>2890</v>
      </c>
      <c r="J429" s="458">
        <v>216012.8452896098</v>
      </c>
      <c r="K429" s="458">
        <v>18001.070440800817</v>
      </c>
      <c r="L429" s="458">
        <v>11194.760870699611</v>
      </c>
      <c r="M429" s="456">
        <v>0</v>
      </c>
      <c r="N429" s="458">
        <v>119.49693843813893</v>
      </c>
      <c r="O429" s="459">
        <v>0</v>
      </c>
      <c r="P429" s="459">
        <v>3780.2247925681722</v>
      </c>
      <c r="Q429" s="458">
        <v>55400.108403681625</v>
      </c>
      <c r="R429" s="458">
        <v>39033.521143832491</v>
      </c>
      <c r="S429" s="458">
        <v>1959.7497903854783</v>
      </c>
      <c r="T429" s="457"/>
      <c r="U429" s="425"/>
      <c r="V429" s="425"/>
      <c r="W429" s="425"/>
      <c r="X429" s="425"/>
      <c r="Y429" s="425"/>
      <c r="Z429" s="425"/>
      <c r="AA429" s="425"/>
      <c r="AB429" s="425"/>
      <c r="AC429" s="425"/>
      <c r="AD429" s="425"/>
      <c r="AE429" s="425"/>
      <c r="AG429" s="425"/>
      <c r="AH429" s="425"/>
      <c r="AI429" s="425"/>
      <c r="AJ429" s="425"/>
      <c r="AK429" s="425"/>
      <c r="AL429" s="425"/>
      <c r="AM429" s="425"/>
      <c r="AN429" s="425"/>
      <c r="AO429" s="425"/>
      <c r="AP429" s="425"/>
      <c r="AQ429" s="425"/>
    </row>
    <row r="430" spans="1:43" s="270" customFormat="1" x14ac:dyDescent="0.25">
      <c r="A430" s="271">
        <v>501444</v>
      </c>
      <c r="B430" s="271">
        <v>1444</v>
      </c>
      <c r="C430" s="271">
        <v>38098</v>
      </c>
      <c r="D430" s="268" t="s">
        <v>894</v>
      </c>
      <c r="E430" s="268" t="s">
        <v>1290</v>
      </c>
      <c r="F430" s="268" t="s">
        <v>2649</v>
      </c>
      <c r="G430" s="268">
        <v>12</v>
      </c>
      <c r="H430" s="268" t="s">
        <v>3032</v>
      </c>
      <c r="I430" s="268" t="s">
        <v>2890</v>
      </c>
      <c r="J430" s="458">
        <v>216012.8452896098</v>
      </c>
      <c r="K430" s="458">
        <v>18001.070440800817</v>
      </c>
      <c r="L430" s="458">
        <v>11194.760870699611</v>
      </c>
      <c r="M430" s="456">
        <v>0</v>
      </c>
      <c r="N430" s="458">
        <v>119.49693843813893</v>
      </c>
      <c r="O430" s="459">
        <v>0</v>
      </c>
      <c r="P430" s="459">
        <v>3780.2247925681722</v>
      </c>
      <c r="Q430" s="458">
        <v>55400.108403681625</v>
      </c>
      <c r="R430" s="458">
        <v>39033.521143832491</v>
      </c>
      <c r="S430" s="458">
        <v>1959.7497903854783</v>
      </c>
      <c r="T430" s="457"/>
      <c r="U430" s="425"/>
      <c r="V430" s="425"/>
      <c r="W430" s="425"/>
      <c r="X430" s="425"/>
      <c r="Y430" s="425"/>
      <c r="Z430" s="425"/>
      <c r="AA430" s="425"/>
      <c r="AB430" s="425"/>
      <c r="AC430" s="425"/>
      <c r="AD430" s="425"/>
      <c r="AE430" s="425"/>
      <c r="AG430" s="425"/>
      <c r="AH430" s="425"/>
      <c r="AI430" s="425"/>
      <c r="AJ430" s="425"/>
      <c r="AK430" s="425"/>
      <c r="AL430" s="425"/>
      <c r="AM430" s="425"/>
      <c r="AN430" s="425"/>
      <c r="AO430" s="425"/>
      <c r="AP430" s="425"/>
      <c r="AQ430" s="425"/>
    </row>
    <row r="431" spans="1:43" s="270" customFormat="1" x14ac:dyDescent="0.25">
      <c r="A431" s="271">
        <v>501406</v>
      </c>
      <c r="B431" s="271">
        <v>1406</v>
      </c>
      <c r="C431" s="271">
        <v>40811</v>
      </c>
      <c r="D431" s="268" t="s">
        <v>894</v>
      </c>
      <c r="E431" s="268" t="s">
        <v>1290</v>
      </c>
      <c r="F431" s="268" t="s">
        <v>2768</v>
      </c>
      <c r="G431" s="268">
        <v>12</v>
      </c>
      <c r="H431" s="268" t="s">
        <v>3033</v>
      </c>
      <c r="I431" s="268" t="s">
        <v>2890</v>
      </c>
      <c r="J431" s="458">
        <v>216012.8452896098</v>
      </c>
      <c r="K431" s="458">
        <v>18001.070440800817</v>
      </c>
      <c r="L431" s="458">
        <v>11194.760870699611</v>
      </c>
      <c r="M431" s="456">
        <v>0</v>
      </c>
      <c r="N431" s="458">
        <v>119.49693843813893</v>
      </c>
      <c r="O431" s="459">
        <v>0</v>
      </c>
      <c r="P431" s="459">
        <v>3780.2247925681722</v>
      </c>
      <c r="Q431" s="458">
        <v>55400.108403681625</v>
      </c>
      <c r="R431" s="458">
        <v>39033.521143832491</v>
      </c>
      <c r="S431" s="458">
        <v>1959.7497903854783</v>
      </c>
      <c r="T431" s="457"/>
      <c r="U431" s="425"/>
      <c r="V431" s="425"/>
      <c r="W431" s="425"/>
      <c r="X431" s="425"/>
      <c r="Y431" s="425"/>
      <c r="Z431" s="425"/>
      <c r="AA431" s="425"/>
      <c r="AB431" s="425"/>
      <c r="AC431" s="425"/>
      <c r="AD431" s="425"/>
      <c r="AE431" s="425"/>
      <c r="AG431" s="425"/>
      <c r="AH431" s="425"/>
      <c r="AI431" s="425"/>
      <c r="AJ431" s="425"/>
      <c r="AK431" s="425"/>
      <c r="AL431" s="425"/>
      <c r="AM431" s="425"/>
      <c r="AN431" s="425"/>
      <c r="AO431" s="425"/>
      <c r="AP431" s="425"/>
      <c r="AQ431" s="425"/>
    </row>
    <row r="432" spans="1:43" s="270" customFormat="1" x14ac:dyDescent="0.25">
      <c r="A432" s="271">
        <v>501443</v>
      </c>
      <c r="B432" s="271">
        <v>1443</v>
      </c>
      <c r="C432" s="271">
        <v>58968</v>
      </c>
      <c r="D432" s="268" t="s">
        <v>894</v>
      </c>
      <c r="E432" s="268" t="s">
        <v>1290</v>
      </c>
      <c r="F432" s="268" t="s">
        <v>2838</v>
      </c>
      <c r="G432" s="268">
        <v>12</v>
      </c>
      <c r="H432" s="268" t="s">
        <v>3034</v>
      </c>
      <c r="I432" s="268" t="s">
        <v>2890</v>
      </c>
      <c r="J432" s="458">
        <v>216012.8452896098</v>
      </c>
      <c r="K432" s="458">
        <v>18001.070440800817</v>
      </c>
      <c r="L432" s="458">
        <v>11194.760870699611</v>
      </c>
      <c r="M432" s="456">
        <v>0</v>
      </c>
      <c r="N432" s="458">
        <v>119.49693843813893</v>
      </c>
      <c r="O432" s="459">
        <v>0</v>
      </c>
      <c r="P432" s="459">
        <v>3780.2247925681722</v>
      </c>
      <c r="Q432" s="458">
        <v>55400.108403681625</v>
      </c>
      <c r="R432" s="458">
        <v>39033.521143832491</v>
      </c>
      <c r="S432" s="458">
        <v>1959.7497903854783</v>
      </c>
      <c r="T432" s="457"/>
      <c r="U432" s="425"/>
      <c r="V432" s="425"/>
      <c r="W432" s="425"/>
      <c r="X432" s="425"/>
      <c r="Y432" s="425"/>
      <c r="Z432" s="425"/>
      <c r="AA432" s="425"/>
      <c r="AB432" s="425"/>
      <c r="AC432" s="425"/>
      <c r="AD432" s="425"/>
      <c r="AE432" s="425"/>
      <c r="AG432" s="425"/>
      <c r="AH432" s="425"/>
      <c r="AI432" s="425"/>
      <c r="AJ432" s="425"/>
      <c r="AK432" s="425"/>
      <c r="AL432" s="425"/>
      <c r="AM432" s="425"/>
      <c r="AN432" s="425"/>
      <c r="AO432" s="425"/>
      <c r="AP432" s="425"/>
      <c r="AQ432" s="425"/>
    </row>
    <row r="433" spans="1:43" s="270" customFormat="1" x14ac:dyDescent="0.25">
      <c r="A433" s="271">
        <v>501443</v>
      </c>
      <c r="B433" s="271">
        <v>1443</v>
      </c>
      <c r="C433" s="271">
        <v>84880</v>
      </c>
      <c r="D433" s="268" t="s">
        <v>894</v>
      </c>
      <c r="E433" s="268" t="s">
        <v>1278</v>
      </c>
      <c r="F433" s="268" t="s">
        <v>3035</v>
      </c>
      <c r="G433" s="268">
        <v>12</v>
      </c>
      <c r="H433" s="268" t="s">
        <v>3036</v>
      </c>
      <c r="I433" s="268" t="s">
        <v>2890</v>
      </c>
      <c r="J433" s="458">
        <v>216012.8452896098</v>
      </c>
      <c r="K433" s="458">
        <v>18001.070440800817</v>
      </c>
      <c r="L433" s="458">
        <v>11194.760870699611</v>
      </c>
      <c r="M433" s="456">
        <v>0</v>
      </c>
      <c r="N433" s="458">
        <v>119.49693843813893</v>
      </c>
      <c r="O433" s="459">
        <v>0</v>
      </c>
      <c r="P433" s="459">
        <v>3780.2247925681722</v>
      </c>
      <c r="Q433" s="458">
        <v>55400.108403681625</v>
      </c>
      <c r="R433" s="458">
        <v>39033.521143832491</v>
      </c>
      <c r="S433" s="458">
        <v>1959.7497903854783</v>
      </c>
      <c r="T433" s="457"/>
      <c r="U433" s="425"/>
      <c r="V433" s="425"/>
      <c r="W433" s="425"/>
      <c r="X433" s="425"/>
      <c r="Y433" s="425"/>
      <c r="Z433" s="425"/>
      <c r="AA433" s="425"/>
      <c r="AB433" s="425"/>
      <c r="AC433" s="425"/>
      <c r="AD433" s="425"/>
      <c r="AE433" s="425"/>
      <c r="AG433" s="425"/>
      <c r="AH433" s="425"/>
      <c r="AI433" s="425"/>
      <c r="AJ433" s="425"/>
      <c r="AK433" s="425"/>
      <c r="AL433" s="425"/>
      <c r="AM433" s="425"/>
      <c r="AN433" s="425"/>
      <c r="AO433" s="425"/>
      <c r="AP433" s="425"/>
      <c r="AQ433" s="425"/>
    </row>
    <row r="434" spans="1:43" s="270" customFormat="1" x14ac:dyDescent="0.25">
      <c r="A434" s="271">
        <v>501443</v>
      </c>
      <c r="B434" s="271">
        <v>1443</v>
      </c>
      <c r="C434" s="271">
        <v>39246</v>
      </c>
      <c r="D434" s="268" t="s">
        <v>894</v>
      </c>
      <c r="E434" s="268" t="s">
        <v>1290</v>
      </c>
      <c r="F434" s="268" t="s">
        <v>1276</v>
      </c>
      <c r="G434" s="268">
        <v>12</v>
      </c>
      <c r="H434" s="268" t="s">
        <v>3037</v>
      </c>
      <c r="I434" s="268" t="s">
        <v>2890</v>
      </c>
      <c r="J434" s="458">
        <v>210923.16087465204</v>
      </c>
      <c r="K434" s="458">
        <v>17576.93007288767</v>
      </c>
      <c r="L434" s="458">
        <v>11194.760870699611</v>
      </c>
      <c r="M434" s="456">
        <v>0</v>
      </c>
      <c r="N434" s="458">
        <v>119.49693843813893</v>
      </c>
      <c r="O434" s="459">
        <v>0</v>
      </c>
      <c r="P434" s="459">
        <v>3691.155315306411</v>
      </c>
      <c r="Q434" s="458">
        <v>55400.108403681625</v>
      </c>
      <c r="R434" s="458">
        <v>38113.815170049624</v>
      </c>
      <c r="S434" s="458">
        <v>1959.7497903854783</v>
      </c>
      <c r="T434" s="457"/>
      <c r="U434" s="425"/>
      <c r="V434" s="425"/>
      <c r="W434" s="425"/>
      <c r="X434" s="425"/>
      <c r="Y434" s="425"/>
      <c r="Z434" s="425"/>
      <c r="AA434" s="425"/>
      <c r="AB434" s="425"/>
      <c r="AC434" s="425"/>
      <c r="AD434" s="425"/>
      <c r="AE434" s="425"/>
      <c r="AG434" s="425"/>
      <c r="AH434" s="425"/>
      <c r="AI434" s="425"/>
      <c r="AJ434" s="425"/>
      <c r="AK434" s="425"/>
      <c r="AL434" s="425"/>
      <c r="AM434" s="425"/>
      <c r="AN434" s="425"/>
      <c r="AO434" s="425"/>
      <c r="AP434" s="425"/>
      <c r="AQ434" s="425"/>
    </row>
    <row r="435" spans="1:43" s="270" customFormat="1" x14ac:dyDescent="0.25">
      <c r="A435" s="271">
        <v>501444</v>
      </c>
      <c r="B435" s="271">
        <v>1444</v>
      </c>
      <c r="C435" s="271">
        <v>40468</v>
      </c>
      <c r="D435" s="268" t="s">
        <v>894</v>
      </c>
      <c r="E435" s="268" t="s">
        <v>1290</v>
      </c>
      <c r="F435" s="268" t="s">
        <v>2725</v>
      </c>
      <c r="G435" s="268">
        <v>12</v>
      </c>
      <c r="H435" s="268" t="s">
        <v>3038</v>
      </c>
      <c r="I435" s="268" t="s">
        <v>3039</v>
      </c>
      <c r="J435" s="458">
        <v>210923.16087465204</v>
      </c>
      <c r="K435" s="458">
        <v>17576.93007288767</v>
      </c>
      <c r="L435" s="458">
        <v>11194.760870699611</v>
      </c>
      <c r="M435" s="456">
        <v>0</v>
      </c>
      <c r="N435" s="458">
        <v>119.49693843813893</v>
      </c>
      <c r="O435" s="459">
        <v>0</v>
      </c>
      <c r="P435" s="459">
        <v>3691.155315306411</v>
      </c>
      <c r="Q435" s="458">
        <v>55400.108403681625</v>
      </c>
      <c r="R435" s="458">
        <v>38113.815170049624</v>
      </c>
      <c r="S435" s="458">
        <v>1959.7497903854783</v>
      </c>
      <c r="T435" s="457"/>
      <c r="U435" s="425"/>
      <c r="V435" s="425"/>
      <c r="W435" s="425"/>
      <c r="X435" s="425"/>
      <c r="Y435" s="425"/>
      <c r="Z435" s="425"/>
      <c r="AA435" s="425"/>
      <c r="AB435" s="425"/>
      <c r="AC435" s="425"/>
      <c r="AD435" s="425"/>
      <c r="AE435" s="425"/>
      <c r="AG435" s="425"/>
      <c r="AH435" s="425"/>
      <c r="AI435" s="425"/>
      <c r="AJ435" s="425"/>
      <c r="AK435" s="425"/>
      <c r="AL435" s="425"/>
      <c r="AM435" s="425"/>
      <c r="AN435" s="425"/>
      <c r="AO435" s="425"/>
      <c r="AP435" s="425"/>
      <c r="AQ435" s="425"/>
    </row>
    <row r="436" spans="1:43" s="270" customFormat="1" x14ac:dyDescent="0.25">
      <c r="A436" s="271">
        <v>501443</v>
      </c>
      <c r="B436" s="271">
        <v>1443</v>
      </c>
      <c r="C436" s="271">
        <v>41315</v>
      </c>
      <c r="D436" s="268" t="s">
        <v>894</v>
      </c>
      <c r="E436" s="268" t="s">
        <v>1290</v>
      </c>
      <c r="F436" s="268" t="s">
        <v>2408</v>
      </c>
      <c r="G436" s="268">
        <v>12</v>
      </c>
      <c r="H436" s="268" t="s">
        <v>3040</v>
      </c>
      <c r="I436" s="268" t="s">
        <v>3039</v>
      </c>
      <c r="J436" s="458">
        <v>210923.16087465204</v>
      </c>
      <c r="K436" s="458">
        <v>17576.93007288767</v>
      </c>
      <c r="L436" s="458">
        <v>11194.760870699611</v>
      </c>
      <c r="M436" s="456">
        <v>0</v>
      </c>
      <c r="N436" s="458">
        <v>119.49693843813893</v>
      </c>
      <c r="O436" s="459">
        <v>0</v>
      </c>
      <c r="P436" s="459">
        <v>3691.155315306411</v>
      </c>
      <c r="Q436" s="458">
        <v>55400.108403681625</v>
      </c>
      <c r="R436" s="458">
        <v>38113.815170049624</v>
      </c>
      <c r="S436" s="458">
        <v>1959.7497903854783</v>
      </c>
      <c r="T436" s="457"/>
      <c r="U436" s="425"/>
      <c r="V436" s="425"/>
      <c r="W436" s="425"/>
      <c r="X436" s="425"/>
      <c r="Y436" s="425"/>
      <c r="Z436" s="425"/>
      <c r="AA436" s="425"/>
      <c r="AB436" s="425"/>
      <c r="AC436" s="425"/>
      <c r="AD436" s="425"/>
      <c r="AE436" s="425"/>
      <c r="AG436" s="425"/>
      <c r="AH436" s="425"/>
      <c r="AI436" s="425"/>
      <c r="AJ436" s="425"/>
      <c r="AK436" s="425"/>
      <c r="AL436" s="425"/>
      <c r="AM436" s="425"/>
      <c r="AN436" s="425"/>
      <c r="AO436" s="425"/>
      <c r="AP436" s="425"/>
      <c r="AQ436" s="425"/>
    </row>
    <row r="437" spans="1:43" s="270" customFormat="1" x14ac:dyDescent="0.25">
      <c r="A437" s="271">
        <v>501443</v>
      </c>
      <c r="B437" s="271">
        <v>1443</v>
      </c>
      <c r="C437" s="271">
        <v>200061</v>
      </c>
      <c r="D437" s="268" t="s">
        <v>894</v>
      </c>
      <c r="E437" s="268" t="s">
        <v>1290</v>
      </c>
      <c r="F437" s="268" t="s">
        <v>2193</v>
      </c>
      <c r="G437" s="268">
        <v>12</v>
      </c>
      <c r="H437" s="268" t="s">
        <v>3041</v>
      </c>
      <c r="I437" s="268" t="s">
        <v>3039</v>
      </c>
      <c r="J437" s="458">
        <v>210923.16087465204</v>
      </c>
      <c r="K437" s="458">
        <v>17576.93007288767</v>
      </c>
      <c r="L437" s="458">
        <v>11194.760870699611</v>
      </c>
      <c r="M437" s="456">
        <v>0</v>
      </c>
      <c r="N437" s="458">
        <v>119.49693843813893</v>
      </c>
      <c r="O437" s="459">
        <v>0</v>
      </c>
      <c r="P437" s="459">
        <v>3691.155315306411</v>
      </c>
      <c r="Q437" s="458">
        <v>55400.108403681625</v>
      </c>
      <c r="R437" s="458">
        <v>38113.815170049624</v>
      </c>
      <c r="S437" s="458">
        <v>1959.7497903854783</v>
      </c>
      <c r="T437" s="457"/>
      <c r="U437" s="425"/>
      <c r="V437" s="425"/>
      <c r="W437" s="425"/>
      <c r="X437" s="425"/>
      <c r="Y437" s="425"/>
      <c r="Z437" s="425"/>
      <c r="AA437" s="425"/>
      <c r="AB437" s="425"/>
      <c r="AC437" s="425"/>
      <c r="AD437" s="425"/>
      <c r="AE437" s="425"/>
      <c r="AG437" s="425"/>
      <c r="AH437" s="425"/>
      <c r="AI437" s="425"/>
      <c r="AJ437" s="425"/>
      <c r="AK437" s="425"/>
      <c r="AL437" s="425"/>
      <c r="AM437" s="425"/>
      <c r="AN437" s="425"/>
      <c r="AO437" s="425"/>
      <c r="AP437" s="425"/>
      <c r="AQ437" s="425"/>
    </row>
    <row r="438" spans="1:43" s="270" customFormat="1" x14ac:dyDescent="0.25">
      <c r="A438" s="271">
        <v>501444</v>
      </c>
      <c r="B438" s="271">
        <v>1444</v>
      </c>
      <c r="C438" s="271">
        <v>200140</v>
      </c>
      <c r="D438" s="268" t="s">
        <v>894</v>
      </c>
      <c r="E438" s="268" t="s">
        <v>1290</v>
      </c>
      <c r="F438" s="268" t="s">
        <v>3042</v>
      </c>
      <c r="G438" s="268">
        <v>12</v>
      </c>
      <c r="H438" s="268" t="s">
        <v>3043</v>
      </c>
      <c r="I438" s="268" t="s">
        <v>3044</v>
      </c>
      <c r="J438" s="458">
        <v>210923.16087465204</v>
      </c>
      <c r="K438" s="458">
        <v>17576.93007288767</v>
      </c>
      <c r="L438" s="458">
        <v>11194.760870699611</v>
      </c>
      <c r="M438" s="456">
        <v>0</v>
      </c>
      <c r="N438" s="458">
        <v>119.49693843813893</v>
      </c>
      <c r="O438" s="459">
        <v>0</v>
      </c>
      <c r="P438" s="459">
        <v>3691.155315306411</v>
      </c>
      <c r="Q438" s="458">
        <v>55400.108403681625</v>
      </c>
      <c r="R438" s="458">
        <v>38113.815170049624</v>
      </c>
      <c r="S438" s="458">
        <v>1959.7497903854783</v>
      </c>
      <c r="T438" s="457"/>
      <c r="U438" s="425"/>
      <c r="V438" s="425"/>
      <c r="W438" s="425"/>
      <c r="X438" s="425"/>
      <c r="Y438" s="425"/>
      <c r="Z438" s="425"/>
      <c r="AA438" s="425"/>
      <c r="AB438" s="425"/>
      <c r="AC438" s="425"/>
      <c r="AD438" s="425"/>
      <c r="AE438" s="425"/>
      <c r="AG438" s="425"/>
      <c r="AH438" s="425"/>
      <c r="AI438" s="425"/>
      <c r="AJ438" s="425"/>
      <c r="AK438" s="425"/>
      <c r="AL438" s="425"/>
      <c r="AM438" s="425"/>
      <c r="AN438" s="425"/>
      <c r="AO438" s="425"/>
      <c r="AP438" s="425"/>
      <c r="AQ438" s="425"/>
    </row>
    <row r="439" spans="1:43" s="270" customFormat="1" x14ac:dyDescent="0.25">
      <c r="A439" s="271">
        <v>501444</v>
      </c>
      <c r="B439" s="271">
        <v>1444</v>
      </c>
      <c r="C439" s="271">
        <v>200144</v>
      </c>
      <c r="D439" s="268" t="s">
        <v>894</v>
      </c>
      <c r="E439" s="268" t="s">
        <v>1290</v>
      </c>
      <c r="F439" s="268" t="s">
        <v>3045</v>
      </c>
      <c r="G439" s="268">
        <v>12</v>
      </c>
      <c r="H439" s="268" t="s">
        <v>3046</v>
      </c>
      <c r="I439" s="268" t="s">
        <v>3044</v>
      </c>
      <c r="J439" s="458">
        <v>210923.16087465204</v>
      </c>
      <c r="K439" s="458">
        <v>17576.93007288767</v>
      </c>
      <c r="L439" s="458">
        <v>11194.760870699611</v>
      </c>
      <c r="M439" s="456">
        <v>0</v>
      </c>
      <c r="N439" s="458">
        <v>119.49693843813893</v>
      </c>
      <c r="O439" s="459">
        <v>0</v>
      </c>
      <c r="P439" s="459">
        <v>3691.155315306411</v>
      </c>
      <c r="Q439" s="458">
        <v>55400.108403681625</v>
      </c>
      <c r="R439" s="458">
        <v>38113.815170049624</v>
      </c>
      <c r="S439" s="458">
        <v>1959.7497903854783</v>
      </c>
      <c r="T439" s="453"/>
      <c r="U439" s="425"/>
      <c r="V439" s="425"/>
      <c r="W439" s="425"/>
      <c r="X439" s="425"/>
      <c r="Y439" s="425"/>
      <c r="Z439" s="425"/>
      <c r="AA439" s="425"/>
      <c r="AB439" s="425"/>
      <c r="AC439" s="425"/>
      <c r="AD439" s="425"/>
      <c r="AE439" s="425"/>
      <c r="AG439" s="425"/>
      <c r="AH439" s="425"/>
      <c r="AI439" s="425"/>
      <c r="AJ439" s="425"/>
      <c r="AK439" s="425"/>
      <c r="AL439" s="425"/>
      <c r="AM439" s="425"/>
      <c r="AN439" s="425"/>
      <c r="AO439" s="425"/>
      <c r="AP439" s="425"/>
      <c r="AQ439" s="425"/>
    </row>
    <row r="440" spans="1:43" s="270" customFormat="1" x14ac:dyDescent="0.25">
      <c r="A440" s="271">
        <v>501444</v>
      </c>
      <c r="B440" s="271">
        <v>1444</v>
      </c>
      <c r="C440" s="271">
        <v>200146</v>
      </c>
      <c r="D440" s="268" t="s">
        <v>894</v>
      </c>
      <c r="E440" s="268" t="s">
        <v>1290</v>
      </c>
      <c r="F440" s="268" t="s">
        <v>2240</v>
      </c>
      <c r="G440" s="268">
        <v>12</v>
      </c>
      <c r="H440" s="268" t="s">
        <v>3047</v>
      </c>
      <c r="I440" s="268" t="s">
        <v>3048</v>
      </c>
      <c r="J440" s="458">
        <v>210923.16087465204</v>
      </c>
      <c r="K440" s="458">
        <v>17576.93007288767</v>
      </c>
      <c r="L440" s="458">
        <v>11194.760870699611</v>
      </c>
      <c r="M440" s="456">
        <v>0</v>
      </c>
      <c r="N440" s="458">
        <v>119.49693843813893</v>
      </c>
      <c r="O440" s="459">
        <v>0</v>
      </c>
      <c r="P440" s="459">
        <v>3691.155315306411</v>
      </c>
      <c r="Q440" s="458">
        <v>55400.108403681625</v>
      </c>
      <c r="R440" s="458">
        <v>38113.815170049624</v>
      </c>
      <c r="S440" s="458">
        <v>1959.7497903854783</v>
      </c>
      <c r="T440" s="457"/>
      <c r="U440" s="425"/>
      <c r="V440" s="425"/>
      <c r="W440" s="425"/>
      <c r="X440" s="425"/>
      <c r="Y440" s="425"/>
      <c r="Z440" s="425"/>
      <c r="AA440" s="425"/>
      <c r="AB440" s="425"/>
      <c r="AC440" s="425"/>
      <c r="AD440" s="425"/>
      <c r="AE440" s="425"/>
      <c r="AG440" s="425"/>
      <c r="AH440" s="425"/>
      <c r="AI440" s="425"/>
      <c r="AJ440" s="425"/>
      <c r="AK440" s="425"/>
      <c r="AL440" s="425"/>
      <c r="AM440" s="425"/>
      <c r="AN440" s="425"/>
      <c r="AO440" s="425"/>
      <c r="AP440" s="425"/>
      <c r="AQ440" s="425"/>
    </row>
    <row r="441" spans="1:43" s="270" customFormat="1" x14ac:dyDescent="0.25">
      <c r="A441" s="271">
        <v>501444</v>
      </c>
      <c r="B441" s="271">
        <v>1444</v>
      </c>
      <c r="C441" s="271">
        <v>200288</v>
      </c>
      <c r="D441" s="268" t="s">
        <v>894</v>
      </c>
      <c r="E441" s="268" t="s">
        <v>1290</v>
      </c>
      <c r="F441" s="268" t="s">
        <v>2949</v>
      </c>
      <c r="G441" s="268">
        <v>12</v>
      </c>
      <c r="H441" s="268" t="s">
        <v>3049</v>
      </c>
      <c r="I441" s="268" t="s">
        <v>3039</v>
      </c>
      <c r="J441" s="458">
        <v>210923.16087465204</v>
      </c>
      <c r="K441" s="458">
        <v>17576.93007288767</v>
      </c>
      <c r="L441" s="458">
        <v>11194.760870699611</v>
      </c>
      <c r="M441" s="456">
        <v>0</v>
      </c>
      <c r="N441" s="458">
        <v>119.49693843813893</v>
      </c>
      <c r="O441" s="459">
        <v>0</v>
      </c>
      <c r="P441" s="459">
        <v>3691.155315306411</v>
      </c>
      <c r="Q441" s="458">
        <v>55400.108403681625</v>
      </c>
      <c r="R441" s="458">
        <v>38113.815170049624</v>
      </c>
      <c r="S441" s="458">
        <v>1959.7497903854783</v>
      </c>
      <c r="T441" s="457"/>
      <c r="U441" s="425"/>
      <c r="V441" s="425"/>
      <c r="W441" s="425"/>
      <c r="X441" s="425"/>
      <c r="Y441" s="425"/>
      <c r="Z441" s="425"/>
      <c r="AA441" s="425"/>
      <c r="AB441" s="425"/>
      <c r="AC441" s="425"/>
      <c r="AD441" s="425"/>
      <c r="AE441" s="425"/>
      <c r="AG441" s="425"/>
      <c r="AH441" s="425"/>
      <c r="AI441" s="425"/>
      <c r="AJ441" s="425"/>
      <c r="AK441" s="425"/>
      <c r="AL441" s="425"/>
      <c r="AM441" s="425"/>
      <c r="AN441" s="425"/>
      <c r="AO441" s="425"/>
      <c r="AP441" s="425"/>
      <c r="AQ441" s="425"/>
    </row>
    <row r="442" spans="1:43" s="270" customFormat="1" x14ac:dyDescent="0.25">
      <c r="A442" s="271">
        <v>501505</v>
      </c>
      <c r="B442" s="271">
        <v>1505</v>
      </c>
      <c r="C442" s="271">
        <v>22842</v>
      </c>
      <c r="D442" s="268" t="s">
        <v>894</v>
      </c>
      <c r="E442" s="268" t="s">
        <v>1290</v>
      </c>
      <c r="F442" s="268" t="s">
        <v>2571</v>
      </c>
      <c r="G442" s="268">
        <v>13</v>
      </c>
      <c r="H442" s="268" t="s">
        <v>3050</v>
      </c>
      <c r="I442" s="268" t="s">
        <v>2831</v>
      </c>
      <c r="J442" s="458">
        <v>198132.56264923644</v>
      </c>
      <c r="K442" s="458">
        <v>16511.046887436369</v>
      </c>
      <c r="L442" s="458">
        <v>11194.760870699611</v>
      </c>
      <c r="M442" s="456">
        <v>0</v>
      </c>
      <c r="N442" s="458">
        <v>119.49693843813893</v>
      </c>
      <c r="O442" s="459">
        <v>0</v>
      </c>
      <c r="P442" s="459">
        <v>3467.3198463616377</v>
      </c>
      <c r="Q442" s="458">
        <v>55400.108403681625</v>
      </c>
      <c r="R442" s="458">
        <v>35802.554070717022</v>
      </c>
      <c r="S442" s="458">
        <v>1959.7497903854783</v>
      </c>
      <c r="T442" s="457"/>
      <c r="U442" s="425"/>
      <c r="V442" s="425"/>
      <c r="W442" s="425"/>
      <c r="X442" s="425"/>
      <c r="Y442" s="425"/>
      <c r="Z442" s="425"/>
      <c r="AA442" s="425"/>
      <c r="AB442" s="425"/>
      <c r="AC442" s="425"/>
      <c r="AD442" s="425"/>
      <c r="AE442" s="425"/>
      <c r="AG442" s="425"/>
      <c r="AH442" s="425"/>
      <c r="AI442" s="425"/>
      <c r="AJ442" s="425"/>
      <c r="AK442" s="425"/>
      <c r="AL442" s="425"/>
      <c r="AM442" s="425"/>
      <c r="AN442" s="425"/>
      <c r="AO442" s="425"/>
      <c r="AP442" s="425"/>
      <c r="AQ442" s="425"/>
    </row>
    <row r="443" spans="1:43" s="270" customFormat="1" x14ac:dyDescent="0.25">
      <c r="A443" s="271">
        <v>501444</v>
      </c>
      <c r="B443" s="271">
        <v>1444</v>
      </c>
      <c r="C443" s="271">
        <v>51570</v>
      </c>
      <c r="D443" s="268" t="s">
        <v>894</v>
      </c>
      <c r="E443" s="268" t="s">
        <v>1290</v>
      </c>
      <c r="F443" s="268" t="s">
        <v>3051</v>
      </c>
      <c r="G443" s="268">
        <v>13</v>
      </c>
      <c r="H443" s="268" t="s">
        <v>3052</v>
      </c>
      <c r="I443" s="268" t="s">
        <v>3053</v>
      </c>
      <c r="J443" s="458">
        <v>198132.56264923644</v>
      </c>
      <c r="K443" s="458">
        <v>16511.046887436369</v>
      </c>
      <c r="L443" s="458">
        <v>11194.760870699611</v>
      </c>
      <c r="M443" s="456">
        <v>0</v>
      </c>
      <c r="N443" s="458">
        <v>119.49693843813893</v>
      </c>
      <c r="O443" s="459">
        <v>0</v>
      </c>
      <c r="P443" s="459">
        <v>3467.3198463616377</v>
      </c>
      <c r="Q443" s="458">
        <v>55400.108403681625</v>
      </c>
      <c r="R443" s="458">
        <v>35802.554070717022</v>
      </c>
      <c r="S443" s="458">
        <v>1959.7497903854783</v>
      </c>
      <c r="T443" s="457"/>
      <c r="U443" s="425"/>
      <c r="V443" s="425"/>
      <c r="W443" s="425"/>
      <c r="X443" s="425"/>
      <c r="Y443" s="425"/>
      <c r="Z443" s="425"/>
      <c r="AA443" s="425"/>
      <c r="AB443" s="425"/>
      <c r="AC443" s="425"/>
      <c r="AD443" s="425"/>
      <c r="AE443" s="425"/>
      <c r="AG443" s="425"/>
      <c r="AH443" s="425"/>
      <c r="AI443" s="425"/>
      <c r="AJ443" s="425"/>
      <c r="AK443" s="425"/>
      <c r="AL443" s="425"/>
      <c r="AM443" s="425"/>
      <c r="AN443" s="425"/>
      <c r="AO443" s="425"/>
      <c r="AP443" s="425"/>
      <c r="AQ443" s="425"/>
    </row>
    <row r="444" spans="1:43" s="270" customFormat="1" x14ac:dyDescent="0.25">
      <c r="A444" s="271">
        <v>501505</v>
      </c>
      <c r="B444" s="271">
        <v>1505</v>
      </c>
      <c r="C444" s="271">
        <v>83771</v>
      </c>
      <c r="D444" s="268" t="s">
        <v>894</v>
      </c>
      <c r="E444" s="268" t="s">
        <v>1290</v>
      </c>
      <c r="F444" s="268" t="s">
        <v>3054</v>
      </c>
      <c r="G444" s="268">
        <v>13</v>
      </c>
      <c r="H444" s="268" t="s">
        <v>3055</v>
      </c>
      <c r="I444" s="268" t="s">
        <v>2978</v>
      </c>
      <c r="J444" s="458">
        <v>198132.56264923644</v>
      </c>
      <c r="K444" s="458">
        <v>16511.046887436369</v>
      </c>
      <c r="L444" s="458">
        <v>11194.760870699611</v>
      </c>
      <c r="M444" s="456">
        <v>0</v>
      </c>
      <c r="N444" s="458">
        <v>119.49693843813893</v>
      </c>
      <c r="O444" s="459">
        <v>0</v>
      </c>
      <c r="P444" s="459">
        <v>3467.3198463616377</v>
      </c>
      <c r="Q444" s="458">
        <v>55400.108403681625</v>
      </c>
      <c r="R444" s="458">
        <v>35802.554070717022</v>
      </c>
      <c r="S444" s="458">
        <v>1959.7497903854783</v>
      </c>
      <c r="T444" s="457"/>
      <c r="U444" s="425"/>
      <c r="V444" s="425"/>
      <c r="W444" s="425"/>
      <c r="X444" s="425"/>
      <c r="Y444" s="425"/>
      <c r="Z444" s="425"/>
      <c r="AA444" s="425"/>
      <c r="AB444" s="425"/>
      <c r="AC444" s="425"/>
      <c r="AD444" s="425"/>
      <c r="AE444" s="425"/>
      <c r="AG444" s="425"/>
      <c r="AH444" s="425"/>
      <c r="AI444" s="425"/>
      <c r="AJ444" s="425"/>
      <c r="AK444" s="425"/>
      <c r="AL444" s="425"/>
      <c r="AM444" s="425"/>
      <c r="AN444" s="425"/>
      <c r="AO444" s="425"/>
      <c r="AP444" s="425"/>
      <c r="AQ444" s="425"/>
    </row>
    <row r="445" spans="1:43" s="270" customFormat="1" x14ac:dyDescent="0.25">
      <c r="A445" s="271">
        <v>501503</v>
      </c>
      <c r="B445" s="271">
        <v>1503</v>
      </c>
      <c r="C445" s="271">
        <v>200068</v>
      </c>
      <c r="D445" s="268" t="s">
        <v>894</v>
      </c>
      <c r="E445" s="268" t="s">
        <v>1290</v>
      </c>
      <c r="F445" s="268" t="s">
        <v>2193</v>
      </c>
      <c r="G445" s="268">
        <v>13</v>
      </c>
      <c r="H445" s="268" t="s">
        <v>3056</v>
      </c>
      <c r="I445" s="268" t="s">
        <v>3057</v>
      </c>
      <c r="J445" s="458">
        <v>198132.56264923644</v>
      </c>
      <c r="K445" s="458">
        <v>16511.046887436369</v>
      </c>
      <c r="L445" s="458">
        <v>11194.760870699611</v>
      </c>
      <c r="M445" s="456">
        <v>0</v>
      </c>
      <c r="N445" s="458">
        <v>119.49693843813893</v>
      </c>
      <c r="O445" s="459">
        <v>0</v>
      </c>
      <c r="P445" s="459">
        <v>3467.3198463616377</v>
      </c>
      <c r="Q445" s="458">
        <v>55400.108403681625</v>
      </c>
      <c r="R445" s="458">
        <v>35802.554070717022</v>
      </c>
      <c r="S445" s="458">
        <v>1959.7497903854783</v>
      </c>
      <c r="T445" s="457"/>
      <c r="U445" s="425"/>
      <c r="V445" s="425"/>
      <c r="W445" s="425"/>
      <c r="X445" s="425"/>
      <c r="Y445" s="425"/>
      <c r="Z445" s="425"/>
      <c r="AA445" s="425"/>
      <c r="AB445" s="425"/>
      <c r="AC445" s="425"/>
      <c r="AD445" s="425"/>
      <c r="AE445" s="425"/>
      <c r="AG445" s="425"/>
      <c r="AH445" s="425"/>
      <c r="AI445" s="425"/>
      <c r="AJ445" s="425"/>
      <c r="AK445" s="425"/>
      <c r="AL445" s="425"/>
      <c r="AM445" s="425"/>
      <c r="AN445" s="425"/>
      <c r="AO445" s="425"/>
      <c r="AP445" s="425"/>
      <c r="AQ445" s="425"/>
    </row>
    <row r="446" spans="1:43" s="270" customFormat="1" x14ac:dyDescent="0.25">
      <c r="A446" s="271">
        <v>501503</v>
      </c>
      <c r="B446" s="271">
        <v>1503</v>
      </c>
      <c r="C446" s="271">
        <v>200069</v>
      </c>
      <c r="D446" s="268" t="s">
        <v>894</v>
      </c>
      <c r="E446" s="268" t="s">
        <v>1290</v>
      </c>
      <c r="F446" s="268" t="s">
        <v>2788</v>
      </c>
      <c r="G446" s="268">
        <v>13</v>
      </c>
      <c r="H446" s="268" t="s">
        <v>3058</v>
      </c>
      <c r="I446" s="268" t="s">
        <v>3027</v>
      </c>
      <c r="J446" s="458">
        <v>198132.56264923644</v>
      </c>
      <c r="K446" s="458">
        <v>16511.046887436369</v>
      </c>
      <c r="L446" s="458">
        <v>11194.760870699611</v>
      </c>
      <c r="M446" s="456">
        <v>0</v>
      </c>
      <c r="N446" s="458">
        <v>119.49693843813893</v>
      </c>
      <c r="O446" s="459">
        <v>0</v>
      </c>
      <c r="P446" s="459">
        <v>3467.3198463616377</v>
      </c>
      <c r="Q446" s="458">
        <v>55400.108403681625</v>
      </c>
      <c r="R446" s="458">
        <v>35802.554070717022</v>
      </c>
      <c r="S446" s="458">
        <v>1959.7497903854783</v>
      </c>
      <c r="T446" s="457"/>
      <c r="U446" s="425"/>
      <c r="V446" s="425"/>
      <c r="W446" s="425"/>
      <c r="X446" s="425"/>
      <c r="Y446" s="425"/>
      <c r="Z446" s="425"/>
      <c r="AA446" s="425"/>
      <c r="AB446" s="425"/>
      <c r="AC446" s="425"/>
      <c r="AD446" s="425"/>
      <c r="AE446" s="425"/>
      <c r="AG446" s="425"/>
      <c r="AH446" s="425"/>
      <c r="AI446" s="425"/>
      <c r="AJ446" s="425"/>
      <c r="AK446" s="425"/>
      <c r="AL446" s="425"/>
      <c r="AM446" s="425"/>
      <c r="AN446" s="425"/>
      <c r="AO446" s="425"/>
      <c r="AP446" s="425"/>
      <c r="AQ446" s="425"/>
    </row>
    <row r="447" spans="1:43" s="270" customFormat="1" x14ac:dyDescent="0.25">
      <c r="A447" s="271">
        <v>501503</v>
      </c>
      <c r="B447" s="271">
        <v>1503</v>
      </c>
      <c r="C447" s="271">
        <v>200070</v>
      </c>
      <c r="D447" s="268" t="s">
        <v>894</v>
      </c>
      <c r="E447" s="268" t="s">
        <v>1290</v>
      </c>
      <c r="F447" s="268" t="s">
        <v>3059</v>
      </c>
      <c r="G447" s="268">
        <v>13</v>
      </c>
      <c r="H447" s="268" t="s">
        <v>3060</v>
      </c>
      <c r="I447" s="268" t="s">
        <v>3057</v>
      </c>
      <c r="J447" s="458">
        <v>198132.56264923644</v>
      </c>
      <c r="K447" s="458">
        <v>16511.046887436369</v>
      </c>
      <c r="L447" s="458">
        <v>11194.760870699611</v>
      </c>
      <c r="M447" s="456">
        <v>0</v>
      </c>
      <c r="N447" s="458">
        <v>119.49693843813893</v>
      </c>
      <c r="O447" s="459">
        <v>0</v>
      </c>
      <c r="P447" s="459">
        <v>3467.3198463616377</v>
      </c>
      <c r="Q447" s="458">
        <v>55400.108403681625</v>
      </c>
      <c r="R447" s="458">
        <v>35802.554070717022</v>
      </c>
      <c r="S447" s="458">
        <v>1959.7497903854783</v>
      </c>
      <c r="T447" s="457"/>
      <c r="U447" s="425"/>
      <c r="V447" s="425"/>
      <c r="W447" s="425"/>
      <c r="X447" s="425"/>
      <c r="Y447" s="425"/>
      <c r="Z447" s="425"/>
      <c r="AA447" s="425"/>
      <c r="AB447" s="425"/>
      <c r="AC447" s="425"/>
      <c r="AD447" s="425"/>
      <c r="AE447" s="425"/>
      <c r="AG447" s="425"/>
      <c r="AH447" s="425"/>
      <c r="AI447" s="425"/>
      <c r="AJ447" s="425"/>
      <c r="AK447" s="425"/>
      <c r="AL447" s="425"/>
      <c r="AM447" s="425"/>
      <c r="AN447" s="425"/>
      <c r="AO447" s="425"/>
      <c r="AP447" s="425"/>
      <c r="AQ447" s="425"/>
    </row>
    <row r="448" spans="1:43" s="270" customFormat="1" x14ac:dyDescent="0.25">
      <c r="A448" s="271">
        <v>501503</v>
      </c>
      <c r="B448" s="271">
        <v>1503</v>
      </c>
      <c r="C448" s="271">
        <v>200071</v>
      </c>
      <c r="D448" s="268" t="s">
        <v>894</v>
      </c>
      <c r="E448" s="268" t="s">
        <v>1290</v>
      </c>
      <c r="F448" s="268" t="s">
        <v>2351</v>
      </c>
      <c r="G448" s="268">
        <v>13</v>
      </c>
      <c r="H448" s="268" t="s">
        <v>3061</v>
      </c>
      <c r="I448" s="268" t="s">
        <v>3057</v>
      </c>
      <c r="J448" s="458">
        <v>198132.56264923644</v>
      </c>
      <c r="K448" s="458">
        <v>16511.046887436369</v>
      </c>
      <c r="L448" s="458">
        <v>11194.760870699611</v>
      </c>
      <c r="M448" s="456">
        <v>0</v>
      </c>
      <c r="N448" s="458">
        <v>119.49693843813893</v>
      </c>
      <c r="O448" s="459">
        <v>0</v>
      </c>
      <c r="P448" s="459">
        <v>3467.3198463616377</v>
      </c>
      <c r="Q448" s="458">
        <v>55400.108403681625</v>
      </c>
      <c r="R448" s="458">
        <v>35802.554070717022</v>
      </c>
      <c r="S448" s="458">
        <v>1959.7497903854783</v>
      </c>
      <c r="T448" s="457"/>
      <c r="U448" s="425"/>
      <c r="V448" s="425"/>
      <c r="W448" s="425"/>
      <c r="X448" s="425"/>
      <c r="Y448" s="425"/>
      <c r="Z448" s="425"/>
      <c r="AA448" s="425"/>
      <c r="AB448" s="425"/>
      <c r="AC448" s="425"/>
      <c r="AD448" s="425"/>
      <c r="AE448" s="425"/>
      <c r="AG448" s="425"/>
      <c r="AH448" s="425"/>
      <c r="AI448" s="425"/>
      <c r="AJ448" s="425"/>
      <c r="AK448" s="425"/>
      <c r="AL448" s="425"/>
      <c r="AM448" s="425"/>
      <c r="AN448" s="425"/>
      <c r="AO448" s="425"/>
      <c r="AP448" s="425"/>
      <c r="AQ448" s="425"/>
    </row>
    <row r="449" spans="1:43" s="270" customFormat="1" x14ac:dyDescent="0.25">
      <c r="A449" s="271">
        <v>501503</v>
      </c>
      <c r="B449" s="271">
        <v>1503</v>
      </c>
      <c r="C449" s="271">
        <v>200072</v>
      </c>
      <c r="D449" s="268" t="s">
        <v>894</v>
      </c>
      <c r="E449" s="268" t="s">
        <v>1290</v>
      </c>
      <c r="F449" s="268" t="s">
        <v>2660</v>
      </c>
      <c r="G449" s="268">
        <v>13</v>
      </c>
      <c r="H449" s="268" t="s">
        <v>3062</v>
      </c>
      <c r="I449" s="268" t="s">
        <v>3057</v>
      </c>
      <c r="J449" s="458">
        <v>198132.56264923644</v>
      </c>
      <c r="K449" s="458">
        <v>16511.046887436369</v>
      </c>
      <c r="L449" s="458">
        <v>11194.760870699611</v>
      </c>
      <c r="M449" s="456">
        <v>0</v>
      </c>
      <c r="N449" s="458">
        <v>119.49693843813893</v>
      </c>
      <c r="O449" s="459">
        <v>0</v>
      </c>
      <c r="P449" s="459">
        <v>3467.3198463616377</v>
      </c>
      <c r="Q449" s="458">
        <v>55400.108403681625</v>
      </c>
      <c r="R449" s="458">
        <v>35802.554070717022</v>
      </c>
      <c r="S449" s="458">
        <v>1959.7497903854783</v>
      </c>
      <c r="T449" s="457"/>
      <c r="U449" s="425"/>
      <c r="V449" s="425"/>
      <c r="W449" s="425"/>
      <c r="X449" s="425"/>
      <c r="Y449" s="425"/>
      <c r="Z449" s="425"/>
      <c r="AA449" s="425"/>
      <c r="AB449" s="425"/>
      <c r="AC449" s="425"/>
      <c r="AD449" s="425"/>
      <c r="AE449" s="425"/>
      <c r="AG449" s="425"/>
      <c r="AH449" s="425"/>
      <c r="AI449" s="425"/>
      <c r="AJ449" s="425"/>
      <c r="AK449" s="425"/>
      <c r="AL449" s="425"/>
      <c r="AM449" s="425"/>
      <c r="AN449" s="425"/>
      <c r="AO449" s="425"/>
      <c r="AP449" s="425"/>
      <c r="AQ449" s="425"/>
    </row>
    <row r="450" spans="1:43" s="270" customFormat="1" x14ac:dyDescent="0.25">
      <c r="A450" s="271">
        <v>501503</v>
      </c>
      <c r="B450" s="271">
        <v>1503</v>
      </c>
      <c r="C450" s="271">
        <v>200073</v>
      </c>
      <c r="D450" s="268" t="s">
        <v>894</v>
      </c>
      <c r="E450" s="268" t="s">
        <v>1290</v>
      </c>
      <c r="F450" s="268" t="s">
        <v>3063</v>
      </c>
      <c r="G450" s="268">
        <v>13</v>
      </c>
      <c r="H450" s="268" t="s">
        <v>3064</v>
      </c>
      <c r="I450" s="268" t="s">
        <v>3057</v>
      </c>
      <c r="J450" s="458">
        <v>198132.56264923644</v>
      </c>
      <c r="K450" s="458">
        <v>16511.046887436369</v>
      </c>
      <c r="L450" s="458">
        <v>11194.760870699611</v>
      </c>
      <c r="M450" s="456">
        <v>0</v>
      </c>
      <c r="N450" s="458">
        <v>119.49693843813893</v>
      </c>
      <c r="O450" s="459">
        <v>0</v>
      </c>
      <c r="P450" s="459">
        <v>3467.3198463616377</v>
      </c>
      <c r="Q450" s="458">
        <v>55400.108403681625</v>
      </c>
      <c r="R450" s="458">
        <v>35802.554070717022</v>
      </c>
      <c r="S450" s="458">
        <v>1959.7497903854783</v>
      </c>
      <c r="T450" s="457"/>
      <c r="U450" s="425"/>
      <c r="V450" s="425"/>
      <c r="W450" s="425"/>
      <c r="X450" s="425"/>
      <c r="Y450" s="425"/>
      <c r="Z450" s="425"/>
      <c r="AA450" s="425"/>
      <c r="AB450" s="425"/>
      <c r="AC450" s="425"/>
      <c r="AD450" s="425"/>
      <c r="AE450" s="425"/>
      <c r="AG450" s="425"/>
      <c r="AH450" s="425"/>
      <c r="AI450" s="425"/>
      <c r="AJ450" s="425"/>
      <c r="AK450" s="425"/>
      <c r="AL450" s="425"/>
      <c r="AM450" s="425"/>
      <c r="AN450" s="425"/>
      <c r="AO450" s="425"/>
      <c r="AP450" s="425"/>
      <c r="AQ450" s="425"/>
    </row>
    <row r="451" spans="1:43" s="270" customFormat="1" x14ac:dyDescent="0.25">
      <c r="A451" s="271">
        <v>501503</v>
      </c>
      <c r="B451" s="271">
        <v>1503</v>
      </c>
      <c r="C451" s="271">
        <v>200074</v>
      </c>
      <c r="D451" s="268" t="s">
        <v>894</v>
      </c>
      <c r="E451" s="268" t="s">
        <v>1290</v>
      </c>
      <c r="F451" s="268" t="s">
        <v>3065</v>
      </c>
      <c r="G451" s="268">
        <v>13</v>
      </c>
      <c r="H451" s="268" t="s">
        <v>3066</v>
      </c>
      <c r="I451" s="268" t="s">
        <v>3057</v>
      </c>
      <c r="J451" s="458">
        <v>198132.56264923644</v>
      </c>
      <c r="K451" s="458">
        <v>16511.046887436369</v>
      </c>
      <c r="L451" s="458">
        <v>11194.760870699611</v>
      </c>
      <c r="M451" s="456">
        <v>0</v>
      </c>
      <c r="N451" s="458">
        <v>119.49693843813893</v>
      </c>
      <c r="O451" s="459">
        <v>0</v>
      </c>
      <c r="P451" s="459">
        <v>3467.3198463616377</v>
      </c>
      <c r="Q451" s="458">
        <v>55400.108403681625</v>
      </c>
      <c r="R451" s="458">
        <v>35802.554070717022</v>
      </c>
      <c r="S451" s="458">
        <v>1959.7497903854783</v>
      </c>
      <c r="T451" s="457"/>
      <c r="U451" s="425"/>
      <c r="V451" s="425"/>
      <c r="W451" s="425"/>
      <c r="X451" s="425"/>
      <c r="Y451" s="425"/>
      <c r="Z451" s="425"/>
      <c r="AA451" s="425"/>
      <c r="AB451" s="425"/>
      <c r="AC451" s="425"/>
      <c r="AD451" s="425"/>
      <c r="AE451" s="425"/>
      <c r="AG451" s="425"/>
      <c r="AH451" s="425"/>
      <c r="AI451" s="425"/>
      <c r="AJ451" s="425"/>
      <c r="AK451" s="425"/>
      <c r="AL451" s="425"/>
      <c r="AM451" s="425"/>
      <c r="AN451" s="425"/>
      <c r="AO451" s="425"/>
      <c r="AP451" s="425"/>
      <c r="AQ451" s="425"/>
    </row>
    <row r="452" spans="1:43" s="270" customFormat="1" x14ac:dyDescent="0.25">
      <c r="A452" s="271">
        <v>501503</v>
      </c>
      <c r="B452" s="271">
        <v>1503</v>
      </c>
      <c r="C452" s="271">
        <v>200077</v>
      </c>
      <c r="D452" s="268" t="s">
        <v>894</v>
      </c>
      <c r="E452" s="268" t="s">
        <v>1290</v>
      </c>
      <c r="F452" s="268" t="s">
        <v>3067</v>
      </c>
      <c r="G452" s="268">
        <v>13</v>
      </c>
      <c r="H452" s="268" t="s">
        <v>2516</v>
      </c>
      <c r="I452" s="268" t="s">
        <v>3057</v>
      </c>
      <c r="J452" s="458">
        <v>198132.56264923644</v>
      </c>
      <c r="K452" s="458">
        <v>16511.046887436369</v>
      </c>
      <c r="L452" s="458">
        <v>11194.760870699611</v>
      </c>
      <c r="M452" s="456">
        <v>0</v>
      </c>
      <c r="N452" s="458">
        <v>119.49693843813893</v>
      </c>
      <c r="O452" s="459">
        <v>0</v>
      </c>
      <c r="P452" s="459">
        <v>3467.3198463616377</v>
      </c>
      <c r="Q452" s="458">
        <v>55400.108403681625</v>
      </c>
      <c r="R452" s="458">
        <v>35802.554070717022</v>
      </c>
      <c r="S452" s="458">
        <v>1959.7497903854783</v>
      </c>
      <c r="T452" s="457"/>
      <c r="U452" s="425"/>
      <c r="V452" s="425"/>
      <c r="W452" s="425"/>
      <c r="X452" s="425"/>
      <c r="Y452" s="425"/>
      <c r="Z452" s="425"/>
      <c r="AA452" s="425"/>
      <c r="AB452" s="425"/>
      <c r="AC452" s="425"/>
      <c r="AD452" s="425"/>
      <c r="AE452" s="425"/>
      <c r="AG452" s="425"/>
      <c r="AH452" s="425"/>
      <c r="AI452" s="425"/>
      <c r="AJ452" s="425"/>
      <c r="AK452" s="425"/>
      <c r="AL452" s="425"/>
      <c r="AM452" s="425"/>
      <c r="AN452" s="425"/>
      <c r="AO452" s="425"/>
      <c r="AP452" s="425"/>
      <c r="AQ452" s="425"/>
    </row>
    <row r="453" spans="1:43" s="270" customFormat="1" x14ac:dyDescent="0.25">
      <c r="A453" s="271">
        <v>501503</v>
      </c>
      <c r="B453" s="271">
        <v>1503</v>
      </c>
      <c r="C453" s="271">
        <v>200078</v>
      </c>
      <c r="D453" s="268" t="s">
        <v>894</v>
      </c>
      <c r="E453" s="268" t="s">
        <v>1290</v>
      </c>
      <c r="F453" s="268" t="s">
        <v>3068</v>
      </c>
      <c r="G453" s="268">
        <v>13</v>
      </c>
      <c r="H453" s="268" t="s">
        <v>3069</v>
      </c>
      <c r="I453" s="268" t="s">
        <v>3057</v>
      </c>
      <c r="J453" s="458">
        <v>198132.56264923644</v>
      </c>
      <c r="K453" s="458">
        <v>16511.046887436369</v>
      </c>
      <c r="L453" s="458">
        <v>11194.760870699611</v>
      </c>
      <c r="M453" s="456">
        <v>0</v>
      </c>
      <c r="N453" s="458">
        <v>119.49693843813893</v>
      </c>
      <c r="O453" s="459">
        <v>0</v>
      </c>
      <c r="P453" s="459">
        <v>3467.3198463616377</v>
      </c>
      <c r="Q453" s="458">
        <v>55400.108403681625</v>
      </c>
      <c r="R453" s="458">
        <v>35802.554070717022</v>
      </c>
      <c r="S453" s="458">
        <v>1959.7497903854783</v>
      </c>
      <c r="T453" s="457"/>
      <c r="U453" s="425"/>
      <c r="V453" s="425"/>
      <c r="W453" s="425"/>
      <c r="X453" s="425"/>
      <c r="Y453" s="425"/>
      <c r="Z453" s="425"/>
      <c r="AA453" s="425"/>
      <c r="AB453" s="425"/>
      <c r="AC453" s="425"/>
      <c r="AD453" s="425"/>
      <c r="AE453" s="425"/>
      <c r="AG453" s="425"/>
      <c r="AH453" s="425"/>
      <c r="AI453" s="425"/>
      <c r="AJ453" s="425"/>
      <c r="AK453" s="425"/>
      <c r="AL453" s="425"/>
      <c r="AM453" s="425"/>
      <c r="AN453" s="425"/>
      <c r="AO453" s="425"/>
      <c r="AP453" s="425"/>
      <c r="AQ453" s="425"/>
    </row>
    <row r="454" spans="1:43" s="270" customFormat="1" x14ac:dyDescent="0.25">
      <c r="A454" s="271">
        <v>501503</v>
      </c>
      <c r="B454" s="271">
        <v>1503</v>
      </c>
      <c r="C454" s="271">
        <v>200079</v>
      </c>
      <c r="D454" s="268" t="s">
        <v>894</v>
      </c>
      <c r="E454" s="268" t="s">
        <v>1290</v>
      </c>
      <c r="F454" s="268" t="s">
        <v>2193</v>
      </c>
      <c r="G454" s="268">
        <v>13</v>
      </c>
      <c r="H454" s="268" t="s">
        <v>3070</v>
      </c>
      <c r="I454" s="268" t="s">
        <v>3057</v>
      </c>
      <c r="J454" s="458">
        <v>198132.56264923644</v>
      </c>
      <c r="K454" s="458">
        <v>16511.046887436369</v>
      </c>
      <c r="L454" s="458">
        <v>11194.760870699611</v>
      </c>
      <c r="M454" s="456">
        <v>0</v>
      </c>
      <c r="N454" s="458">
        <v>119.49693843813893</v>
      </c>
      <c r="O454" s="459">
        <v>0</v>
      </c>
      <c r="P454" s="459">
        <v>3467.3198463616377</v>
      </c>
      <c r="Q454" s="458">
        <v>55400.108403681625</v>
      </c>
      <c r="R454" s="458">
        <v>35802.554070717022</v>
      </c>
      <c r="S454" s="458">
        <v>1959.7497903854783</v>
      </c>
      <c r="T454" s="457"/>
      <c r="U454" s="425"/>
      <c r="V454" s="425"/>
      <c r="W454" s="425"/>
      <c r="X454" s="425"/>
      <c r="Y454" s="425"/>
      <c r="Z454" s="425"/>
      <c r="AA454" s="425"/>
      <c r="AB454" s="425"/>
      <c r="AC454" s="425"/>
      <c r="AD454" s="425"/>
      <c r="AE454" s="425"/>
      <c r="AG454" s="425"/>
      <c r="AH454" s="425"/>
      <c r="AI454" s="425"/>
      <c r="AJ454" s="425"/>
      <c r="AK454" s="425"/>
      <c r="AL454" s="425"/>
      <c r="AM454" s="425"/>
      <c r="AN454" s="425"/>
      <c r="AO454" s="425"/>
      <c r="AP454" s="425"/>
      <c r="AQ454" s="425"/>
    </row>
    <row r="455" spans="1:43" s="270" customFormat="1" x14ac:dyDescent="0.25">
      <c r="A455" s="271">
        <v>501503</v>
      </c>
      <c r="B455" s="271">
        <v>1503</v>
      </c>
      <c r="C455" s="271">
        <v>200080</v>
      </c>
      <c r="D455" s="268" t="s">
        <v>894</v>
      </c>
      <c r="E455" s="268" t="s">
        <v>1290</v>
      </c>
      <c r="F455" s="268" t="s">
        <v>2512</v>
      </c>
      <c r="G455" s="268">
        <v>13</v>
      </c>
      <c r="H455" s="268" t="s">
        <v>3071</v>
      </c>
      <c r="I455" s="268" t="s">
        <v>3057</v>
      </c>
      <c r="J455" s="458">
        <v>198132.56264923644</v>
      </c>
      <c r="K455" s="458">
        <v>16511.046887436369</v>
      </c>
      <c r="L455" s="458">
        <v>11194.760870699611</v>
      </c>
      <c r="M455" s="456">
        <v>0</v>
      </c>
      <c r="N455" s="458">
        <v>119.49693843813893</v>
      </c>
      <c r="O455" s="459">
        <v>0</v>
      </c>
      <c r="P455" s="459">
        <v>3467.3198463616377</v>
      </c>
      <c r="Q455" s="458">
        <v>55400.108403681625</v>
      </c>
      <c r="R455" s="458">
        <v>35802.554070717022</v>
      </c>
      <c r="S455" s="458">
        <v>1959.7497903854783</v>
      </c>
      <c r="T455" s="457"/>
      <c r="U455" s="425"/>
      <c r="V455" s="425"/>
      <c r="W455" s="425"/>
      <c r="X455" s="425"/>
      <c r="Y455" s="425"/>
      <c r="Z455" s="425"/>
      <c r="AA455" s="425"/>
      <c r="AB455" s="425"/>
      <c r="AC455" s="425"/>
      <c r="AD455" s="425"/>
      <c r="AE455" s="425"/>
      <c r="AG455" s="425"/>
      <c r="AH455" s="425"/>
      <c r="AI455" s="425"/>
      <c r="AJ455" s="425"/>
      <c r="AK455" s="425"/>
      <c r="AL455" s="425"/>
      <c r="AM455" s="425"/>
      <c r="AN455" s="425"/>
      <c r="AO455" s="425"/>
      <c r="AP455" s="425"/>
      <c r="AQ455" s="425"/>
    </row>
    <row r="456" spans="1:43" s="270" customFormat="1" x14ac:dyDescent="0.25">
      <c r="A456" s="271">
        <v>501503</v>
      </c>
      <c r="B456" s="271">
        <v>1503</v>
      </c>
      <c r="C456" s="271">
        <v>200081</v>
      </c>
      <c r="D456" s="268" t="s">
        <v>894</v>
      </c>
      <c r="E456" s="268" t="s">
        <v>1278</v>
      </c>
      <c r="F456" s="268" t="s">
        <v>1293</v>
      </c>
      <c r="G456" s="268">
        <v>13</v>
      </c>
      <c r="H456" s="268" t="s">
        <v>3069</v>
      </c>
      <c r="I456" s="268" t="s">
        <v>3057</v>
      </c>
      <c r="J456" s="458">
        <v>198132.56264923644</v>
      </c>
      <c r="K456" s="458">
        <v>16511.046887436369</v>
      </c>
      <c r="L456" s="458">
        <v>11194.760870699611</v>
      </c>
      <c r="M456" s="456">
        <v>0</v>
      </c>
      <c r="N456" s="458">
        <v>119.49693843813893</v>
      </c>
      <c r="O456" s="459">
        <v>0</v>
      </c>
      <c r="P456" s="459">
        <v>3467.3198463616377</v>
      </c>
      <c r="Q456" s="458">
        <v>55400.108403681625</v>
      </c>
      <c r="R456" s="458">
        <v>35802.554070717022</v>
      </c>
      <c r="S456" s="458">
        <v>1959.7497903854783</v>
      </c>
      <c r="T456" s="457"/>
      <c r="U456" s="425"/>
      <c r="V456" s="425"/>
      <c r="W456" s="425"/>
      <c r="X456" s="425"/>
      <c r="Y456" s="425"/>
      <c r="Z456" s="425"/>
      <c r="AA456" s="425"/>
      <c r="AB456" s="425"/>
      <c r="AC456" s="425"/>
      <c r="AD456" s="425"/>
      <c r="AE456" s="425"/>
      <c r="AG456" s="425"/>
      <c r="AH456" s="425"/>
      <c r="AI456" s="425"/>
      <c r="AJ456" s="425"/>
      <c r="AK456" s="425"/>
      <c r="AL456" s="425"/>
      <c r="AM456" s="425"/>
      <c r="AN456" s="425"/>
      <c r="AO456" s="425"/>
      <c r="AP456" s="425"/>
      <c r="AQ456" s="425"/>
    </row>
    <row r="457" spans="1:43" s="270" customFormat="1" x14ac:dyDescent="0.25">
      <c r="A457" s="271">
        <v>501503</v>
      </c>
      <c r="B457" s="271">
        <v>1503</v>
      </c>
      <c r="C457" s="271">
        <v>200082</v>
      </c>
      <c r="D457" s="268" t="s">
        <v>894</v>
      </c>
      <c r="E457" s="268" t="s">
        <v>1290</v>
      </c>
      <c r="F457" s="268" t="s">
        <v>2261</v>
      </c>
      <c r="G457" s="268">
        <v>13</v>
      </c>
      <c r="H457" s="268" t="s">
        <v>3026</v>
      </c>
      <c r="I457" s="268" t="s">
        <v>3027</v>
      </c>
      <c r="J457" s="458">
        <v>198132.56264923644</v>
      </c>
      <c r="K457" s="458">
        <v>16511.046887436369</v>
      </c>
      <c r="L457" s="458">
        <v>11194.760870699611</v>
      </c>
      <c r="M457" s="456">
        <v>0</v>
      </c>
      <c r="N457" s="458">
        <v>119.49693843813893</v>
      </c>
      <c r="O457" s="459">
        <v>0</v>
      </c>
      <c r="P457" s="459">
        <v>3467.3198463616377</v>
      </c>
      <c r="Q457" s="458">
        <v>55400.108403681625</v>
      </c>
      <c r="R457" s="458">
        <v>35802.554070717022</v>
      </c>
      <c r="S457" s="458">
        <v>1959.7497903854783</v>
      </c>
      <c r="T457" s="457"/>
      <c r="U457" s="425"/>
      <c r="V457" s="425"/>
      <c r="W457" s="425"/>
      <c r="X457" s="425"/>
      <c r="Y457" s="425"/>
      <c r="Z457" s="425"/>
      <c r="AA457" s="425"/>
      <c r="AB457" s="425"/>
      <c r="AC457" s="425"/>
      <c r="AD457" s="425"/>
      <c r="AE457" s="425"/>
      <c r="AG457" s="425"/>
      <c r="AH457" s="425"/>
      <c r="AI457" s="425"/>
      <c r="AJ457" s="425"/>
      <c r="AK457" s="425"/>
      <c r="AL457" s="425"/>
      <c r="AM457" s="425"/>
      <c r="AN457" s="425"/>
      <c r="AO457" s="425"/>
      <c r="AP457" s="425"/>
      <c r="AQ457" s="425"/>
    </row>
    <row r="458" spans="1:43" s="270" customFormat="1" x14ac:dyDescent="0.25">
      <c r="A458" s="271">
        <v>501503</v>
      </c>
      <c r="B458" s="271">
        <v>1503</v>
      </c>
      <c r="C458" s="271">
        <v>200083</v>
      </c>
      <c r="D458" s="268" t="s">
        <v>894</v>
      </c>
      <c r="E458" s="268" t="s">
        <v>1290</v>
      </c>
      <c r="F458" s="268" t="s">
        <v>2434</v>
      </c>
      <c r="G458" s="268">
        <v>13</v>
      </c>
      <c r="H458" s="268" t="s">
        <v>3072</v>
      </c>
      <c r="I458" s="268" t="s">
        <v>3057</v>
      </c>
      <c r="J458" s="458">
        <v>198132.56264923644</v>
      </c>
      <c r="K458" s="458">
        <v>16511.046887436369</v>
      </c>
      <c r="L458" s="458">
        <v>11194.760870699611</v>
      </c>
      <c r="M458" s="456">
        <v>0</v>
      </c>
      <c r="N458" s="458">
        <v>119.49693843813893</v>
      </c>
      <c r="O458" s="459">
        <v>0</v>
      </c>
      <c r="P458" s="459">
        <v>3467.3198463616377</v>
      </c>
      <c r="Q458" s="458">
        <v>55400.108403681625</v>
      </c>
      <c r="R458" s="458">
        <v>35802.554070717022</v>
      </c>
      <c r="S458" s="458">
        <v>1959.7497903854783</v>
      </c>
      <c r="T458" s="457"/>
      <c r="U458" s="425"/>
      <c r="V458" s="425"/>
      <c r="W458" s="425"/>
      <c r="X458" s="425"/>
      <c r="Y458" s="425"/>
      <c r="Z458" s="425"/>
      <c r="AA458" s="425"/>
      <c r="AB458" s="425"/>
      <c r="AC458" s="425"/>
      <c r="AD458" s="425"/>
      <c r="AE458" s="425"/>
      <c r="AG458" s="425"/>
      <c r="AH458" s="425"/>
      <c r="AI458" s="425"/>
      <c r="AJ458" s="425"/>
      <c r="AK458" s="425"/>
      <c r="AL458" s="425"/>
      <c r="AM458" s="425"/>
      <c r="AN458" s="425"/>
      <c r="AO458" s="425"/>
      <c r="AP458" s="425"/>
      <c r="AQ458" s="425"/>
    </row>
    <row r="459" spans="1:43" s="270" customFormat="1" x14ac:dyDescent="0.25">
      <c r="A459" s="271">
        <v>501503</v>
      </c>
      <c r="B459" s="271">
        <v>1503</v>
      </c>
      <c r="C459" s="271">
        <v>200084</v>
      </c>
      <c r="D459" s="268" t="s">
        <v>894</v>
      </c>
      <c r="E459" s="268" t="s">
        <v>1290</v>
      </c>
      <c r="F459" s="268" t="s">
        <v>2455</v>
      </c>
      <c r="G459" s="268">
        <v>13</v>
      </c>
      <c r="H459" s="268" t="s">
        <v>3073</v>
      </c>
      <c r="I459" s="268" t="s">
        <v>3057</v>
      </c>
      <c r="J459" s="458">
        <v>198132.56264923644</v>
      </c>
      <c r="K459" s="458">
        <v>16511.046887436369</v>
      </c>
      <c r="L459" s="458">
        <v>11194.760870699611</v>
      </c>
      <c r="M459" s="456">
        <v>0</v>
      </c>
      <c r="N459" s="458">
        <v>119.49693843813893</v>
      </c>
      <c r="O459" s="459">
        <v>0</v>
      </c>
      <c r="P459" s="459">
        <v>3467.3198463616377</v>
      </c>
      <c r="Q459" s="458">
        <v>55400.108403681625</v>
      </c>
      <c r="R459" s="458">
        <v>35802.554070717022</v>
      </c>
      <c r="S459" s="458">
        <v>1959.7497903854783</v>
      </c>
      <c r="T459" s="457"/>
      <c r="U459" s="425"/>
      <c r="V459" s="425"/>
      <c r="W459" s="425"/>
      <c r="X459" s="425"/>
      <c r="Y459" s="425"/>
      <c r="Z459" s="425"/>
      <c r="AA459" s="425"/>
      <c r="AB459" s="425"/>
      <c r="AC459" s="425"/>
      <c r="AD459" s="425"/>
      <c r="AE459" s="425"/>
      <c r="AG459" s="425"/>
      <c r="AH459" s="425"/>
      <c r="AI459" s="425"/>
      <c r="AJ459" s="425"/>
      <c r="AK459" s="425"/>
      <c r="AL459" s="425"/>
      <c r="AM459" s="425"/>
      <c r="AN459" s="425"/>
      <c r="AO459" s="425"/>
      <c r="AP459" s="425"/>
      <c r="AQ459" s="425"/>
    </row>
    <row r="460" spans="1:43" s="270" customFormat="1" x14ac:dyDescent="0.25">
      <c r="A460" s="271">
        <v>501503</v>
      </c>
      <c r="B460" s="271">
        <v>1503</v>
      </c>
      <c r="C460" s="271">
        <v>200085</v>
      </c>
      <c r="D460" s="268" t="s">
        <v>894</v>
      </c>
      <c r="E460" s="268" t="s">
        <v>1278</v>
      </c>
      <c r="F460" s="268" t="s">
        <v>3074</v>
      </c>
      <c r="G460" s="268">
        <v>13</v>
      </c>
      <c r="H460" s="268" t="s">
        <v>3075</v>
      </c>
      <c r="I460" s="268" t="s">
        <v>3057</v>
      </c>
      <c r="J460" s="458">
        <v>198132.56264923644</v>
      </c>
      <c r="K460" s="458">
        <v>16511.046887436369</v>
      </c>
      <c r="L460" s="458">
        <v>11194.760870699611</v>
      </c>
      <c r="M460" s="456">
        <v>0</v>
      </c>
      <c r="N460" s="458">
        <v>119.49693843813893</v>
      </c>
      <c r="O460" s="459">
        <v>0</v>
      </c>
      <c r="P460" s="459">
        <v>3467.3198463616377</v>
      </c>
      <c r="Q460" s="458">
        <v>55400.108403681625</v>
      </c>
      <c r="R460" s="458">
        <v>35802.554070717022</v>
      </c>
      <c r="S460" s="458">
        <v>1959.7497903854783</v>
      </c>
      <c r="T460" s="457"/>
      <c r="U460" s="425"/>
      <c r="V460" s="425"/>
      <c r="W460" s="425"/>
      <c r="X460" s="425"/>
      <c r="Y460" s="425"/>
      <c r="Z460" s="425"/>
      <c r="AA460" s="425"/>
      <c r="AB460" s="425"/>
      <c r="AC460" s="425"/>
      <c r="AD460" s="425"/>
      <c r="AE460" s="425"/>
      <c r="AG460" s="425"/>
      <c r="AH460" s="425"/>
      <c r="AI460" s="425"/>
      <c r="AJ460" s="425"/>
      <c r="AK460" s="425"/>
      <c r="AL460" s="425"/>
      <c r="AM460" s="425"/>
      <c r="AN460" s="425"/>
      <c r="AO460" s="425"/>
      <c r="AP460" s="425"/>
      <c r="AQ460" s="425"/>
    </row>
    <row r="461" spans="1:43" s="270" customFormat="1" x14ac:dyDescent="0.25">
      <c r="A461" s="271">
        <v>501503</v>
      </c>
      <c r="B461" s="271">
        <v>1503</v>
      </c>
      <c r="C461" s="271">
        <v>200087</v>
      </c>
      <c r="D461" s="268" t="s">
        <v>894</v>
      </c>
      <c r="E461" s="268" t="s">
        <v>1278</v>
      </c>
      <c r="F461" s="268" t="s">
        <v>2428</v>
      </c>
      <c r="G461" s="268">
        <v>13</v>
      </c>
      <c r="H461" s="268" t="s">
        <v>3076</v>
      </c>
      <c r="I461" s="268" t="s">
        <v>3057</v>
      </c>
      <c r="J461" s="458">
        <v>198132.56264923644</v>
      </c>
      <c r="K461" s="458">
        <v>16511.046887436369</v>
      </c>
      <c r="L461" s="458">
        <v>11194.760870699611</v>
      </c>
      <c r="M461" s="456">
        <v>0</v>
      </c>
      <c r="N461" s="458">
        <v>119.49693843813893</v>
      </c>
      <c r="O461" s="459">
        <v>0</v>
      </c>
      <c r="P461" s="459">
        <v>3467.3198463616377</v>
      </c>
      <c r="Q461" s="458">
        <v>55400.108403681625</v>
      </c>
      <c r="R461" s="458">
        <v>35802.554070717022</v>
      </c>
      <c r="S461" s="458">
        <v>1959.7497903854783</v>
      </c>
      <c r="T461" s="457"/>
      <c r="U461" s="425"/>
      <c r="V461" s="425"/>
      <c r="W461" s="425"/>
      <c r="X461" s="425"/>
      <c r="Y461" s="425"/>
      <c r="Z461" s="425"/>
      <c r="AA461" s="425"/>
      <c r="AB461" s="425"/>
      <c r="AC461" s="425"/>
      <c r="AD461" s="425"/>
      <c r="AE461" s="425"/>
      <c r="AG461" s="425"/>
      <c r="AH461" s="425"/>
      <c r="AI461" s="425"/>
      <c r="AJ461" s="425"/>
      <c r="AK461" s="425"/>
      <c r="AL461" s="425"/>
      <c r="AM461" s="425"/>
      <c r="AN461" s="425"/>
      <c r="AO461" s="425"/>
      <c r="AP461" s="425"/>
      <c r="AQ461" s="425"/>
    </row>
    <row r="462" spans="1:43" s="270" customFormat="1" x14ac:dyDescent="0.25">
      <c r="A462" s="271">
        <v>501503</v>
      </c>
      <c r="B462" s="271">
        <v>1503</v>
      </c>
      <c r="C462" s="271">
        <v>200089</v>
      </c>
      <c r="D462" s="268" t="s">
        <v>894</v>
      </c>
      <c r="E462" s="268" t="s">
        <v>1278</v>
      </c>
      <c r="F462" s="268" t="s">
        <v>3077</v>
      </c>
      <c r="G462" s="268">
        <v>13</v>
      </c>
      <c r="H462" s="268" t="s">
        <v>3078</v>
      </c>
      <c r="I462" s="268" t="s">
        <v>3057</v>
      </c>
      <c r="J462" s="458">
        <v>198132.56264923644</v>
      </c>
      <c r="K462" s="458">
        <v>16511.046887436369</v>
      </c>
      <c r="L462" s="458">
        <v>11194.760870699611</v>
      </c>
      <c r="M462" s="456">
        <v>0</v>
      </c>
      <c r="N462" s="458">
        <v>119.49693843813893</v>
      </c>
      <c r="O462" s="459">
        <v>0</v>
      </c>
      <c r="P462" s="459">
        <v>3467.3198463616377</v>
      </c>
      <c r="Q462" s="458">
        <v>55400.108403681625</v>
      </c>
      <c r="R462" s="458">
        <v>35802.554070717022</v>
      </c>
      <c r="S462" s="458">
        <v>1959.7497903854783</v>
      </c>
      <c r="T462" s="457"/>
      <c r="U462" s="425"/>
      <c r="V462" s="425"/>
      <c r="W462" s="425"/>
      <c r="X462" s="425"/>
      <c r="Y462" s="425"/>
      <c r="Z462" s="425"/>
      <c r="AA462" s="425"/>
      <c r="AB462" s="425"/>
      <c r="AC462" s="425"/>
      <c r="AD462" s="425"/>
      <c r="AE462" s="425"/>
      <c r="AG462" s="425"/>
      <c r="AH462" s="425"/>
      <c r="AI462" s="425"/>
      <c r="AJ462" s="425"/>
      <c r="AK462" s="425"/>
      <c r="AL462" s="425"/>
      <c r="AM462" s="425"/>
      <c r="AN462" s="425"/>
      <c r="AO462" s="425"/>
      <c r="AP462" s="425"/>
      <c r="AQ462" s="425"/>
    </row>
    <row r="463" spans="1:43" s="270" customFormat="1" x14ac:dyDescent="0.25">
      <c r="A463" s="271">
        <v>501503</v>
      </c>
      <c r="B463" s="271">
        <v>1503</v>
      </c>
      <c r="C463" s="271">
        <v>200092</v>
      </c>
      <c r="D463" s="268" t="s">
        <v>894</v>
      </c>
      <c r="E463" s="268" t="s">
        <v>1290</v>
      </c>
      <c r="F463" s="268" t="s">
        <v>2940</v>
      </c>
      <c r="G463" s="268">
        <v>13</v>
      </c>
      <c r="H463" s="268" t="s">
        <v>3002</v>
      </c>
      <c r="I463" s="268" t="s">
        <v>3057</v>
      </c>
      <c r="J463" s="458">
        <v>198132.56264923644</v>
      </c>
      <c r="K463" s="458">
        <v>16511.046887436369</v>
      </c>
      <c r="L463" s="458">
        <v>11194.760870699611</v>
      </c>
      <c r="M463" s="456">
        <v>0</v>
      </c>
      <c r="N463" s="458">
        <v>119.49693843813893</v>
      </c>
      <c r="O463" s="459">
        <v>0</v>
      </c>
      <c r="P463" s="459">
        <v>3467.3198463616377</v>
      </c>
      <c r="Q463" s="458">
        <v>55400.108403681625</v>
      </c>
      <c r="R463" s="458">
        <v>35802.554070717022</v>
      </c>
      <c r="S463" s="458">
        <v>1959.7497903854783</v>
      </c>
      <c r="T463" s="453"/>
      <c r="U463" s="425"/>
      <c r="V463" s="425"/>
      <c r="W463" s="425"/>
      <c r="X463" s="425"/>
      <c r="Y463" s="425"/>
      <c r="Z463" s="425"/>
      <c r="AA463" s="425"/>
      <c r="AB463" s="425"/>
      <c r="AC463" s="425"/>
      <c r="AD463" s="425"/>
      <c r="AE463" s="425"/>
      <c r="AG463" s="425"/>
      <c r="AH463" s="425"/>
      <c r="AI463" s="425"/>
      <c r="AJ463" s="425"/>
      <c r="AK463" s="425"/>
      <c r="AL463" s="425"/>
      <c r="AM463" s="425"/>
      <c r="AN463" s="425"/>
      <c r="AO463" s="425"/>
      <c r="AP463" s="425"/>
      <c r="AQ463" s="425"/>
    </row>
    <row r="464" spans="1:43" s="270" customFormat="1" x14ac:dyDescent="0.25">
      <c r="A464" s="271">
        <v>501503</v>
      </c>
      <c r="B464" s="271">
        <v>1503</v>
      </c>
      <c r="C464" s="271">
        <v>200093</v>
      </c>
      <c r="D464" s="268" t="s">
        <v>894</v>
      </c>
      <c r="E464" s="268" t="s">
        <v>1290</v>
      </c>
      <c r="F464" s="268" t="s">
        <v>2666</v>
      </c>
      <c r="G464" s="268">
        <v>13</v>
      </c>
      <c r="H464" s="268" t="s">
        <v>3079</v>
      </c>
      <c r="I464" s="268" t="s">
        <v>3057</v>
      </c>
      <c r="J464" s="458">
        <v>198132.56264923644</v>
      </c>
      <c r="K464" s="458">
        <v>16511.046887436369</v>
      </c>
      <c r="L464" s="458">
        <v>11194.760870699611</v>
      </c>
      <c r="M464" s="456">
        <v>0</v>
      </c>
      <c r="N464" s="458">
        <v>119.49693843813893</v>
      </c>
      <c r="O464" s="459">
        <v>0</v>
      </c>
      <c r="P464" s="459">
        <v>3467.3198463616377</v>
      </c>
      <c r="Q464" s="458">
        <v>55400.108403681625</v>
      </c>
      <c r="R464" s="458">
        <v>35802.554070717022</v>
      </c>
      <c r="S464" s="458">
        <v>1959.7497903854783</v>
      </c>
      <c r="T464" s="457"/>
      <c r="U464" s="425"/>
      <c r="V464" s="425"/>
      <c r="W464" s="425"/>
      <c r="X464" s="425"/>
      <c r="Y464" s="425"/>
      <c r="Z464" s="425"/>
      <c r="AA464" s="425"/>
      <c r="AB464" s="425"/>
      <c r="AC464" s="425"/>
      <c r="AD464" s="425"/>
      <c r="AE464" s="425"/>
      <c r="AG464" s="425"/>
      <c r="AH464" s="425"/>
      <c r="AI464" s="425"/>
      <c r="AJ464" s="425"/>
      <c r="AK464" s="425"/>
      <c r="AL464" s="425"/>
      <c r="AM464" s="425"/>
      <c r="AN464" s="425"/>
      <c r="AO464" s="425"/>
      <c r="AP464" s="425"/>
      <c r="AQ464" s="425"/>
    </row>
    <row r="465" spans="1:43" s="270" customFormat="1" x14ac:dyDescent="0.25">
      <c r="A465" s="271">
        <v>501503</v>
      </c>
      <c r="B465" s="271">
        <v>1503</v>
      </c>
      <c r="C465" s="271">
        <v>200094</v>
      </c>
      <c r="D465" s="268" t="s">
        <v>894</v>
      </c>
      <c r="E465" s="268" t="s">
        <v>1290</v>
      </c>
      <c r="F465" s="268" t="s">
        <v>2434</v>
      </c>
      <c r="G465" s="268">
        <v>13</v>
      </c>
      <c r="H465" s="268" t="s">
        <v>3080</v>
      </c>
      <c r="I465" s="268" t="s">
        <v>3057</v>
      </c>
      <c r="J465" s="458">
        <v>198132.56264923644</v>
      </c>
      <c r="K465" s="458">
        <v>16511.046887436369</v>
      </c>
      <c r="L465" s="458">
        <v>11194.760870699611</v>
      </c>
      <c r="M465" s="456">
        <v>0</v>
      </c>
      <c r="N465" s="458">
        <v>119.49693843813893</v>
      </c>
      <c r="O465" s="459">
        <v>0</v>
      </c>
      <c r="P465" s="459">
        <v>3467.3198463616377</v>
      </c>
      <c r="Q465" s="458">
        <v>55400.108403681625</v>
      </c>
      <c r="R465" s="458">
        <v>35802.554070717022</v>
      </c>
      <c r="S465" s="458">
        <v>1959.7497903854783</v>
      </c>
      <c r="T465" s="457"/>
      <c r="U465" s="425"/>
      <c r="V465" s="425"/>
      <c r="W465" s="425"/>
      <c r="X465" s="425"/>
      <c r="Y465" s="425"/>
      <c r="Z465" s="425"/>
      <c r="AA465" s="425"/>
      <c r="AB465" s="425"/>
      <c r="AC465" s="425"/>
      <c r="AD465" s="425"/>
      <c r="AE465" s="425"/>
      <c r="AG465" s="425"/>
      <c r="AH465" s="425"/>
      <c r="AI465" s="425"/>
      <c r="AJ465" s="425"/>
      <c r="AK465" s="425"/>
      <c r="AL465" s="425"/>
      <c r="AM465" s="425"/>
      <c r="AN465" s="425"/>
      <c r="AO465" s="425"/>
      <c r="AP465" s="425"/>
      <c r="AQ465" s="425"/>
    </row>
    <row r="466" spans="1:43" s="270" customFormat="1" x14ac:dyDescent="0.25">
      <c r="A466" s="271">
        <v>501503</v>
      </c>
      <c r="B466" s="271">
        <v>1503</v>
      </c>
      <c r="C466" s="271">
        <v>200096</v>
      </c>
      <c r="D466" s="268" t="s">
        <v>894</v>
      </c>
      <c r="E466" s="268" t="s">
        <v>1290</v>
      </c>
      <c r="F466" s="268" t="s">
        <v>3081</v>
      </c>
      <c r="G466" s="268">
        <v>13</v>
      </c>
      <c r="H466" s="268" t="s">
        <v>3082</v>
      </c>
      <c r="I466" s="268" t="s">
        <v>3057</v>
      </c>
      <c r="J466" s="458">
        <v>198132.56264923644</v>
      </c>
      <c r="K466" s="458">
        <v>16511.046887436369</v>
      </c>
      <c r="L466" s="458">
        <v>11194.760870699611</v>
      </c>
      <c r="M466" s="456">
        <v>0</v>
      </c>
      <c r="N466" s="458">
        <v>119.49693843813893</v>
      </c>
      <c r="O466" s="459">
        <v>0</v>
      </c>
      <c r="P466" s="459">
        <v>3467.3198463616377</v>
      </c>
      <c r="Q466" s="458">
        <v>55400.108403681625</v>
      </c>
      <c r="R466" s="458">
        <v>35802.554070717022</v>
      </c>
      <c r="S466" s="458">
        <v>1959.7497903854783</v>
      </c>
      <c r="T466" s="457"/>
      <c r="U466" s="425"/>
      <c r="V466" s="425"/>
      <c r="W466" s="425"/>
      <c r="X466" s="425"/>
      <c r="Y466" s="425"/>
      <c r="Z466" s="425"/>
      <c r="AA466" s="425"/>
      <c r="AB466" s="425"/>
      <c r="AC466" s="425"/>
      <c r="AD466" s="425"/>
      <c r="AE466" s="425"/>
      <c r="AG466" s="425"/>
      <c r="AH466" s="425"/>
      <c r="AI466" s="425"/>
      <c r="AJ466" s="425"/>
      <c r="AK466" s="425"/>
      <c r="AL466" s="425"/>
      <c r="AM466" s="425"/>
      <c r="AN466" s="425"/>
      <c r="AO466" s="425"/>
      <c r="AP466" s="425"/>
      <c r="AQ466" s="425"/>
    </row>
    <row r="467" spans="1:43" s="270" customFormat="1" x14ac:dyDescent="0.25">
      <c r="A467" s="271">
        <v>501503</v>
      </c>
      <c r="B467" s="271">
        <v>1503</v>
      </c>
      <c r="C467" s="271">
        <v>200097</v>
      </c>
      <c r="D467" s="268" t="s">
        <v>894</v>
      </c>
      <c r="E467" s="268" t="s">
        <v>1278</v>
      </c>
      <c r="F467" s="268" t="s">
        <v>3083</v>
      </c>
      <c r="G467" s="268">
        <v>13</v>
      </c>
      <c r="H467" s="268" t="s">
        <v>3084</v>
      </c>
      <c r="I467" s="268" t="s">
        <v>3057</v>
      </c>
      <c r="J467" s="458">
        <v>198132.56264923644</v>
      </c>
      <c r="K467" s="458">
        <v>16511.046887436369</v>
      </c>
      <c r="L467" s="458">
        <v>11194.760870699611</v>
      </c>
      <c r="M467" s="456">
        <v>0</v>
      </c>
      <c r="N467" s="458">
        <v>119.49693843813893</v>
      </c>
      <c r="O467" s="459">
        <v>0</v>
      </c>
      <c r="P467" s="459">
        <v>3467.3198463616377</v>
      </c>
      <c r="Q467" s="458">
        <v>55400.108403681625</v>
      </c>
      <c r="R467" s="458">
        <v>35802.554070717022</v>
      </c>
      <c r="S467" s="458">
        <v>1959.7497903854783</v>
      </c>
      <c r="T467" s="457"/>
      <c r="U467" s="425"/>
      <c r="V467" s="425"/>
      <c r="W467" s="425"/>
      <c r="X467" s="425"/>
      <c r="Y467" s="425"/>
      <c r="Z467" s="425"/>
      <c r="AA467" s="425"/>
      <c r="AB467" s="425"/>
      <c r="AC467" s="425"/>
      <c r="AD467" s="425"/>
      <c r="AE467" s="425"/>
      <c r="AG467" s="425"/>
      <c r="AH467" s="425"/>
      <c r="AI467" s="425"/>
      <c r="AJ467" s="425"/>
      <c r="AK467" s="425"/>
      <c r="AL467" s="425"/>
      <c r="AM467" s="425"/>
      <c r="AN467" s="425"/>
      <c r="AO467" s="425"/>
      <c r="AP467" s="425"/>
      <c r="AQ467" s="425"/>
    </row>
    <row r="468" spans="1:43" s="270" customFormat="1" x14ac:dyDescent="0.25">
      <c r="A468" s="271">
        <v>501503</v>
      </c>
      <c r="B468" s="271">
        <v>1503</v>
      </c>
      <c r="C468" s="271">
        <v>200098</v>
      </c>
      <c r="D468" s="268" t="s">
        <v>894</v>
      </c>
      <c r="E468" s="268" t="s">
        <v>1290</v>
      </c>
      <c r="F468" s="268" t="s">
        <v>3085</v>
      </c>
      <c r="G468" s="268">
        <v>13</v>
      </c>
      <c r="H468" s="268" t="s">
        <v>3086</v>
      </c>
      <c r="I468" s="268" t="s">
        <v>3057</v>
      </c>
      <c r="J468" s="458">
        <v>198132.56264923644</v>
      </c>
      <c r="K468" s="458">
        <v>16511.046887436369</v>
      </c>
      <c r="L468" s="458">
        <v>11194.760870699611</v>
      </c>
      <c r="M468" s="456">
        <v>0</v>
      </c>
      <c r="N468" s="458">
        <v>119.49693843813893</v>
      </c>
      <c r="O468" s="459">
        <v>0</v>
      </c>
      <c r="P468" s="459">
        <v>3467.3198463616377</v>
      </c>
      <c r="Q468" s="458">
        <v>55400.108403681625</v>
      </c>
      <c r="R468" s="458">
        <v>35802.554070717022</v>
      </c>
      <c r="S468" s="458">
        <v>1959.7497903854783</v>
      </c>
      <c r="T468" s="457"/>
      <c r="U468" s="425"/>
      <c r="V468" s="425"/>
      <c r="W468" s="425"/>
      <c r="X468" s="425"/>
      <c r="Y468" s="425"/>
      <c r="Z468" s="425"/>
      <c r="AA468" s="425"/>
      <c r="AB468" s="425"/>
      <c r="AC468" s="425"/>
      <c r="AD468" s="425"/>
      <c r="AE468" s="425"/>
      <c r="AG468" s="425"/>
      <c r="AH468" s="425"/>
      <c r="AI468" s="425"/>
      <c r="AJ468" s="425"/>
      <c r="AK468" s="425"/>
      <c r="AL468" s="425"/>
      <c r="AM468" s="425"/>
      <c r="AN468" s="425"/>
      <c r="AO468" s="425"/>
      <c r="AP468" s="425"/>
      <c r="AQ468" s="425"/>
    </row>
    <row r="469" spans="1:43" s="270" customFormat="1" x14ac:dyDescent="0.25">
      <c r="A469" s="271">
        <v>501503</v>
      </c>
      <c r="B469" s="271">
        <v>1503</v>
      </c>
      <c r="C469" s="271">
        <v>200099</v>
      </c>
      <c r="D469" s="268" t="s">
        <v>894</v>
      </c>
      <c r="E469" s="268" t="s">
        <v>1290</v>
      </c>
      <c r="F469" s="268" t="s">
        <v>2434</v>
      </c>
      <c r="G469" s="268">
        <v>13</v>
      </c>
      <c r="H469" s="268" t="s">
        <v>3087</v>
      </c>
      <c r="I469" s="268" t="s">
        <v>3057</v>
      </c>
      <c r="J469" s="458">
        <v>198132.56264923644</v>
      </c>
      <c r="K469" s="458">
        <v>16511.046887436369</v>
      </c>
      <c r="L469" s="458">
        <v>11194.760870699611</v>
      </c>
      <c r="M469" s="456">
        <v>0</v>
      </c>
      <c r="N469" s="458">
        <v>119.49693843813893</v>
      </c>
      <c r="O469" s="459">
        <v>0</v>
      </c>
      <c r="P469" s="459">
        <v>3467.3198463616377</v>
      </c>
      <c r="Q469" s="458">
        <v>55400.108403681625</v>
      </c>
      <c r="R469" s="458">
        <v>35802.554070717022</v>
      </c>
      <c r="S469" s="458">
        <v>1959.7497903854783</v>
      </c>
      <c r="T469" s="457"/>
      <c r="U469" s="425"/>
      <c r="V469" s="425"/>
      <c r="W469" s="425"/>
      <c r="X469" s="425"/>
      <c r="Y469" s="425"/>
      <c r="Z469" s="425"/>
      <c r="AA469" s="425"/>
      <c r="AB469" s="425"/>
      <c r="AC469" s="425"/>
      <c r="AD469" s="425"/>
      <c r="AE469" s="425"/>
      <c r="AG469" s="425"/>
      <c r="AH469" s="425"/>
      <c r="AI469" s="425"/>
      <c r="AJ469" s="425"/>
      <c r="AK469" s="425"/>
      <c r="AL469" s="425"/>
      <c r="AM469" s="425"/>
      <c r="AN469" s="425"/>
      <c r="AO469" s="425"/>
      <c r="AP469" s="425"/>
      <c r="AQ469" s="425"/>
    </row>
    <row r="470" spans="1:43" s="270" customFormat="1" x14ac:dyDescent="0.25">
      <c r="A470" s="271">
        <v>501503</v>
      </c>
      <c r="B470" s="271">
        <v>1503</v>
      </c>
      <c r="C470" s="271">
        <v>200100</v>
      </c>
      <c r="D470" s="268" t="s">
        <v>894</v>
      </c>
      <c r="E470" s="268" t="s">
        <v>1290</v>
      </c>
      <c r="F470" s="268" t="s">
        <v>2598</v>
      </c>
      <c r="G470" s="268">
        <v>13</v>
      </c>
      <c r="H470" s="268" t="s">
        <v>3088</v>
      </c>
      <c r="I470" s="268" t="s">
        <v>3057</v>
      </c>
      <c r="J470" s="458">
        <v>198132.56264923644</v>
      </c>
      <c r="K470" s="458">
        <v>16511.046887436369</v>
      </c>
      <c r="L470" s="458">
        <v>11194.760870699611</v>
      </c>
      <c r="M470" s="456">
        <v>0</v>
      </c>
      <c r="N470" s="458">
        <v>119.49693843813893</v>
      </c>
      <c r="O470" s="459">
        <v>0</v>
      </c>
      <c r="P470" s="459">
        <v>3467.3198463616377</v>
      </c>
      <c r="Q470" s="458">
        <v>55400.108403681625</v>
      </c>
      <c r="R470" s="458">
        <v>35802.554070717022</v>
      </c>
      <c r="S470" s="458">
        <v>1959.7497903854783</v>
      </c>
      <c r="T470" s="457"/>
      <c r="U470" s="425"/>
      <c r="V470" s="425"/>
      <c r="W470" s="425"/>
      <c r="X470" s="425"/>
      <c r="Y470" s="425"/>
      <c r="Z470" s="425"/>
      <c r="AA470" s="425"/>
      <c r="AB470" s="425"/>
      <c r="AC470" s="425"/>
      <c r="AD470" s="425"/>
      <c r="AE470" s="425"/>
      <c r="AG470" s="425"/>
      <c r="AH470" s="425"/>
      <c r="AI470" s="425"/>
      <c r="AJ470" s="425"/>
      <c r="AK470" s="425"/>
      <c r="AL470" s="425"/>
      <c r="AM470" s="425"/>
      <c r="AN470" s="425"/>
      <c r="AO470" s="425"/>
      <c r="AP470" s="425"/>
      <c r="AQ470" s="425"/>
    </row>
    <row r="471" spans="1:43" s="270" customFormat="1" x14ac:dyDescent="0.25">
      <c r="A471" s="271">
        <v>501503</v>
      </c>
      <c r="B471" s="271">
        <v>1503</v>
      </c>
      <c r="C471" s="271">
        <v>200101</v>
      </c>
      <c r="D471" s="268" t="s">
        <v>894</v>
      </c>
      <c r="E471" s="268" t="s">
        <v>1290</v>
      </c>
      <c r="F471" s="268" t="s">
        <v>3089</v>
      </c>
      <c r="G471" s="268">
        <v>13</v>
      </c>
      <c r="H471" s="268" t="s">
        <v>3090</v>
      </c>
      <c r="I471" s="268" t="s">
        <v>3057</v>
      </c>
      <c r="J471" s="458">
        <v>198132.56264923644</v>
      </c>
      <c r="K471" s="458">
        <v>16511.046887436369</v>
      </c>
      <c r="L471" s="458">
        <v>11194.760870699611</v>
      </c>
      <c r="M471" s="456">
        <v>0</v>
      </c>
      <c r="N471" s="458">
        <v>119.49693843813893</v>
      </c>
      <c r="O471" s="459">
        <v>0</v>
      </c>
      <c r="P471" s="459">
        <v>3467.3198463616377</v>
      </c>
      <c r="Q471" s="458">
        <v>55400.108403681625</v>
      </c>
      <c r="R471" s="458">
        <v>35802.554070717022</v>
      </c>
      <c r="S471" s="458">
        <v>1959.7497903854783</v>
      </c>
      <c r="T471" s="457"/>
      <c r="U471" s="425"/>
      <c r="V471" s="425"/>
      <c r="W471" s="425"/>
      <c r="X471" s="425"/>
      <c r="Y471" s="425"/>
      <c r="Z471" s="425"/>
      <c r="AA471" s="425"/>
      <c r="AB471" s="425"/>
      <c r="AC471" s="425"/>
      <c r="AD471" s="425"/>
      <c r="AE471" s="425"/>
      <c r="AG471" s="425"/>
      <c r="AH471" s="425"/>
      <c r="AI471" s="425"/>
      <c r="AJ471" s="425"/>
      <c r="AK471" s="425"/>
      <c r="AL471" s="425"/>
      <c r="AM471" s="425"/>
      <c r="AN471" s="425"/>
      <c r="AO471" s="425"/>
      <c r="AP471" s="425"/>
      <c r="AQ471" s="425"/>
    </row>
    <row r="472" spans="1:43" s="270" customFormat="1" x14ac:dyDescent="0.25">
      <c r="A472" s="271">
        <v>501503</v>
      </c>
      <c r="B472" s="271">
        <v>1503</v>
      </c>
      <c r="C472" s="271">
        <v>200102</v>
      </c>
      <c r="D472" s="268" t="s">
        <v>894</v>
      </c>
      <c r="E472" s="268" t="s">
        <v>1290</v>
      </c>
      <c r="F472" s="268" t="s">
        <v>2742</v>
      </c>
      <c r="G472" s="268">
        <v>13</v>
      </c>
      <c r="H472" s="268" t="s">
        <v>3091</v>
      </c>
      <c r="I472" s="268" t="s">
        <v>3057</v>
      </c>
      <c r="J472" s="458">
        <v>198132.56264923644</v>
      </c>
      <c r="K472" s="458">
        <v>16511.046887436369</v>
      </c>
      <c r="L472" s="458">
        <v>11194.760870699611</v>
      </c>
      <c r="M472" s="456">
        <v>0</v>
      </c>
      <c r="N472" s="458">
        <v>119.49693843813893</v>
      </c>
      <c r="O472" s="459">
        <v>0</v>
      </c>
      <c r="P472" s="459">
        <v>3467.3198463616377</v>
      </c>
      <c r="Q472" s="458">
        <v>55400.108403681625</v>
      </c>
      <c r="R472" s="458">
        <v>35802.554070717022</v>
      </c>
      <c r="S472" s="458">
        <v>1959.7497903854783</v>
      </c>
      <c r="T472" s="453"/>
      <c r="U472" s="425"/>
      <c r="V472" s="425"/>
      <c r="W472" s="425"/>
      <c r="X472" s="425"/>
      <c r="Y472" s="425"/>
      <c r="Z472" s="425"/>
      <c r="AA472" s="425"/>
      <c r="AB472" s="425"/>
      <c r="AC472" s="425"/>
      <c r="AD472" s="425"/>
      <c r="AE472" s="425"/>
      <c r="AG472" s="425"/>
      <c r="AH472" s="425"/>
      <c r="AI472" s="425"/>
      <c r="AJ472" s="425"/>
      <c r="AK472" s="425"/>
      <c r="AL472" s="425"/>
      <c r="AM472" s="425"/>
      <c r="AN472" s="425"/>
      <c r="AO472" s="425"/>
      <c r="AP472" s="425"/>
      <c r="AQ472" s="425"/>
    </row>
    <row r="473" spans="1:43" s="270" customFormat="1" x14ac:dyDescent="0.25">
      <c r="A473" s="271">
        <v>501503</v>
      </c>
      <c r="B473" s="271">
        <v>1503</v>
      </c>
      <c r="C473" s="271">
        <v>200103</v>
      </c>
      <c r="D473" s="268" t="s">
        <v>894</v>
      </c>
      <c r="E473" s="268" t="s">
        <v>1290</v>
      </c>
      <c r="F473" s="268" t="s">
        <v>2226</v>
      </c>
      <c r="G473" s="268">
        <v>13</v>
      </c>
      <c r="H473" s="268" t="s">
        <v>2238</v>
      </c>
      <c r="I473" s="268" t="s">
        <v>3057</v>
      </c>
      <c r="J473" s="458">
        <v>198132.56264923644</v>
      </c>
      <c r="K473" s="458">
        <v>16511.046887436369</v>
      </c>
      <c r="L473" s="458">
        <v>11194.760870699611</v>
      </c>
      <c r="M473" s="456">
        <v>0</v>
      </c>
      <c r="N473" s="458">
        <v>119.49693843813893</v>
      </c>
      <c r="O473" s="459">
        <v>0</v>
      </c>
      <c r="P473" s="459">
        <v>3467.3198463616377</v>
      </c>
      <c r="Q473" s="458">
        <v>55400.108403681625</v>
      </c>
      <c r="R473" s="458">
        <v>35802.554070717022</v>
      </c>
      <c r="S473" s="458">
        <v>1959.7497903854783</v>
      </c>
      <c r="T473" s="457"/>
      <c r="U473" s="425"/>
      <c r="V473" s="425"/>
      <c r="W473" s="425"/>
      <c r="X473" s="425"/>
      <c r="Y473" s="425"/>
      <c r="Z473" s="425"/>
      <c r="AA473" s="425"/>
      <c r="AB473" s="425"/>
      <c r="AC473" s="425"/>
      <c r="AD473" s="425"/>
      <c r="AE473" s="425"/>
      <c r="AG473" s="425"/>
      <c r="AH473" s="425"/>
      <c r="AI473" s="425"/>
      <c r="AJ473" s="425"/>
      <c r="AK473" s="425"/>
      <c r="AL473" s="425"/>
      <c r="AM473" s="425"/>
      <c r="AN473" s="425"/>
      <c r="AO473" s="425"/>
      <c r="AP473" s="425"/>
      <c r="AQ473" s="425"/>
    </row>
    <row r="474" spans="1:43" s="270" customFormat="1" x14ac:dyDescent="0.25">
      <c r="A474" s="271">
        <v>501503</v>
      </c>
      <c r="B474" s="271">
        <v>1503</v>
      </c>
      <c r="C474" s="271">
        <v>200104</v>
      </c>
      <c r="D474" s="268" t="s">
        <v>894</v>
      </c>
      <c r="E474" s="268" t="s">
        <v>1290</v>
      </c>
      <c r="F474" s="268" t="s">
        <v>2666</v>
      </c>
      <c r="G474" s="268">
        <v>13</v>
      </c>
      <c r="H474" s="268" t="s">
        <v>3092</v>
      </c>
      <c r="I474" s="268" t="s">
        <v>3057</v>
      </c>
      <c r="J474" s="458">
        <v>198132.56264923644</v>
      </c>
      <c r="K474" s="458">
        <v>16511.046887436369</v>
      </c>
      <c r="L474" s="458">
        <v>11194.760870699611</v>
      </c>
      <c r="M474" s="456">
        <v>0</v>
      </c>
      <c r="N474" s="458">
        <v>119.49693843813893</v>
      </c>
      <c r="O474" s="459">
        <v>0</v>
      </c>
      <c r="P474" s="459">
        <v>3467.3198463616377</v>
      </c>
      <c r="Q474" s="458">
        <v>55400.108403681625</v>
      </c>
      <c r="R474" s="458">
        <v>35802.554070717022</v>
      </c>
      <c r="S474" s="458">
        <v>1959.7497903854783</v>
      </c>
      <c r="T474" s="457"/>
      <c r="U474" s="425"/>
      <c r="V474" s="425"/>
      <c r="W474" s="425"/>
      <c r="X474" s="425"/>
      <c r="Y474" s="425"/>
      <c r="Z474" s="425"/>
      <c r="AA474" s="425"/>
      <c r="AB474" s="425"/>
      <c r="AC474" s="425"/>
      <c r="AD474" s="425"/>
      <c r="AE474" s="425"/>
      <c r="AG474" s="425"/>
      <c r="AH474" s="425"/>
      <c r="AI474" s="425"/>
      <c r="AJ474" s="425"/>
      <c r="AK474" s="425"/>
      <c r="AL474" s="425"/>
      <c r="AM474" s="425"/>
      <c r="AN474" s="425"/>
      <c r="AO474" s="425"/>
      <c r="AP474" s="425"/>
      <c r="AQ474" s="425"/>
    </row>
    <row r="475" spans="1:43" s="270" customFormat="1" x14ac:dyDescent="0.25">
      <c r="A475" s="271">
        <v>501503</v>
      </c>
      <c r="B475" s="271">
        <v>1503</v>
      </c>
      <c r="C475" s="271">
        <v>200264</v>
      </c>
      <c r="D475" s="268" t="s">
        <v>894</v>
      </c>
      <c r="E475" s="268" t="s">
        <v>1278</v>
      </c>
      <c r="F475" s="268" t="s">
        <v>2903</v>
      </c>
      <c r="G475" s="268">
        <v>13</v>
      </c>
      <c r="H475" s="268" t="s">
        <v>3093</v>
      </c>
      <c r="I475" s="268" t="s">
        <v>3057</v>
      </c>
      <c r="J475" s="458">
        <v>198132.56264923644</v>
      </c>
      <c r="K475" s="458">
        <v>16511.046887436369</v>
      </c>
      <c r="L475" s="458">
        <v>11194.760870699611</v>
      </c>
      <c r="M475" s="456">
        <v>0</v>
      </c>
      <c r="N475" s="458">
        <v>119.49693843813893</v>
      </c>
      <c r="O475" s="459">
        <v>0</v>
      </c>
      <c r="P475" s="459">
        <v>3467.3198463616377</v>
      </c>
      <c r="Q475" s="458">
        <v>55400.108403681625</v>
      </c>
      <c r="R475" s="458">
        <v>35802.554070717022</v>
      </c>
      <c r="S475" s="458">
        <v>1959.7497903854783</v>
      </c>
      <c r="T475" s="457"/>
      <c r="U475" s="425"/>
      <c r="V475" s="425"/>
      <c r="W475" s="425"/>
      <c r="X475" s="425"/>
      <c r="Y475" s="425"/>
      <c r="Z475" s="425"/>
      <c r="AA475" s="425"/>
      <c r="AB475" s="425"/>
      <c r="AC475" s="425"/>
      <c r="AD475" s="425"/>
      <c r="AE475" s="425"/>
      <c r="AG475" s="425"/>
      <c r="AH475" s="425"/>
      <c r="AI475" s="425"/>
      <c r="AJ475" s="425"/>
      <c r="AK475" s="425"/>
      <c r="AL475" s="425"/>
      <c r="AM475" s="425"/>
      <c r="AN475" s="425"/>
      <c r="AO475" s="425"/>
      <c r="AP475" s="425"/>
      <c r="AQ475" s="425"/>
    </row>
    <row r="476" spans="1:43" s="270" customFormat="1" x14ac:dyDescent="0.25">
      <c r="A476" s="271">
        <v>501503</v>
      </c>
      <c r="B476" s="271">
        <v>1503</v>
      </c>
      <c r="C476" s="271">
        <v>200282</v>
      </c>
      <c r="D476" s="268" t="s">
        <v>894</v>
      </c>
      <c r="E476" s="268" t="s">
        <v>1278</v>
      </c>
      <c r="F476" s="268" t="s">
        <v>2827</v>
      </c>
      <c r="G476" s="268">
        <v>13</v>
      </c>
      <c r="H476" s="268" t="s">
        <v>3094</v>
      </c>
      <c r="I476" s="268" t="s">
        <v>3057</v>
      </c>
      <c r="J476" s="458">
        <v>198132.56264923644</v>
      </c>
      <c r="K476" s="458">
        <v>16511.046887436369</v>
      </c>
      <c r="L476" s="458">
        <v>11194.760870699611</v>
      </c>
      <c r="M476" s="456">
        <v>0</v>
      </c>
      <c r="N476" s="458">
        <v>119.49693843813893</v>
      </c>
      <c r="O476" s="459">
        <v>0</v>
      </c>
      <c r="P476" s="459">
        <v>3467.3198463616377</v>
      </c>
      <c r="Q476" s="458">
        <v>55400.108403681625</v>
      </c>
      <c r="R476" s="458">
        <v>35802.554070717022</v>
      </c>
      <c r="S476" s="458">
        <v>1959.7497903854783</v>
      </c>
      <c r="T476" s="457"/>
      <c r="U476" s="425"/>
      <c r="V476" s="425"/>
      <c r="W476" s="425"/>
      <c r="X476" s="425"/>
      <c r="Y476" s="425"/>
      <c r="Z476" s="425"/>
      <c r="AA476" s="425"/>
      <c r="AB476" s="425"/>
      <c r="AC476" s="425"/>
      <c r="AD476" s="425"/>
      <c r="AE476" s="425"/>
      <c r="AG476" s="425"/>
      <c r="AH476" s="425"/>
      <c r="AI476" s="425"/>
      <c r="AJ476" s="425"/>
      <c r="AK476" s="425"/>
      <c r="AL476" s="425"/>
      <c r="AM476" s="425"/>
      <c r="AN476" s="425"/>
      <c r="AO476" s="425"/>
      <c r="AP476" s="425"/>
      <c r="AQ476" s="425"/>
    </row>
    <row r="477" spans="1:43" s="270" customFormat="1" x14ac:dyDescent="0.25">
      <c r="A477" s="271">
        <v>501443</v>
      </c>
      <c r="B477" s="271">
        <v>1443</v>
      </c>
      <c r="C477" s="271">
        <v>200290</v>
      </c>
      <c r="D477" s="268" t="s">
        <v>894</v>
      </c>
      <c r="E477" s="268" t="s">
        <v>1290</v>
      </c>
      <c r="F477" s="268" t="s">
        <v>2971</v>
      </c>
      <c r="G477" s="268">
        <v>11</v>
      </c>
      <c r="H477" s="268" t="s">
        <v>3095</v>
      </c>
      <c r="I477" s="268" t="s">
        <v>2978</v>
      </c>
      <c r="J477" s="458">
        <v>189424.77648712389</v>
      </c>
      <c r="K477" s="458">
        <v>15785.398040593658</v>
      </c>
      <c r="L477" s="458">
        <v>11194.760870699611</v>
      </c>
      <c r="M477" s="456">
        <v>0</v>
      </c>
      <c r="N477" s="458">
        <v>119.49693843813893</v>
      </c>
      <c r="O477" s="459">
        <v>0</v>
      </c>
      <c r="P477" s="459">
        <v>3314.9335885246683</v>
      </c>
      <c r="Q477" s="458">
        <v>55400.108403681625</v>
      </c>
      <c r="R477" s="458">
        <v>34229.057111223294</v>
      </c>
      <c r="S477" s="458">
        <v>1959.7497903854783</v>
      </c>
      <c r="T477" s="457"/>
      <c r="U477" s="425"/>
      <c r="V477" s="425"/>
      <c r="W477" s="425"/>
      <c r="X477" s="425"/>
      <c r="Y477" s="425"/>
      <c r="Z477" s="425"/>
      <c r="AA477" s="425"/>
      <c r="AB477" s="425"/>
      <c r="AC477" s="425"/>
      <c r="AD477" s="425"/>
      <c r="AE477" s="425"/>
      <c r="AG477" s="425"/>
      <c r="AH477" s="425"/>
      <c r="AI477" s="425"/>
      <c r="AJ477" s="425"/>
      <c r="AK477" s="425"/>
      <c r="AL477" s="425"/>
      <c r="AM477" s="425"/>
      <c r="AN477" s="425"/>
      <c r="AO477" s="425"/>
      <c r="AP477" s="425"/>
      <c r="AQ477" s="425"/>
    </row>
    <row r="478" spans="1:43" s="270" customFormat="1" x14ac:dyDescent="0.25">
      <c r="A478" s="271">
        <v>501503</v>
      </c>
      <c r="B478" s="271">
        <v>1503</v>
      </c>
      <c r="C478" s="271">
        <v>200295</v>
      </c>
      <c r="D478" s="268" t="s">
        <v>894</v>
      </c>
      <c r="E478" s="268" t="s">
        <v>1278</v>
      </c>
      <c r="F478" s="268" t="s">
        <v>2950</v>
      </c>
      <c r="G478" s="268">
        <v>12</v>
      </c>
      <c r="H478" s="268" t="s">
        <v>3096</v>
      </c>
      <c r="I478" s="268" t="s">
        <v>3057</v>
      </c>
      <c r="J478" s="458">
        <v>189424.77648712389</v>
      </c>
      <c r="K478" s="458">
        <v>15785.398040593658</v>
      </c>
      <c r="L478" s="458">
        <v>11194.760870699611</v>
      </c>
      <c r="M478" s="456">
        <v>0</v>
      </c>
      <c r="N478" s="458">
        <v>119.49693843813893</v>
      </c>
      <c r="O478" s="459">
        <v>0</v>
      </c>
      <c r="P478" s="459">
        <v>3314.9335885246683</v>
      </c>
      <c r="Q478" s="458">
        <v>55400.108403681625</v>
      </c>
      <c r="R478" s="458">
        <v>34229.057111223294</v>
      </c>
      <c r="S478" s="458">
        <v>1959.7497903854783</v>
      </c>
      <c r="T478" s="457"/>
      <c r="U478" s="425"/>
      <c r="V478" s="425"/>
      <c r="W478" s="425"/>
      <c r="X478" s="425"/>
      <c r="Y478" s="425"/>
      <c r="Z478" s="425"/>
      <c r="AA478" s="425"/>
      <c r="AB478" s="425"/>
      <c r="AC478" s="425"/>
      <c r="AD478" s="425"/>
      <c r="AE478" s="425"/>
      <c r="AG478" s="425"/>
      <c r="AH478" s="425"/>
      <c r="AI478" s="425"/>
      <c r="AJ478" s="425"/>
      <c r="AK478" s="425"/>
      <c r="AL478" s="425"/>
      <c r="AM478" s="425"/>
      <c r="AN478" s="425"/>
      <c r="AO478" s="425"/>
      <c r="AP478" s="425"/>
      <c r="AQ478" s="425"/>
    </row>
    <row r="479" spans="1:43" s="270" customFormat="1" x14ac:dyDescent="0.25">
      <c r="A479" s="271">
        <v>501503</v>
      </c>
      <c r="B479" s="271">
        <v>1503</v>
      </c>
      <c r="C479" s="271">
        <v>200298</v>
      </c>
      <c r="D479" s="268" t="s">
        <v>894</v>
      </c>
      <c r="E479" s="268" t="s">
        <v>1278</v>
      </c>
      <c r="F479" s="268" t="s">
        <v>3097</v>
      </c>
      <c r="G479" s="268">
        <v>12</v>
      </c>
      <c r="H479" s="268" t="s">
        <v>3098</v>
      </c>
      <c r="I479" s="268" t="s">
        <v>3057</v>
      </c>
      <c r="J479" s="458">
        <v>189424.77648712389</v>
      </c>
      <c r="K479" s="458">
        <v>15785.398040593658</v>
      </c>
      <c r="L479" s="458">
        <v>11194.760870699611</v>
      </c>
      <c r="M479" s="456">
        <v>0</v>
      </c>
      <c r="N479" s="458">
        <v>119.49693843813893</v>
      </c>
      <c r="O479" s="459">
        <v>0</v>
      </c>
      <c r="P479" s="459">
        <v>3314.9335885246683</v>
      </c>
      <c r="Q479" s="458">
        <v>55400.108403681625</v>
      </c>
      <c r="R479" s="458">
        <v>34229.057111223294</v>
      </c>
      <c r="S479" s="458">
        <v>1959.7497903854783</v>
      </c>
      <c r="T479" s="457"/>
      <c r="U479" s="425"/>
      <c r="V479" s="425"/>
      <c r="W479" s="425"/>
      <c r="X479" s="425"/>
      <c r="Y479" s="425"/>
      <c r="Z479" s="425"/>
      <c r="AA479" s="425"/>
      <c r="AB479" s="425"/>
      <c r="AC479" s="425"/>
      <c r="AD479" s="425"/>
      <c r="AE479" s="425"/>
      <c r="AG479" s="425"/>
      <c r="AH479" s="425"/>
      <c r="AI479" s="425"/>
      <c r="AJ479" s="425"/>
      <c r="AK479" s="425"/>
      <c r="AL479" s="425"/>
      <c r="AM479" s="425"/>
      <c r="AN479" s="425"/>
      <c r="AO479" s="425"/>
      <c r="AP479" s="425"/>
      <c r="AQ479" s="425"/>
    </row>
    <row r="480" spans="1:43" s="270" customFormat="1" x14ac:dyDescent="0.25">
      <c r="A480" s="271">
        <v>501503</v>
      </c>
      <c r="B480" s="271">
        <v>1503</v>
      </c>
      <c r="C480" s="271">
        <v>200447</v>
      </c>
      <c r="D480" s="268" t="s">
        <v>894</v>
      </c>
      <c r="E480" s="268" t="s">
        <v>1290</v>
      </c>
      <c r="F480" s="268" t="s">
        <v>3099</v>
      </c>
      <c r="G480" s="268">
        <v>12</v>
      </c>
      <c r="H480" s="268" t="s">
        <v>3100</v>
      </c>
      <c r="I480" s="268" t="s">
        <v>3057</v>
      </c>
      <c r="J480" s="458">
        <v>189424.77648712389</v>
      </c>
      <c r="K480" s="458">
        <v>15785.398040593658</v>
      </c>
      <c r="L480" s="458">
        <v>11194.760870699611</v>
      </c>
      <c r="M480" s="456">
        <v>0</v>
      </c>
      <c r="N480" s="458">
        <v>119.49693843813893</v>
      </c>
      <c r="O480" s="459">
        <v>0</v>
      </c>
      <c r="P480" s="459">
        <v>3314.9335885246683</v>
      </c>
      <c r="Q480" s="458">
        <v>55400.108403681625</v>
      </c>
      <c r="R480" s="458">
        <v>34229.057111223294</v>
      </c>
      <c r="S480" s="458">
        <v>1959.7497903854783</v>
      </c>
      <c r="T480" s="457"/>
      <c r="U480" s="425"/>
      <c r="V480" s="425"/>
      <c r="W480" s="425"/>
      <c r="X480" s="425"/>
      <c r="Y480" s="425"/>
      <c r="Z480" s="425"/>
      <c r="AA480" s="425"/>
      <c r="AB480" s="425"/>
      <c r="AC480" s="425"/>
      <c r="AD480" s="425"/>
      <c r="AE480" s="425"/>
      <c r="AG480" s="425"/>
      <c r="AH480" s="425"/>
      <c r="AI480" s="425"/>
      <c r="AJ480" s="425"/>
      <c r="AK480" s="425"/>
      <c r="AL480" s="425"/>
      <c r="AM480" s="425"/>
      <c r="AN480" s="425"/>
      <c r="AO480" s="425"/>
      <c r="AP480" s="425"/>
      <c r="AQ480" s="425"/>
    </row>
    <row r="481" spans="1:43" s="270" customFormat="1" x14ac:dyDescent="0.25">
      <c r="A481" s="271">
        <v>501503</v>
      </c>
      <c r="B481" s="271">
        <v>1503</v>
      </c>
      <c r="C481" s="271">
        <v>200453</v>
      </c>
      <c r="D481" s="268" t="s">
        <v>894</v>
      </c>
      <c r="E481" s="268" t="s">
        <v>1290</v>
      </c>
      <c r="F481" s="268" t="s">
        <v>3101</v>
      </c>
      <c r="G481" s="268">
        <v>12</v>
      </c>
      <c r="H481" s="268" t="s">
        <v>3102</v>
      </c>
      <c r="I481" s="268" t="s">
        <v>3057</v>
      </c>
      <c r="J481" s="458">
        <v>189424.77648712389</v>
      </c>
      <c r="K481" s="458">
        <v>15785.398040593658</v>
      </c>
      <c r="L481" s="458">
        <v>11194.760870699611</v>
      </c>
      <c r="M481" s="456">
        <v>0</v>
      </c>
      <c r="N481" s="458">
        <v>119.49693843813893</v>
      </c>
      <c r="O481" s="459">
        <v>0</v>
      </c>
      <c r="P481" s="459">
        <v>3314.9335885246683</v>
      </c>
      <c r="Q481" s="458">
        <v>55400.108403681625</v>
      </c>
      <c r="R481" s="458">
        <v>34229.057111223294</v>
      </c>
      <c r="S481" s="458">
        <v>1959.7497903854783</v>
      </c>
      <c r="T481" s="457"/>
      <c r="U481" s="425"/>
      <c r="V481" s="425"/>
      <c r="W481" s="425"/>
      <c r="X481" s="425"/>
      <c r="Y481" s="425"/>
      <c r="Z481" s="425"/>
      <c r="AA481" s="425"/>
      <c r="AB481" s="425"/>
      <c r="AC481" s="425"/>
      <c r="AD481" s="425"/>
      <c r="AE481" s="425"/>
      <c r="AG481" s="425"/>
      <c r="AH481" s="425"/>
      <c r="AI481" s="425"/>
      <c r="AJ481" s="425"/>
      <c r="AK481" s="425"/>
      <c r="AL481" s="425"/>
      <c r="AM481" s="425"/>
      <c r="AN481" s="425"/>
      <c r="AO481" s="425"/>
      <c r="AP481" s="425"/>
      <c r="AQ481" s="425"/>
    </row>
    <row r="482" spans="1:43" s="270" customFormat="1" x14ac:dyDescent="0.25">
      <c r="A482" s="271">
        <v>501503</v>
      </c>
      <c r="B482" s="271">
        <v>1503</v>
      </c>
      <c r="C482" s="271">
        <v>200454</v>
      </c>
      <c r="D482" s="268" t="s">
        <v>894</v>
      </c>
      <c r="E482" s="268" t="s">
        <v>1278</v>
      </c>
      <c r="F482" s="268" t="s">
        <v>2685</v>
      </c>
      <c r="G482" s="268">
        <v>12</v>
      </c>
      <c r="H482" s="268" t="s">
        <v>3103</v>
      </c>
      <c r="I482" s="268" t="s">
        <v>3057</v>
      </c>
      <c r="J482" s="458">
        <v>189424.77648712389</v>
      </c>
      <c r="K482" s="458">
        <v>15785.398040593658</v>
      </c>
      <c r="L482" s="458">
        <v>11194.760870699611</v>
      </c>
      <c r="M482" s="456">
        <v>0</v>
      </c>
      <c r="N482" s="458">
        <v>119.49693843813893</v>
      </c>
      <c r="O482" s="459">
        <v>0</v>
      </c>
      <c r="P482" s="459">
        <v>3314.9335885246683</v>
      </c>
      <c r="Q482" s="458">
        <v>55400.108403681625</v>
      </c>
      <c r="R482" s="458">
        <v>34229.057111223294</v>
      </c>
      <c r="S482" s="458">
        <v>1959.7497903854783</v>
      </c>
      <c r="T482" s="457"/>
      <c r="U482" s="425"/>
      <c r="V482" s="425"/>
      <c r="W482" s="425"/>
      <c r="X482" s="425"/>
      <c r="Y482" s="425"/>
      <c r="Z482" s="425"/>
      <c r="AA482" s="425"/>
      <c r="AB482" s="425"/>
      <c r="AC482" s="425"/>
      <c r="AD482" s="425"/>
      <c r="AE482" s="425"/>
      <c r="AG482" s="425"/>
      <c r="AH482" s="425"/>
      <c r="AI482" s="425"/>
      <c r="AJ482" s="425"/>
      <c r="AK482" s="425"/>
      <c r="AL482" s="425"/>
      <c r="AM482" s="425"/>
      <c r="AN482" s="425"/>
      <c r="AO482" s="425"/>
      <c r="AP482" s="425"/>
      <c r="AQ482" s="425"/>
    </row>
    <row r="483" spans="1:43" s="270" customFormat="1" x14ac:dyDescent="0.25">
      <c r="A483" s="271">
        <v>501503</v>
      </c>
      <c r="B483" s="271">
        <v>1503</v>
      </c>
      <c r="C483" s="271">
        <v>200458</v>
      </c>
      <c r="D483" s="268" t="s">
        <v>894</v>
      </c>
      <c r="E483" s="268" t="s">
        <v>1290</v>
      </c>
      <c r="F483" s="268" t="s">
        <v>2362</v>
      </c>
      <c r="G483" s="268">
        <v>12</v>
      </c>
      <c r="H483" s="268" t="s">
        <v>3104</v>
      </c>
      <c r="I483" s="268" t="s">
        <v>3057</v>
      </c>
      <c r="J483" s="458">
        <v>189424.77648712389</v>
      </c>
      <c r="K483" s="458">
        <v>15785.398040593658</v>
      </c>
      <c r="L483" s="458">
        <v>11194.760870699611</v>
      </c>
      <c r="M483" s="456">
        <v>0</v>
      </c>
      <c r="N483" s="458">
        <v>119.49693843813893</v>
      </c>
      <c r="O483" s="459">
        <v>0</v>
      </c>
      <c r="P483" s="459">
        <v>3314.9335885246683</v>
      </c>
      <c r="Q483" s="458">
        <v>55400.108403681625</v>
      </c>
      <c r="R483" s="458">
        <v>34229.057111223294</v>
      </c>
      <c r="S483" s="458">
        <v>1959.7497903854783</v>
      </c>
      <c r="T483" s="457"/>
      <c r="U483" s="425"/>
      <c r="V483" s="425"/>
      <c r="W483" s="425"/>
      <c r="X483" s="425"/>
      <c r="Y483" s="425"/>
      <c r="Z483" s="425"/>
      <c r="AA483" s="425"/>
      <c r="AB483" s="425"/>
      <c r="AC483" s="425"/>
      <c r="AD483" s="425"/>
      <c r="AE483" s="425"/>
      <c r="AG483" s="425"/>
      <c r="AH483" s="425"/>
      <c r="AI483" s="425"/>
      <c r="AJ483" s="425"/>
      <c r="AK483" s="425"/>
      <c r="AL483" s="425"/>
      <c r="AM483" s="425"/>
      <c r="AN483" s="425"/>
      <c r="AO483" s="425"/>
      <c r="AP483" s="425"/>
      <c r="AQ483" s="425"/>
    </row>
    <row r="484" spans="1:43" s="270" customFormat="1" x14ac:dyDescent="0.25">
      <c r="A484" s="271">
        <v>501503</v>
      </c>
      <c r="B484" s="271">
        <v>1503</v>
      </c>
      <c r="C484" s="271">
        <v>200459</v>
      </c>
      <c r="D484" s="268" t="s">
        <v>894</v>
      </c>
      <c r="E484" s="268" t="s">
        <v>1278</v>
      </c>
      <c r="F484" s="268" t="s">
        <v>3006</v>
      </c>
      <c r="G484" s="268">
        <v>12</v>
      </c>
      <c r="H484" s="268" t="s">
        <v>3105</v>
      </c>
      <c r="I484" s="268" t="s">
        <v>3057</v>
      </c>
      <c r="J484" s="458">
        <v>189424.77648712389</v>
      </c>
      <c r="K484" s="458">
        <v>15785.398040593658</v>
      </c>
      <c r="L484" s="458">
        <v>11194.760870699611</v>
      </c>
      <c r="M484" s="456">
        <v>0</v>
      </c>
      <c r="N484" s="458">
        <v>119.49693843813893</v>
      </c>
      <c r="O484" s="459">
        <v>0</v>
      </c>
      <c r="P484" s="459">
        <v>3314.9335885246683</v>
      </c>
      <c r="Q484" s="458">
        <v>55400.108403681625</v>
      </c>
      <c r="R484" s="458">
        <v>34229.057111223294</v>
      </c>
      <c r="S484" s="458">
        <v>1959.7497903854783</v>
      </c>
      <c r="T484" s="457"/>
      <c r="U484" s="425"/>
      <c r="V484" s="425"/>
      <c r="W484" s="425"/>
      <c r="X484" s="425"/>
      <c r="Y484" s="425"/>
      <c r="Z484" s="425"/>
      <c r="AA484" s="425"/>
      <c r="AB484" s="425"/>
      <c r="AC484" s="425"/>
      <c r="AD484" s="425"/>
      <c r="AE484" s="425"/>
      <c r="AG484" s="425"/>
      <c r="AH484" s="425"/>
      <c r="AI484" s="425"/>
      <c r="AJ484" s="425"/>
      <c r="AK484" s="425"/>
      <c r="AL484" s="425"/>
      <c r="AM484" s="425"/>
      <c r="AN484" s="425"/>
      <c r="AO484" s="425"/>
      <c r="AP484" s="425"/>
      <c r="AQ484" s="425"/>
    </row>
    <row r="485" spans="1:43" s="270" customFormat="1" x14ac:dyDescent="0.25">
      <c r="A485" s="271">
        <v>501503</v>
      </c>
      <c r="B485" s="271">
        <v>1503</v>
      </c>
      <c r="C485" s="271">
        <v>200464</v>
      </c>
      <c r="D485" s="268" t="s">
        <v>894</v>
      </c>
      <c r="E485" s="268" t="s">
        <v>1290</v>
      </c>
      <c r="F485" s="268" t="s">
        <v>2355</v>
      </c>
      <c r="G485" s="268">
        <v>12</v>
      </c>
      <c r="H485" s="268" t="s">
        <v>3106</v>
      </c>
      <c r="I485" s="268" t="s">
        <v>3057</v>
      </c>
      <c r="J485" s="458">
        <v>189424.77648712389</v>
      </c>
      <c r="K485" s="458">
        <v>15785.398040593658</v>
      </c>
      <c r="L485" s="458">
        <v>11194.760870699611</v>
      </c>
      <c r="M485" s="456">
        <v>0</v>
      </c>
      <c r="N485" s="458">
        <v>119.49693843813893</v>
      </c>
      <c r="O485" s="459">
        <v>0</v>
      </c>
      <c r="P485" s="459">
        <v>3314.9335885246683</v>
      </c>
      <c r="Q485" s="458">
        <v>55400.108403681625</v>
      </c>
      <c r="R485" s="458">
        <v>34229.057111223294</v>
      </c>
      <c r="S485" s="458">
        <v>1959.7497903854783</v>
      </c>
      <c r="T485" s="457"/>
      <c r="U485" s="425"/>
      <c r="V485" s="425"/>
      <c r="W485" s="425"/>
      <c r="X485" s="425"/>
      <c r="Y485" s="425"/>
      <c r="Z485" s="425"/>
      <c r="AA485" s="425"/>
      <c r="AB485" s="425"/>
      <c r="AC485" s="425"/>
      <c r="AD485" s="425"/>
      <c r="AE485" s="425"/>
      <c r="AG485" s="425"/>
      <c r="AH485" s="425"/>
      <c r="AI485" s="425"/>
      <c r="AJ485" s="425"/>
      <c r="AK485" s="425"/>
      <c r="AL485" s="425"/>
      <c r="AM485" s="425"/>
      <c r="AN485" s="425"/>
      <c r="AO485" s="425"/>
      <c r="AP485" s="425"/>
      <c r="AQ485" s="425"/>
    </row>
    <row r="486" spans="1:43" s="270" customFormat="1" x14ac:dyDescent="0.25">
      <c r="A486" s="271">
        <v>501503</v>
      </c>
      <c r="B486" s="271">
        <v>1503</v>
      </c>
      <c r="C486" s="271">
        <v>200471</v>
      </c>
      <c r="D486" s="268" t="s">
        <v>894</v>
      </c>
      <c r="E486" s="268" t="s">
        <v>1278</v>
      </c>
      <c r="F486" s="268" t="s">
        <v>2211</v>
      </c>
      <c r="G486" s="268">
        <v>12</v>
      </c>
      <c r="H486" s="268" t="s">
        <v>3107</v>
      </c>
      <c r="I486" s="268" t="s">
        <v>3057</v>
      </c>
      <c r="J486" s="458">
        <v>189424.77648712389</v>
      </c>
      <c r="K486" s="458">
        <v>15785.398040593658</v>
      </c>
      <c r="L486" s="458">
        <v>11194.760870699611</v>
      </c>
      <c r="M486" s="456">
        <v>0</v>
      </c>
      <c r="N486" s="458">
        <v>119.49693843813893</v>
      </c>
      <c r="O486" s="459">
        <v>0</v>
      </c>
      <c r="P486" s="459">
        <v>3314.9335885246683</v>
      </c>
      <c r="Q486" s="458">
        <v>55400.108403681625</v>
      </c>
      <c r="R486" s="458">
        <v>34229.057111223294</v>
      </c>
      <c r="S486" s="458">
        <v>1959.7497903854783</v>
      </c>
      <c r="T486" s="457"/>
      <c r="U486" s="425"/>
      <c r="V486" s="425"/>
      <c r="W486" s="425"/>
      <c r="X486" s="425"/>
      <c r="Y486" s="425"/>
      <c r="Z486" s="425"/>
      <c r="AA486" s="425"/>
      <c r="AB486" s="425"/>
      <c r="AC486" s="425"/>
      <c r="AD486" s="425"/>
      <c r="AE486" s="425"/>
      <c r="AG486" s="425"/>
      <c r="AH486" s="425"/>
      <c r="AI486" s="425"/>
      <c r="AJ486" s="425"/>
      <c r="AK486" s="425"/>
      <c r="AL486" s="425"/>
      <c r="AM486" s="425"/>
      <c r="AN486" s="425"/>
      <c r="AO486" s="425"/>
      <c r="AP486" s="425"/>
      <c r="AQ486" s="425"/>
    </row>
    <row r="487" spans="1:43" s="270" customFormat="1" x14ac:dyDescent="0.25">
      <c r="A487" s="271">
        <v>501503</v>
      </c>
      <c r="B487" s="271">
        <v>1503</v>
      </c>
      <c r="C487" s="271">
        <v>200477</v>
      </c>
      <c r="D487" s="268" t="s">
        <v>894</v>
      </c>
      <c r="E487" s="268" t="s">
        <v>1278</v>
      </c>
      <c r="F487" s="268" t="s">
        <v>2747</v>
      </c>
      <c r="G487" s="268">
        <v>12</v>
      </c>
      <c r="H487" s="268" t="s">
        <v>3108</v>
      </c>
      <c r="I487" s="268" t="s">
        <v>3057</v>
      </c>
      <c r="J487" s="458">
        <v>189424.77648712389</v>
      </c>
      <c r="K487" s="458">
        <v>15785.398040593658</v>
      </c>
      <c r="L487" s="458">
        <v>11194.760870699611</v>
      </c>
      <c r="M487" s="456">
        <v>0</v>
      </c>
      <c r="N487" s="458">
        <v>119.49693843813893</v>
      </c>
      <c r="O487" s="459">
        <v>0</v>
      </c>
      <c r="P487" s="459">
        <v>3314.9335885246683</v>
      </c>
      <c r="Q487" s="458">
        <v>55400.108403681625</v>
      </c>
      <c r="R487" s="458">
        <v>34229.057111223294</v>
      </c>
      <c r="S487" s="458">
        <v>1959.7497903854783</v>
      </c>
      <c r="T487" s="457"/>
      <c r="U487" s="425"/>
      <c r="V487" s="425"/>
      <c r="W487" s="425"/>
      <c r="X487" s="425"/>
      <c r="Y487" s="425"/>
      <c r="Z487" s="425"/>
      <c r="AA487" s="425"/>
      <c r="AB487" s="425"/>
      <c r="AC487" s="425"/>
      <c r="AD487" s="425"/>
      <c r="AE487" s="425"/>
      <c r="AG487" s="425"/>
      <c r="AH487" s="425"/>
      <c r="AI487" s="425"/>
      <c r="AJ487" s="425"/>
      <c r="AK487" s="425"/>
      <c r="AL487" s="425"/>
      <c r="AM487" s="425"/>
      <c r="AN487" s="425"/>
      <c r="AO487" s="425"/>
      <c r="AP487" s="425"/>
      <c r="AQ487" s="425"/>
    </row>
    <row r="488" spans="1:43" s="270" customFormat="1" x14ac:dyDescent="0.25">
      <c r="A488" s="271">
        <v>501503</v>
      </c>
      <c r="B488" s="271">
        <v>1503</v>
      </c>
      <c r="C488" s="271">
        <v>200478</v>
      </c>
      <c r="D488" s="268" t="s">
        <v>894</v>
      </c>
      <c r="E488" s="268" t="s">
        <v>1290</v>
      </c>
      <c r="F488" s="268" t="s">
        <v>2408</v>
      </c>
      <c r="G488" s="268">
        <v>12</v>
      </c>
      <c r="H488" s="268" t="s">
        <v>3109</v>
      </c>
      <c r="I488" s="268" t="s">
        <v>3057</v>
      </c>
      <c r="J488" s="458">
        <v>189424.77648712389</v>
      </c>
      <c r="K488" s="458">
        <v>15785.398040593658</v>
      </c>
      <c r="L488" s="458">
        <v>11194.760870699611</v>
      </c>
      <c r="M488" s="456">
        <v>0</v>
      </c>
      <c r="N488" s="458">
        <v>119.49693843813893</v>
      </c>
      <c r="O488" s="459">
        <v>0</v>
      </c>
      <c r="P488" s="459">
        <v>3314.9335885246683</v>
      </c>
      <c r="Q488" s="458">
        <v>55400.108403681625</v>
      </c>
      <c r="R488" s="458">
        <v>34229.057111223294</v>
      </c>
      <c r="S488" s="458">
        <v>1959.7497903854783</v>
      </c>
      <c r="T488" s="453"/>
      <c r="U488" s="425"/>
      <c r="V488" s="425"/>
      <c r="W488" s="425"/>
      <c r="X488" s="425"/>
      <c r="Y488" s="425"/>
      <c r="Z488" s="425"/>
      <c r="AA488" s="425"/>
      <c r="AB488" s="425"/>
      <c r="AC488" s="425"/>
      <c r="AD488" s="425"/>
      <c r="AE488" s="425"/>
      <c r="AG488" s="425"/>
      <c r="AH488" s="425"/>
      <c r="AI488" s="425"/>
      <c r="AJ488" s="425"/>
      <c r="AK488" s="425"/>
      <c r="AL488" s="425"/>
      <c r="AM488" s="425"/>
      <c r="AN488" s="425"/>
      <c r="AO488" s="425"/>
      <c r="AP488" s="425"/>
      <c r="AQ488" s="425"/>
    </row>
    <row r="489" spans="1:43" s="270" customFormat="1" x14ac:dyDescent="0.25">
      <c r="A489" s="271">
        <v>501503</v>
      </c>
      <c r="B489" s="271">
        <v>1503</v>
      </c>
      <c r="C489" s="271">
        <v>200494</v>
      </c>
      <c r="D489" s="268" t="s">
        <v>894</v>
      </c>
      <c r="E489" s="268" t="s">
        <v>1278</v>
      </c>
      <c r="F489" s="268" t="s">
        <v>2976</v>
      </c>
      <c r="G489" s="268">
        <v>12</v>
      </c>
      <c r="H489" s="268" t="s">
        <v>3110</v>
      </c>
      <c r="I489" s="268" t="s">
        <v>3057</v>
      </c>
      <c r="J489" s="458">
        <v>189424.77648712389</v>
      </c>
      <c r="K489" s="458">
        <v>15785.398040593658</v>
      </c>
      <c r="L489" s="458">
        <v>11194.760870699611</v>
      </c>
      <c r="M489" s="456">
        <v>0</v>
      </c>
      <c r="N489" s="458">
        <v>119.49693843813893</v>
      </c>
      <c r="O489" s="459">
        <v>0</v>
      </c>
      <c r="P489" s="459">
        <v>3314.9335885246683</v>
      </c>
      <c r="Q489" s="458">
        <v>55400.108403681625</v>
      </c>
      <c r="R489" s="458">
        <v>34229.057111223294</v>
      </c>
      <c r="S489" s="458">
        <v>1959.7497903854783</v>
      </c>
      <c r="T489" s="457"/>
      <c r="U489" s="425"/>
      <c r="V489" s="425"/>
      <c r="W489" s="425"/>
      <c r="X489" s="425"/>
      <c r="Y489" s="425"/>
      <c r="Z489" s="425"/>
      <c r="AA489" s="425"/>
      <c r="AB489" s="425"/>
      <c r="AC489" s="425"/>
      <c r="AD489" s="425"/>
      <c r="AE489" s="425"/>
      <c r="AG489" s="425"/>
      <c r="AH489" s="425"/>
      <c r="AI489" s="425"/>
      <c r="AJ489" s="425"/>
      <c r="AK489" s="425"/>
      <c r="AL489" s="425"/>
      <c r="AM489" s="425"/>
      <c r="AN489" s="425"/>
      <c r="AO489" s="425"/>
      <c r="AP489" s="425"/>
      <c r="AQ489" s="425"/>
    </row>
    <row r="490" spans="1:43" s="270" customFormat="1" x14ac:dyDescent="0.25">
      <c r="A490" s="271">
        <v>501503</v>
      </c>
      <c r="B490" s="271">
        <v>1503</v>
      </c>
      <c r="C490" s="271">
        <v>200512</v>
      </c>
      <c r="D490" s="268" t="s">
        <v>894</v>
      </c>
      <c r="E490" s="268" t="s">
        <v>1290</v>
      </c>
      <c r="F490" s="268" t="s">
        <v>2810</v>
      </c>
      <c r="G490" s="268">
        <v>12</v>
      </c>
      <c r="H490" s="268" t="s">
        <v>3111</v>
      </c>
      <c r="I490" s="268" t="s">
        <v>3057</v>
      </c>
      <c r="J490" s="458">
        <v>189424.77648712389</v>
      </c>
      <c r="K490" s="458">
        <v>15785.398040593658</v>
      </c>
      <c r="L490" s="458">
        <v>11194.760870699611</v>
      </c>
      <c r="M490" s="456">
        <v>0</v>
      </c>
      <c r="N490" s="458">
        <v>119.49693843813893</v>
      </c>
      <c r="O490" s="459">
        <v>0</v>
      </c>
      <c r="P490" s="459">
        <v>3314.9335885246683</v>
      </c>
      <c r="Q490" s="458">
        <v>55400.108403681625</v>
      </c>
      <c r="R490" s="458">
        <v>34229.057111223294</v>
      </c>
      <c r="S490" s="458">
        <v>1959.7497903854783</v>
      </c>
      <c r="T490" s="457"/>
      <c r="U490" s="425"/>
      <c r="V490" s="425"/>
      <c r="W490" s="425"/>
      <c r="X490" s="425"/>
      <c r="Y490" s="425"/>
      <c r="Z490" s="425"/>
      <c r="AA490" s="425"/>
      <c r="AB490" s="425"/>
      <c r="AC490" s="425"/>
      <c r="AD490" s="425"/>
      <c r="AE490" s="425"/>
      <c r="AG490" s="425"/>
      <c r="AH490" s="425"/>
      <c r="AI490" s="425"/>
      <c r="AJ490" s="425"/>
      <c r="AK490" s="425"/>
      <c r="AL490" s="425"/>
      <c r="AM490" s="425"/>
      <c r="AN490" s="425"/>
      <c r="AO490" s="425"/>
      <c r="AP490" s="425"/>
      <c r="AQ490" s="425"/>
    </row>
    <row r="491" spans="1:43" s="270" customFormat="1" x14ac:dyDescent="0.25">
      <c r="A491" s="271">
        <v>501503</v>
      </c>
      <c r="B491" s="271">
        <v>1503</v>
      </c>
      <c r="C491" s="271">
        <v>200525</v>
      </c>
      <c r="D491" s="268" t="s">
        <v>894</v>
      </c>
      <c r="E491" s="268" t="s">
        <v>1278</v>
      </c>
      <c r="F491" s="268" t="s">
        <v>2362</v>
      </c>
      <c r="G491" s="268">
        <v>12</v>
      </c>
      <c r="H491" s="268" t="s">
        <v>3112</v>
      </c>
      <c r="I491" s="268" t="s">
        <v>3057</v>
      </c>
      <c r="J491" s="458">
        <v>189424.77648712389</v>
      </c>
      <c r="K491" s="458">
        <v>15785.398040593658</v>
      </c>
      <c r="L491" s="458">
        <v>11194.760870699611</v>
      </c>
      <c r="M491" s="456">
        <v>0</v>
      </c>
      <c r="N491" s="458">
        <v>119.49693843813893</v>
      </c>
      <c r="O491" s="459">
        <v>0</v>
      </c>
      <c r="P491" s="459">
        <v>3314.9335885246683</v>
      </c>
      <c r="Q491" s="458">
        <v>55400.108403681625</v>
      </c>
      <c r="R491" s="458">
        <v>34229.057111223294</v>
      </c>
      <c r="S491" s="458">
        <v>1959.7497903854783</v>
      </c>
      <c r="T491" s="457"/>
      <c r="U491" s="425"/>
      <c r="V491" s="425"/>
      <c r="W491" s="425"/>
      <c r="X491" s="425"/>
      <c r="Y491" s="425"/>
      <c r="Z491" s="425"/>
      <c r="AA491" s="425"/>
      <c r="AB491" s="425"/>
      <c r="AC491" s="425"/>
      <c r="AD491" s="425"/>
      <c r="AE491" s="425"/>
      <c r="AG491" s="425"/>
      <c r="AH491" s="425"/>
      <c r="AI491" s="425"/>
      <c r="AJ491" s="425"/>
      <c r="AK491" s="425"/>
      <c r="AL491" s="425"/>
      <c r="AM491" s="425"/>
      <c r="AN491" s="425"/>
      <c r="AO491" s="425"/>
      <c r="AP491" s="425"/>
      <c r="AQ491" s="425"/>
    </row>
    <row r="492" spans="1:43" s="270" customFormat="1" x14ac:dyDescent="0.25">
      <c r="A492" s="271">
        <v>501503</v>
      </c>
      <c r="B492" s="271">
        <v>1503</v>
      </c>
      <c r="C492" s="271">
        <v>200535</v>
      </c>
      <c r="D492" s="268" t="s">
        <v>894</v>
      </c>
      <c r="E492" s="268" t="s">
        <v>1290</v>
      </c>
      <c r="F492" s="268" t="s">
        <v>2553</v>
      </c>
      <c r="G492" s="268">
        <v>12</v>
      </c>
      <c r="H492" s="268" t="s">
        <v>3113</v>
      </c>
      <c r="I492" s="268" t="s">
        <v>3057</v>
      </c>
      <c r="J492" s="458">
        <v>189424.77648712389</v>
      </c>
      <c r="K492" s="458">
        <v>15785.398040593658</v>
      </c>
      <c r="L492" s="458">
        <v>11194.760870699611</v>
      </c>
      <c r="M492" s="456">
        <v>0</v>
      </c>
      <c r="N492" s="458">
        <v>119.49693843813893</v>
      </c>
      <c r="O492" s="459">
        <v>0</v>
      </c>
      <c r="P492" s="459">
        <v>3314.9335885246683</v>
      </c>
      <c r="Q492" s="458">
        <v>55400.108403681625</v>
      </c>
      <c r="R492" s="458">
        <v>34229.057111223294</v>
      </c>
      <c r="S492" s="458">
        <v>1959.7497903854783</v>
      </c>
      <c r="T492" s="457"/>
      <c r="U492" s="425"/>
      <c r="V492" s="425"/>
      <c r="W492" s="425"/>
      <c r="X492" s="425"/>
      <c r="Y492" s="425"/>
      <c r="Z492" s="425"/>
      <c r="AA492" s="425"/>
      <c r="AB492" s="425"/>
      <c r="AC492" s="425"/>
      <c r="AD492" s="425"/>
      <c r="AE492" s="425"/>
      <c r="AG492" s="425"/>
      <c r="AH492" s="425"/>
      <c r="AI492" s="425"/>
      <c r="AJ492" s="425"/>
      <c r="AK492" s="425"/>
      <c r="AL492" s="425"/>
      <c r="AM492" s="425"/>
      <c r="AN492" s="425"/>
      <c r="AO492" s="425"/>
      <c r="AP492" s="425"/>
      <c r="AQ492" s="425"/>
    </row>
    <row r="493" spans="1:43" s="270" customFormat="1" x14ac:dyDescent="0.25">
      <c r="A493" s="271">
        <v>501502</v>
      </c>
      <c r="B493" s="271">
        <v>1503</v>
      </c>
      <c r="C493" s="271">
        <v>200542</v>
      </c>
      <c r="D493" s="268" t="s">
        <v>894</v>
      </c>
      <c r="E493" s="268" t="s">
        <v>1290</v>
      </c>
      <c r="F493" s="268" t="s">
        <v>2768</v>
      </c>
      <c r="G493" s="268">
        <v>12</v>
      </c>
      <c r="H493" s="268" t="s">
        <v>3114</v>
      </c>
      <c r="I493" s="268" t="s">
        <v>3057</v>
      </c>
      <c r="J493" s="458">
        <v>189424.77648712389</v>
      </c>
      <c r="K493" s="458">
        <v>15785.398040593658</v>
      </c>
      <c r="L493" s="458">
        <v>11194.760870699611</v>
      </c>
      <c r="M493" s="456">
        <v>0</v>
      </c>
      <c r="N493" s="458">
        <v>119.49693843813893</v>
      </c>
      <c r="O493" s="459">
        <v>0</v>
      </c>
      <c r="P493" s="459">
        <v>3314.9335885246683</v>
      </c>
      <c r="Q493" s="458">
        <v>55400.108403681625</v>
      </c>
      <c r="R493" s="458">
        <v>34229.057111223294</v>
      </c>
      <c r="S493" s="458">
        <v>1959.7497903854783</v>
      </c>
      <c r="T493" s="457"/>
      <c r="U493" s="425"/>
      <c r="V493" s="425"/>
      <c r="W493" s="425"/>
      <c r="X493" s="425"/>
      <c r="Y493" s="425"/>
      <c r="Z493" s="425"/>
      <c r="AA493" s="425"/>
      <c r="AB493" s="425"/>
      <c r="AC493" s="425"/>
      <c r="AD493" s="425"/>
      <c r="AE493" s="425"/>
      <c r="AG493" s="425"/>
      <c r="AH493" s="425"/>
      <c r="AI493" s="425"/>
      <c r="AJ493" s="425"/>
      <c r="AK493" s="425"/>
      <c r="AL493" s="425"/>
      <c r="AM493" s="425"/>
      <c r="AN493" s="425"/>
      <c r="AO493" s="425"/>
      <c r="AP493" s="425"/>
      <c r="AQ493" s="425"/>
    </row>
    <row r="494" spans="1:43" s="270" customFormat="1" x14ac:dyDescent="0.25">
      <c r="A494" s="271">
        <v>501503</v>
      </c>
      <c r="B494" s="271">
        <v>1503</v>
      </c>
      <c r="C494" s="271">
        <v>200543</v>
      </c>
      <c r="D494" s="268" t="s">
        <v>894</v>
      </c>
      <c r="E494" s="268" t="s">
        <v>1278</v>
      </c>
      <c r="F494" s="268" t="s">
        <v>2768</v>
      </c>
      <c r="G494" s="268">
        <v>12</v>
      </c>
      <c r="H494" s="268" t="s">
        <v>3115</v>
      </c>
      <c r="I494" s="268" t="s">
        <v>3057</v>
      </c>
      <c r="J494" s="458">
        <v>189424.77648712389</v>
      </c>
      <c r="K494" s="458">
        <v>15785.398040593658</v>
      </c>
      <c r="L494" s="458">
        <v>11194.760870699611</v>
      </c>
      <c r="M494" s="456">
        <v>0</v>
      </c>
      <c r="N494" s="458">
        <v>119.49693843813893</v>
      </c>
      <c r="O494" s="459">
        <v>0</v>
      </c>
      <c r="P494" s="459">
        <v>3314.9335885246683</v>
      </c>
      <c r="Q494" s="458">
        <v>55400.108403681625</v>
      </c>
      <c r="R494" s="458">
        <v>34229.057111223294</v>
      </c>
      <c r="S494" s="458">
        <v>1959.7497903854783</v>
      </c>
      <c r="T494" s="457"/>
      <c r="U494" s="425"/>
      <c r="V494" s="425"/>
      <c r="W494" s="425"/>
      <c r="X494" s="425"/>
      <c r="Y494" s="425"/>
      <c r="Z494" s="425"/>
      <c r="AA494" s="425"/>
      <c r="AB494" s="425"/>
      <c r="AC494" s="425"/>
      <c r="AD494" s="425"/>
      <c r="AE494" s="425"/>
      <c r="AG494" s="425"/>
      <c r="AH494" s="425"/>
      <c r="AI494" s="425"/>
      <c r="AJ494" s="425"/>
      <c r="AK494" s="425"/>
      <c r="AL494" s="425"/>
      <c r="AM494" s="425"/>
      <c r="AN494" s="425"/>
      <c r="AO494" s="425"/>
      <c r="AP494" s="425"/>
      <c r="AQ494" s="425"/>
    </row>
    <row r="495" spans="1:43" s="270" customFormat="1" x14ac:dyDescent="0.25">
      <c r="A495" s="271">
        <v>501503</v>
      </c>
      <c r="B495" s="271">
        <v>1503</v>
      </c>
      <c r="C495" s="271">
        <v>200590</v>
      </c>
      <c r="D495" s="268" t="s">
        <v>894</v>
      </c>
      <c r="E495" s="268" t="s">
        <v>1290</v>
      </c>
      <c r="F495" s="268" t="s">
        <v>3116</v>
      </c>
      <c r="G495" s="268">
        <v>12</v>
      </c>
      <c r="H495" s="268" t="s">
        <v>3117</v>
      </c>
      <c r="I495" s="268" t="s">
        <v>3057</v>
      </c>
      <c r="J495" s="458">
        <v>189424.77648712389</v>
      </c>
      <c r="K495" s="458">
        <v>15785.398040593658</v>
      </c>
      <c r="L495" s="458">
        <v>11194.760870699611</v>
      </c>
      <c r="M495" s="456">
        <v>0</v>
      </c>
      <c r="N495" s="458">
        <v>119.49693843813893</v>
      </c>
      <c r="O495" s="459">
        <v>0</v>
      </c>
      <c r="P495" s="459">
        <v>3314.9335885246683</v>
      </c>
      <c r="Q495" s="458">
        <v>55400.108403681625</v>
      </c>
      <c r="R495" s="458">
        <v>34229.057111223294</v>
      </c>
      <c r="S495" s="458">
        <v>1959.7497903854783</v>
      </c>
      <c r="T495" s="453"/>
      <c r="U495" s="425"/>
      <c r="V495" s="425"/>
      <c r="W495" s="425"/>
      <c r="X495" s="425"/>
      <c r="Y495" s="425"/>
      <c r="Z495" s="425"/>
      <c r="AA495" s="425"/>
      <c r="AB495" s="425"/>
      <c r="AC495" s="425"/>
      <c r="AD495" s="425"/>
      <c r="AE495" s="425"/>
      <c r="AG495" s="425"/>
      <c r="AH495" s="425"/>
      <c r="AI495" s="425"/>
      <c r="AJ495" s="425"/>
      <c r="AK495" s="425"/>
      <c r="AL495" s="425"/>
      <c r="AM495" s="425"/>
      <c r="AN495" s="425"/>
      <c r="AO495" s="425"/>
      <c r="AP495" s="425"/>
      <c r="AQ495" s="425"/>
    </row>
    <row r="496" spans="1:43" s="270" customFormat="1" x14ac:dyDescent="0.25">
      <c r="A496" s="271">
        <v>501503</v>
      </c>
      <c r="B496" s="271">
        <v>1503</v>
      </c>
      <c r="C496" s="271">
        <v>200591</v>
      </c>
      <c r="D496" s="268" t="s">
        <v>894</v>
      </c>
      <c r="E496" s="268" t="s">
        <v>1290</v>
      </c>
      <c r="F496" s="268" t="s">
        <v>2355</v>
      </c>
      <c r="G496" s="268">
        <v>12</v>
      </c>
      <c r="H496" s="268" t="s">
        <v>3118</v>
      </c>
      <c r="I496" s="268" t="s">
        <v>3057</v>
      </c>
      <c r="J496" s="458">
        <v>189424.77648712389</v>
      </c>
      <c r="K496" s="458">
        <v>15785.398040593658</v>
      </c>
      <c r="L496" s="458">
        <v>11194.760870699611</v>
      </c>
      <c r="M496" s="456">
        <v>0</v>
      </c>
      <c r="N496" s="458">
        <v>119.49693843813893</v>
      </c>
      <c r="O496" s="459">
        <v>0</v>
      </c>
      <c r="P496" s="459">
        <v>3314.9335885246683</v>
      </c>
      <c r="Q496" s="458">
        <v>55400.108403681625</v>
      </c>
      <c r="R496" s="458">
        <v>34229.057111223294</v>
      </c>
      <c r="S496" s="458">
        <v>1959.7497903854783</v>
      </c>
      <c r="T496" s="453"/>
      <c r="U496" s="425"/>
      <c r="V496" s="425"/>
      <c r="W496" s="425"/>
      <c r="X496" s="425"/>
      <c r="Y496" s="425"/>
      <c r="Z496" s="425"/>
      <c r="AA496" s="425"/>
      <c r="AB496" s="425"/>
      <c r="AC496" s="425"/>
      <c r="AD496" s="425"/>
      <c r="AE496" s="425"/>
      <c r="AG496" s="425"/>
      <c r="AH496" s="425"/>
      <c r="AI496" s="425"/>
      <c r="AJ496" s="425"/>
      <c r="AK496" s="425"/>
      <c r="AL496" s="425"/>
      <c r="AM496" s="425"/>
      <c r="AN496" s="425"/>
      <c r="AO496" s="425"/>
      <c r="AP496" s="425"/>
      <c r="AQ496" s="425"/>
    </row>
    <row r="497" spans="1:43" s="270" customFormat="1" x14ac:dyDescent="0.25">
      <c r="A497" s="271">
        <v>501101</v>
      </c>
      <c r="B497" s="271">
        <v>1445</v>
      </c>
      <c r="C497" s="271">
        <v>200273</v>
      </c>
      <c r="D497" s="268" t="s">
        <v>894</v>
      </c>
      <c r="E497" s="268" t="s">
        <v>1290</v>
      </c>
      <c r="F497" s="268" t="s">
        <v>3119</v>
      </c>
      <c r="G497" s="268">
        <v>13</v>
      </c>
      <c r="H497" s="268" t="s">
        <v>3120</v>
      </c>
      <c r="I497" s="268" t="s">
        <v>3121</v>
      </c>
      <c r="J497" s="458">
        <v>189424.77648712389</v>
      </c>
      <c r="K497" s="458">
        <v>15785.398040593658</v>
      </c>
      <c r="L497" s="458">
        <v>11194.760870699611</v>
      </c>
      <c r="M497" s="456">
        <v>0</v>
      </c>
      <c r="N497" s="458">
        <v>119.49693843813893</v>
      </c>
      <c r="O497" s="459">
        <v>0</v>
      </c>
      <c r="P497" s="459">
        <v>3314.9335885246683</v>
      </c>
      <c r="Q497" s="458">
        <v>55400.108403681625</v>
      </c>
      <c r="R497" s="458">
        <v>34229.057111223294</v>
      </c>
      <c r="S497" s="458">
        <v>1959.7497903854783</v>
      </c>
      <c r="T497" s="457"/>
      <c r="U497" s="425"/>
      <c r="V497" s="425"/>
      <c r="W497" s="425"/>
      <c r="X497" s="425"/>
      <c r="Y497" s="425"/>
      <c r="Z497" s="425"/>
      <c r="AA497" s="425"/>
      <c r="AB497" s="425"/>
      <c r="AC497" s="425"/>
      <c r="AD497" s="425"/>
      <c r="AE497" s="425"/>
      <c r="AG497" s="425"/>
      <c r="AH497" s="425"/>
      <c r="AI497" s="425"/>
      <c r="AJ497" s="425"/>
      <c r="AK497" s="425"/>
      <c r="AL497" s="425"/>
      <c r="AM497" s="425"/>
      <c r="AN497" s="425"/>
      <c r="AO497" s="425"/>
      <c r="AP497" s="425"/>
      <c r="AQ497" s="425"/>
    </row>
    <row r="498" spans="1:43" s="270" customFormat="1" x14ac:dyDescent="0.25">
      <c r="A498" s="271">
        <v>501444</v>
      </c>
      <c r="B498" s="271">
        <v>1444</v>
      </c>
      <c r="C498" s="271">
        <v>200434</v>
      </c>
      <c r="D498" s="268" t="s">
        <v>894</v>
      </c>
      <c r="E498" s="268" t="s">
        <v>1290</v>
      </c>
      <c r="F498" s="268" t="s">
        <v>3122</v>
      </c>
      <c r="G498" s="268">
        <v>13</v>
      </c>
      <c r="H498" s="268" t="s">
        <v>3123</v>
      </c>
      <c r="I498" s="268" t="s">
        <v>2978</v>
      </c>
      <c r="J498" s="458">
        <v>186083.28802339075</v>
      </c>
      <c r="K498" s="458">
        <v>15506.940668615896</v>
      </c>
      <c r="L498" s="458">
        <v>11194.760870699611</v>
      </c>
      <c r="M498" s="456">
        <v>0</v>
      </c>
      <c r="N498" s="458">
        <v>119.49693843813893</v>
      </c>
      <c r="O498" s="459">
        <v>0</v>
      </c>
      <c r="P498" s="459">
        <v>3256.4575404093384</v>
      </c>
      <c r="Q498" s="458">
        <v>55400.108403681625</v>
      </c>
      <c r="R498" s="458">
        <v>33625.250145826707</v>
      </c>
      <c r="S498" s="458">
        <v>1959.7497903854783</v>
      </c>
      <c r="T498" s="457"/>
      <c r="U498" s="425"/>
      <c r="V498" s="425"/>
      <c r="W498" s="425"/>
      <c r="X498" s="425"/>
      <c r="Y498" s="425"/>
      <c r="Z498" s="425"/>
      <c r="AA498" s="425"/>
      <c r="AB498" s="425"/>
      <c r="AC498" s="425"/>
      <c r="AD498" s="425"/>
      <c r="AE498" s="425"/>
      <c r="AG498" s="425"/>
      <c r="AH498" s="425"/>
      <c r="AI498" s="425"/>
      <c r="AJ498" s="425"/>
      <c r="AK498" s="425"/>
      <c r="AL498" s="425"/>
      <c r="AM498" s="425"/>
      <c r="AN498" s="425"/>
      <c r="AO498" s="425"/>
      <c r="AP498" s="425"/>
      <c r="AQ498" s="425"/>
    </row>
    <row r="499" spans="1:43" s="270" customFormat="1" x14ac:dyDescent="0.25">
      <c r="A499" s="271">
        <v>501305</v>
      </c>
      <c r="B499" s="271">
        <v>1305</v>
      </c>
      <c r="C499" s="271">
        <v>200143</v>
      </c>
      <c r="D499" s="268" t="s">
        <v>894</v>
      </c>
      <c r="E499" s="268" t="s">
        <v>1290</v>
      </c>
      <c r="F499" s="268" t="s">
        <v>3124</v>
      </c>
      <c r="G499" s="268">
        <v>14</v>
      </c>
      <c r="H499" s="268" t="s">
        <v>3125</v>
      </c>
      <c r="I499" s="268" t="s">
        <v>3126</v>
      </c>
      <c r="J499" s="458">
        <v>186083.28802339075</v>
      </c>
      <c r="K499" s="458">
        <v>15506.940668615896</v>
      </c>
      <c r="L499" s="458">
        <v>11194.760870699611</v>
      </c>
      <c r="M499" s="456">
        <v>0</v>
      </c>
      <c r="N499" s="458">
        <v>119.49693843813893</v>
      </c>
      <c r="O499" s="459">
        <v>0</v>
      </c>
      <c r="P499" s="459">
        <v>3256.4575404093384</v>
      </c>
      <c r="Q499" s="458">
        <v>55400.108403681625</v>
      </c>
      <c r="R499" s="458">
        <v>33625.250145826707</v>
      </c>
      <c r="S499" s="458">
        <v>1959.7497903854783</v>
      </c>
      <c r="T499" s="457"/>
      <c r="U499" s="425"/>
      <c r="V499" s="425"/>
      <c r="W499" s="425"/>
      <c r="X499" s="425"/>
      <c r="Y499" s="425"/>
      <c r="Z499" s="425"/>
      <c r="AA499" s="425"/>
      <c r="AB499" s="425"/>
      <c r="AC499" s="425"/>
      <c r="AD499" s="425"/>
      <c r="AE499" s="425"/>
      <c r="AG499" s="425"/>
      <c r="AH499" s="425"/>
      <c r="AI499" s="425"/>
      <c r="AJ499" s="425"/>
      <c r="AK499" s="425"/>
      <c r="AL499" s="425"/>
      <c r="AM499" s="425"/>
      <c r="AN499" s="425"/>
      <c r="AO499" s="425"/>
      <c r="AP499" s="425"/>
      <c r="AQ499" s="425"/>
    </row>
    <row r="500" spans="1:43" s="270" customFormat="1" x14ac:dyDescent="0.25">
      <c r="A500" s="416">
        <v>501305</v>
      </c>
      <c r="B500" s="271">
        <v>1305</v>
      </c>
      <c r="C500" s="271">
        <v>200310</v>
      </c>
      <c r="D500" s="268" t="s">
        <v>894</v>
      </c>
      <c r="E500" s="268" t="s">
        <v>1290</v>
      </c>
      <c r="F500" s="268" t="s">
        <v>3122</v>
      </c>
      <c r="G500" s="268">
        <v>14</v>
      </c>
      <c r="H500" s="268" t="s">
        <v>3127</v>
      </c>
      <c r="I500" s="268" t="s">
        <v>3128</v>
      </c>
      <c r="J500" s="458">
        <v>186083.28802339075</v>
      </c>
      <c r="K500" s="458">
        <v>15506.940668615896</v>
      </c>
      <c r="L500" s="458">
        <v>11194.760870699611</v>
      </c>
      <c r="M500" s="456">
        <v>0</v>
      </c>
      <c r="N500" s="458">
        <v>119.49693843813893</v>
      </c>
      <c r="O500" s="459">
        <v>0</v>
      </c>
      <c r="P500" s="459">
        <v>3256.4575404093384</v>
      </c>
      <c r="Q500" s="458">
        <v>55400.108403681625</v>
      </c>
      <c r="R500" s="458">
        <v>33625.250145826707</v>
      </c>
      <c r="S500" s="458">
        <v>1959.7497903854783</v>
      </c>
      <c r="T500" s="453"/>
      <c r="U500" s="425"/>
      <c r="V500" s="425"/>
      <c r="W500" s="425"/>
      <c r="X500" s="425"/>
      <c r="Y500" s="425"/>
      <c r="Z500" s="425"/>
      <c r="AA500" s="425"/>
      <c r="AB500" s="425"/>
      <c r="AC500" s="425"/>
      <c r="AD500" s="425"/>
      <c r="AE500" s="425"/>
      <c r="AG500" s="425"/>
      <c r="AH500" s="425"/>
      <c r="AI500" s="425"/>
      <c r="AJ500" s="425"/>
      <c r="AK500" s="425"/>
      <c r="AL500" s="425"/>
      <c r="AM500" s="425"/>
      <c r="AN500" s="425"/>
      <c r="AO500" s="425"/>
      <c r="AP500" s="425"/>
      <c r="AQ500" s="425"/>
    </row>
    <row r="501" spans="1:43" s="270" customFormat="1" x14ac:dyDescent="0.25">
      <c r="A501" s="271">
        <v>501443</v>
      </c>
      <c r="B501" s="271">
        <v>1443</v>
      </c>
      <c r="C501" s="271">
        <v>3984</v>
      </c>
      <c r="D501" s="268" t="s">
        <v>1698</v>
      </c>
      <c r="E501" s="268" t="s">
        <v>1290</v>
      </c>
      <c r="F501" s="268" t="s">
        <v>3129</v>
      </c>
      <c r="G501" s="268">
        <v>15</v>
      </c>
      <c r="H501" s="268" t="s">
        <v>3130</v>
      </c>
      <c r="I501" s="268" t="s">
        <v>3131</v>
      </c>
      <c r="J501" s="458">
        <v>172518.17260439461</v>
      </c>
      <c r="K501" s="458">
        <v>14376.514383699552</v>
      </c>
      <c r="L501" s="458">
        <v>11194.760870699611</v>
      </c>
      <c r="M501" s="456">
        <v>0</v>
      </c>
      <c r="N501" s="458">
        <v>119.49693843813893</v>
      </c>
      <c r="O501" s="459">
        <v>0</v>
      </c>
      <c r="P501" s="459">
        <v>3019.0680205769058</v>
      </c>
      <c r="Q501" s="458">
        <v>55400.108403681625</v>
      </c>
      <c r="R501" s="458">
        <v>31174.033789614106</v>
      </c>
      <c r="S501" s="458">
        <v>1959.7497903854783</v>
      </c>
      <c r="T501" s="457"/>
      <c r="U501" s="425"/>
      <c r="V501" s="425"/>
      <c r="W501" s="425"/>
      <c r="X501" s="425"/>
      <c r="Y501" s="425"/>
      <c r="Z501" s="425"/>
      <c r="AA501" s="425"/>
      <c r="AB501" s="425"/>
      <c r="AC501" s="425"/>
      <c r="AD501" s="425"/>
      <c r="AE501" s="425"/>
      <c r="AG501" s="425"/>
      <c r="AH501" s="425"/>
      <c r="AI501" s="425"/>
      <c r="AJ501" s="425"/>
      <c r="AK501" s="425"/>
      <c r="AL501" s="425"/>
      <c r="AM501" s="425"/>
      <c r="AN501" s="425"/>
      <c r="AO501" s="425"/>
      <c r="AP501" s="425"/>
      <c r="AQ501" s="425"/>
    </row>
    <row r="502" spans="1:43" s="270" customFormat="1" x14ac:dyDescent="0.25">
      <c r="A502" s="271">
        <v>501444</v>
      </c>
      <c r="B502" s="271">
        <v>1444</v>
      </c>
      <c r="C502" s="271">
        <v>16528</v>
      </c>
      <c r="D502" s="268" t="s">
        <v>894</v>
      </c>
      <c r="E502" s="268" t="s">
        <v>1290</v>
      </c>
      <c r="F502" s="268" t="s">
        <v>2362</v>
      </c>
      <c r="G502" s="268">
        <v>15</v>
      </c>
      <c r="H502" s="268" t="s">
        <v>3132</v>
      </c>
      <c r="I502" s="268" t="s">
        <v>3133</v>
      </c>
      <c r="J502" s="458">
        <v>172518.17260439461</v>
      </c>
      <c r="K502" s="458">
        <v>14376.514383699552</v>
      </c>
      <c r="L502" s="458">
        <v>11194.760870699611</v>
      </c>
      <c r="M502" s="456">
        <v>0</v>
      </c>
      <c r="N502" s="458">
        <v>119.49693843813893</v>
      </c>
      <c r="O502" s="459">
        <v>0</v>
      </c>
      <c r="P502" s="459">
        <v>3019.0680205769058</v>
      </c>
      <c r="Q502" s="458">
        <v>55400.108403681625</v>
      </c>
      <c r="R502" s="458">
        <v>31174.033789614106</v>
      </c>
      <c r="S502" s="458">
        <v>1959.7497903854783</v>
      </c>
      <c r="T502" s="457"/>
      <c r="U502" s="425"/>
      <c r="V502" s="425"/>
      <c r="W502" s="425"/>
      <c r="X502" s="425"/>
      <c r="Y502" s="425"/>
      <c r="Z502" s="425"/>
      <c r="AA502" s="425"/>
      <c r="AB502" s="425"/>
      <c r="AC502" s="425"/>
      <c r="AD502" s="425"/>
      <c r="AE502" s="425"/>
      <c r="AG502" s="425"/>
      <c r="AH502" s="425"/>
      <c r="AI502" s="425"/>
      <c r="AJ502" s="425"/>
      <c r="AK502" s="425"/>
      <c r="AL502" s="425"/>
      <c r="AM502" s="425"/>
      <c r="AN502" s="425"/>
      <c r="AO502" s="425"/>
      <c r="AP502" s="425"/>
      <c r="AQ502" s="425"/>
    </row>
    <row r="503" spans="1:43" s="270" customFormat="1" x14ac:dyDescent="0.25">
      <c r="A503" s="271">
        <v>501444</v>
      </c>
      <c r="B503" s="271">
        <v>1444</v>
      </c>
      <c r="C503" s="271">
        <v>23566</v>
      </c>
      <c r="D503" s="268" t="s">
        <v>894</v>
      </c>
      <c r="E503" s="268" t="s">
        <v>1290</v>
      </c>
      <c r="F503" s="268" t="s">
        <v>3134</v>
      </c>
      <c r="G503" s="268">
        <v>15</v>
      </c>
      <c r="H503" s="268" t="s">
        <v>3135</v>
      </c>
      <c r="I503" s="268" t="s">
        <v>3133</v>
      </c>
      <c r="J503" s="458">
        <v>172518.17260439461</v>
      </c>
      <c r="K503" s="458">
        <v>14376.514383699552</v>
      </c>
      <c r="L503" s="458">
        <v>11194.760870699611</v>
      </c>
      <c r="M503" s="456">
        <v>0</v>
      </c>
      <c r="N503" s="458">
        <v>119.49693843813893</v>
      </c>
      <c r="O503" s="459">
        <v>0</v>
      </c>
      <c r="P503" s="459">
        <v>3019.0680205769058</v>
      </c>
      <c r="Q503" s="458">
        <v>55400.108403681625</v>
      </c>
      <c r="R503" s="458">
        <v>31174.033789614106</v>
      </c>
      <c r="S503" s="458">
        <v>1959.7497903854783</v>
      </c>
      <c r="T503" s="457"/>
      <c r="U503" s="425"/>
      <c r="V503" s="425"/>
      <c r="W503" s="425"/>
      <c r="X503" s="425"/>
      <c r="Y503" s="425"/>
      <c r="Z503" s="425"/>
      <c r="AA503" s="425"/>
      <c r="AB503" s="425"/>
      <c r="AC503" s="425"/>
      <c r="AD503" s="425"/>
      <c r="AE503" s="425"/>
      <c r="AG503" s="425"/>
      <c r="AH503" s="425"/>
      <c r="AI503" s="425"/>
      <c r="AJ503" s="425"/>
      <c r="AK503" s="425"/>
      <c r="AL503" s="425"/>
      <c r="AM503" s="425"/>
      <c r="AN503" s="425"/>
      <c r="AO503" s="425"/>
      <c r="AP503" s="425"/>
      <c r="AQ503" s="425"/>
    </row>
    <row r="504" spans="1:43" s="270" customFormat="1" x14ac:dyDescent="0.25">
      <c r="A504" s="271">
        <v>501444</v>
      </c>
      <c r="B504" s="271">
        <v>1444</v>
      </c>
      <c r="C504" s="271">
        <v>24471</v>
      </c>
      <c r="D504" s="268" t="s">
        <v>894</v>
      </c>
      <c r="E504" s="268" t="s">
        <v>1290</v>
      </c>
      <c r="F504" s="268" t="s">
        <v>2484</v>
      </c>
      <c r="G504" s="268">
        <v>15</v>
      </c>
      <c r="H504" s="268" t="s">
        <v>3136</v>
      </c>
      <c r="I504" s="268" t="s">
        <v>3133</v>
      </c>
      <c r="J504" s="458">
        <v>172518.17260439461</v>
      </c>
      <c r="K504" s="458">
        <v>14376.514383699552</v>
      </c>
      <c r="L504" s="458">
        <v>11194.760870699611</v>
      </c>
      <c r="M504" s="456">
        <v>0</v>
      </c>
      <c r="N504" s="458">
        <v>119.49693843813893</v>
      </c>
      <c r="O504" s="459">
        <v>0</v>
      </c>
      <c r="P504" s="459">
        <v>3019.0680205769058</v>
      </c>
      <c r="Q504" s="458">
        <v>55400.108403681625</v>
      </c>
      <c r="R504" s="458">
        <v>31174.033789614106</v>
      </c>
      <c r="S504" s="458">
        <v>1959.7497903854783</v>
      </c>
      <c r="T504" s="457"/>
      <c r="U504" s="425"/>
      <c r="V504" s="425"/>
      <c r="W504" s="425"/>
      <c r="X504" s="425"/>
      <c r="Y504" s="425"/>
      <c r="Z504" s="425"/>
      <c r="AA504" s="425"/>
      <c r="AB504" s="425"/>
      <c r="AC504" s="425"/>
      <c r="AD504" s="425"/>
      <c r="AE504" s="425"/>
      <c r="AG504" s="425"/>
      <c r="AH504" s="425"/>
      <c r="AI504" s="425"/>
      <c r="AJ504" s="425"/>
      <c r="AK504" s="425"/>
      <c r="AL504" s="425"/>
      <c r="AM504" s="425"/>
      <c r="AN504" s="425"/>
      <c r="AO504" s="425"/>
      <c r="AP504" s="425"/>
      <c r="AQ504" s="425"/>
    </row>
    <row r="505" spans="1:43" s="270" customFormat="1" x14ac:dyDescent="0.25">
      <c r="A505" s="271">
        <v>501444</v>
      </c>
      <c r="B505" s="271">
        <v>1444</v>
      </c>
      <c r="C505" s="271">
        <v>26958</v>
      </c>
      <c r="D505" s="268" t="s">
        <v>894</v>
      </c>
      <c r="E505" s="268" t="s">
        <v>1290</v>
      </c>
      <c r="F505" s="268" t="s">
        <v>2725</v>
      </c>
      <c r="G505" s="268">
        <v>15</v>
      </c>
      <c r="H505" s="268" t="s">
        <v>3137</v>
      </c>
      <c r="I505" s="268" t="s">
        <v>3133</v>
      </c>
      <c r="J505" s="458">
        <v>172518.17260439461</v>
      </c>
      <c r="K505" s="458">
        <v>14376.514383699552</v>
      </c>
      <c r="L505" s="458">
        <v>11194.760870699611</v>
      </c>
      <c r="M505" s="456">
        <v>0</v>
      </c>
      <c r="N505" s="458">
        <v>119.49693843813893</v>
      </c>
      <c r="O505" s="459">
        <v>0</v>
      </c>
      <c r="P505" s="459">
        <v>3019.0680205769058</v>
      </c>
      <c r="Q505" s="458">
        <v>55400.108403681625</v>
      </c>
      <c r="R505" s="458">
        <v>31174.033789614106</v>
      </c>
      <c r="S505" s="458">
        <v>1959.7497903854783</v>
      </c>
      <c r="T505" s="457"/>
      <c r="U505" s="425"/>
      <c r="V505" s="425"/>
      <c r="W505" s="425"/>
      <c r="X505" s="425"/>
      <c r="Y505" s="425"/>
      <c r="Z505" s="425"/>
      <c r="AA505" s="425"/>
      <c r="AB505" s="425"/>
      <c r="AC505" s="425"/>
      <c r="AD505" s="425"/>
      <c r="AE505" s="425"/>
      <c r="AG505" s="425"/>
      <c r="AH505" s="425"/>
      <c r="AI505" s="425"/>
      <c r="AJ505" s="425"/>
      <c r="AK505" s="425"/>
      <c r="AL505" s="425"/>
      <c r="AM505" s="425"/>
      <c r="AN505" s="425"/>
      <c r="AO505" s="425"/>
      <c r="AP505" s="425"/>
      <c r="AQ505" s="425"/>
    </row>
    <row r="506" spans="1:43" s="270" customFormat="1" x14ac:dyDescent="0.25">
      <c r="A506" s="271">
        <v>501444</v>
      </c>
      <c r="B506" s="271">
        <v>1444</v>
      </c>
      <c r="C506" s="271">
        <v>30795</v>
      </c>
      <c r="D506" s="268" t="s">
        <v>894</v>
      </c>
      <c r="E506" s="268" t="s">
        <v>1290</v>
      </c>
      <c r="F506" s="268" t="s">
        <v>2571</v>
      </c>
      <c r="G506" s="268">
        <v>15</v>
      </c>
      <c r="H506" s="268" t="s">
        <v>2545</v>
      </c>
      <c r="I506" s="268" t="s">
        <v>3133</v>
      </c>
      <c r="J506" s="458">
        <v>172518.17260439461</v>
      </c>
      <c r="K506" s="458">
        <v>14376.514383699552</v>
      </c>
      <c r="L506" s="458">
        <v>11194.760870699611</v>
      </c>
      <c r="M506" s="456">
        <v>0</v>
      </c>
      <c r="N506" s="458">
        <v>119.49693843813893</v>
      </c>
      <c r="O506" s="459">
        <v>0</v>
      </c>
      <c r="P506" s="459">
        <v>3019.0680205769058</v>
      </c>
      <c r="Q506" s="458">
        <v>55400.108403681625</v>
      </c>
      <c r="R506" s="458">
        <v>31174.033789614106</v>
      </c>
      <c r="S506" s="458">
        <v>1959.7497903854783</v>
      </c>
      <c r="T506" s="457"/>
      <c r="U506" s="425"/>
      <c r="V506" s="425"/>
      <c r="W506" s="425"/>
      <c r="X506" s="425"/>
      <c r="Y506" s="425"/>
      <c r="Z506" s="425"/>
      <c r="AA506" s="425"/>
      <c r="AB506" s="425"/>
      <c r="AC506" s="425"/>
      <c r="AD506" s="425"/>
      <c r="AE506" s="425"/>
      <c r="AG506" s="425"/>
      <c r="AH506" s="425"/>
      <c r="AI506" s="425"/>
      <c r="AJ506" s="425"/>
      <c r="AK506" s="425"/>
      <c r="AL506" s="425"/>
      <c r="AM506" s="425"/>
      <c r="AN506" s="425"/>
      <c r="AO506" s="425"/>
      <c r="AP506" s="425"/>
      <c r="AQ506" s="425"/>
    </row>
    <row r="507" spans="1:43" s="270" customFormat="1" x14ac:dyDescent="0.25">
      <c r="A507" s="271">
        <v>501407</v>
      </c>
      <c r="B507" s="271">
        <v>1407</v>
      </c>
      <c r="C507" s="271">
        <v>35046</v>
      </c>
      <c r="D507" s="268" t="s">
        <v>894</v>
      </c>
      <c r="E507" s="268" t="s">
        <v>1290</v>
      </c>
      <c r="F507" s="268" t="s">
        <v>2261</v>
      </c>
      <c r="G507" s="268">
        <v>15</v>
      </c>
      <c r="H507" s="268" t="s">
        <v>3070</v>
      </c>
      <c r="I507" s="268" t="s">
        <v>3133</v>
      </c>
      <c r="J507" s="458">
        <v>172518.17260439461</v>
      </c>
      <c r="K507" s="458">
        <v>14376.514383699552</v>
      </c>
      <c r="L507" s="458">
        <v>11194.760870699611</v>
      </c>
      <c r="M507" s="456">
        <v>0</v>
      </c>
      <c r="N507" s="458">
        <v>119.49693843813893</v>
      </c>
      <c r="O507" s="459">
        <v>0</v>
      </c>
      <c r="P507" s="459">
        <v>3019.0680205769058</v>
      </c>
      <c r="Q507" s="458">
        <v>55400.108403681625</v>
      </c>
      <c r="R507" s="458">
        <v>31174.033789614106</v>
      </c>
      <c r="S507" s="458">
        <v>1959.7497903854783</v>
      </c>
      <c r="T507" s="457"/>
      <c r="U507" s="425"/>
      <c r="V507" s="425"/>
      <c r="W507" s="425"/>
      <c r="X507" s="425"/>
      <c r="Y507" s="425"/>
      <c r="Z507" s="425"/>
      <c r="AA507" s="425"/>
      <c r="AB507" s="425"/>
      <c r="AC507" s="425"/>
      <c r="AD507" s="425"/>
      <c r="AE507" s="425"/>
      <c r="AG507" s="425"/>
      <c r="AH507" s="425"/>
      <c r="AI507" s="425"/>
      <c r="AJ507" s="425"/>
      <c r="AK507" s="425"/>
      <c r="AL507" s="425"/>
      <c r="AM507" s="425"/>
      <c r="AN507" s="425"/>
      <c r="AO507" s="425"/>
      <c r="AP507" s="425"/>
      <c r="AQ507" s="425"/>
    </row>
    <row r="508" spans="1:43" s="270" customFormat="1" x14ac:dyDescent="0.25">
      <c r="A508" s="271">
        <v>501206</v>
      </c>
      <c r="B508" s="271">
        <v>1206</v>
      </c>
      <c r="C508" s="271">
        <v>35415</v>
      </c>
      <c r="D508" s="268" t="s">
        <v>894</v>
      </c>
      <c r="E508" s="268" t="s">
        <v>1290</v>
      </c>
      <c r="F508" s="268" t="s">
        <v>3138</v>
      </c>
      <c r="G508" s="268">
        <v>15</v>
      </c>
      <c r="H508" s="268" t="s">
        <v>3139</v>
      </c>
      <c r="I508" s="268" t="s">
        <v>3140</v>
      </c>
      <c r="J508" s="458">
        <v>172518.17260439461</v>
      </c>
      <c r="K508" s="458">
        <v>14376.514383699552</v>
      </c>
      <c r="L508" s="458">
        <v>11194.760870699611</v>
      </c>
      <c r="M508" s="456">
        <v>0</v>
      </c>
      <c r="N508" s="458">
        <v>119.49693843813893</v>
      </c>
      <c r="O508" s="459">
        <v>0</v>
      </c>
      <c r="P508" s="459">
        <v>3019.0680205769058</v>
      </c>
      <c r="Q508" s="458">
        <v>55400.108403681625</v>
      </c>
      <c r="R508" s="458">
        <v>31174.033789614106</v>
      </c>
      <c r="S508" s="458">
        <v>1959.7497903854783</v>
      </c>
      <c r="T508" s="457"/>
      <c r="U508" s="425"/>
      <c r="V508" s="425"/>
      <c r="W508" s="425"/>
      <c r="X508" s="425"/>
      <c r="Y508" s="425"/>
      <c r="Z508" s="425"/>
      <c r="AA508" s="425"/>
      <c r="AB508" s="425"/>
      <c r="AC508" s="425"/>
      <c r="AD508" s="425"/>
      <c r="AE508" s="425"/>
      <c r="AG508" s="425"/>
      <c r="AH508" s="425"/>
      <c r="AI508" s="425"/>
      <c r="AJ508" s="425"/>
      <c r="AK508" s="425"/>
      <c r="AL508" s="425"/>
      <c r="AM508" s="425"/>
      <c r="AN508" s="425"/>
      <c r="AO508" s="425"/>
      <c r="AP508" s="425"/>
      <c r="AQ508" s="425"/>
    </row>
    <row r="509" spans="1:43" s="270" customFormat="1" x14ac:dyDescent="0.25">
      <c r="A509" s="271">
        <v>501443</v>
      </c>
      <c r="B509" s="271">
        <v>1443</v>
      </c>
      <c r="C509" s="271">
        <v>35457</v>
      </c>
      <c r="D509" s="268" t="s">
        <v>894</v>
      </c>
      <c r="E509" s="268" t="s">
        <v>1290</v>
      </c>
      <c r="F509" s="268" t="s">
        <v>2900</v>
      </c>
      <c r="G509" s="268">
        <v>15</v>
      </c>
      <c r="H509" s="268" t="s">
        <v>2466</v>
      </c>
      <c r="I509" s="268" t="s">
        <v>3133</v>
      </c>
      <c r="J509" s="458">
        <v>172518.17260439461</v>
      </c>
      <c r="K509" s="458">
        <v>14376.514383699552</v>
      </c>
      <c r="L509" s="458">
        <v>11194.760870699611</v>
      </c>
      <c r="M509" s="456">
        <v>0</v>
      </c>
      <c r="N509" s="458">
        <v>119.49693843813893</v>
      </c>
      <c r="O509" s="459">
        <v>0</v>
      </c>
      <c r="P509" s="459">
        <v>3019.0680205769058</v>
      </c>
      <c r="Q509" s="458">
        <v>55400.108403681625</v>
      </c>
      <c r="R509" s="458">
        <v>31174.033789614106</v>
      </c>
      <c r="S509" s="458">
        <v>1959.7497903854783</v>
      </c>
      <c r="T509" s="457"/>
      <c r="U509" s="425"/>
      <c r="V509" s="425"/>
      <c r="W509" s="425"/>
      <c r="X509" s="425"/>
      <c r="Y509" s="425"/>
      <c r="Z509" s="425"/>
      <c r="AA509" s="425"/>
      <c r="AB509" s="425"/>
      <c r="AC509" s="425"/>
      <c r="AD509" s="425"/>
      <c r="AE509" s="425"/>
      <c r="AG509" s="425"/>
      <c r="AH509" s="425"/>
      <c r="AI509" s="425"/>
      <c r="AJ509" s="425"/>
      <c r="AK509" s="425"/>
      <c r="AL509" s="425"/>
      <c r="AM509" s="425"/>
      <c r="AN509" s="425"/>
      <c r="AO509" s="425"/>
      <c r="AP509" s="425"/>
      <c r="AQ509" s="425"/>
    </row>
    <row r="510" spans="1:43" s="270" customFormat="1" x14ac:dyDescent="0.25">
      <c r="A510" s="271">
        <v>501443</v>
      </c>
      <c r="B510" s="271">
        <v>1443</v>
      </c>
      <c r="C510" s="271">
        <v>37125</v>
      </c>
      <c r="D510" s="268" t="s">
        <v>894</v>
      </c>
      <c r="E510" s="268" t="s">
        <v>1290</v>
      </c>
      <c r="F510" s="268" t="s">
        <v>3141</v>
      </c>
      <c r="G510" s="268">
        <v>15</v>
      </c>
      <c r="H510" s="268" t="s">
        <v>3142</v>
      </c>
      <c r="I510" s="268" t="s">
        <v>3133</v>
      </c>
      <c r="J510" s="458">
        <v>172518.17260439461</v>
      </c>
      <c r="K510" s="458">
        <v>14376.514383699552</v>
      </c>
      <c r="L510" s="458">
        <v>11194.760870699611</v>
      </c>
      <c r="M510" s="456">
        <v>0</v>
      </c>
      <c r="N510" s="458">
        <v>119.49693843813893</v>
      </c>
      <c r="O510" s="459">
        <v>0</v>
      </c>
      <c r="P510" s="459">
        <v>3019.0680205769058</v>
      </c>
      <c r="Q510" s="458">
        <v>55400.108403681625</v>
      </c>
      <c r="R510" s="458">
        <v>31174.033789614106</v>
      </c>
      <c r="S510" s="458">
        <v>1959.7497903854783</v>
      </c>
      <c r="T510" s="457"/>
      <c r="U510" s="425"/>
      <c r="V510" s="425"/>
      <c r="W510" s="425"/>
      <c r="X510" s="425"/>
      <c r="Y510" s="425"/>
      <c r="Z510" s="425"/>
      <c r="AA510" s="425"/>
      <c r="AB510" s="425"/>
      <c r="AC510" s="425"/>
      <c r="AD510" s="425"/>
      <c r="AE510" s="425"/>
      <c r="AG510" s="425"/>
      <c r="AH510" s="425"/>
      <c r="AI510" s="425"/>
      <c r="AJ510" s="425"/>
      <c r="AK510" s="425"/>
      <c r="AL510" s="425"/>
      <c r="AM510" s="425"/>
      <c r="AN510" s="425"/>
      <c r="AO510" s="425"/>
      <c r="AP510" s="425"/>
      <c r="AQ510" s="425"/>
    </row>
    <row r="511" spans="1:43" s="270" customFormat="1" x14ac:dyDescent="0.25">
      <c r="A511" s="271">
        <v>501444</v>
      </c>
      <c r="B511" s="271">
        <v>1444</v>
      </c>
      <c r="C511" s="271">
        <v>39725</v>
      </c>
      <c r="D511" s="268" t="s">
        <v>894</v>
      </c>
      <c r="E511" s="268" t="s">
        <v>1290</v>
      </c>
      <c r="F511" s="268" t="s">
        <v>2553</v>
      </c>
      <c r="G511" s="268">
        <v>15</v>
      </c>
      <c r="H511" s="268" t="s">
        <v>3143</v>
      </c>
      <c r="I511" s="268" t="s">
        <v>3133</v>
      </c>
      <c r="J511" s="458">
        <v>172518.17260439461</v>
      </c>
      <c r="K511" s="458">
        <v>14376.514383699552</v>
      </c>
      <c r="L511" s="458">
        <v>11194.760870699611</v>
      </c>
      <c r="M511" s="456">
        <v>0</v>
      </c>
      <c r="N511" s="458">
        <v>119.49693843813893</v>
      </c>
      <c r="O511" s="459">
        <v>0</v>
      </c>
      <c r="P511" s="459">
        <v>3019.0680205769058</v>
      </c>
      <c r="Q511" s="458">
        <v>55400.108403681625</v>
      </c>
      <c r="R511" s="458">
        <v>31174.033789614106</v>
      </c>
      <c r="S511" s="458">
        <v>1959.7497903854783</v>
      </c>
      <c r="T511" s="457"/>
      <c r="U511" s="425"/>
      <c r="V511" s="425"/>
      <c r="W511" s="425"/>
      <c r="X511" s="425"/>
      <c r="Y511" s="425"/>
      <c r="Z511" s="425"/>
      <c r="AA511" s="425"/>
      <c r="AB511" s="425"/>
      <c r="AC511" s="425"/>
      <c r="AD511" s="425"/>
      <c r="AE511" s="425"/>
      <c r="AG511" s="425"/>
      <c r="AH511" s="425"/>
      <c r="AI511" s="425"/>
      <c r="AJ511" s="425"/>
      <c r="AK511" s="425"/>
      <c r="AL511" s="425"/>
      <c r="AM511" s="425"/>
      <c r="AN511" s="425"/>
      <c r="AO511" s="425"/>
      <c r="AP511" s="425"/>
      <c r="AQ511" s="425"/>
    </row>
    <row r="512" spans="1:43" s="270" customFormat="1" x14ac:dyDescent="0.25">
      <c r="A512" s="271">
        <v>501443</v>
      </c>
      <c r="B512" s="271">
        <v>1443</v>
      </c>
      <c r="C512" s="271">
        <v>40219</v>
      </c>
      <c r="D512" s="268" t="s">
        <v>894</v>
      </c>
      <c r="E512" s="268" t="s">
        <v>1290</v>
      </c>
      <c r="F512" s="268" t="s">
        <v>2820</v>
      </c>
      <c r="G512" s="268">
        <v>15</v>
      </c>
      <c r="H512" s="268" t="s">
        <v>3144</v>
      </c>
      <c r="I512" s="268" t="s">
        <v>3133</v>
      </c>
      <c r="J512" s="458">
        <v>172518.17260439461</v>
      </c>
      <c r="K512" s="458">
        <v>14376.514383699552</v>
      </c>
      <c r="L512" s="458">
        <v>11194.760870699611</v>
      </c>
      <c r="M512" s="456">
        <v>0</v>
      </c>
      <c r="N512" s="458">
        <v>119.49693843813893</v>
      </c>
      <c r="O512" s="459">
        <v>0</v>
      </c>
      <c r="P512" s="459">
        <v>3019.0680205769058</v>
      </c>
      <c r="Q512" s="458">
        <v>55400.108403681625</v>
      </c>
      <c r="R512" s="458">
        <v>31174.033789614106</v>
      </c>
      <c r="S512" s="458">
        <v>1959.7497903854783</v>
      </c>
      <c r="T512" s="457"/>
      <c r="U512" s="425"/>
      <c r="V512" s="425"/>
      <c r="W512" s="425"/>
      <c r="X512" s="425"/>
      <c r="Y512" s="425"/>
      <c r="Z512" s="425"/>
      <c r="AA512" s="425"/>
      <c r="AB512" s="425"/>
      <c r="AC512" s="425"/>
      <c r="AD512" s="425"/>
      <c r="AE512" s="425"/>
      <c r="AG512" s="425"/>
      <c r="AH512" s="425"/>
      <c r="AI512" s="425"/>
      <c r="AJ512" s="425"/>
      <c r="AK512" s="425"/>
      <c r="AL512" s="425"/>
      <c r="AM512" s="425"/>
      <c r="AN512" s="425"/>
      <c r="AO512" s="425"/>
      <c r="AP512" s="425"/>
      <c r="AQ512" s="425"/>
    </row>
    <row r="513" spans="1:43" s="270" customFormat="1" x14ac:dyDescent="0.25">
      <c r="A513" s="271">
        <v>501444</v>
      </c>
      <c r="B513" s="271">
        <v>1444</v>
      </c>
      <c r="C513" s="271">
        <v>40235</v>
      </c>
      <c r="D513" s="268" t="s">
        <v>894</v>
      </c>
      <c r="E513" s="268" t="s">
        <v>1290</v>
      </c>
      <c r="F513" s="268" t="s">
        <v>2993</v>
      </c>
      <c r="G513" s="268">
        <v>15</v>
      </c>
      <c r="H513" s="268" t="s">
        <v>3145</v>
      </c>
      <c r="I513" s="268" t="s">
        <v>3146</v>
      </c>
      <c r="J513" s="458">
        <v>172518.17260439461</v>
      </c>
      <c r="K513" s="458">
        <v>14376.514383699552</v>
      </c>
      <c r="L513" s="458">
        <v>11194.760870699611</v>
      </c>
      <c r="M513" s="456">
        <v>0</v>
      </c>
      <c r="N513" s="458">
        <v>119.49693843813893</v>
      </c>
      <c r="O513" s="459">
        <v>0</v>
      </c>
      <c r="P513" s="459">
        <v>3019.0680205769058</v>
      </c>
      <c r="Q513" s="458">
        <v>55400.108403681625</v>
      </c>
      <c r="R513" s="458">
        <v>31174.033789614106</v>
      </c>
      <c r="S513" s="458">
        <v>1959.7497903854783</v>
      </c>
      <c r="T513" s="457"/>
      <c r="U513" s="425"/>
      <c r="V513" s="425"/>
      <c r="W513" s="425"/>
      <c r="X513" s="425"/>
      <c r="Y513" s="425"/>
      <c r="Z513" s="425"/>
      <c r="AA513" s="425"/>
      <c r="AB513" s="425"/>
      <c r="AC513" s="425"/>
      <c r="AD513" s="425"/>
      <c r="AE513" s="425"/>
      <c r="AG513" s="425"/>
      <c r="AH513" s="425"/>
      <c r="AI513" s="425"/>
      <c r="AJ513" s="425"/>
      <c r="AK513" s="425"/>
      <c r="AL513" s="425"/>
      <c r="AM513" s="425"/>
      <c r="AN513" s="425"/>
      <c r="AO513" s="425"/>
      <c r="AP513" s="425"/>
      <c r="AQ513" s="425"/>
    </row>
    <row r="514" spans="1:43" s="270" customFormat="1" x14ac:dyDescent="0.25">
      <c r="A514" s="271">
        <v>501444</v>
      </c>
      <c r="B514" s="271">
        <v>1444</v>
      </c>
      <c r="C514" s="271">
        <v>40316</v>
      </c>
      <c r="D514" s="268" t="s">
        <v>894</v>
      </c>
      <c r="E514" s="268" t="s">
        <v>1290</v>
      </c>
      <c r="F514" s="268" t="s">
        <v>2362</v>
      </c>
      <c r="G514" s="268">
        <v>15</v>
      </c>
      <c r="H514" s="268" t="s">
        <v>3147</v>
      </c>
      <c r="I514" s="268" t="s">
        <v>3133</v>
      </c>
      <c r="J514" s="458">
        <v>172518.17260439461</v>
      </c>
      <c r="K514" s="458">
        <v>14376.514383699552</v>
      </c>
      <c r="L514" s="458">
        <v>11194.760870699611</v>
      </c>
      <c r="M514" s="456">
        <v>0</v>
      </c>
      <c r="N514" s="458">
        <v>119.49693843813893</v>
      </c>
      <c r="O514" s="459">
        <v>0</v>
      </c>
      <c r="P514" s="459">
        <v>3019.0680205769058</v>
      </c>
      <c r="Q514" s="458">
        <v>55400.108403681625</v>
      </c>
      <c r="R514" s="458">
        <v>31174.033789614106</v>
      </c>
      <c r="S514" s="458">
        <v>1959.7497903854783</v>
      </c>
      <c r="T514" s="457"/>
      <c r="U514" s="425"/>
      <c r="V514" s="425"/>
      <c r="W514" s="425"/>
      <c r="X514" s="425"/>
      <c r="Y514" s="425"/>
      <c r="Z514" s="425"/>
      <c r="AA514" s="425"/>
      <c r="AB514" s="425"/>
      <c r="AC514" s="425"/>
      <c r="AD514" s="425"/>
      <c r="AE514" s="425"/>
      <c r="AG514" s="425"/>
      <c r="AH514" s="425"/>
      <c r="AI514" s="425"/>
      <c r="AJ514" s="425"/>
      <c r="AK514" s="425"/>
      <c r="AL514" s="425"/>
      <c r="AM514" s="425"/>
      <c r="AN514" s="425"/>
      <c r="AO514" s="425"/>
      <c r="AP514" s="425"/>
      <c r="AQ514" s="425"/>
    </row>
    <row r="515" spans="1:43" s="270" customFormat="1" x14ac:dyDescent="0.25">
      <c r="A515" s="271">
        <v>501443</v>
      </c>
      <c r="B515" s="271">
        <v>1443</v>
      </c>
      <c r="C515" s="271">
        <v>40662</v>
      </c>
      <c r="D515" s="268" t="s">
        <v>894</v>
      </c>
      <c r="E515" s="268" t="s">
        <v>1290</v>
      </c>
      <c r="F515" s="268" t="s">
        <v>1290</v>
      </c>
      <c r="G515" s="268">
        <v>15</v>
      </c>
      <c r="H515" s="268" t="s">
        <v>3148</v>
      </c>
      <c r="I515" s="268" t="s">
        <v>3133</v>
      </c>
      <c r="J515" s="458">
        <v>172518.17260439461</v>
      </c>
      <c r="K515" s="458">
        <v>14376.514383699552</v>
      </c>
      <c r="L515" s="458">
        <v>11194.760870699611</v>
      </c>
      <c r="M515" s="456">
        <v>0</v>
      </c>
      <c r="N515" s="458">
        <v>119.49693843813893</v>
      </c>
      <c r="O515" s="459">
        <v>0</v>
      </c>
      <c r="P515" s="459">
        <v>3019.0680205769058</v>
      </c>
      <c r="Q515" s="458">
        <v>55400.108403681625</v>
      </c>
      <c r="R515" s="458">
        <v>31174.033789614106</v>
      </c>
      <c r="S515" s="458">
        <v>1959.7497903854783</v>
      </c>
      <c r="T515" s="453"/>
      <c r="U515" s="425"/>
      <c r="V515" s="425"/>
      <c r="W515" s="425"/>
      <c r="X515" s="425"/>
      <c r="Y515" s="425"/>
      <c r="Z515" s="425"/>
      <c r="AA515" s="425"/>
      <c r="AB515" s="425"/>
      <c r="AC515" s="425"/>
      <c r="AD515" s="425"/>
      <c r="AE515" s="425"/>
      <c r="AG515" s="425"/>
      <c r="AH515" s="425"/>
      <c r="AI515" s="425"/>
      <c r="AJ515" s="425"/>
      <c r="AK515" s="425"/>
      <c r="AL515" s="425"/>
      <c r="AM515" s="425"/>
      <c r="AN515" s="425"/>
      <c r="AO515" s="425"/>
      <c r="AP515" s="425"/>
      <c r="AQ515" s="425"/>
    </row>
    <row r="516" spans="1:43" s="270" customFormat="1" x14ac:dyDescent="0.25">
      <c r="A516" s="271">
        <v>501444</v>
      </c>
      <c r="B516" s="271">
        <v>1444</v>
      </c>
      <c r="C516" s="271">
        <v>40714</v>
      </c>
      <c r="D516" s="268" t="s">
        <v>894</v>
      </c>
      <c r="E516" s="268" t="s">
        <v>1290</v>
      </c>
      <c r="F516" s="268" t="s">
        <v>2768</v>
      </c>
      <c r="G516" s="268">
        <v>15</v>
      </c>
      <c r="H516" s="268" t="s">
        <v>2525</v>
      </c>
      <c r="I516" s="268" t="s">
        <v>3133</v>
      </c>
      <c r="J516" s="458">
        <v>172518.17260439461</v>
      </c>
      <c r="K516" s="458">
        <v>14376.514383699552</v>
      </c>
      <c r="L516" s="458">
        <v>11194.760870699611</v>
      </c>
      <c r="M516" s="456">
        <v>0</v>
      </c>
      <c r="N516" s="458">
        <v>119.49693843813893</v>
      </c>
      <c r="O516" s="459">
        <v>0</v>
      </c>
      <c r="P516" s="459">
        <v>3019.0680205769058</v>
      </c>
      <c r="Q516" s="458">
        <v>55400.108403681625</v>
      </c>
      <c r="R516" s="458">
        <v>31174.033789614106</v>
      </c>
      <c r="S516" s="458">
        <v>1959.7497903854783</v>
      </c>
      <c r="T516" s="453"/>
      <c r="U516" s="425"/>
      <c r="V516" s="425"/>
      <c r="W516" s="425"/>
      <c r="X516" s="425"/>
      <c r="Y516" s="425"/>
      <c r="Z516" s="425"/>
      <c r="AA516" s="425"/>
      <c r="AB516" s="425"/>
      <c r="AC516" s="425"/>
      <c r="AD516" s="425"/>
      <c r="AE516" s="425"/>
      <c r="AG516" s="425"/>
      <c r="AH516" s="425"/>
      <c r="AI516" s="425"/>
      <c r="AJ516" s="425"/>
      <c r="AK516" s="425"/>
      <c r="AL516" s="425"/>
      <c r="AM516" s="425"/>
      <c r="AN516" s="425"/>
      <c r="AO516" s="425"/>
      <c r="AP516" s="425"/>
      <c r="AQ516" s="425"/>
    </row>
    <row r="517" spans="1:43" s="270" customFormat="1" x14ac:dyDescent="0.25">
      <c r="A517" s="271">
        <v>501443</v>
      </c>
      <c r="B517" s="271">
        <v>1443</v>
      </c>
      <c r="C517" s="271">
        <v>41661</v>
      </c>
      <c r="D517" s="268" t="s">
        <v>894</v>
      </c>
      <c r="E517" s="268" t="s">
        <v>1290</v>
      </c>
      <c r="F517" s="268" t="s">
        <v>426</v>
      </c>
      <c r="G517" s="268">
        <v>15</v>
      </c>
      <c r="H517" s="268" t="s">
        <v>3149</v>
      </c>
      <c r="I517" s="268" t="s">
        <v>3133</v>
      </c>
      <c r="J517" s="458">
        <v>172518.17260439461</v>
      </c>
      <c r="K517" s="458">
        <v>14376.514383699552</v>
      </c>
      <c r="L517" s="458">
        <v>11194.760870699611</v>
      </c>
      <c r="M517" s="456">
        <v>0</v>
      </c>
      <c r="N517" s="458">
        <v>119.49693843813893</v>
      </c>
      <c r="O517" s="459">
        <v>0</v>
      </c>
      <c r="P517" s="459">
        <v>3019.0680205769058</v>
      </c>
      <c r="Q517" s="458">
        <v>55400.108403681625</v>
      </c>
      <c r="R517" s="458">
        <v>31174.033789614106</v>
      </c>
      <c r="S517" s="458">
        <v>1959.7497903854783</v>
      </c>
      <c r="T517" s="457"/>
      <c r="U517" s="425"/>
      <c r="V517" s="425"/>
      <c r="W517" s="425"/>
      <c r="X517" s="425"/>
      <c r="Y517" s="425"/>
      <c r="Z517" s="425"/>
      <c r="AA517" s="425"/>
      <c r="AB517" s="425"/>
      <c r="AC517" s="425"/>
      <c r="AD517" s="425"/>
      <c r="AE517" s="425"/>
      <c r="AG517" s="425"/>
      <c r="AH517" s="425"/>
      <c r="AI517" s="425"/>
      <c r="AJ517" s="425"/>
      <c r="AK517" s="425"/>
      <c r="AL517" s="425"/>
      <c r="AM517" s="425"/>
      <c r="AN517" s="425"/>
      <c r="AO517" s="425"/>
      <c r="AP517" s="425"/>
      <c r="AQ517" s="425"/>
    </row>
    <row r="518" spans="1:43" s="270" customFormat="1" x14ac:dyDescent="0.25">
      <c r="A518" s="271">
        <v>501444</v>
      </c>
      <c r="B518" s="271">
        <v>1444</v>
      </c>
      <c r="C518" s="271">
        <v>44354</v>
      </c>
      <c r="D518" s="268" t="s">
        <v>894</v>
      </c>
      <c r="E518" s="268" t="s">
        <v>1290</v>
      </c>
      <c r="F518" s="268" t="s">
        <v>2381</v>
      </c>
      <c r="G518" s="268">
        <v>15</v>
      </c>
      <c r="H518" s="268" t="s">
        <v>3150</v>
      </c>
      <c r="I518" s="268" t="s">
        <v>3133</v>
      </c>
      <c r="J518" s="458">
        <v>172518.17260439461</v>
      </c>
      <c r="K518" s="458">
        <v>14376.514383699552</v>
      </c>
      <c r="L518" s="458">
        <v>11194.760870699611</v>
      </c>
      <c r="M518" s="456">
        <v>0</v>
      </c>
      <c r="N518" s="458">
        <v>119.49693843813893</v>
      </c>
      <c r="O518" s="459">
        <v>0</v>
      </c>
      <c r="P518" s="459">
        <v>3019.0680205769058</v>
      </c>
      <c r="Q518" s="458">
        <v>55400.108403681625</v>
      </c>
      <c r="R518" s="458">
        <v>31174.033789614106</v>
      </c>
      <c r="S518" s="458">
        <v>1959.7497903854783</v>
      </c>
      <c r="T518" s="457"/>
      <c r="U518" s="425"/>
      <c r="V518" s="425"/>
      <c r="W518" s="425"/>
      <c r="X518" s="425"/>
      <c r="Y518" s="425"/>
      <c r="Z518" s="425"/>
      <c r="AA518" s="425"/>
      <c r="AB518" s="425"/>
      <c r="AC518" s="425"/>
      <c r="AD518" s="425"/>
      <c r="AE518" s="425"/>
      <c r="AG518" s="425"/>
      <c r="AH518" s="425"/>
      <c r="AI518" s="425"/>
      <c r="AJ518" s="425"/>
      <c r="AK518" s="425"/>
      <c r="AL518" s="425"/>
      <c r="AM518" s="425"/>
      <c r="AN518" s="425"/>
      <c r="AO518" s="425"/>
      <c r="AP518" s="425"/>
      <c r="AQ518" s="425"/>
    </row>
    <row r="519" spans="1:43" s="270" customFormat="1" x14ac:dyDescent="0.25">
      <c r="A519" s="271">
        <v>501443</v>
      </c>
      <c r="B519" s="271">
        <v>1443</v>
      </c>
      <c r="C519" s="271">
        <v>45227</v>
      </c>
      <c r="D519" s="268" t="s">
        <v>894</v>
      </c>
      <c r="E519" s="268" t="s">
        <v>1290</v>
      </c>
      <c r="F519" s="268" t="s">
        <v>2744</v>
      </c>
      <c r="G519" s="268">
        <v>15</v>
      </c>
      <c r="H519" s="268" t="s">
        <v>3151</v>
      </c>
      <c r="I519" s="268" t="s">
        <v>3133</v>
      </c>
      <c r="J519" s="458">
        <v>172518.17260439461</v>
      </c>
      <c r="K519" s="458">
        <v>14376.514383699552</v>
      </c>
      <c r="L519" s="458">
        <v>11194.760870699611</v>
      </c>
      <c r="M519" s="456">
        <v>0</v>
      </c>
      <c r="N519" s="458">
        <v>119.49693843813893</v>
      </c>
      <c r="O519" s="459">
        <v>0</v>
      </c>
      <c r="P519" s="459">
        <v>3019.0680205769058</v>
      </c>
      <c r="Q519" s="458">
        <v>55400.108403681625</v>
      </c>
      <c r="R519" s="458">
        <v>31174.033789614106</v>
      </c>
      <c r="S519" s="458">
        <v>1959.7497903854783</v>
      </c>
      <c r="T519" s="457"/>
      <c r="U519" s="425"/>
      <c r="V519" s="425"/>
      <c r="W519" s="425"/>
      <c r="X519" s="425"/>
      <c r="Y519" s="425"/>
      <c r="Z519" s="425"/>
      <c r="AA519" s="425"/>
      <c r="AB519" s="425"/>
      <c r="AC519" s="425"/>
      <c r="AD519" s="425"/>
      <c r="AE519" s="425"/>
      <c r="AG519" s="425"/>
      <c r="AH519" s="425"/>
      <c r="AI519" s="425"/>
      <c r="AJ519" s="425"/>
      <c r="AK519" s="425"/>
      <c r="AL519" s="425"/>
      <c r="AM519" s="425"/>
      <c r="AN519" s="425"/>
      <c r="AO519" s="425"/>
      <c r="AP519" s="425"/>
      <c r="AQ519" s="425"/>
    </row>
    <row r="520" spans="1:43" s="270" customFormat="1" x14ac:dyDescent="0.25">
      <c r="A520" s="271">
        <v>501505</v>
      </c>
      <c r="B520" s="271">
        <v>1505</v>
      </c>
      <c r="C520" s="271">
        <v>46763</v>
      </c>
      <c r="D520" s="268" t="s">
        <v>894</v>
      </c>
      <c r="E520" s="268" t="s">
        <v>1290</v>
      </c>
      <c r="F520" s="268" t="s">
        <v>2949</v>
      </c>
      <c r="G520" s="268">
        <v>15</v>
      </c>
      <c r="H520" s="268" t="s">
        <v>3152</v>
      </c>
      <c r="I520" s="268" t="s">
        <v>3153</v>
      </c>
      <c r="J520" s="458">
        <v>172518.17260439461</v>
      </c>
      <c r="K520" s="458">
        <v>14376.514383699552</v>
      </c>
      <c r="L520" s="458">
        <v>11194.760870699611</v>
      </c>
      <c r="M520" s="456">
        <v>0</v>
      </c>
      <c r="N520" s="458">
        <v>119.49693843813893</v>
      </c>
      <c r="O520" s="459">
        <v>0</v>
      </c>
      <c r="P520" s="459">
        <v>3019.0680205769058</v>
      </c>
      <c r="Q520" s="458">
        <v>55400.108403681625</v>
      </c>
      <c r="R520" s="458">
        <v>31174.033789614106</v>
      </c>
      <c r="S520" s="458">
        <v>1959.7497903854783</v>
      </c>
      <c r="T520" s="457"/>
      <c r="U520" s="425"/>
      <c r="V520" s="425"/>
      <c r="W520" s="425"/>
      <c r="X520" s="425"/>
      <c r="Y520" s="425"/>
      <c r="Z520" s="425"/>
      <c r="AA520" s="425"/>
      <c r="AB520" s="425"/>
      <c r="AC520" s="425"/>
      <c r="AD520" s="425"/>
      <c r="AE520" s="425"/>
      <c r="AG520" s="425"/>
      <c r="AH520" s="425"/>
      <c r="AI520" s="425"/>
      <c r="AJ520" s="425"/>
      <c r="AK520" s="425"/>
      <c r="AL520" s="425"/>
      <c r="AM520" s="425"/>
      <c r="AN520" s="425"/>
      <c r="AO520" s="425"/>
      <c r="AP520" s="425"/>
      <c r="AQ520" s="425"/>
    </row>
    <row r="521" spans="1:43" s="270" customFormat="1" x14ac:dyDescent="0.25">
      <c r="A521" s="271">
        <v>501443</v>
      </c>
      <c r="B521" s="271">
        <v>1443</v>
      </c>
      <c r="C521" s="271">
        <v>51758</v>
      </c>
      <c r="D521" s="268" t="s">
        <v>894</v>
      </c>
      <c r="E521" s="268" t="s">
        <v>1278</v>
      </c>
      <c r="F521" s="268" t="s">
        <v>1293</v>
      </c>
      <c r="G521" s="268">
        <v>15</v>
      </c>
      <c r="H521" s="268" t="s">
        <v>3154</v>
      </c>
      <c r="I521" s="268" t="s">
        <v>3133</v>
      </c>
      <c r="J521" s="458">
        <v>172518.17260439461</v>
      </c>
      <c r="K521" s="458">
        <v>14376.514383699552</v>
      </c>
      <c r="L521" s="458">
        <v>11194.760870699611</v>
      </c>
      <c r="M521" s="456">
        <v>0</v>
      </c>
      <c r="N521" s="458">
        <v>119.49693843813893</v>
      </c>
      <c r="O521" s="459">
        <v>0</v>
      </c>
      <c r="P521" s="459">
        <v>3019.0680205769058</v>
      </c>
      <c r="Q521" s="458">
        <v>55400.108403681625</v>
      </c>
      <c r="R521" s="458">
        <v>31174.033789614106</v>
      </c>
      <c r="S521" s="458">
        <v>1959.7497903854783</v>
      </c>
      <c r="T521" s="457"/>
      <c r="U521" s="425"/>
      <c r="V521" s="425"/>
      <c r="W521" s="425"/>
      <c r="X521" s="425"/>
      <c r="Y521" s="425"/>
      <c r="Z521" s="425"/>
      <c r="AA521" s="425"/>
      <c r="AB521" s="425"/>
      <c r="AC521" s="425"/>
      <c r="AD521" s="425"/>
      <c r="AE521" s="425"/>
      <c r="AG521" s="425"/>
      <c r="AH521" s="425"/>
      <c r="AI521" s="425"/>
      <c r="AJ521" s="425"/>
      <c r="AK521" s="425"/>
      <c r="AL521" s="425"/>
      <c r="AM521" s="425"/>
      <c r="AN521" s="425"/>
      <c r="AO521" s="425"/>
      <c r="AP521" s="425"/>
      <c r="AQ521" s="425"/>
    </row>
    <row r="522" spans="1:43" s="270" customFormat="1" x14ac:dyDescent="0.25">
      <c r="A522" s="271">
        <v>501445</v>
      </c>
      <c r="B522" s="271">
        <v>1445</v>
      </c>
      <c r="C522" s="271">
        <v>51787</v>
      </c>
      <c r="D522" s="268" t="s">
        <v>894</v>
      </c>
      <c r="E522" s="268" t="s">
        <v>1290</v>
      </c>
      <c r="F522" s="268" t="s">
        <v>731</v>
      </c>
      <c r="G522" s="268">
        <v>15</v>
      </c>
      <c r="H522" s="268" t="s">
        <v>3155</v>
      </c>
      <c r="I522" s="268" t="s">
        <v>3133</v>
      </c>
      <c r="J522" s="458">
        <v>172518.17260439461</v>
      </c>
      <c r="K522" s="458">
        <v>14376.514383699552</v>
      </c>
      <c r="L522" s="458">
        <v>11194.760870699611</v>
      </c>
      <c r="M522" s="456">
        <v>0</v>
      </c>
      <c r="N522" s="458">
        <v>119.49693843813893</v>
      </c>
      <c r="O522" s="459">
        <v>0</v>
      </c>
      <c r="P522" s="459">
        <v>3019.0680205769058</v>
      </c>
      <c r="Q522" s="458">
        <v>55400.108403681625</v>
      </c>
      <c r="R522" s="458">
        <v>31174.033789614106</v>
      </c>
      <c r="S522" s="458">
        <v>1959.7497903854783</v>
      </c>
      <c r="T522" s="457"/>
      <c r="U522" s="425"/>
      <c r="V522" s="425"/>
      <c r="W522" s="425"/>
      <c r="X522" s="425"/>
      <c r="Y522" s="425"/>
      <c r="Z522" s="425"/>
      <c r="AA522" s="425"/>
      <c r="AB522" s="425"/>
      <c r="AC522" s="425"/>
      <c r="AD522" s="425"/>
      <c r="AE522" s="425"/>
      <c r="AG522" s="425"/>
      <c r="AH522" s="425"/>
      <c r="AI522" s="425"/>
      <c r="AJ522" s="425"/>
      <c r="AK522" s="425"/>
      <c r="AL522" s="425"/>
      <c r="AM522" s="425"/>
      <c r="AN522" s="425"/>
      <c r="AO522" s="425"/>
      <c r="AP522" s="425"/>
      <c r="AQ522" s="425"/>
    </row>
    <row r="523" spans="1:43" s="270" customFormat="1" x14ac:dyDescent="0.25">
      <c r="A523" s="271">
        <v>501444</v>
      </c>
      <c r="B523" s="271">
        <v>1444</v>
      </c>
      <c r="C523" s="271">
        <v>51790</v>
      </c>
      <c r="D523" s="268" t="s">
        <v>894</v>
      </c>
      <c r="E523" s="268" t="s">
        <v>1290</v>
      </c>
      <c r="F523" s="268" t="s">
        <v>3156</v>
      </c>
      <c r="G523" s="268">
        <v>15</v>
      </c>
      <c r="H523" s="268" t="s">
        <v>3157</v>
      </c>
      <c r="I523" s="268" t="s">
        <v>3133</v>
      </c>
      <c r="J523" s="458">
        <v>172518.17260439461</v>
      </c>
      <c r="K523" s="458">
        <v>14376.514383699552</v>
      </c>
      <c r="L523" s="458">
        <v>11194.760870699611</v>
      </c>
      <c r="M523" s="456">
        <v>0</v>
      </c>
      <c r="N523" s="458">
        <v>119.49693843813893</v>
      </c>
      <c r="O523" s="459">
        <v>0</v>
      </c>
      <c r="P523" s="459">
        <v>3019.0680205769058</v>
      </c>
      <c r="Q523" s="458">
        <v>55400.108403681625</v>
      </c>
      <c r="R523" s="458">
        <v>31174.033789614106</v>
      </c>
      <c r="S523" s="458">
        <v>1959.7497903854783</v>
      </c>
      <c r="T523" s="457"/>
      <c r="U523" s="425"/>
      <c r="V523" s="425"/>
      <c r="W523" s="425"/>
      <c r="X523" s="425"/>
      <c r="Y523" s="425"/>
      <c r="Z523" s="425"/>
      <c r="AA523" s="425"/>
      <c r="AB523" s="425"/>
      <c r="AC523" s="425"/>
      <c r="AD523" s="425"/>
      <c r="AE523" s="425"/>
      <c r="AG523" s="425"/>
      <c r="AH523" s="425"/>
      <c r="AI523" s="425"/>
      <c r="AJ523" s="425"/>
      <c r="AK523" s="425"/>
      <c r="AL523" s="425"/>
      <c r="AM523" s="425"/>
      <c r="AN523" s="425"/>
      <c r="AO523" s="425"/>
      <c r="AP523" s="425"/>
      <c r="AQ523" s="425"/>
    </row>
    <row r="524" spans="1:43" s="270" customFormat="1" x14ac:dyDescent="0.25">
      <c r="A524" s="271">
        <v>501443</v>
      </c>
      <c r="B524" s="271">
        <v>1443</v>
      </c>
      <c r="C524" s="271">
        <v>51871</v>
      </c>
      <c r="D524" s="268" t="s">
        <v>894</v>
      </c>
      <c r="E524" s="268" t="s">
        <v>1290</v>
      </c>
      <c r="F524" s="268" t="s">
        <v>3158</v>
      </c>
      <c r="G524" s="268">
        <v>15</v>
      </c>
      <c r="H524" s="268" t="s">
        <v>3159</v>
      </c>
      <c r="I524" s="268" t="s">
        <v>3133</v>
      </c>
      <c r="J524" s="458">
        <v>172518.17260439461</v>
      </c>
      <c r="K524" s="458">
        <v>14376.514383699552</v>
      </c>
      <c r="L524" s="458">
        <v>11194.760870699611</v>
      </c>
      <c r="M524" s="456">
        <v>0</v>
      </c>
      <c r="N524" s="458">
        <v>119.49693843813893</v>
      </c>
      <c r="O524" s="459">
        <v>0</v>
      </c>
      <c r="P524" s="459">
        <v>3019.0680205769058</v>
      </c>
      <c r="Q524" s="458">
        <v>55400.108403681625</v>
      </c>
      <c r="R524" s="458">
        <v>31174.033789614106</v>
      </c>
      <c r="S524" s="458">
        <v>1959.7497903854783</v>
      </c>
      <c r="T524" s="457"/>
      <c r="U524" s="425"/>
      <c r="V524" s="425"/>
      <c r="W524" s="425"/>
      <c r="X524" s="425"/>
      <c r="Y524" s="425"/>
      <c r="Z524" s="425"/>
      <c r="AA524" s="425"/>
      <c r="AB524" s="425"/>
      <c r="AC524" s="425"/>
      <c r="AD524" s="425"/>
      <c r="AE524" s="425"/>
      <c r="AG524" s="425"/>
      <c r="AH524" s="425"/>
      <c r="AI524" s="425"/>
      <c r="AJ524" s="425"/>
      <c r="AK524" s="425"/>
      <c r="AL524" s="425"/>
      <c r="AM524" s="425"/>
      <c r="AN524" s="425"/>
      <c r="AO524" s="425"/>
      <c r="AP524" s="425"/>
      <c r="AQ524" s="425"/>
    </row>
    <row r="525" spans="1:43" s="270" customFormat="1" x14ac:dyDescent="0.25">
      <c r="A525" s="271">
        <v>501444</v>
      </c>
      <c r="B525" s="271">
        <v>1444</v>
      </c>
      <c r="C525" s="271">
        <v>59420</v>
      </c>
      <c r="D525" s="268" t="s">
        <v>894</v>
      </c>
      <c r="E525" s="268" t="s">
        <v>1290</v>
      </c>
      <c r="F525" s="268" t="s">
        <v>1290</v>
      </c>
      <c r="G525" s="268">
        <v>15</v>
      </c>
      <c r="H525" s="268" t="s">
        <v>3003</v>
      </c>
      <c r="I525" s="268" t="s">
        <v>3133</v>
      </c>
      <c r="J525" s="458">
        <v>172518.17260439461</v>
      </c>
      <c r="K525" s="458">
        <v>14376.514383699552</v>
      </c>
      <c r="L525" s="458">
        <v>11194.760870699611</v>
      </c>
      <c r="M525" s="456">
        <v>0</v>
      </c>
      <c r="N525" s="458">
        <v>119.49693843813893</v>
      </c>
      <c r="O525" s="459">
        <v>0</v>
      </c>
      <c r="P525" s="459">
        <v>3019.0680205769058</v>
      </c>
      <c r="Q525" s="458">
        <v>55400.108403681625</v>
      </c>
      <c r="R525" s="458">
        <v>31174.033789614106</v>
      </c>
      <c r="S525" s="458">
        <v>1959.7497903854783</v>
      </c>
      <c r="T525" s="457"/>
      <c r="U525" s="425"/>
      <c r="V525" s="425"/>
      <c r="W525" s="425"/>
      <c r="X525" s="425"/>
      <c r="Y525" s="425"/>
      <c r="Z525" s="425"/>
      <c r="AA525" s="425"/>
      <c r="AB525" s="425"/>
      <c r="AC525" s="425"/>
      <c r="AD525" s="425"/>
      <c r="AE525" s="425"/>
      <c r="AG525" s="425"/>
      <c r="AH525" s="425"/>
      <c r="AI525" s="425"/>
      <c r="AJ525" s="425"/>
      <c r="AK525" s="425"/>
      <c r="AL525" s="425"/>
      <c r="AM525" s="425"/>
      <c r="AN525" s="425"/>
      <c r="AO525" s="425"/>
      <c r="AP525" s="425"/>
      <c r="AQ525" s="425"/>
    </row>
    <row r="526" spans="1:43" s="270" customFormat="1" x14ac:dyDescent="0.25">
      <c r="A526" s="271">
        <v>501443</v>
      </c>
      <c r="B526" s="271">
        <v>1443</v>
      </c>
      <c r="C526" s="271">
        <v>59462</v>
      </c>
      <c r="D526" s="268" t="s">
        <v>894</v>
      </c>
      <c r="E526" s="268" t="s">
        <v>1278</v>
      </c>
      <c r="F526" s="268" t="s">
        <v>2627</v>
      </c>
      <c r="G526" s="268">
        <v>15</v>
      </c>
      <c r="H526" s="268" t="s">
        <v>3160</v>
      </c>
      <c r="I526" s="268" t="s">
        <v>3133</v>
      </c>
      <c r="J526" s="458">
        <v>172518.17260439461</v>
      </c>
      <c r="K526" s="458">
        <v>14376.514383699552</v>
      </c>
      <c r="L526" s="458">
        <v>11194.760870699611</v>
      </c>
      <c r="M526" s="456">
        <v>0</v>
      </c>
      <c r="N526" s="458">
        <v>119.49693843813893</v>
      </c>
      <c r="O526" s="459">
        <v>0</v>
      </c>
      <c r="P526" s="459">
        <v>3019.0680205769058</v>
      </c>
      <c r="Q526" s="458">
        <v>55400.108403681625</v>
      </c>
      <c r="R526" s="458">
        <v>31174.033789614106</v>
      </c>
      <c r="S526" s="458">
        <v>1959.7497903854783</v>
      </c>
      <c r="T526" s="457"/>
      <c r="U526" s="425"/>
      <c r="V526" s="425"/>
      <c r="W526" s="425"/>
      <c r="X526" s="425"/>
      <c r="Y526" s="425"/>
      <c r="Z526" s="425"/>
      <c r="AA526" s="425"/>
      <c r="AB526" s="425"/>
      <c r="AC526" s="425"/>
      <c r="AD526" s="425"/>
      <c r="AE526" s="425"/>
      <c r="AG526" s="425"/>
      <c r="AH526" s="425"/>
      <c r="AI526" s="425"/>
      <c r="AJ526" s="425"/>
      <c r="AK526" s="425"/>
      <c r="AL526" s="425"/>
      <c r="AM526" s="425"/>
      <c r="AN526" s="425"/>
      <c r="AO526" s="425"/>
      <c r="AP526" s="425"/>
      <c r="AQ526" s="425"/>
    </row>
    <row r="527" spans="1:43" s="270" customFormat="1" x14ac:dyDescent="0.25">
      <c r="A527" s="271">
        <v>501406</v>
      </c>
      <c r="B527" s="271">
        <v>1406</v>
      </c>
      <c r="C527" s="271">
        <v>59585</v>
      </c>
      <c r="D527" s="268" t="s">
        <v>894</v>
      </c>
      <c r="E527" s="268" t="s">
        <v>1278</v>
      </c>
      <c r="F527" s="268" t="s">
        <v>2415</v>
      </c>
      <c r="G527" s="268">
        <v>15</v>
      </c>
      <c r="H527" s="268" t="s">
        <v>3161</v>
      </c>
      <c r="I527" s="268" t="s">
        <v>3133</v>
      </c>
      <c r="J527" s="458">
        <v>172518.17260439461</v>
      </c>
      <c r="K527" s="458">
        <v>14376.514383699552</v>
      </c>
      <c r="L527" s="458">
        <v>11194.760870699611</v>
      </c>
      <c r="M527" s="456">
        <v>0</v>
      </c>
      <c r="N527" s="458">
        <v>119.49693843813893</v>
      </c>
      <c r="O527" s="459">
        <v>0</v>
      </c>
      <c r="P527" s="459">
        <v>3019.0680205769058</v>
      </c>
      <c r="Q527" s="458">
        <v>55400.108403681625</v>
      </c>
      <c r="R527" s="458">
        <v>31174.033789614106</v>
      </c>
      <c r="S527" s="458">
        <v>1959.7497903854783</v>
      </c>
      <c r="T527" s="457"/>
      <c r="U527" s="425"/>
      <c r="V527" s="425"/>
      <c r="W527" s="425"/>
      <c r="X527" s="425"/>
      <c r="Y527" s="425"/>
      <c r="Z527" s="425"/>
      <c r="AA527" s="425"/>
      <c r="AB527" s="425"/>
      <c r="AC527" s="425"/>
      <c r="AD527" s="425"/>
      <c r="AE527" s="425"/>
      <c r="AG527" s="425"/>
      <c r="AH527" s="425"/>
      <c r="AI527" s="425"/>
      <c r="AJ527" s="425"/>
      <c r="AK527" s="425"/>
      <c r="AL527" s="425"/>
      <c r="AM527" s="425"/>
      <c r="AN527" s="425"/>
      <c r="AO527" s="425"/>
      <c r="AP527" s="425"/>
      <c r="AQ527" s="425"/>
    </row>
    <row r="528" spans="1:43" s="270" customFormat="1" x14ac:dyDescent="0.25">
      <c r="A528" s="271">
        <v>501444</v>
      </c>
      <c r="B528" s="271">
        <v>1444</v>
      </c>
      <c r="C528" s="271">
        <v>59828</v>
      </c>
      <c r="D528" s="268" t="s">
        <v>894</v>
      </c>
      <c r="E528" s="268" t="s">
        <v>1278</v>
      </c>
      <c r="F528" s="268" t="s">
        <v>2768</v>
      </c>
      <c r="G528" s="268">
        <v>15</v>
      </c>
      <c r="H528" s="268" t="s">
        <v>3162</v>
      </c>
      <c r="I528" s="268" t="s">
        <v>3133</v>
      </c>
      <c r="J528" s="458">
        <v>172518.17260439461</v>
      </c>
      <c r="K528" s="458">
        <v>14376.514383699552</v>
      </c>
      <c r="L528" s="458">
        <v>11194.760870699611</v>
      </c>
      <c r="M528" s="456">
        <v>0</v>
      </c>
      <c r="N528" s="458">
        <v>119.49693843813893</v>
      </c>
      <c r="O528" s="459">
        <v>0</v>
      </c>
      <c r="P528" s="459">
        <v>3019.0680205769058</v>
      </c>
      <c r="Q528" s="458">
        <v>55400.108403681625</v>
      </c>
      <c r="R528" s="458">
        <v>31174.033789614106</v>
      </c>
      <c r="S528" s="458">
        <v>1959.7497903854783</v>
      </c>
      <c r="T528" s="457"/>
      <c r="U528" s="425"/>
      <c r="V528" s="425"/>
      <c r="W528" s="425"/>
      <c r="X528" s="425"/>
      <c r="Y528" s="425"/>
      <c r="Z528" s="425"/>
      <c r="AA528" s="425"/>
      <c r="AB528" s="425"/>
      <c r="AC528" s="425"/>
      <c r="AD528" s="425"/>
      <c r="AE528" s="425"/>
      <c r="AG528" s="425"/>
      <c r="AH528" s="425"/>
      <c r="AI528" s="425"/>
      <c r="AJ528" s="425"/>
      <c r="AK528" s="425"/>
      <c r="AL528" s="425"/>
      <c r="AM528" s="425"/>
      <c r="AN528" s="425"/>
      <c r="AO528" s="425"/>
      <c r="AP528" s="425"/>
      <c r="AQ528" s="425"/>
    </row>
    <row r="529" spans="1:43" s="270" customFormat="1" x14ac:dyDescent="0.25">
      <c r="A529" s="271">
        <v>501443</v>
      </c>
      <c r="B529" s="271">
        <v>1443</v>
      </c>
      <c r="C529" s="271">
        <v>83661</v>
      </c>
      <c r="D529" s="268" t="s">
        <v>894</v>
      </c>
      <c r="E529" s="268" t="s">
        <v>1290</v>
      </c>
      <c r="F529" s="268" t="s">
        <v>3163</v>
      </c>
      <c r="G529" s="268">
        <v>15</v>
      </c>
      <c r="H529" s="268" t="s">
        <v>3164</v>
      </c>
      <c r="I529" s="268" t="s">
        <v>3133</v>
      </c>
      <c r="J529" s="458">
        <v>172518.17260439461</v>
      </c>
      <c r="K529" s="458">
        <v>14376.514383699552</v>
      </c>
      <c r="L529" s="458">
        <v>11194.760870699611</v>
      </c>
      <c r="M529" s="456">
        <v>0</v>
      </c>
      <c r="N529" s="458">
        <v>119.49693843813893</v>
      </c>
      <c r="O529" s="459">
        <v>0</v>
      </c>
      <c r="P529" s="459">
        <v>3019.0680205769058</v>
      </c>
      <c r="Q529" s="458">
        <v>55400.108403681625</v>
      </c>
      <c r="R529" s="458">
        <v>31174.033789614106</v>
      </c>
      <c r="S529" s="458">
        <v>1959.7497903854783</v>
      </c>
      <c r="T529" s="457"/>
      <c r="U529" s="425"/>
      <c r="V529" s="425"/>
      <c r="W529" s="425"/>
      <c r="X529" s="425"/>
      <c r="Y529" s="425"/>
      <c r="Z529" s="425"/>
      <c r="AA529" s="425"/>
      <c r="AB529" s="425"/>
      <c r="AC529" s="425"/>
      <c r="AD529" s="425"/>
      <c r="AE529" s="425"/>
      <c r="AG529" s="425"/>
      <c r="AH529" s="425"/>
      <c r="AI529" s="425"/>
      <c r="AJ529" s="425"/>
      <c r="AK529" s="425"/>
      <c r="AL529" s="425"/>
      <c r="AM529" s="425"/>
      <c r="AN529" s="425"/>
      <c r="AO529" s="425"/>
      <c r="AP529" s="425"/>
      <c r="AQ529" s="425"/>
    </row>
    <row r="530" spans="1:43" s="270" customFormat="1" x14ac:dyDescent="0.25">
      <c r="A530" s="271">
        <v>501444</v>
      </c>
      <c r="B530" s="271">
        <v>1444</v>
      </c>
      <c r="C530" s="271">
        <v>84592</v>
      </c>
      <c r="D530" s="268" t="s">
        <v>876</v>
      </c>
      <c r="E530" s="268" t="s">
        <v>1290</v>
      </c>
      <c r="F530" s="268" t="s">
        <v>3165</v>
      </c>
      <c r="G530" s="268">
        <v>15</v>
      </c>
      <c r="H530" s="268" t="s">
        <v>3166</v>
      </c>
      <c r="I530" s="268" t="s">
        <v>3133</v>
      </c>
      <c r="J530" s="458">
        <v>172518.17260439461</v>
      </c>
      <c r="K530" s="458">
        <v>14376.514383699552</v>
      </c>
      <c r="L530" s="458">
        <v>11194.760870699611</v>
      </c>
      <c r="M530" s="456">
        <v>0</v>
      </c>
      <c r="N530" s="458">
        <v>119.49693843813893</v>
      </c>
      <c r="O530" s="459">
        <v>0</v>
      </c>
      <c r="P530" s="459">
        <v>3019.0680205769058</v>
      </c>
      <c r="Q530" s="458">
        <v>55400.108403681625</v>
      </c>
      <c r="R530" s="458">
        <v>31174.033789614106</v>
      </c>
      <c r="S530" s="458">
        <v>1959.7497903854783</v>
      </c>
      <c r="T530" s="457"/>
      <c r="U530" s="425"/>
      <c r="V530" s="425"/>
      <c r="W530" s="425"/>
      <c r="X530" s="425"/>
      <c r="Y530" s="425"/>
      <c r="Z530" s="425"/>
      <c r="AA530" s="425"/>
      <c r="AB530" s="425"/>
      <c r="AC530" s="425"/>
      <c r="AD530" s="425"/>
      <c r="AE530" s="425"/>
      <c r="AG530" s="425"/>
      <c r="AH530" s="425"/>
      <c r="AI530" s="425"/>
      <c r="AJ530" s="425"/>
      <c r="AK530" s="425"/>
      <c r="AL530" s="425"/>
      <c r="AM530" s="425"/>
      <c r="AN530" s="425"/>
      <c r="AO530" s="425"/>
      <c r="AP530" s="425"/>
      <c r="AQ530" s="425"/>
    </row>
    <row r="531" spans="1:43" s="270" customFormat="1" x14ac:dyDescent="0.25">
      <c r="A531" s="271">
        <v>501444</v>
      </c>
      <c r="B531" s="271">
        <v>1444</v>
      </c>
      <c r="C531" s="271">
        <v>84602</v>
      </c>
      <c r="D531" s="268" t="s">
        <v>894</v>
      </c>
      <c r="E531" s="268" t="s">
        <v>1290</v>
      </c>
      <c r="F531" s="268" t="s">
        <v>1304</v>
      </c>
      <c r="G531" s="268">
        <v>15</v>
      </c>
      <c r="H531" s="268" t="s">
        <v>3167</v>
      </c>
      <c r="I531" s="268" t="s">
        <v>3133</v>
      </c>
      <c r="J531" s="458">
        <v>172518.17260439461</v>
      </c>
      <c r="K531" s="458">
        <v>14376.514383699552</v>
      </c>
      <c r="L531" s="458">
        <v>11194.760870699611</v>
      </c>
      <c r="M531" s="456">
        <v>0</v>
      </c>
      <c r="N531" s="458">
        <v>119.49693843813893</v>
      </c>
      <c r="O531" s="459">
        <v>0</v>
      </c>
      <c r="P531" s="459">
        <v>3019.0680205769058</v>
      </c>
      <c r="Q531" s="458">
        <v>55400.108403681625</v>
      </c>
      <c r="R531" s="458">
        <v>31174.033789614106</v>
      </c>
      <c r="S531" s="458">
        <v>1959.7497903854783</v>
      </c>
      <c r="T531" s="457"/>
      <c r="U531" s="425"/>
      <c r="V531" s="425"/>
      <c r="W531" s="425"/>
      <c r="X531" s="425"/>
      <c r="Y531" s="425"/>
      <c r="Z531" s="425"/>
      <c r="AA531" s="425"/>
      <c r="AB531" s="425"/>
      <c r="AC531" s="425"/>
      <c r="AD531" s="425"/>
      <c r="AE531" s="425"/>
      <c r="AG531" s="425"/>
      <c r="AH531" s="425"/>
      <c r="AI531" s="425"/>
      <c r="AJ531" s="425"/>
      <c r="AK531" s="425"/>
      <c r="AL531" s="425"/>
      <c r="AM531" s="425"/>
      <c r="AN531" s="425"/>
      <c r="AO531" s="425"/>
      <c r="AP531" s="425"/>
      <c r="AQ531" s="425"/>
    </row>
    <row r="532" spans="1:43" s="270" customFormat="1" x14ac:dyDescent="0.25">
      <c r="A532" s="271">
        <v>501443</v>
      </c>
      <c r="B532" s="271">
        <v>1443</v>
      </c>
      <c r="C532" s="271">
        <v>200009</v>
      </c>
      <c r="D532" s="268" t="s">
        <v>894</v>
      </c>
      <c r="E532" s="268" t="s">
        <v>1278</v>
      </c>
      <c r="F532" s="268" t="s">
        <v>2273</v>
      </c>
      <c r="G532" s="268">
        <v>15</v>
      </c>
      <c r="H532" s="268" t="s">
        <v>2853</v>
      </c>
      <c r="I532" s="268" t="s">
        <v>3133</v>
      </c>
      <c r="J532" s="458">
        <v>172518.17260439461</v>
      </c>
      <c r="K532" s="458">
        <v>14376.514383699552</v>
      </c>
      <c r="L532" s="458">
        <v>11194.760870699611</v>
      </c>
      <c r="M532" s="456">
        <v>0</v>
      </c>
      <c r="N532" s="458">
        <v>119.49693843813893</v>
      </c>
      <c r="O532" s="459">
        <v>0</v>
      </c>
      <c r="P532" s="459">
        <v>3019.0680205769058</v>
      </c>
      <c r="Q532" s="458">
        <v>55400.108403681625</v>
      </c>
      <c r="R532" s="458">
        <v>31174.033789614106</v>
      </c>
      <c r="S532" s="458">
        <v>1959.7497903854783</v>
      </c>
      <c r="T532" s="457"/>
      <c r="U532" s="425"/>
      <c r="V532" s="425"/>
      <c r="W532" s="425"/>
      <c r="X532" s="425"/>
      <c r="Y532" s="425"/>
      <c r="Z532" s="425"/>
      <c r="AA532" s="425"/>
      <c r="AB532" s="425"/>
      <c r="AC532" s="425"/>
      <c r="AD532" s="425"/>
      <c r="AE532" s="425"/>
      <c r="AG532" s="425"/>
      <c r="AH532" s="425"/>
      <c r="AI532" s="425"/>
      <c r="AJ532" s="425"/>
      <c r="AK532" s="425"/>
      <c r="AL532" s="425"/>
      <c r="AM532" s="425"/>
      <c r="AN532" s="425"/>
      <c r="AO532" s="425"/>
      <c r="AP532" s="425"/>
      <c r="AQ532" s="425"/>
    </row>
    <row r="533" spans="1:43" s="270" customFormat="1" x14ac:dyDescent="0.25">
      <c r="A533" s="271">
        <v>501443</v>
      </c>
      <c r="B533" s="271">
        <v>1443</v>
      </c>
      <c r="C533" s="271">
        <v>200010</v>
      </c>
      <c r="D533" s="268" t="s">
        <v>894</v>
      </c>
      <c r="E533" s="268" t="s">
        <v>1278</v>
      </c>
      <c r="F533" s="268" t="s">
        <v>3168</v>
      </c>
      <c r="G533" s="268">
        <v>15</v>
      </c>
      <c r="H533" s="268" t="s">
        <v>2664</v>
      </c>
      <c r="I533" s="268" t="s">
        <v>3133</v>
      </c>
      <c r="J533" s="458">
        <v>172518.17260439461</v>
      </c>
      <c r="K533" s="458">
        <v>14376.514383699552</v>
      </c>
      <c r="L533" s="458">
        <v>11194.760870699611</v>
      </c>
      <c r="M533" s="456">
        <v>0</v>
      </c>
      <c r="N533" s="458">
        <v>119.49693843813893</v>
      </c>
      <c r="O533" s="459">
        <v>0</v>
      </c>
      <c r="P533" s="459">
        <v>3019.0680205769058</v>
      </c>
      <c r="Q533" s="458">
        <v>55400.108403681625</v>
      </c>
      <c r="R533" s="458">
        <v>31174.033789614106</v>
      </c>
      <c r="S533" s="458">
        <v>1959.7497903854783</v>
      </c>
      <c r="T533" s="457"/>
      <c r="U533" s="425"/>
      <c r="V533" s="425"/>
      <c r="W533" s="425"/>
      <c r="X533" s="425"/>
      <c r="Y533" s="425"/>
      <c r="Z533" s="425"/>
      <c r="AA533" s="425"/>
      <c r="AB533" s="425"/>
      <c r="AC533" s="425"/>
      <c r="AD533" s="425"/>
      <c r="AE533" s="425"/>
      <c r="AG533" s="425"/>
      <c r="AH533" s="425"/>
      <c r="AI533" s="425"/>
      <c r="AJ533" s="425"/>
      <c r="AK533" s="425"/>
      <c r="AL533" s="425"/>
      <c r="AM533" s="425"/>
      <c r="AN533" s="425"/>
      <c r="AO533" s="425"/>
      <c r="AP533" s="425"/>
      <c r="AQ533" s="425"/>
    </row>
    <row r="534" spans="1:43" s="270" customFormat="1" x14ac:dyDescent="0.25">
      <c r="A534" s="271">
        <v>501443</v>
      </c>
      <c r="B534" s="271">
        <v>1443</v>
      </c>
      <c r="C534" s="271">
        <v>200016</v>
      </c>
      <c r="D534" s="268" t="s">
        <v>894</v>
      </c>
      <c r="E534" s="268" t="s">
        <v>1278</v>
      </c>
      <c r="F534" s="268" t="s">
        <v>2660</v>
      </c>
      <c r="G534" s="268">
        <v>15</v>
      </c>
      <c r="H534" s="268" t="s">
        <v>2559</v>
      </c>
      <c r="I534" s="268" t="s">
        <v>3133</v>
      </c>
      <c r="J534" s="458">
        <v>172518.17260439461</v>
      </c>
      <c r="K534" s="458">
        <v>14376.514383699552</v>
      </c>
      <c r="L534" s="458">
        <v>11194.760870699611</v>
      </c>
      <c r="M534" s="456">
        <v>0</v>
      </c>
      <c r="N534" s="458">
        <v>119.49693843813893</v>
      </c>
      <c r="O534" s="459">
        <v>0</v>
      </c>
      <c r="P534" s="459">
        <v>3019.0680205769058</v>
      </c>
      <c r="Q534" s="458">
        <v>55400.108403681625</v>
      </c>
      <c r="R534" s="458">
        <v>31174.033789614106</v>
      </c>
      <c r="S534" s="458">
        <v>1959.7497903854783</v>
      </c>
      <c r="T534" s="457"/>
      <c r="U534" s="425"/>
      <c r="V534" s="425"/>
      <c r="W534" s="425"/>
      <c r="X534" s="425"/>
      <c r="Y534" s="425"/>
      <c r="Z534" s="425"/>
      <c r="AA534" s="425"/>
      <c r="AB534" s="425"/>
      <c r="AC534" s="425"/>
      <c r="AD534" s="425"/>
      <c r="AE534" s="425"/>
      <c r="AG534" s="425"/>
      <c r="AH534" s="425"/>
      <c r="AI534" s="425"/>
      <c r="AJ534" s="425"/>
      <c r="AK534" s="425"/>
      <c r="AL534" s="425"/>
      <c r="AM534" s="425"/>
      <c r="AN534" s="425"/>
      <c r="AO534" s="425"/>
      <c r="AP534" s="425"/>
      <c r="AQ534" s="425"/>
    </row>
    <row r="535" spans="1:43" s="270" customFormat="1" x14ac:dyDescent="0.25">
      <c r="A535" s="271">
        <v>501444</v>
      </c>
      <c r="B535" s="271">
        <v>1444</v>
      </c>
      <c r="C535" s="271">
        <v>200019</v>
      </c>
      <c r="D535" s="268" t="s">
        <v>894</v>
      </c>
      <c r="E535" s="268" t="s">
        <v>1290</v>
      </c>
      <c r="F535" s="268" t="s">
        <v>3169</v>
      </c>
      <c r="G535" s="268">
        <v>15</v>
      </c>
      <c r="H535" s="268" t="s">
        <v>3170</v>
      </c>
      <c r="I535" s="268" t="s">
        <v>3133</v>
      </c>
      <c r="J535" s="458">
        <v>172518.17260439461</v>
      </c>
      <c r="K535" s="458">
        <v>14376.514383699552</v>
      </c>
      <c r="L535" s="458">
        <v>11194.760870699611</v>
      </c>
      <c r="M535" s="456">
        <v>0</v>
      </c>
      <c r="N535" s="458">
        <v>119.49693843813893</v>
      </c>
      <c r="O535" s="459">
        <v>0</v>
      </c>
      <c r="P535" s="459">
        <v>3019.0680205769058</v>
      </c>
      <c r="Q535" s="458">
        <v>55400.108403681625</v>
      </c>
      <c r="R535" s="458">
        <v>31174.033789614106</v>
      </c>
      <c r="S535" s="458">
        <v>1959.7497903854783</v>
      </c>
      <c r="T535" s="457"/>
      <c r="U535" s="425"/>
      <c r="V535" s="425"/>
      <c r="W535" s="425"/>
      <c r="X535" s="425"/>
      <c r="Y535" s="425"/>
      <c r="Z535" s="425"/>
      <c r="AA535" s="425"/>
      <c r="AB535" s="425"/>
      <c r="AC535" s="425"/>
      <c r="AD535" s="425"/>
      <c r="AE535" s="425"/>
      <c r="AG535" s="425"/>
      <c r="AH535" s="425"/>
      <c r="AI535" s="425"/>
      <c r="AJ535" s="425"/>
      <c r="AK535" s="425"/>
      <c r="AL535" s="425"/>
      <c r="AM535" s="425"/>
      <c r="AN535" s="425"/>
      <c r="AO535" s="425"/>
      <c r="AP535" s="425"/>
      <c r="AQ535" s="425"/>
    </row>
    <row r="536" spans="1:43" s="270" customFormat="1" x14ac:dyDescent="0.25">
      <c r="A536" s="271">
        <v>501444</v>
      </c>
      <c r="B536" s="271">
        <v>1444</v>
      </c>
      <c r="C536" s="271">
        <v>200020</v>
      </c>
      <c r="D536" s="268" t="s">
        <v>894</v>
      </c>
      <c r="E536" s="268" t="s">
        <v>1290</v>
      </c>
      <c r="F536" s="268" t="s">
        <v>2506</v>
      </c>
      <c r="G536" s="268">
        <v>15</v>
      </c>
      <c r="H536" s="268" t="s">
        <v>3171</v>
      </c>
      <c r="I536" s="268" t="s">
        <v>3172</v>
      </c>
      <c r="J536" s="458">
        <v>172518.17260439461</v>
      </c>
      <c r="K536" s="458">
        <v>14376.514383699552</v>
      </c>
      <c r="L536" s="458">
        <v>11194.760870699611</v>
      </c>
      <c r="M536" s="456">
        <v>0</v>
      </c>
      <c r="N536" s="458">
        <v>119.49693843813893</v>
      </c>
      <c r="O536" s="459">
        <v>0</v>
      </c>
      <c r="P536" s="459">
        <v>3019.0680205769058</v>
      </c>
      <c r="Q536" s="458">
        <v>55400.108403681625</v>
      </c>
      <c r="R536" s="458">
        <v>31174.033789614106</v>
      </c>
      <c r="S536" s="458">
        <v>1959.7497903854783</v>
      </c>
      <c r="T536" s="457"/>
      <c r="U536" s="425"/>
      <c r="V536" s="425"/>
      <c r="W536" s="425"/>
      <c r="X536" s="425"/>
      <c r="Y536" s="425"/>
      <c r="Z536" s="425"/>
      <c r="AA536" s="425"/>
      <c r="AB536" s="425"/>
      <c r="AC536" s="425"/>
      <c r="AD536" s="425"/>
      <c r="AE536" s="425"/>
      <c r="AG536" s="425"/>
      <c r="AH536" s="425"/>
      <c r="AI536" s="425"/>
      <c r="AJ536" s="425"/>
      <c r="AK536" s="425"/>
      <c r="AL536" s="425"/>
      <c r="AM536" s="425"/>
      <c r="AN536" s="425"/>
      <c r="AO536" s="425"/>
      <c r="AP536" s="425"/>
      <c r="AQ536" s="425"/>
    </row>
    <row r="537" spans="1:43" s="270" customFormat="1" x14ac:dyDescent="0.25">
      <c r="A537" s="271">
        <v>501443</v>
      </c>
      <c r="B537" s="271">
        <v>1443</v>
      </c>
      <c r="C537" s="271">
        <v>200034</v>
      </c>
      <c r="D537" s="268" t="s">
        <v>894</v>
      </c>
      <c r="E537" s="268" t="s">
        <v>1290</v>
      </c>
      <c r="F537" s="268" t="s">
        <v>2742</v>
      </c>
      <c r="G537" s="268">
        <v>15</v>
      </c>
      <c r="H537" s="268" t="s">
        <v>3173</v>
      </c>
      <c r="I537" s="268" t="s">
        <v>3133</v>
      </c>
      <c r="J537" s="458">
        <v>172518.17260439461</v>
      </c>
      <c r="K537" s="458">
        <v>14376.514383699552</v>
      </c>
      <c r="L537" s="458">
        <v>11194.760870699611</v>
      </c>
      <c r="M537" s="456">
        <v>0</v>
      </c>
      <c r="N537" s="458">
        <v>119.49693843813893</v>
      </c>
      <c r="O537" s="459">
        <v>0</v>
      </c>
      <c r="P537" s="459">
        <v>3019.0680205769058</v>
      </c>
      <c r="Q537" s="458">
        <v>55400.108403681625</v>
      </c>
      <c r="R537" s="458">
        <v>31174.033789614106</v>
      </c>
      <c r="S537" s="458">
        <v>1959.7497903854783</v>
      </c>
      <c r="T537" s="457"/>
      <c r="U537" s="425"/>
      <c r="V537" s="425"/>
      <c r="W537" s="425"/>
      <c r="X537" s="425"/>
      <c r="Y537" s="425"/>
      <c r="Z537" s="425"/>
      <c r="AA537" s="425"/>
      <c r="AB537" s="425"/>
      <c r="AC537" s="425"/>
      <c r="AD537" s="425"/>
      <c r="AE537" s="425"/>
      <c r="AG537" s="425"/>
      <c r="AH537" s="425"/>
      <c r="AI537" s="425"/>
      <c r="AJ537" s="425"/>
      <c r="AK537" s="425"/>
      <c r="AL537" s="425"/>
      <c r="AM537" s="425"/>
      <c r="AN537" s="425"/>
      <c r="AO537" s="425"/>
      <c r="AP537" s="425"/>
      <c r="AQ537" s="425"/>
    </row>
    <row r="538" spans="1:43" s="270" customFormat="1" x14ac:dyDescent="0.25">
      <c r="A538" s="271">
        <v>501406</v>
      </c>
      <c r="B538" s="271">
        <v>1406</v>
      </c>
      <c r="C538" s="271">
        <v>200116</v>
      </c>
      <c r="D538" s="268" t="s">
        <v>894</v>
      </c>
      <c r="E538" s="268" t="s">
        <v>1278</v>
      </c>
      <c r="F538" s="268" t="s">
        <v>3174</v>
      </c>
      <c r="G538" s="268">
        <v>15</v>
      </c>
      <c r="H538" s="268" t="s">
        <v>3175</v>
      </c>
      <c r="I538" s="268" t="s">
        <v>3133</v>
      </c>
      <c r="J538" s="458">
        <v>172518.17260439461</v>
      </c>
      <c r="K538" s="458">
        <v>14376.514383699552</v>
      </c>
      <c r="L538" s="458">
        <v>11194.760870699611</v>
      </c>
      <c r="M538" s="456">
        <v>0</v>
      </c>
      <c r="N538" s="458">
        <v>119.49693843813893</v>
      </c>
      <c r="O538" s="459">
        <v>0</v>
      </c>
      <c r="P538" s="459">
        <v>3019.0680205769058</v>
      </c>
      <c r="Q538" s="458">
        <v>55400.108403681625</v>
      </c>
      <c r="R538" s="458">
        <v>31174.033789614106</v>
      </c>
      <c r="S538" s="458">
        <v>1959.7497903854783</v>
      </c>
      <c r="T538" s="457"/>
      <c r="U538" s="425"/>
      <c r="V538" s="425"/>
      <c r="W538" s="425"/>
      <c r="X538" s="425"/>
      <c r="Y538" s="425"/>
      <c r="Z538" s="425"/>
      <c r="AA538" s="425"/>
      <c r="AB538" s="425"/>
      <c r="AC538" s="425"/>
      <c r="AD538" s="425"/>
      <c r="AE538" s="425"/>
      <c r="AG538" s="425"/>
      <c r="AH538" s="425"/>
      <c r="AI538" s="425"/>
      <c r="AJ538" s="425"/>
      <c r="AK538" s="425"/>
      <c r="AL538" s="425"/>
      <c r="AM538" s="425"/>
      <c r="AN538" s="425"/>
      <c r="AO538" s="425"/>
      <c r="AP538" s="425"/>
      <c r="AQ538" s="425"/>
    </row>
    <row r="539" spans="1:43" s="270" customFormat="1" x14ac:dyDescent="0.25">
      <c r="A539" s="271">
        <v>501406</v>
      </c>
      <c r="B539" s="271">
        <v>1406</v>
      </c>
      <c r="C539" s="271">
        <v>200128</v>
      </c>
      <c r="D539" s="268" t="s">
        <v>894</v>
      </c>
      <c r="E539" s="268" t="s">
        <v>1290</v>
      </c>
      <c r="F539" s="268" t="s">
        <v>2584</v>
      </c>
      <c r="G539" s="268">
        <v>15</v>
      </c>
      <c r="H539" s="268" t="s">
        <v>3176</v>
      </c>
      <c r="I539" s="268" t="s">
        <v>3133</v>
      </c>
      <c r="J539" s="458">
        <v>172518.17260439461</v>
      </c>
      <c r="K539" s="458">
        <v>14376.514383699552</v>
      </c>
      <c r="L539" s="458">
        <v>11194.760870699611</v>
      </c>
      <c r="M539" s="456">
        <v>0</v>
      </c>
      <c r="N539" s="458">
        <v>119.49693843813893</v>
      </c>
      <c r="O539" s="459">
        <v>0</v>
      </c>
      <c r="P539" s="459">
        <v>3019.0680205769058</v>
      </c>
      <c r="Q539" s="458">
        <v>55400.108403681625</v>
      </c>
      <c r="R539" s="458">
        <v>31174.033789614106</v>
      </c>
      <c r="S539" s="458">
        <v>1959.7497903854783</v>
      </c>
      <c r="T539" s="457"/>
      <c r="U539" s="425"/>
      <c r="V539" s="425"/>
      <c r="W539" s="425"/>
      <c r="X539" s="425"/>
      <c r="Y539" s="425"/>
      <c r="Z539" s="425"/>
      <c r="AA539" s="425"/>
      <c r="AB539" s="425"/>
      <c r="AC539" s="425"/>
      <c r="AD539" s="425"/>
      <c r="AE539" s="425"/>
      <c r="AG539" s="425"/>
      <c r="AH539" s="425"/>
      <c r="AI539" s="425"/>
      <c r="AJ539" s="425"/>
      <c r="AK539" s="425"/>
      <c r="AL539" s="425"/>
      <c r="AM539" s="425"/>
      <c r="AN539" s="425"/>
      <c r="AO539" s="425"/>
      <c r="AP539" s="425"/>
      <c r="AQ539" s="425"/>
    </row>
    <row r="540" spans="1:43" s="270" customFormat="1" x14ac:dyDescent="0.25">
      <c r="A540" s="271">
        <v>501406</v>
      </c>
      <c r="B540" s="271">
        <v>1406</v>
      </c>
      <c r="C540" s="271">
        <v>200130</v>
      </c>
      <c r="D540" s="268" t="s">
        <v>894</v>
      </c>
      <c r="E540" s="268" t="s">
        <v>1290</v>
      </c>
      <c r="F540" s="268" t="s">
        <v>3177</v>
      </c>
      <c r="G540" s="268">
        <v>15</v>
      </c>
      <c r="H540" s="268" t="s">
        <v>3178</v>
      </c>
      <c r="I540" s="268" t="s">
        <v>3133</v>
      </c>
      <c r="J540" s="458">
        <v>172518.17260439461</v>
      </c>
      <c r="K540" s="458">
        <v>14376.514383699552</v>
      </c>
      <c r="L540" s="458">
        <v>11194.760870699611</v>
      </c>
      <c r="M540" s="456">
        <v>0</v>
      </c>
      <c r="N540" s="458">
        <v>119.49693843813893</v>
      </c>
      <c r="O540" s="459">
        <v>0</v>
      </c>
      <c r="P540" s="459">
        <v>3019.0680205769058</v>
      </c>
      <c r="Q540" s="458">
        <v>55400.108403681625</v>
      </c>
      <c r="R540" s="458">
        <v>31174.033789614106</v>
      </c>
      <c r="S540" s="458">
        <v>1959.7497903854783</v>
      </c>
      <c r="T540" s="457"/>
      <c r="U540" s="425"/>
      <c r="V540" s="425"/>
      <c r="W540" s="425"/>
      <c r="X540" s="425"/>
      <c r="Y540" s="425"/>
      <c r="Z540" s="425"/>
      <c r="AA540" s="425"/>
      <c r="AB540" s="425"/>
      <c r="AC540" s="425"/>
      <c r="AD540" s="425"/>
      <c r="AE540" s="425"/>
      <c r="AG540" s="425"/>
      <c r="AH540" s="425"/>
      <c r="AI540" s="425"/>
      <c r="AJ540" s="425"/>
      <c r="AK540" s="425"/>
      <c r="AL540" s="425"/>
      <c r="AM540" s="425"/>
      <c r="AN540" s="425"/>
      <c r="AO540" s="425"/>
      <c r="AP540" s="425"/>
      <c r="AQ540" s="425"/>
    </row>
    <row r="541" spans="1:43" s="270" customFormat="1" x14ac:dyDescent="0.25">
      <c r="A541" s="271">
        <v>501506</v>
      </c>
      <c r="B541" s="271">
        <v>1506</v>
      </c>
      <c r="C541" s="271">
        <v>200131</v>
      </c>
      <c r="D541" s="268" t="s">
        <v>894</v>
      </c>
      <c r="E541" s="268" t="s">
        <v>1290</v>
      </c>
      <c r="F541" s="268" t="s">
        <v>3179</v>
      </c>
      <c r="G541" s="268">
        <v>15</v>
      </c>
      <c r="H541" s="268" t="s">
        <v>3180</v>
      </c>
      <c r="I541" s="268" t="s">
        <v>3133</v>
      </c>
      <c r="J541" s="458">
        <v>172518.17260439461</v>
      </c>
      <c r="K541" s="458">
        <v>14376.514383699552</v>
      </c>
      <c r="L541" s="458">
        <v>11194.760870699611</v>
      </c>
      <c r="M541" s="456">
        <v>0</v>
      </c>
      <c r="N541" s="458">
        <v>119.49693843813893</v>
      </c>
      <c r="O541" s="459">
        <v>0</v>
      </c>
      <c r="P541" s="459">
        <v>3019.0680205769058</v>
      </c>
      <c r="Q541" s="458">
        <v>55400.108403681625</v>
      </c>
      <c r="R541" s="458">
        <v>31174.033789614106</v>
      </c>
      <c r="S541" s="458">
        <v>1959.7497903854783</v>
      </c>
      <c r="T541" s="457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G541" s="425"/>
      <c r="AH541" s="425"/>
      <c r="AI541" s="425"/>
      <c r="AJ541" s="425"/>
      <c r="AK541" s="425"/>
      <c r="AL541" s="425"/>
      <c r="AM541" s="425"/>
      <c r="AN541" s="425"/>
      <c r="AO541" s="425"/>
      <c r="AP541" s="425"/>
      <c r="AQ541" s="425"/>
    </row>
    <row r="542" spans="1:43" s="270" customFormat="1" x14ac:dyDescent="0.25">
      <c r="A542" s="271">
        <v>501406</v>
      </c>
      <c r="B542" s="271">
        <v>1406</v>
      </c>
      <c r="C542" s="271">
        <v>200134</v>
      </c>
      <c r="D542" s="268" t="s">
        <v>894</v>
      </c>
      <c r="E542" s="268" t="s">
        <v>1290</v>
      </c>
      <c r="F542" s="268" t="s">
        <v>3181</v>
      </c>
      <c r="G542" s="268">
        <v>15</v>
      </c>
      <c r="H542" s="268" t="s">
        <v>3182</v>
      </c>
      <c r="I542" s="268" t="s">
        <v>3133</v>
      </c>
      <c r="J542" s="458">
        <v>172518.17260439461</v>
      </c>
      <c r="K542" s="458">
        <v>14376.514383699552</v>
      </c>
      <c r="L542" s="458">
        <v>11194.760870699611</v>
      </c>
      <c r="M542" s="456">
        <v>0</v>
      </c>
      <c r="N542" s="458">
        <v>119.49693843813893</v>
      </c>
      <c r="O542" s="459">
        <v>0</v>
      </c>
      <c r="P542" s="459">
        <v>3019.0680205769058</v>
      </c>
      <c r="Q542" s="458">
        <v>55400.108403681625</v>
      </c>
      <c r="R542" s="458">
        <v>31174.033789614106</v>
      </c>
      <c r="S542" s="458">
        <v>1959.7497903854783</v>
      </c>
      <c r="T542" s="457"/>
      <c r="U542" s="425"/>
      <c r="V542" s="425"/>
      <c r="W542" s="425"/>
      <c r="X542" s="425"/>
      <c r="Y542" s="425"/>
      <c r="Z542" s="425"/>
      <c r="AA542" s="425"/>
      <c r="AB542" s="425"/>
      <c r="AC542" s="425"/>
      <c r="AD542" s="425"/>
      <c r="AE542" s="425"/>
      <c r="AG542" s="425"/>
      <c r="AH542" s="425"/>
      <c r="AI542" s="425"/>
      <c r="AJ542" s="425"/>
      <c r="AK542" s="425"/>
      <c r="AL542" s="425"/>
      <c r="AM542" s="425"/>
      <c r="AN542" s="425"/>
      <c r="AO542" s="425"/>
      <c r="AP542" s="425"/>
      <c r="AQ542" s="425"/>
    </row>
    <row r="543" spans="1:43" s="270" customFormat="1" x14ac:dyDescent="0.25">
      <c r="A543" s="271">
        <v>501506</v>
      </c>
      <c r="B543" s="271">
        <v>1506</v>
      </c>
      <c r="C543" s="271">
        <v>200148</v>
      </c>
      <c r="D543" s="268" t="s">
        <v>894</v>
      </c>
      <c r="E543" s="268" t="s">
        <v>1278</v>
      </c>
      <c r="F543" s="268" t="s">
        <v>1293</v>
      </c>
      <c r="G543" s="268">
        <v>15</v>
      </c>
      <c r="H543" s="268" t="s">
        <v>3183</v>
      </c>
      <c r="I543" s="268" t="s">
        <v>3133</v>
      </c>
      <c r="J543" s="458">
        <v>172518.17260439461</v>
      </c>
      <c r="K543" s="458">
        <v>14376.514383699552</v>
      </c>
      <c r="L543" s="458">
        <v>11194.760870699611</v>
      </c>
      <c r="M543" s="456">
        <v>0</v>
      </c>
      <c r="N543" s="458">
        <v>119.49693843813893</v>
      </c>
      <c r="O543" s="459">
        <v>0</v>
      </c>
      <c r="P543" s="459">
        <v>3019.0680205769058</v>
      </c>
      <c r="Q543" s="458">
        <v>55400.108403681625</v>
      </c>
      <c r="R543" s="458">
        <v>31174.033789614106</v>
      </c>
      <c r="S543" s="458">
        <v>1959.7497903854783</v>
      </c>
      <c r="T543" s="457"/>
      <c r="U543" s="425"/>
      <c r="V543" s="425"/>
      <c r="W543" s="425"/>
      <c r="X543" s="425"/>
      <c r="Y543" s="425"/>
      <c r="Z543" s="425"/>
      <c r="AA543" s="425"/>
      <c r="AB543" s="425"/>
      <c r="AC543" s="425"/>
      <c r="AD543" s="425"/>
      <c r="AE543" s="425"/>
      <c r="AG543" s="425"/>
      <c r="AH543" s="425"/>
      <c r="AI543" s="425"/>
      <c r="AJ543" s="425"/>
      <c r="AK543" s="425"/>
      <c r="AL543" s="425"/>
      <c r="AM543" s="425"/>
      <c r="AN543" s="425"/>
      <c r="AO543" s="425"/>
      <c r="AP543" s="425"/>
      <c r="AQ543" s="425"/>
    </row>
    <row r="544" spans="1:43" s="270" customFormat="1" x14ac:dyDescent="0.25">
      <c r="A544" s="271">
        <v>501506</v>
      </c>
      <c r="B544" s="271">
        <v>1506</v>
      </c>
      <c r="C544" s="271">
        <v>200149</v>
      </c>
      <c r="D544" s="268" t="s">
        <v>894</v>
      </c>
      <c r="E544" s="268" t="s">
        <v>1278</v>
      </c>
      <c r="F544" s="268" t="s">
        <v>3184</v>
      </c>
      <c r="G544" s="268">
        <v>15</v>
      </c>
      <c r="H544" s="268" t="s">
        <v>3185</v>
      </c>
      <c r="I544" s="268" t="s">
        <v>3133</v>
      </c>
      <c r="J544" s="458">
        <v>172518.17260439461</v>
      </c>
      <c r="K544" s="458">
        <v>14376.514383699552</v>
      </c>
      <c r="L544" s="458">
        <v>11194.760870699611</v>
      </c>
      <c r="M544" s="456">
        <v>0</v>
      </c>
      <c r="N544" s="458">
        <v>119.49693843813893</v>
      </c>
      <c r="O544" s="459">
        <v>0</v>
      </c>
      <c r="P544" s="459">
        <v>3019.0680205769058</v>
      </c>
      <c r="Q544" s="458">
        <v>55400.108403681625</v>
      </c>
      <c r="R544" s="458">
        <v>31174.033789614106</v>
      </c>
      <c r="S544" s="458">
        <v>1959.7497903854783</v>
      </c>
      <c r="T544" s="457"/>
      <c r="U544" s="425"/>
      <c r="V544" s="425"/>
      <c r="W544" s="425"/>
      <c r="X544" s="425"/>
      <c r="Y544" s="425"/>
      <c r="Z544" s="425"/>
      <c r="AA544" s="425"/>
      <c r="AB544" s="425"/>
      <c r="AC544" s="425"/>
      <c r="AD544" s="425"/>
      <c r="AE544" s="425"/>
      <c r="AG544" s="425"/>
      <c r="AH544" s="425"/>
      <c r="AI544" s="425"/>
      <c r="AJ544" s="425"/>
      <c r="AK544" s="425"/>
      <c r="AL544" s="425"/>
      <c r="AM544" s="425"/>
      <c r="AN544" s="425"/>
      <c r="AO544" s="425"/>
      <c r="AP544" s="425"/>
      <c r="AQ544" s="425"/>
    </row>
    <row r="545" spans="1:43" s="270" customFormat="1" x14ac:dyDescent="0.25">
      <c r="A545" s="271">
        <v>501506</v>
      </c>
      <c r="B545" s="271">
        <v>1506</v>
      </c>
      <c r="C545" s="271">
        <v>200151</v>
      </c>
      <c r="D545" s="268" t="s">
        <v>894</v>
      </c>
      <c r="E545" s="268" t="s">
        <v>1290</v>
      </c>
      <c r="F545" s="268" t="s">
        <v>2742</v>
      </c>
      <c r="G545" s="268">
        <v>15</v>
      </c>
      <c r="H545" s="268" t="s">
        <v>3186</v>
      </c>
      <c r="I545" s="268" t="s">
        <v>3133</v>
      </c>
      <c r="J545" s="458">
        <v>172518.17260439461</v>
      </c>
      <c r="K545" s="458">
        <v>14376.514383699552</v>
      </c>
      <c r="L545" s="458">
        <v>11194.760870699611</v>
      </c>
      <c r="M545" s="456">
        <v>0</v>
      </c>
      <c r="N545" s="458">
        <v>119.49693843813893</v>
      </c>
      <c r="O545" s="459">
        <v>0</v>
      </c>
      <c r="P545" s="459">
        <v>3019.0680205769058</v>
      </c>
      <c r="Q545" s="458">
        <v>55400.108403681625</v>
      </c>
      <c r="R545" s="458">
        <v>31174.033789614106</v>
      </c>
      <c r="S545" s="458">
        <v>1959.7497903854783</v>
      </c>
      <c r="T545" s="457"/>
      <c r="U545" s="425"/>
      <c r="V545" s="425"/>
      <c r="W545" s="425"/>
      <c r="X545" s="425"/>
      <c r="Y545" s="425"/>
      <c r="Z545" s="425"/>
      <c r="AA545" s="425"/>
      <c r="AB545" s="425"/>
      <c r="AC545" s="425"/>
      <c r="AD545" s="425"/>
      <c r="AE545" s="425"/>
      <c r="AG545" s="425"/>
      <c r="AH545" s="425"/>
      <c r="AI545" s="425"/>
      <c r="AJ545" s="425"/>
      <c r="AK545" s="425"/>
      <c r="AL545" s="425"/>
      <c r="AM545" s="425"/>
      <c r="AN545" s="425"/>
      <c r="AO545" s="425"/>
      <c r="AP545" s="425"/>
      <c r="AQ545" s="425"/>
    </row>
    <row r="546" spans="1:43" s="270" customFormat="1" x14ac:dyDescent="0.25">
      <c r="A546" s="271">
        <v>501506</v>
      </c>
      <c r="B546" s="271">
        <v>1506</v>
      </c>
      <c r="C546" s="271">
        <v>200152</v>
      </c>
      <c r="D546" s="268" t="s">
        <v>894</v>
      </c>
      <c r="E546" s="268" t="s">
        <v>1290</v>
      </c>
      <c r="F546" s="268" t="s">
        <v>2311</v>
      </c>
      <c r="G546" s="268">
        <v>15</v>
      </c>
      <c r="H546" s="268" t="s">
        <v>3187</v>
      </c>
      <c r="I546" s="268" t="s">
        <v>3133</v>
      </c>
      <c r="J546" s="458">
        <v>172518.17260439461</v>
      </c>
      <c r="K546" s="458">
        <v>14376.514383699552</v>
      </c>
      <c r="L546" s="458">
        <v>11194.760870699611</v>
      </c>
      <c r="M546" s="456">
        <v>0</v>
      </c>
      <c r="N546" s="458">
        <v>119.49693843813893</v>
      </c>
      <c r="O546" s="459">
        <v>0</v>
      </c>
      <c r="P546" s="459">
        <v>3019.0680205769058</v>
      </c>
      <c r="Q546" s="458">
        <v>55400.108403681625</v>
      </c>
      <c r="R546" s="458">
        <v>31174.033789614106</v>
      </c>
      <c r="S546" s="458">
        <v>1959.7497903854783</v>
      </c>
      <c r="T546" s="457"/>
      <c r="U546" s="425"/>
      <c r="V546" s="425"/>
      <c r="W546" s="425"/>
      <c r="X546" s="425"/>
      <c r="Y546" s="425"/>
      <c r="Z546" s="425"/>
      <c r="AA546" s="425"/>
      <c r="AB546" s="425"/>
      <c r="AC546" s="425"/>
      <c r="AD546" s="425"/>
      <c r="AE546" s="425"/>
      <c r="AG546" s="425"/>
      <c r="AH546" s="425"/>
      <c r="AI546" s="425"/>
      <c r="AJ546" s="425"/>
      <c r="AK546" s="425"/>
      <c r="AL546" s="425"/>
      <c r="AM546" s="425"/>
      <c r="AN546" s="425"/>
      <c r="AO546" s="425"/>
      <c r="AP546" s="425"/>
      <c r="AQ546" s="425"/>
    </row>
    <row r="547" spans="1:43" s="270" customFormat="1" x14ac:dyDescent="0.25">
      <c r="A547" s="271">
        <v>501445</v>
      </c>
      <c r="B547" s="271">
        <v>1445</v>
      </c>
      <c r="C547" s="271">
        <v>200153</v>
      </c>
      <c r="D547" s="268" t="s">
        <v>894</v>
      </c>
      <c r="E547" s="268" t="s">
        <v>1278</v>
      </c>
      <c r="F547" s="268" t="s">
        <v>3188</v>
      </c>
      <c r="G547" s="268">
        <v>15</v>
      </c>
      <c r="H547" s="268" t="s">
        <v>3189</v>
      </c>
      <c r="I547" s="268" t="s">
        <v>3133</v>
      </c>
      <c r="J547" s="458">
        <v>172518.17260439461</v>
      </c>
      <c r="K547" s="458">
        <v>14376.514383699552</v>
      </c>
      <c r="L547" s="458">
        <v>11194.760870699611</v>
      </c>
      <c r="M547" s="456">
        <v>0</v>
      </c>
      <c r="N547" s="458">
        <v>119.49693843813893</v>
      </c>
      <c r="O547" s="459">
        <v>0</v>
      </c>
      <c r="P547" s="459">
        <v>3019.0680205769058</v>
      </c>
      <c r="Q547" s="458">
        <v>55400.108403681625</v>
      </c>
      <c r="R547" s="458">
        <v>31174.033789614106</v>
      </c>
      <c r="S547" s="458">
        <v>1959.7497903854783</v>
      </c>
      <c r="T547" s="457"/>
      <c r="U547" s="425"/>
      <c r="V547" s="425"/>
      <c r="W547" s="425"/>
      <c r="X547" s="425"/>
      <c r="Y547" s="425"/>
      <c r="Z547" s="425"/>
      <c r="AA547" s="425"/>
      <c r="AB547" s="425"/>
      <c r="AC547" s="425"/>
      <c r="AD547" s="425"/>
      <c r="AE547" s="425"/>
      <c r="AG547" s="425"/>
      <c r="AH547" s="425"/>
      <c r="AI547" s="425"/>
      <c r="AJ547" s="425"/>
      <c r="AK547" s="425"/>
      <c r="AL547" s="425"/>
      <c r="AM547" s="425"/>
      <c r="AN547" s="425"/>
      <c r="AO547" s="425"/>
      <c r="AP547" s="425"/>
      <c r="AQ547" s="425"/>
    </row>
    <row r="548" spans="1:43" s="270" customFormat="1" x14ac:dyDescent="0.25">
      <c r="A548" s="271">
        <v>501506</v>
      </c>
      <c r="B548" s="271">
        <v>1506</v>
      </c>
      <c r="C548" s="271">
        <v>200154</v>
      </c>
      <c r="D548" s="268" t="s">
        <v>894</v>
      </c>
      <c r="E548" s="268" t="s">
        <v>1290</v>
      </c>
      <c r="F548" s="268" t="s">
        <v>3190</v>
      </c>
      <c r="G548" s="268">
        <v>15</v>
      </c>
      <c r="H548" s="268" t="s">
        <v>2839</v>
      </c>
      <c r="I548" s="268" t="s">
        <v>3133</v>
      </c>
      <c r="J548" s="458">
        <v>172518.17260439461</v>
      </c>
      <c r="K548" s="458">
        <v>14376.514383699552</v>
      </c>
      <c r="L548" s="458">
        <v>11194.760870699611</v>
      </c>
      <c r="M548" s="456">
        <v>0</v>
      </c>
      <c r="N548" s="458">
        <v>119.49693843813893</v>
      </c>
      <c r="O548" s="459">
        <v>0</v>
      </c>
      <c r="P548" s="459">
        <v>3019.0680205769058</v>
      </c>
      <c r="Q548" s="458">
        <v>55400.108403681625</v>
      </c>
      <c r="R548" s="458">
        <v>31174.033789614106</v>
      </c>
      <c r="S548" s="458">
        <v>1959.7497903854783</v>
      </c>
      <c r="T548" s="457"/>
      <c r="U548" s="425"/>
      <c r="V548" s="425"/>
      <c r="W548" s="425"/>
      <c r="X548" s="425"/>
      <c r="Y548" s="425"/>
      <c r="Z548" s="425"/>
      <c r="AA548" s="425"/>
      <c r="AB548" s="425"/>
      <c r="AC548" s="425"/>
      <c r="AD548" s="425"/>
      <c r="AE548" s="425"/>
      <c r="AG548" s="425"/>
      <c r="AH548" s="425"/>
      <c r="AI548" s="425"/>
      <c r="AJ548" s="425"/>
      <c r="AK548" s="425"/>
      <c r="AL548" s="425"/>
      <c r="AM548" s="425"/>
      <c r="AN548" s="425"/>
      <c r="AO548" s="425"/>
      <c r="AP548" s="425"/>
      <c r="AQ548" s="425"/>
    </row>
    <row r="549" spans="1:43" s="270" customFormat="1" x14ac:dyDescent="0.25">
      <c r="A549" s="271">
        <v>501406</v>
      </c>
      <c r="B549" s="271">
        <v>1406</v>
      </c>
      <c r="C549" s="271">
        <v>200159</v>
      </c>
      <c r="D549" s="268" t="s">
        <v>894</v>
      </c>
      <c r="E549" s="268" t="s">
        <v>1278</v>
      </c>
      <c r="F549" s="268" t="s">
        <v>3191</v>
      </c>
      <c r="G549" s="268">
        <v>15</v>
      </c>
      <c r="H549" s="268" t="s">
        <v>3192</v>
      </c>
      <c r="I549" s="268" t="s">
        <v>3133</v>
      </c>
      <c r="J549" s="458">
        <v>172518.17260439461</v>
      </c>
      <c r="K549" s="458">
        <v>14376.514383699552</v>
      </c>
      <c r="L549" s="458">
        <v>11194.760870699611</v>
      </c>
      <c r="M549" s="456">
        <v>0</v>
      </c>
      <c r="N549" s="458">
        <v>119.49693843813893</v>
      </c>
      <c r="O549" s="459">
        <v>0</v>
      </c>
      <c r="P549" s="459">
        <v>3019.0680205769058</v>
      </c>
      <c r="Q549" s="458">
        <v>55400.108403681625</v>
      </c>
      <c r="R549" s="458">
        <v>31174.033789614106</v>
      </c>
      <c r="S549" s="458">
        <v>1959.7497903854783</v>
      </c>
      <c r="T549" s="457"/>
      <c r="U549" s="425"/>
      <c r="V549" s="425"/>
      <c r="W549" s="425"/>
      <c r="X549" s="425"/>
      <c r="Y549" s="425"/>
      <c r="Z549" s="425"/>
      <c r="AA549" s="425"/>
      <c r="AB549" s="425"/>
      <c r="AC549" s="425"/>
      <c r="AD549" s="425"/>
      <c r="AE549" s="425"/>
      <c r="AG549" s="425"/>
      <c r="AH549" s="425"/>
      <c r="AI549" s="425"/>
      <c r="AJ549" s="425"/>
      <c r="AK549" s="425"/>
      <c r="AL549" s="425"/>
      <c r="AM549" s="425"/>
      <c r="AN549" s="425"/>
      <c r="AO549" s="425"/>
      <c r="AP549" s="425"/>
      <c r="AQ549" s="425"/>
    </row>
    <row r="550" spans="1:43" s="270" customFormat="1" x14ac:dyDescent="0.25">
      <c r="A550" s="271">
        <v>501406</v>
      </c>
      <c r="B550" s="271">
        <v>1406</v>
      </c>
      <c r="C550" s="271">
        <v>200174</v>
      </c>
      <c r="D550" s="268" t="s">
        <v>894</v>
      </c>
      <c r="E550" s="268" t="s">
        <v>1278</v>
      </c>
      <c r="F550" s="268" t="s">
        <v>2266</v>
      </c>
      <c r="G550" s="268">
        <v>15</v>
      </c>
      <c r="H550" s="268" t="s">
        <v>3193</v>
      </c>
      <c r="I550" s="268" t="s">
        <v>3133</v>
      </c>
      <c r="J550" s="458">
        <v>172518.17260439461</v>
      </c>
      <c r="K550" s="458">
        <v>14376.514383699552</v>
      </c>
      <c r="L550" s="458">
        <v>11194.760870699611</v>
      </c>
      <c r="M550" s="456">
        <v>0</v>
      </c>
      <c r="N550" s="458">
        <v>119.49693843813893</v>
      </c>
      <c r="O550" s="459">
        <v>0</v>
      </c>
      <c r="P550" s="459">
        <v>3019.0680205769058</v>
      </c>
      <c r="Q550" s="458">
        <v>55400.108403681625</v>
      </c>
      <c r="R550" s="458">
        <v>31174.033789614106</v>
      </c>
      <c r="S550" s="458">
        <v>1959.7497903854783</v>
      </c>
      <c r="T550" s="457"/>
      <c r="U550" s="425"/>
      <c r="V550" s="425"/>
      <c r="W550" s="425"/>
      <c r="X550" s="425"/>
      <c r="Y550" s="425"/>
      <c r="Z550" s="425"/>
      <c r="AA550" s="425"/>
      <c r="AB550" s="425"/>
      <c r="AC550" s="425"/>
      <c r="AD550" s="425"/>
      <c r="AE550" s="425"/>
      <c r="AG550" s="425"/>
      <c r="AH550" s="425"/>
      <c r="AI550" s="425"/>
      <c r="AJ550" s="425"/>
      <c r="AK550" s="425"/>
      <c r="AL550" s="425"/>
      <c r="AM550" s="425"/>
      <c r="AN550" s="425"/>
      <c r="AO550" s="425"/>
      <c r="AP550" s="425"/>
      <c r="AQ550" s="425"/>
    </row>
    <row r="551" spans="1:43" s="270" customFormat="1" x14ac:dyDescent="0.25">
      <c r="A551" s="271">
        <v>501506</v>
      </c>
      <c r="B551" s="271">
        <v>1506</v>
      </c>
      <c r="C551" s="271">
        <v>200406</v>
      </c>
      <c r="D551" s="268" t="s">
        <v>894</v>
      </c>
      <c r="E551" s="268" t="s">
        <v>1290</v>
      </c>
      <c r="F551" s="268" t="s">
        <v>2753</v>
      </c>
      <c r="G551" s="268">
        <v>15</v>
      </c>
      <c r="H551" s="268" t="s">
        <v>3194</v>
      </c>
      <c r="I551" s="268" t="s">
        <v>3195</v>
      </c>
      <c r="J551" s="458">
        <v>172518.17260439461</v>
      </c>
      <c r="K551" s="458">
        <v>14376.514383699552</v>
      </c>
      <c r="L551" s="458">
        <v>11194.760870699611</v>
      </c>
      <c r="M551" s="456">
        <v>0</v>
      </c>
      <c r="N551" s="458">
        <v>119.49693843813893</v>
      </c>
      <c r="O551" s="459">
        <v>0</v>
      </c>
      <c r="P551" s="459">
        <v>3019.0680205769058</v>
      </c>
      <c r="Q551" s="458">
        <v>55400.108403681625</v>
      </c>
      <c r="R551" s="458">
        <v>31174.033789614106</v>
      </c>
      <c r="S551" s="458">
        <v>1959.7497903854783</v>
      </c>
      <c r="T551" s="457"/>
      <c r="U551" s="425"/>
      <c r="V551" s="425"/>
      <c r="W551" s="425"/>
      <c r="X551" s="425"/>
      <c r="Y551" s="425"/>
      <c r="Z551" s="425"/>
      <c r="AA551" s="425"/>
      <c r="AB551" s="425"/>
      <c r="AC551" s="425"/>
      <c r="AD551" s="425"/>
      <c r="AE551" s="425"/>
      <c r="AG551" s="425"/>
      <c r="AH551" s="425"/>
      <c r="AI551" s="425"/>
      <c r="AJ551" s="425"/>
      <c r="AK551" s="425"/>
      <c r="AL551" s="425"/>
      <c r="AM551" s="425"/>
      <c r="AN551" s="425"/>
      <c r="AO551" s="425"/>
      <c r="AP551" s="425"/>
      <c r="AQ551" s="425"/>
    </row>
    <row r="552" spans="1:43" s="270" customFormat="1" x14ac:dyDescent="0.25">
      <c r="A552" s="416">
        <v>501443</v>
      </c>
      <c r="B552" s="271">
        <v>1443</v>
      </c>
      <c r="C552" s="271">
        <v>200300</v>
      </c>
      <c r="D552" s="268" t="s">
        <v>894</v>
      </c>
      <c r="E552" s="268" t="s">
        <v>1290</v>
      </c>
      <c r="F552" s="268" t="s">
        <v>2725</v>
      </c>
      <c r="G552" s="268">
        <v>13</v>
      </c>
      <c r="H552" s="268" t="s">
        <v>3196</v>
      </c>
      <c r="I552" s="268" t="s">
        <v>3197</v>
      </c>
      <c r="J552" s="458">
        <v>169043.90976461911</v>
      </c>
      <c r="K552" s="458">
        <v>14086.992480384924</v>
      </c>
      <c r="L552" s="458">
        <v>11194.760870699611</v>
      </c>
      <c r="M552" s="456">
        <v>0</v>
      </c>
      <c r="N552" s="458">
        <v>119.49693843813893</v>
      </c>
      <c r="O552" s="459">
        <v>0</v>
      </c>
      <c r="P552" s="459">
        <v>2958.2684208808341</v>
      </c>
      <c r="Q552" s="458">
        <v>55400.108403681625</v>
      </c>
      <c r="R552" s="458">
        <v>30546.234494466669</v>
      </c>
      <c r="S552" s="458">
        <v>1959.7497903854783</v>
      </c>
      <c r="T552" s="457"/>
      <c r="U552" s="425"/>
      <c r="V552" s="425"/>
      <c r="W552" s="425"/>
      <c r="X552" s="425"/>
      <c r="Y552" s="425"/>
      <c r="Z552" s="425"/>
      <c r="AA552" s="425"/>
      <c r="AB552" s="425"/>
      <c r="AC552" s="425"/>
      <c r="AD552" s="425"/>
      <c r="AE552" s="425"/>
      <c r="AG552" s="425"/>
      <c r="AH552" s="425"/>
      <c r="AI552" s="425"/>
      <c r="AJ552" s="425"/>
      <c r="AK552" s="425"/>
      <c r="AL552" s="425"/>
      <c r="AM552" s="425"/>
      <c r="AN552" s="425"/>
      <c r="AO552" s="425"/>
      <c r="AP552" s="425"/>
      <c r="AQ552" s="425"/>
    </row>
    <row r="553" spans="1:43" s="270" customFormat="1" x14ac:dyDescent="0.25">
      <c r="A553" s="416">
        <v>501445</v>
      </c>
      <c r="B553" s="271">
        <v>1445</v>
      </c>
      <c r="C553" s="271">
        <v>200440</v>
      </c>
      <c r="D553" s="268" t="s">
        <v>894</v>
      </c>
      <c r="E553" s="268" t="s">
        <v>1290</v>
      </c>
      <c r="F553" s="268" t="s">
        <v>2411</v>
      </c>
      <c r="G553" s="268">
        <v>13</v>
      </c>
      <c r="H553" s="268" t="s">
        <v>3198</v>
      </c>
      <c r="I553" s="268" t="s">
        <v>3197</v>
      </c>
      <c r="J553" s="458">
        <v>169043.90976461911</v>
      </c>
      <c r="K553" s="458">
        <v>14086.992480384924</v>
      </c>
      <c r="L553" s="458">
        <v>11194.760870699611</v>
      </c>
      <c r="M553" s="456">
        <v>0</v>
      </c>
      <c r="N553" s="458">
        <v>119.49693843813893</v>
      </c>
      <c r="O553" s="459">
        <v>0</v>
      </c>
      <c r="P553" s="459">
        <v>2958.2684208808341</v>
      </c>
      <c r="Q553" s="458">
        <v>55400.108403681625</v>
      </c>
      <c r="R553" s="458">
        <v>30546.234494466669</v>
      </c>
      <c r="S553" s="458">
        <v>1959.7497903854783</v>
      </c>
      <c r="T553" s="457"/>
      <c r="U553" s="425"/>
      <c r="V553" s="425"/>
      <c r="W553" s="425"/>
      <c r="X553" s="425"/>
      <c r="Y553" s="425"/>
      <c r="Z553" s="425"/>
      <c r="AA553" s="425"/>
      <c r="AB553" s="425"/>
      <c r="AC553" s="425"/>
      <c r="AD553" s="425"/>
      <c r="AE553" s="425"/>
      <c r="AG553" s="425"/>
      <c r="AH553" s="425"/>
      <c r="AI553" s="425"/>
      <c r="AJ553" s="425"/>
      <c r="AK553" s="425"/>
      <c r="AL553" s="425"/>
      <c r="AM553" s="425"/>
      <c r="AN553" s="425"/>
      <c r="AO553" s="425"/>
      <c r="AP553" s="425"/>
      <c r="AQ553" s="425"/>
    </row>
    <row r="554" spans="1:43" s="270" customFormat="1" x14ac:dyDescent="0.25">
      <c r="A554" s="271">
        <v>501505</v>
      </c>
      <c r="B554" s="271">
        <v>1505</v>
      </c>
      <c r="C554" s="271">
        <v>8277</v>
      </c>
      <c r="D554" s="268" t="s">
        <v>894</v>
      </c>
      <c r="E554" s="268" t="s">
        <v>1290</v>
      </c>
      <c r="F554" s="268" t="s">
        <v>3199</v>
      </c>
      <c r="G554" s="268">
        <v>15</v>
      </c>
      <c r="H554" s="268" t="s">
        <v>3200</v>
      </c>
      <c r="I554" s="268" t="s">
        <v>3201</v>
      </c>
      <c r="J554" s="458">
        <v>165503.25973682239</v>
      </c>
      <c r="K554" s="458">
        <v>13791.938311401866</v>
      </c>
      <c r="L554" s="458">
        <v>11194.760870699611</v>
      </c>
      <c r="M554" s="456">
        <v>0</v>
      </c>
      <c r="N554" s="458">
        <v>119.49693843813893</v>
      </c>
      <c r="O554" s="459">
        <v>0</v>
      </c>
      <c r="P554" s="459">
        <v>2896.3070453943919</v>
      </c>
      <c r="Q554" s="458">
        <v>55400.108403681625</v>
      </c>
      <c r="R554" s="458">
        <v>29906.439034443803</v>
      </c>
      <c r="S554" s="458">
        <v>1959.7497903854783</v>
      </c>
      <c r="T554" s="453"/>
      <c r="U554" s="425"/>
      <c r="V554" s="425"/>
      <c r="W554" s="425"/>
      <c r="X554" s="425"/>
      <c r="Y554" s="425"/>
      <c r="Z554" s="425"/>
      <c r="AA554" s="425"/>
      <c r="AB554" s="425"/>
      <c r="AC554" s="425"/>
      <c r="AD554" s="425"/>
      <c r="AE554" s="425"/>
      <c r="AG554" s="425"/>
      <c r="AH554" s="425"/>
      <c r="AI554" s="425"/>
      <c r="AJ554" s="425"/>
      <c r="AK554" s="425"/>
      <c r="AL554" s="425"/>
      <c r="AM554" s="425"/>
      <c r="AN554" s="425"/>
      <c r="AO554" s="425"/>
      <c r="AP554" s="425"/>
      <c r="AQ554" s="425"/>
    </row>
    <row r="555" spans="1:43" s="270" customFormat="1" x14ac:dyDescent="0.25">
      <c r="A555" s="271">
        <v>501443</v>
      </c>
      <c r="B555" s="271">
        <v>1443</v>
      </c>
      <c r="C555" s="271">
        <v>83616</v>
      </c>
      <c r="D555" s="268" t="s">
        <v>894</v>
      </c>
      <c r="E555" s="268" t="s">
        <v>1290</v>
      </c>
      <c r="F555" s="268" t="s">
        <v>2731</v>
      </c>
      <c r="G555" s="268">
        <v>15</v>
      </c>
      <c r="H555" s="268" t="s">
        <v>3202</v>
      </c>
      <c r="I555" s="268" t="s">
        <v>3201</v>
      </c>
      <c r="J555" s="458">
        <v>165503.25973682239</v>
      </c>
      <c r="K555" s="458">
        <v>13791.938311401866</v>
      </c>
      <c r="L555" s="458">
        <v>11194.760870699611</v>
      </c>
      <c r="M555" s="456">
        <v>0</v>
      </c>
      <c r="N555" s="458">
        <v>119.49693843813893</v>
      </c>
      <c r="O555" s="459">
        <v>0</v>
      </c>
      <c r="P555" s="459">
        <v>2896.3070453943919</v>
      </c>
      <c r="Q555" s="458">
        <v>55400.108403681625</v>
      </c>
      <c r="R555" s="458">
        <v>29906.439034443803</v>
      </c>
      <c r="S555" s="458">
        <v>1959.7497903854783</v>
      </c>
      <c r="T555" s="457"/>
      <c r="U555" s="425"/>
      <c r="V555" s="425"/>
      <c r="W555" s="425"/>
      <c r="X555" s="425"/>
      <c r="Y555" s="425"/>
      <c r="Z555" s="425"/>
      <c r="AA555" s="425"/>
      <c r="AB555" s="425"/>
      <c r="AC555" s="425"/>
      <c r="AD555" s="425"/>
      <c r="AE555" s="425"/>
      <c r="AG555" s="425"/>
      <c r="AH555" s="425"/>
      <c r="AI555" s="425"/>
      <c r="AJ555" s="425"/>
      <c r="AK555" s="425"/>
      <c r="AL555" s="425"/>
      <c r="AM555" s="425"/>
      <c r="AN555" s="425"/>
      <c r="AO555" s="425"/>
      <c r="AP555" s="425"/>
      <c r="AQ555" s="425"/>
    </row>
    <row r="556" spans="1:43" s="270" customFormat="1" x14ac:dyDescent="0.25">
      <c r="A556" s="271">
        <v>501443</v>
      </c>
      <c r="B556" s="271">
        <v>1443</v>
      </c>
      <c r="C556" s="271">
        <v>83713</v>
      </c>
      <c r="D556" s="268" t="s">
        <v>894</v>
      </c>
      <c r="E556" s="268" t="s">
        <v>1278</v>
      </c>
      <c r="F556" s="268" t="s">
        <v>3203</v>
      </c>
      <c r="G556" s="268">
        <v>15</v>
      </c>
      <c r="H556" s="268" t="s">
        <v>3204</v>
      </c>
      <c r="I556" s="268" t="s">
        <v>3201</v>
      </c>
      <c r="J556" s="458">
        <v>165503.25973682239</v>
      </c>
      <c r="K556" s="458">
        <v>13791.938311401866</v>
      </c>
      <c r="L556" s="458">
        <v>11194.760870699611</v>
      </c>
      <c r="M556" s="456">
        <v>0</v>
      </c>
      <c r="N556" s="458">
        <v>119.49693843813893</v>
      </c>
      <c r="O556" s="459">
        <v>0</v>
      </c>
      <c r="P556" s="459">
        <v>2896.3070453943919</v>
      </c>
      <c r="Q556" s="458">
        <v>55400.108403681625</v>
      </c>
      <c r="R556" s="458">
        <v>29906.439034443803</v>
      </c>
      <c r="S556" s="458">
        <v>1959.7497903854783</v>
      </c>
      <c r="T556" s="457"/>
      <c r="U556" s="425"/>
      <c r="V556" s="425"/>
      <c r="W556" s="425"/>
      <c r="X556" s="425"/>
      <c r="Y556" s="425"/>
      <c r="Z556" s="425"/>
      <c r="AA556" s="425"/>
      <c r="AB556" s="425"/>
      <c r="AC556" s="425"/>
      <c r="AD556" s="425"/>
      <c r="AE556" s="425"/>
      <c r="AG556" s="425"/>
      <c r="AH556" s="425"/>
      <c r="AI556" s="425"/>
      <c r="AJ556" s="425"/>
      <c r="AK556" s="425"/>
      <c r="AL556" s="425"/>
      <c r="AM556" s="425"/>
      <c r="AN556" s="425"/>
      <c r="AO556" s="425"/>
      <c r="AP556" s="425"/>
      <c r="AQ556" s="425"/>
    </row>
    <row r="557" spans="1:43" s="270" customFormat="1" x14ac:dyDescent="0.25">
      <c r="A557" s="271">
        <v>501444</v>
      </c>
      <c r="B557" s="271">
        <v>1444</v>
      </c>
      <c r="C557" s="271">
        <v>85591</v>
      </c>
      <c r="D557" s="268" t="s">
        <v>894</v>
      </c>
      <c r="E557" s="268" t="s">
        <v>1278</v>
      </c>
      <c r="F557" s="268" t="s">
        <v>2768</v>
      </c>
      <c r="G557" s="268">
        <v>15</v>
      </c>
      <c r="H557" s="268" t="s">
        <v>3205</v>
      </c>
      <c r="I557" s="268" t="s">
        <v>3201</v>
      </c>
      <c r="J557" s="458">
        <v>165503.25973682239</v>
      </c>
      <c r="K557" s="458">
        <v>13791.938311401866</v>
      </c>
      <c r="L557" s="458">
        <v>11194.760870699611</v>
      </c>
      <c r="M557" s="456">
        <v>0</v>
      </c>
      <c r="N557" s="458">
        <v>119.49693843813893</v>
      </c>
      <c r="O557" s="459">
        <v>0</v>
      </c>
      <c r="P557" s="459">
        <v>2896.3070453943919</v>
      </c>
      <c r="Q557" s="458">
        <v>55400.108403681625</v>
      </c>
      <c r="R557" s="458">
        <v>29906.439034443803</v>
      </c>
      <c r="S557" s="458">
        <v>1959.7497903854783</v>
      </c>
      <c r="T557" s="457"/>
      <c r="U557" s="425"/>
      <c r="V557" s="425"/>
      <c r="W557" s="425"/>
      <c r="X557" s="425"/>
      <c r="Y557" s="425"/>
      <c r="Z557" s="425"/>
      <c r="AA557" s="425"/>
      <c r="AB557" s="425"/>
      <c r="AC557" s="425"/>
      <c r="AD557" s="425"/>
      <c r="AE557" s="425"/>
      <c r="AG557" s="425"/>
      <c r="AH557" s="425"/>
      <c r="AI557" s="425"/>
      <c r="AJ557" s="425"/>
      <c r="AK557" s="425"/>
      <c r="AL557" s="425"/>
      <c r="AM557" s="425"/>
      <c r="AN557" s="425"/>
      <c r="AO557" s="425"/>
      <c r="AP557" s="425"/>
      <c r="AQ557" s="425"/>
    </row>
    <row r="558" spans="1:43" s="270" customFormat="1" x14ac:dyDescent="0.25">
      <c r="A558" s="271">
        <v>501406</v>
      </c>
      <c r="B558" s="271">
        <v>1406</v>
      </c>
      <c r="C558" s="271">
        <v>85821</v>
      </c>
      <c r="D558" s="268" t="s">
        <v>894</v>
      </c>
      <c r="E558" s="268" t="s">
        <v>1278</v>
      </c>
      <c r="F558" s="268" t="s">
        <v>3206</v>
      </c>
      <c r="G558" s="268">
        <v>15</v>
      </c>
      <c r="H558" s="268" t="s">
        <v>3207</v>
      </c>
      <c r="I558" s="268" t="s">
        <v>3201</v>
      </c>
      <c r="J558" s="458">
        <v>165503.25973682239</v>
      </c>
      <c r="K558" s="458">
        <v>13791.938311401866</v>
      </c>
      <c r="L558" s="458">
        <v>11194.760870699611</v>
      </c>
      <c r="M558" s="456">
        <v>0</v>
      </c>
      <c r="N558" s="458">
        <v>119.49693843813893</v>
      </c>
      <c r="O558" s="459">
        <v>0</v>
      </c>
      <c r="P558" s="459">
        <v>2896.3070453943919</v>
      </c>
      <c r="Q558" s="458">
        <v>55400.108403681625</v>
      </c>
      <c r="R558" s="458">
        <v>29906.439034443803</v>
      </c>
      <c r="S558" s="458">
        <v>1959.7497903854783</v>
      </c>
      <c r="T558" s="457"/>
      <c r="U558" s="425"/>
      <c r="V558" s="425"/>
      <c r="W558" s="425"/>
      <c r="X558" s="425"/>
      <c r="Y558" s="425"/>
      <c r="Z558" s="425"/>
      <c r="AA558" s="425"/>
      <c r="AB558" s="425"/>
      <c r="AC558" s="425"/>
      <c r="AD558" s="425"/>
      <c r="AE558" s="425"/>
      <c r="AG558" s="425"/>
      <c r="AH558" s="425"/>
      <c r="AI558" s="425"/>
      <c r="AJ558" s="425"/>
      <c r="AK558" s="425"/>
      <c r="AL558" s="425"/>
      <c r="AM558" s="425"/>
      <c r="AN558" s="425"/>
      <c r="AO558" s="425"/>
      <c r="AP558" s="425"/>
      <c r="AQ558" s="425"/>
    </row>
    <row r="559" spans="1:43" s="270" customFormat="1" x14ac:dyDescent="0.25">
      <c r="A559" s="271">
        <v>501443</v>
      </c>
      <c r="B559" s="271">
        <v>1443</v>
      </c>
      <c r="C559" s="271">
        <v>200031</v>
      </c>
      <c r="D559" s="268" t="s">
        <v>894</v>
      </c>
      <c r="E559" s="268" t="s">
        <v>1290</v>
      </c>
      <c r="F559" s="268" t="s">
        <v>1304</v>
      </c>
      <c r="G559" s="268">
        <v>15</v>
      </c>
      <c r="H559" s="268" t="s">
        <v>3208</v>
      </c>
      <c r="I559" s="268" t="s">
        <v>3133</v>
      </c>
      <c r="J559" s="458">
        <v>165503.25973682239</v>
      </c>
      <c r="K559" s="458">
        <v>13791.938311401866</v>
      </c>
      <c r="L559" s="458">
        <v>11194.760870699611</v>
      </c>
      <c r="M559" s="456">
        <v>0</v>
      </c>
      <c r="N559" s="458">
        <v>119.49693843813893</v>
      </c>
      <c r="O559" s="459">
        <v>0</v>
      </c>
      <c r="P559" s="459">
        <v>2896.3070453943919</v>
      </c>
      <c r="Q559" s="458">
        <v>55400.108403681625</v>
      </c>
      <c r="R559" s="458">
        <v>29906.439034443803</v>
      </c>
      <c r="S559" s="458">
        <v>1959.7497903854783</v>
      </c>
      <c r="T559" s="457"/>
      <c r="U559" s="425"/>
      <c r="V559" s="425"/>
      <c r="W559" s="425"/>
      <c r="X559" s="425"/>
      <c r="Y559" s="425"/>
      <c r="Z559" s="425"/>
      <c r="AA559" s="425"/>
      <c r="AB559" s="425"/>
      <c r="AC559" s="425"/>
      <c r="AD559" s="425"/>
      <c r="AE559" s="425"/>
      <c r="AG559" s="425"/>
      <c r="AH559" s="425"/>
      <c r="AI559" s="425"/>
      <c r="AJ559" s="425"/>
      <c r="AK559" s="425"/>
      <c r="AL559" s="425"/>
      <c r="AM559" s="425"/>
      <c r="AN559" s="425"/>
      <c r="AO559" s="425"/>
      <c r="AP559" s="425"/>
      <c r="AQ559" s="425"/>
    </row>
    <row r="560" spans="1:43" s="270" customFormat="1" x14ac:dyDescent="0.25">
      <c r="A560" s="271">
        <v>501443</v>
      </c>
      <c r="B560" s="271">
        <v>1443</v>
      </c>
      <c r="C560" s="271">
        <v>54784</v>
      </c>
      <c r="D560" s="268" t="s">
        <v>894</v>
      </c>
      <c r="E560" s="268" t="s">
        <v>1290</v>
      </c>
      <c r="F560" s="268" t="s">
        <v>2508</v>
      </c>
      <c r="G560" s="268">
        <v>15</v>
      </c>
      <c r="H560" s="268" t="s">
        <v>3209</v>
      </c>
      <c r="I560" s="268" t="s">
        <v>3201</v>
      </c>
      <c r="J560" s="458">
        <v>165503.25973682239</v>
      </c>
      <c r="K560" s="458">
        <v>13791.938311401866</v>
      </c>
      <c r="L560" s="458">
        <v>11194.760870699611</v>
      </c>
      <c r="M560" s="456">
        <v>0</v>
      </c>
      <c r="N560" s="458">
        <v>119.49693843813893</v>
      </c>
      <c r="O560" s="459">
        <v>0</v>
      </c>
      <c r="P560" s="459">
        <v>2896.3070453943919</v>
      </c>
      <c r="Q560" s="458">
        <v>55400.108403681625</v>
      </c>
      <c r="R560" s="458">
        <v>29906.439034443803</v>
      </c>
      <c r="S560" s="458">
        <v>1959.7497903854783</v>
      </c>
      <c r="T560" s="457"/>
      <c r="U560" s="425"/>
      <c r="V560" s="425"/>
      <c r="W560" s="425"/>
      <c r="X560" s="425"/>
      <c r="Y560" s="425"/>
      <c r="Z560" s="425"/>
      <c r="AA560" s="425"/>
      <c r="AB560" s="425"/>
      <c r="AC560" s="425"/>
      <c r="AD560" s="425"/>
      <c r="AE560" s="425"/>
      <c r="AG560" s="425"/>
      <c r="AH560" s="425"/>
      <c r="AI560" s="425"/>
      <c r="AJ560" s="425"/>
      <c r="AK560" s="425"/>
      <c r="AL560" s="425"/>
      <c r="AM560" s="425"/>
      <c r="AN560" s="425"/>
      <c r="AO560" s="425"/>
      <c r="AP560" s="425"/>
      <c r="AQ560" s="425"/>
    </row>
    <row r="561" spans="1:43" s="270" customFormat="1" x14ac:dyDescent="0.25">
      <c r="A561" s="271">
        <v>501443</v>
      </c>
      <c r="B561" s="271">
        <v>1443</v>
      </c>
      <c r="C561" s="271">
        <v>41276</v>
      </c>
      <c r="D561" s="268" t="s">
        <v>894</v>
      </c>
      <c r="E561" s="268" t="s">
        <v>1290</v>
      </c>
      <c r="F561" s="268" t="s">
        <v>3210</v>
      </c>
      <c r="G561" s="268">
        <v>16</v>
      </c>
      <c r="H561" s="268" t="s">
        <v>3211</v>
      </c>
      <c r="I561" s="268" t="s">
        <v>3201</v>
      </c>
      <c r="J561" s="458">
        <v>165149.19473404271</v>
      </c>
      <c r="K561" s="458">
        <v>13762.43289450356</v>
      </c>
      <c r="L561" s="458">
        <v>11194.760870699611</v>
      </c>
      <c r="M561" s="456">
        <v>0</v>
      </c>
      <c r="N561" s="458">
        <v>119.49693843813893</v>
      </c>
      <c r="O561" s="459">
        <v>0</v>
      </c>
      <c r="P561" s="459">
        <v>2890.110907845748</v>
      </c>
      <c r="Q561" s="458">
        <v>55400.108403681625</v>
      </c>
      <c r="R561" s="458">
        <v>29842.45948844152</v>
      </c>
      <c r="S561" s="458">
        <v>1959.7497903854783</v>
      </c>
      <c r="T561" s="457"/>
      <c r="U561" s="425"/>
      <c r="V561" s="425"/>
      <c r="W561" s="425"/>
      <c r="X561" s="425"/>
      <c r="Y561" s="425"/>
      <c r="Z561" s="425"/>
      <c r="AA561" s="425"/>
      <c r="AB561" s="425"/>
      <c r="AC561" s="425"/>
      <c r="AD561" s="425"/>
      <c r="AE561" s="425"/>
      <c r="AG561" s="425"/>
      <c r="AH561" s="425"/>
      <c r="AI561" s="425"/>
      <c r="AJ561" s="425"/>
      <c r="AK561" s="425"/>
      <c r="AL561" s="425"/>
      <c r="AM561" s="425"/>
      <c r="AN561" s="425"/>
      <c r="AO561" s="425"/>
      <c r="AP561" s="425"/>
      <c r="AQ561" s="425"/>
    </row>
    <row r="562" spans="1:43" s="270" customFormat="1" x14ac:dyDescent="0.25">
      <c r="A562" s="271">
        <v>501443</v>
      </c>
      <c r="B562" s="271">
        <v>1443</v>
      </c>
      <c r="C562" s="271">
        <v>44370</v>
      </c>
      <c r="D562" s="268" t="s">
        <v>894</v>
      </c>
      <c r="E562" s="268" t="s">
        <v>1290</v>
      </c>
      <c r="F562" s="268" t="s">
        <v>2950</v>
      </c>
      <c r="G562" s="268">
        <v>16</v>
      </c>
      <c r="H562" s="268" t="s">
        <v>3212</v>
      </c>
      <c r="I562" s="268" t="s">
        <v>3201</v>
      </c>
      <c r="J562" s="458">
        <v>165149.19473404271</v>
      </c>
      <c r="K562" s="458">
        <v>13762.43289450356</v>
      </c>
      <c r="L562" s="458">
        <v>11194.760870699611</v>
      </c>
      <c r="M562" s="456">
        <v>0</v>
      </c>
      <c r="N562" s="458">
        <v>119.49693843813893</v>
      </c>
      <c r="O562" s="459">
        <v>0</v>
      </c>
      <c r="P562" s="459">
        <v>2890.110907845748</v>
      </c>
      <c r="Q562" s="458">
        <v>55400.108403681625</v>
      </c>
      <c r="R562" s="458">
        <v>29842.45948844152</v>
      </c>
      <c r="S562" s="458">
        <v>1959.7497903854783</v>
      </c>
      <c r="T562" s="457"/>
      <c r="U562" s="425"/>
      <c r="V562" s="425"/>
      <c r="W562" s="425"/>
      <c r="X562" s="425"/>
      <c r="Y562" s="425"/>
      <c r="Z562" s="425"/>
      <c r="AA562" s="425"/>
      <c r="AB562" s="425"/>
      <c r="AC562" s="425"/>
      <c r="AD562" s="425"/>
      <c r="AE562" s="425"/>
      <c r="AG562" s="425"/>
      <c r="AH562" s="425"/>
      <c r="AI562" s="425"/>
      <c r="AJ562" s="425"/>
      <c r="AK562" s="425"/>
      <c r="AL562" s="425"/>
      <c r="AM562" s="425"/>
      <c r="AN562" s="425"/>
      <c r="AO562" s="425"/>
      <c r="AP562" s="425"/>
      <c r="AQ562" s="425"/>
    </row>
    <row r="563" spans="1:43" s="270" customFormat="1" x14ac:dyDescent="0.25">
      <c r="A563" s="271">
        <v>501443</v>
      </c>
      <c r="B563" s="271">
        <v>1443</v>
      </c>
      <c r="C563" s="271">
        <v>47623</v>
      </c>
      <c r="D563" s="268" t="s">
        <v>894</v>
      </c>
      <c r="E563" s="268" t="s">
        <v>1290</v>
      </c>
      <c r="F563" s="268" t="s">
        <v>2558</v>
      </c>
      <c r="G563" s="268">
        <v>16</v>
      </c>
      <c r="H563" s="268" t="s">
        <v>3213</v>
      </c>
      <c r="I563" s="268" t="s">
        <v>3201</v>
      </c>
      <c r="J563" s="458">
        <v>165149.19473404271</v>
      </c>
      <c r="K563" s="458">
        <v>13762.43289450356</v>
      </c>
      <c r="L563" s="458">
        <v>11194.760870699611</v>
      </c>
      <c r="M563" s="456">
        <v>0</v>
      </c>
      <c r="N563" s="458">
        <v>119.49693843813893</v>
      </c>
      <c r="O563" s="459">
        <v>0</v>
      </c>
      <c r="P563" s="459">
        <v>2890.110907845748</v>
      </c>
      <c r="Q563" s="458">
        <v>55400.108403681625</v>
      </c>
      <c r="R563" s="458">
        <v>29842.45948844152</v>
      </c>
      <c r="S563" s="458">
        <v>1959.7497903854783</v>
      </c>
      <c r="T563" s="457"/>
      <c r="U563" s="425"/>
      <c r="V563" s="425"/>
      <c r="W563" s="425"/>
      <c r="X563" s="425"/>
      <c r="Y563" s="425"/>
      <c r="Z563" s="425"/>
      <c r="AA563" s="425"/>
      <c r="AB563" s="425"/>
      <c r="AC563" s="425"/>
      <c r="AD563" s="425"/>
      <c r="AE563" s="425"/>
      <c r="AG563" s="425"/>
      <c r="AH563" s="425"/>
      <c r="AI563" s="425"/>
      <c r="AJ563" s="425"/>
      <c r="AK563" s="425"/>
      <c r="AL563" s="425"/>
      <c r="AM563" s="425"/>
      <c r="AN563" s="425"/>
      <c r="AO563" s="425"/>
      <c r="AP563" s="425"/>
      <c r="AQ563" s="425"/>
    </row>
    <row r="564" spans="1:43" s="270" customFormat="1" x14ac:dyDescent="0.25">
      <c r="A564" s="271">
        <v>501443</v>
      </c>
      <c r="B564" s="271">
        <v>1443</v>
      </c>
      <c r="C564" s="271">
        <v>58450</v>
      </c>
      <c r="D564" s="268" t="s">
        <v>894</v>
      </c>
      <c r="E564" s="268" t="s">
        <v>1290</v>
      </c>
      <c r="F564" s="268" t="s">
        <v>2768</v>
      </c>
      <c r="G564" s="268">
        <v>16</v>
      </c>
      <c r="H564" s="268" t="s">
        <v>3214</v>
      </c>
      <c r="I564" s="268" t="s">
        <v>3201</v>
      </c>
      <c r="J564" s="458">
        <v>165149.19473404271</v>
      </c>
      <c r="K564" s="458">
        <v>13762.43289450356</v>
      </c>
      <c r="L564" s="458">
        <v>11194.760870699611</v>
      </c>
      <c r="M564" s="456">
        <v>0</v>
      </c>
      <c r="N564" s="458">
        <v>119.49693843813893</v>
      </c>
      <c r="O564" s="459">
        <v>0</v>
      </c>
      <c r="P564" s="459">
        <v>2890.110907845748</v>
      </c>
      <c r="Q564" s="458">
        <v>55400.108403681625</v>
      </c>
      <c r="R564" s="458">
        <v>29842.45948844152</v>
      </c>
      <c r="S564" s="458">
        <v>1959.7497903854783</v>
      </c>
      <c r="T564" s="457"/>
      <c r="U564" s="425"/>
      <c r="V564" s="425"/>
      <c r="W564" s="425"/>
      <c r="X564" s="425"/>
      <c r="Y564" s="425"/>
      <c r="Z564" s="425"/>
      <c r="AA564" s="425"/>
      <c r="AB564" s="425"/>
      <c r="AC564" s="425"/>
      <c r="AD564" s="425"/>
      <c r="AE564" s="425"/>
      <c r="AG564" s="425"/>
      <c r="AH564" s="425"/>
      <c r="AI564" s="425"/>
      <c r="AJ564" s="425"/>
      <c r="AK564" s="425"/>
      <c r="AL564" s="425"/>
      <c r="AM564" s="425"/>
      <c r="AN564" s="425"/>
      <c r="AO564" s="425"/>
      <c r="AP564" s="425"/>
      <c r="AQ564" s="425"/>
    </row>
    <row r="565" spans="1:43" s="270" customFormat="1" x14ac:dyDescent="0.25">
      <c r="A565" s="271">
        <v>501443</v>
      </c>
      <c r="B565" s="271">
        <v>1443</v>
      </c>
      <c r="C565" s="271">
        <v>83674</v>
      </c>
      <c r="D565" s="268" t="s">
        <v>894</v>
      </c>
      <c r="E565" s="268" t="s">
        <v>1290</v>
      </c>
      <c r="F565" s="268" t="s">
        <v>3215</v>
      </c>
      <c r="G565" s="268">
        <v>16</v>
      </c>
      <c r="H565" s="268" t="s">
        <v>2638</v>
      </c>
      <c r="I565" s="268" t="s">
        <v>3201</v>
      </c>
      <c r="J565" s="458">
        <v>165149.19473404271</v>
      </c>
      <c r="K565" s="458">
        <v>13762.43289450356</v>
      </c>
      <c r="L565" s="458">
        <v>11194.760870699611</v>
      </c>
      <c r="M565" s="456">
        <v>0</v>
      </c>
      <c r="N565" s="458">
        <v>119.49693843813893</v>
      </c>
      <c r="O565" s="459">
        <v>0</v>
      </c>
      <c r="P565" s="459">
        <v>2890.110907845748</v>
      </c>
      <c r="Q565" s="458">
        <v>55400.108403681625</v>
      </c>
      <c r="R565" s="458">
        <v>29842.45948844152</v>
      </c>
      <c r="S565" s="458">
        <v>1959.7497903854783</v>
      </c>
      <c r="T565" s="457"/>
      <c r="U565" s="425"/>
      <c r="V565" s="425"/>
      <c r="W565" s="425"/>
      <c r="X565" s="425"/>
      <c r="Y565" s="425"/>
      <c r="Z565" s="425"/>
      <c r="AA565" s="425"/>
      <c r="AB565" s="425"/>
      <c r="AC565" s="425"/>
      <c r="AD565" s="425"/>
      <c r="AE565" s="425"/>
      <c r="AG565" s="425"/>
      <c r="AH565" s="425"/>
      <c r="AI565" s="425"/>
      <c r="AJ565" s="425"/>
      <c r="AK565" s="425"/>
      <c r="AL565" s="425"/>
      <c r="AM565" s="425"/>
      <c r="AN565" s="425"/>
      <c r="AO565" s="425"/>
      <c r="AP565" s="425"/>
      <c r="AQ565" s="425"/>
    </row>
    <row r="566" spans="1:43" s="270" customFormat="1" x14ac:dyDescent="0.25">
      <c r="A566" s="271">
        <v>501443</v>
      </c>
      <c r="B566" s="271">
        <v>1443</v>
      </c>
      <c r="C566" s="271">
        <v>83687</v>
      </c>
      <c r="D566" s="268" t="s">
        <v>894</v>
      </c>
      <c r="E566" s="268" t="s">
        <v>1290</v>
      </c>
      <c r="F566" s="268" t="s">
        <v>2565</v>
      </c>
      <c r="G566" s="268">
        <v>16</v>
      </c>
      <c r="H566" s="268" t="s">
        <v>3216</v>
      </c>
      <c r="I566" s="268" t="s">
        <v>3201</v>
      </c>
      <c r="J566" s="458">
        <v>165149.19473404271</v>
      </c>
      <c r="K566" s="458">
        <v>13762.43289450356</v>
      </c>
      <c r="L566" s="458">
        <v>11194.760870699611</v>
      </c>
      <c r="M566" s="456">
        <v>0</v>
      </c>
      <c r="N566" s="458">
        <v>119.49693843813893</v>
      </c>
      <c r="O566" s="459">
        <v>0</v>
      </c>
      <c r="P566" s="459">
        <v>2890.110907845748</v>
      </c>
      <c r="Q566" s="458">
        <v>55400.108403681625</v>
      </c>
      <c r="R566" s="458">
        <v>29842.45948844152</v>
      </c>
      <c r="S566" s="458">
        <v>1959.7497903854783</v>
      </c>
      <c r="T566" s="457"/>
      <c r="U566" s="425"/>
      <c r="V566" s="425"/>
      <c r="W566" s="425"/>
      <c r="X566" s="425"/>
      <c r="Y566" s="425"/>
      <c r="Z566" s="425"/>
      <c r="AA566" s="425"/>
      <c r="AB566" s="425"/>
      <c r="AC566" s="425"/>
      <c r="AD566" s="425"/>
      <c r="AE566" s="425"/>
      <c r="AG566" s="425"/>
      <c r="AH566" s="425"/>
      <c r="AI566" s="425"/>
      <c r="AJ566" s="425"/>
      <c r="AK566" s="425"/>
      <c r="AL566" s="425"/>
      <c r="AM566" s="425"/>
      <c r="AN566" s="425"/>
      <c r="AO566" s="425"/>
      <c r="AP566" s="425"/>
      <c r="AQ566" s="425"/>
    </row>
    <row r="567" spans="1:43" s="270" customFormat="1" x14ac:dyDescent="0.25">
      <c r="A567" s="271">
        <v>501101</v>
      </c>
      <c r="B567" s="271">
        <v>1101</v>
      </c>
      <c r="C567" s="271">
        <v>200015</v>
      </c>
      <c r="D567" s="268" t="s">
        <v>894</v>
      </c>
      <c r="E567" s="268" t="s">
        <v>1278</v>
      </c>
      <c r="F567" s="268" t="s">
        <v>2653</v>
      </c>
      <c r="G567" s="268">
        <v>16</v>
      </c>
      <c r="H567" s="268" t="s">
        <v>2609</v>
      </c>
      <c r="I567" s="268" t="s">
        <v>3201</v>
      </c>
      <c r="J567" s="458">
        <v>165149.19473404271</v>
      </c>
      <c r="K567" s="458">
        <v>13762.43289450356</v>
      </c>
      <c r="L567" s="458">
        <v>11194.760870699611</v>
      </c>
      <c r="M567" s="456">
        <v>0</v>
      </c>
      <c r="N567" s="458">
        <v>119.49693843813893</v>
      </c>
      <c r="O567" s="459">
        <v>0</v>
      </c>
      <c r="P567" s="459">
        <v>2890.110907845748</v>
      </c>
      <c r="Q567" s="458">
        <v>55400.108403681625</v>
      </c>
      <c r="R567" s="458">
        <v>29842.45948844152</v>
      </c>
      <c r="S567" s="458">
        <v>1959.7497903854783</v>
      </c>
      <c r="T567" s="457"/>
      <c r="U567" s="425"/>
      <c r="V567" s="425"/>
      <c r="W567" s="425"/>
      <c r="X567" s="425"/>
      <c r="Y567" s="425"/>
      <c r="Z567" s="425"/>
      <c r="AA567" s="425"/>
      <c r="AB567" s="425"/>
      <c r="AC567" s="425"/>
      <c r="AD567" s="425"/>
      <c r="AE567" s="425"/>
      <c r="AG567" s="425"/>
      <c r="AH567" s="425"/>
      <c r="AI567" s="425"/>
      <c r="AJ567" s="425"/>
      <c r="AK567" s="425"/>
      <c r="AL567" s="425"/>
      <c r="AM567" s="425"/>
      <c r="AN567" s="425"/>
      <c r="AO567" s="425"/>
      <c r="AP567" s="425"/>
      <c r="AQ567" s="425"/>
    </row>
    <row r="568" spans="1:43" s="270" customFormat="1" x14ac:dyDescent="0.25">
      <c r="A568" s="271">
        <v>501443</v>
      </c>
      <c r="B568" s="271">
        <v>1443</v>
      </c>
      <c r="C568" s="271">
        <v>200022</v>
      </c>
      <c r="D568" s="268" t="s">
        <v>894</v>
      </c>
      <c r="E568" s="268" t="s">
        <v>1290</v>
      </c>
      <c r="F568" s="268" t="s">
        <v>894</v>
      </c>
      <c r="G568" s="268">
        <v>16</v>
      </c>
      <c r="H568" s="268" t="s">
        <v>3217</v>
      </c>
      <c r="I568" s="268" t="s">
        <v>3201</v>
      </c>
      <c r="J568" s="458">
        <v>165149.19473404271</v>
      </c>
      <c r="K568" s="458">
        <v>13762.43289450356</v>
      </c>
      <c r="L568" s="458">
        <v>11194.760870699611</v>
      </c>
      <c r="M568" s="456">
        <v>0</v>
      </c>
      <c r="N568" s="458">
        <v>119.49693843813893</v>
      </c>
      <c r="O568" s="459">
        <v>0</v>
      </c>
      <c r="P568" s="459">
        <v>2890.110907845748</v>
      </c>
      <c r="Q568" s="458">
        <v>55400.108403681625</v>
      </c>
      <c r="R568" s="458">
        <v>29842.45948844152</v>
      </c>
      <c r="S568" s="458">
        <v>1959.7497903854783</v>
      </c>
      <c r="T568" s="453"/>
      <c r="U568" s="425"/>
      <c r="V568" s="425"/>
      <c r="W568" s="425"/>
      <c r="X568" s="425"/>
      <c r="Y568" s="425"/>
      <c r="Z568" s="425"/>
      <c r="AA568" s="425"/>
      <c r="AB568" s="425"/>
      <c r="AC568" s="425"/>
      <c r="AD568" s="425"/>
      <c r="AE568" s="425"/>
      <c r="AG568" s="425"/>
      <c r="AH568" s="425"/>
      <c r="AI568" s="425"/>
      <c r="AJ568" s="425"/>
      <c r="AK568" s="425"/>
      <c r="AL568" s="425"/>
      <c r="AM568" s="425"/>
      <c r="AN568" s="425"/>
      <c r="AO568" s="425"/>
      <c r="AP568" s="425"/>
      <c r="AQ568" s="425"/>
    </row>
    <row r="569" spans="1:43" s="270" customFormat="1" x14ac:dyDescent="0.25">
      <c r="A569" s="271">
        <v>501443</v>
      </c>
      <c r="B569" s="271">
        <v>1443</v>
      </c>
      <c r="C569" s="271">
        <v>200054</v>
      </c>
      <c r="D569" s="268" t="s">
        <v>894</v>
      </c>
      <c r="E569" s="268" t="s">
        <v>1290</v>
      </c>
      <c r="F569" s="268" t="s">
        <v>3218</v>
      </c>
      <c r="G569" s="268">
        <v>16</v>
      </c>
      <c r="H569" s="268" t="s">
        <v>3219</v>
      </c>
      <c r="I569" s="268" t="s">
        <v>3201</v>
      </c>
      <c r="J569" s="458">
        <v>165149.19473404271</v>
      </c>
      <c r="K569" s="458">
        <v>13762.43289450356</v>
      </c>
      <c r="L569" s="458">
        <v>11194.760870699611</v>
      </c>
      <c r="M569" s="456">
        <v>0</v>
      </c>
      <c r="N569" s="458">
        <v>119.49693843813893</v>
      </c>
      <c r="O569" s="459">
        <v>0</v>
      </c>
      <c r="P569" s="459">
        <v>2890.110907845748</v>
      </c>
      <c r="Q569" s="458">
        <v>55400.108403681625</v>
      </c>
      <c r="R569" s="458">
        <v>29842.45948844152</v>
      </c>
      <c r="S569" s="458">
        <v>1959.7497903854783</v>
      </c>
      <c r="T569" s="457"/>
      <c r="U569" s="425"/>
      <c r="V569" s="425"/>
      <c r="W569" s="425"/>
      <c r="X569" s="425"/>
      <c r="Y569" s="425"/>
      <c r="Z569" s="425"/>
      <c r="AA569" s="425"/>
      <c r="AB569" s="425"/>
      <c r="AC569" s="425"/>
      <c r="AD569" s="425"/>
      <c r="AE569" s="425"/>
      <c r="AG569" s="425"/>
      <c r="AH569" s="425"/>
      <c r="AI569" s="425"/>
      <c r="AJ569" s="425"/>
      <c r="AK569" s="425"/>
      <c r="AL569" s="425"/>
      <c r="AM569" s="425"/>
      <c r="AN569" s="425"/>
      <c r="AO569" s="425"/>
      <c r="AP569" s="425"/>
      <c r="AQ569" s="425"/>
    </row>
    <row r="570" spans="1:43" s="270" customFormat="1" x14ac:dyDescent="0.25">
      <c r="A570" s="271">
        <v>501406</v>
      </c>
      <c r="B570" s="271">
        <v>1406</v>
      </c>
      <c r="C570" s="271">
        <v>200055</v>
      </c>
      <c r="D570" s="268" t="s">
        <v>894</v>
      </c>
      <c r="E570" s="268" t="s">
        <v>1278</v>
      </c>
      <c r="F570" s="268" t="s">
        <v>2243</v>
      </c>
      <c r="G570" s="268">
        <v>16</v>
      </c>
      <c r="H570" s="268" t="s">
        <v>3220</v>
      </c>
      <c r="I570" s="268" t="s">
        <v>3201</v>
      </c>
      <c r="J570" s="458">
        <v>165149.19473404271</v>
      </c>
      <c r="K570" s="458">
        <v>13762.43289450356</v>
      </c>
      <c r="L570" s="458">
        <v>11194.760870699611</v>
      </c>
      <c r="M570" s="456">
        <v>0</v>
      </c>
      <c r="N570" s="458">
        <v>119.49693843813893</v>
      </c>
      <c r="O570" s="459">
        <v>0</v>
      </c>
      <c r="P570" s="459">
        <v>2890.110907845748</v>
      </c>
      <c r="Q570" s="458">
        <v>55400.108403681625</v>
      </c>
      <c r="R570" s="458">
        <v>29842.45948844152</v>
      </c>
      <c r="S570" s="458">
        <v>1959.7497903854783</v>
      </c>
      <c r="T570" s="457"/>
      <c r="U570" s="425"/>
      <c r="V570" s="425"/>
      <c r="W570" s="425"/>
      <c r="X570" s="425"/>
      <c r="Y570" s="425"/>
      <c r="Z570" s="425"/>
      <c r="AA570" s="425"/>
      <c r="AB570" s="425"/>
      <c r="AC570" s="425"/>
      <c r="AD570" s="425"/>
      <c r="AE570" s="425"/>
      <c r="AG570" s="425"/>
      <c r="AH570" s="425"/>
      <c r="AI570" s="425"/>
      <c r="AJ570" s="425"/>
      <c r="AK570" s="425"/>
      <c r="AL570" s="425"/>
      <c r="AM570" s="425"/>
      <c r="AN570" s="425"/>
      <c r="AO570" s="425"/>
      <c r="AP570" s="425"/>
      <c r="AQ570" s="425"/>
    </row>
    <row r="571" spans="1:43" s="270" customFormat="1" x14ac:dyDescent="0.25">
      <c r="A571" s="271">
        <v>501101</v>
      </c>
      <c r="B571" s="271">
        <v>1101</v>
      </c>
      <c r="C571" s="271">
        <v>200107</v>
      </c>
      <c r="D571" s="268" t="s">
        <v>894</v>
      </c>
      <c r="E571" s="268" t="s">
        <v>1278</v>
      </c>
      <c r="F571" s="268" t="s">
        <v>2193</v>
      </c>
      <c r="G571" s="268">
        <v>16</v>
      </c>
      <c r="H571" s="268" t="s">
        <v>3221</v>
      </c>
      <c r="I571" s="268" t="s">
        <v>3201</v>
      </c>
      <c r="J571" s="458">
        <v>165149.19473404271</v>
      </c>
      <c r="K571" s="458">
        <v>13762.43289450356</v>
      </c>
      <c r="L571" s="458">
        <v>11194.760870699611</v>
      </c>
      <c r="M571" s="456">
        <v>0</v>
      </c>
      <c r="N571" s="458">
        <v>119.49693843813893</v>
      </c>
      <c r="O571" s="459">
        <v>0</v>
      </c>
      <c r="P571" s="459">
        <v>2890.110907845748</v>
      </c>
      <c r="Q571" s="458">
        <v>55400.108403681625</v>
      </c>
      <c r="R571" s="458">
        <v>29842.45948844152</v>
      </c>
      <c r="S571" s="458">
        <v>1959.7497903854783</v>
      </c>
      <c r="T571" s="457"/>
      <c r="U571" s="425"/>
      <c r="V571" s="425"/>
      <c r="W571" s="425"/>
      <c r="X571" s="425"/>
      <c r="Y571" s="425"/>
      <c r="Z571" s="425"/>
      <c r="AA571" s="425"/>
      <c r="AB571" s="425"/>
      <c r="AC571" s="425"/>
      <c r="AD571" s="425"/>
      <c r="AE571" s="425"/>
      <c r="AG571" s="425"/>
      <c r="AH571" s="425"/>
      <c r="AI571" s="425"/>
      <c r="AJ571" s="425"/>
      <c r="AK571" s="425"/>
      <c r="AL571" s="425"/>
      <c r="AM571" s="425"/>
      <c r="AN571" s="425"/>
      <c r="AO571" s="425"/>
      <c r="AP571" s="425"/>
      <c r="AQ571" s="425"/>
    </row>
    <row r="572" spans="1:43" s="270" customFormat="1" x14ac:dyDescent="0.25">
      <c r="A572" s="271">
        <v>501445</v>
      </c>
      <c r="B572" s="271">
        <v>1445</v>
      </c>
      <c r="C572" s="271">
        <v>200108</v>
      </c>
      <c r="D572" s="268" t="s">
        <v>894</v>
      </c>
      <c r="E572" s="268" t="s">
        <v>1278</v>
      </c>
      <c r="F572" s="268" t="s">
        <v>3222</v>
      </c>
      <c r="G572" s="268">
        <v>16</v>
      </c>
      <c r="H572" s="268" t="s">
        <v>2664</v>
      </c>
      <c r="I572" s="268" t="s">
        <v>3201</v>
      </c>
      <c r="J572" s="458">
        <v>165149.19473404271</v>
      </c>
      <c r="K572" s="458">
        <v>13762.43289450356</v>
      </c>
      <c r="L572" s="458">
        <v>11194.760870699611</v>
      </c>
      <c r="M572" s="456">
        <v>0</v>
      </c>
      <c r="N572" s="458">
        <v>119.49693843813893</v>
      </c>
      <c r="O572" s="459">
        <v>0</v>
      </c>
      <c r="P572" s="459">
        <v>2890.110907845748</v>
      </c>
      <c r="Q572" s="458">
        <v>55400.108403681625</v>
      </c>
      <c r="R572" s="458">
        <v>29842.45948844152</v>
      </c>
      <c r="S572" s="458">
        <v>1959.7497903854783</v>
      </c>
      <c r="T572" s="457"/>
      <c r="U572" s="425"/>
      <c r="V572" s="425"/>
      <c r="W572" s="425"/>
      <c r="X572" s="425"/>
      <c r="Y572" s="425"/>
      <c r="Z572" s="425"/>
      <c r="AA572" s="425"/>
      <c r="AB572" s="425"/>
      <c r="AC572" s="425"/>
      <c r="AD572" s="425"/>
      <c r="AE572" s="425"/>
      <c r="AG572" s="425"/>
      <c r="AH572" s="425"/>
      <c r="AI572" s="425"/>
      <c r="AJ572" s="425"/>
      <c r="AK572" s="425"/>
      <c r="AL572" s="425"/>
      <c r="AM572" s="425"/>
      <c r="AN572" s="425"/>
      <c r="AO572" s="425"/>
      <c r="AP572" s="425"/>
      <c r="AQ572" s="425"/>
    </row>
    <row r="573" spans="1:43" s="270" customFormat="1" x14ac:dyDescent="0.25">
      <c r="A573" s="271">
        <v>501101</v>
      </c>
      <c r="B573" s="271">
        <v>1101</v>
      </c>
      <c r="C573" s="271">
        <v>200109</v>
      </c>
      <c r="D573" s="268" t="s">
        <v>894</v>
      </c>
      <c r="E573" s="268" t="s">
        <v>1278</v>
      </c>
      <c r="F573" s="268" t="s">
        <v>3223</v>
      </c>
      <c r="G573" s="268">
        <v>16</v>
      </c>
      <c r="H573" s="268" t="s">
        <v>3066</v>
      </c>
      <c r="I573" s="268" t="s">
        <v>3201</v>
      </c>
      <c r="J573" s="458">
        <v>165149.19473404271</v>
      </c>
      <c r="K573" s="458">
        <v>13762.43289450356</v>
      </c>
      <c r="L573" s="458">
        <v>11194.760870699611</v>
      </c>
      <c r="M573" s="456">
        <v>0</v>
      </c>
      <c r="N573" s="458">
        <v>119.49693843813893</v>
      </c>
      <c r="O573" s="459">
        <v>0</v>
      </c>
      <c r="P573" s="459">
        <v>2890.110907845748</v>
      </c>
      <c r="Q573" s="458">
        <v>55400.108403681625</v>
      </c>
      <c r="R573" s="458">
        <v>29842.45948844152</v>
      </c>
      <c r="S573" s="458">
        <v>1959.7497903854783</v>
      </c>
      <c r="T573" s="457"/>
      <c r="U573" s="425"/>
      <c r="V573" s="425"/>
      <c r="W573" s="425"/>
      <c r="X573" s="425"/>
      <c r="Y573" s="425"/>
      <c r="Z573" s="425"/>
      <c r="AA573" s="425"/>
      <c r="AB573" s="425"/>
      <c r="AC573" s="425"/>
      <c r="AD573" s="425"/>
      <c r="AE573" s="425"/>
      <c r="AG573" s="425"/>
      <c r="AH573" s="425"/>
      <c r="AI573" s="425"/>
      <c r="AJ573" s="425"/>
      <c r="AK573" s="425"/>
      <c r="AL573" s="425"/>
      <c r="AM573" s="425"/>
      <c r="AN573" s="425"/>
      <c r="AO573" s="425"/>
      <c r="AP573" s="425"/>
      <c r="AQ573" s="425"/>
    </row>
    <row r="574" spans="1:43" s="270" customFormat="1" x14ac:dyDescent="0.25">
      <c r="A574" s="271">
        <v>501406</v>
      </c>
      <c r="B574" s="271">
        <v>1406</v>
      </c>
      <c r="C574" s="271">
        <v>200110</v>
      </c>
      <c r="D574" s="268" t="s">
        <v>894</v>
      </c>
      <c r="E574" s="268" t="s">
        <v>1278</v>
      </c>
      <c r="F574" s="268" t="s">
        <v>2592</v>
      </c>
      <c r="G574" s="268">
        <v>16</v>
      </c>
      <c r="H574" s="268" t="s">
        <v>3224</v>
      </c>
      <c r="I574" s="268" t="s">
        <v>3201</v>
      </c>
      <c r="J574" s="458">
        <v>165149.19473404271</v>
      </c>
      <c r="K574" s="458">
        <v>13762.43289450356</v>
      </c>
      <c r="L574" s="458">
        <v>11194.760870699611</v>
      </c>
      <c r="M574" s="456">
        <v>0</v>
      </c>
      <c r="N574" s="458">
        <v>119.49693843813893</v>
      </c>
      <c r="O574" s="459">
        <v>0</v>
      </c>
      <c r="P574" s="459">
        <v>2890.110907845748</v>
      </c>
      <c r="Q574" s="458">
        <v>55400.108403681625</v>
      </c>
      <c r="R574" s="458">
        <v>29842.45948844152</v>
      </c>
      <c r="S574" s="458">
        <v>1959.7497903854783</v>
      </c>
      <c r="T574" s="457"/>
      <c r="U574" s="425"/>
      <c r="V574" s="425"/>
      <c r="W574" s="425"/>
      <c r="X574" s="425"/>
      <c r="Y574" s="425"/>
      <c r="Z574" s="425"/>
      <c r="AA574" s="425"/>
      <c r="AB574" s="425"/>
      <c r="AC574" s="425"/>
      <c r="AD574" s="425"/>
      <c r="AE574" s="425"/>
      <c r="AG574" s="425"/>
      <c r="AH574" s="425"/>
      <c r="AI574" s="425"/>
      <c r="AJ574" s="425"/>
      <c r="AK574" s="425"/>
      <c r="AL574" s="425"/>
      <c r="AM574" s="425"/>
      <c r="AN574" s="425"/>
      <c r="AO574" s="425"/>
      <c r="AP574" s="425"/>
      <c r="AQ574" s="425"/>
    </row>
    <row r="575" spans="1:43" s="270" customFormat="1" x14ac:dyDescent="0.25">
      <c r="A575" s="271">
        <v>501506</v>
      </c>
      <c r="B575" s="271">
        <v>1506</v>
      </c>
      <c r="C575" s="271">
        <v>200111</v>
      </c>
      <c r="D575" s="268" t="s">
        <v>894</v>
      </c>
      <c r="E575" s="268" t="s">
        <v>1278</v>
      </c>
      <c r="F575" s="268" t="s">
        <v>3225</v>
      </c>
      <c r="G575" s="268">
        <v>16</v>
      </c>
      <c r="H575" s="268" t="s">
        <v>3226</v>
      </c>
      <c r="I575" s="268" t="s">
        <v>3201</v>
      </c>
      <c r="J575" s="458">
        <v>165149.19473404271</v>
      </c>
      <c r="K575" s="458">
        <v>13762.43289450356</v>
      </c>
      <c r="L575" s="458">
        <v>11194.760870699611</v>
      </c>
      <c r="M575" s="456">
        <v>0</v>
      </c>
      <c r="N575" s="458">
        <v>119.49693843813893</v>
      </c>
      <c r="O575" s="459">
        <v>0</v>
      </c>
      <c r="P575" s="459">
        <v>2890.110907845748</v>
      </c>
      <c r="Q575" s="458">
        <v>55400.108403681625</v>
      </c>
      <c r="R575" s="458">
        <v>29842.45948844152</v>
      </c>
      <c r="S575" s="458">
        <v>1959.7497903854783</v>
      </c>
      <c r="T575" s="457"/>
      <c r="U575" s="425"/>
      <c r="V575" s="425"/>
      <c r="W575" s="425"/>
      <c r="X575" s="425"/>
      <c r="Y575" s="425"/>
      <c r="Z575" s="425"/>
      <c r="AA575" s="425"/>
      <c r="AB575" s="425"/>
      <c r="AC575" s="425"/>
      <c r="AD575" s="425"/>
      <c r="AE575" s="425"/>
      <c r="AG575" s="425"/>
      <c r="AH575" s="425"/>
      <c r="AI575" s="425"/>
      <c r="AJ575" s="425"/>
      <c r="AK575" s="425"/>
      <c r="AL575" s="425"/>
      <c r="AM575" s="425"/>
      <c r="AN575" s="425"/>
      <c r="AO575" s="425"/>
      <c r="AP575" s="425"/>
      <c r="AQ575" s="425"/>
    </row>
    <row r="576" spans="1:43" s="270" customFormat="1" x14ac:dyDescent="0.25">
      <c r="A576" s="271">
        <v>501506</v>
      </c>
      <c r="B576" s="271">
        <v>1506</v>
      </c>
      <c r="C576" s="271">
        <v>200112</v>
      </c>
      <c r="D576" s="268" t="s">
        <v>894</v>
      </c>
      <c r="E576" s="268" t="s">
        <v>1278</v>
      </c>
      <c r="F576" s="268" t="s">
        <v>2450</v>
      </c>
      <c r="G576" s="268">
        <v>16</v>
      </c>
      <c r="H576" s="268" t="s">
        <v>3182</v>
      </c>
      <c r="I576" s="268" t="s">
        <v>3201</v>
      </c>
      <c r="J576" s="458">
        <v>165149.19473404271</v>
      </c>
      <c r="K576" s="458">
        <v>13762.43289450356</v>
      </c>
      <c r="L576" s="458">
        <v>11194.760870699611</v>
      </c>
      <c r="M576" s="456">
        <v>0</v>
      </c>
      <c r="N576" s="458">
        <v>119.49693843813893</v>
      </c>
      <c r="O576" s="459">
        <v>0</v>
      </c>
      <c r="P576" s="459">
        <v>2890.110907845748</v>
      </c>
      <c r="Q576" s="458">
        <v>55400.108403681625</v>
      </c>
      <c r="R576" s="458">
        <v>29842.45948844152</v>
      </c>
      <c r="S576" s="458">
        <v>1959.7497903854783</v>
      </c>
      <c r="T576" s="457"/>
      <c r="U576" s="425"/>
      <c r="V576" s="425"/>
      <c r="W576" s="425"/>
      <c r="X576" s="425"/>
      <c r="Y576" s="425"/>
      <c r="Z576" s="425"/>
      <c r="AA576" s="425"/>
      <c r="AB576" s="425"/>
      <c r="AC576" s="425"/>
      <c r="AD576" s="425"/>
      <c r="AE576" s="425"/>
      <c r="AG576" s="425"/>
      <c r="AH576" s="425"/>
      <c r="AI576" s="425"/>
      <c r="AJ576" s="425"/>
      <c r="AK576" s="425"/>
      <c r="AL576" s="425"/>
      <c r="AM576" s="425"/>
      <c r="AN576" s="425"/>
      <c r="AO576" s="425"/>
      <c r="AP576" s="425"/>
      <c r="AQ576" s="425"/>
    </row>
    <row r="577" spans="1:43" s="270" customFormat="1" x14ac:dyDescent="0.25">
      <c r="A577" s="271">
        <v>501101</v>
      </c>
      <c r="B577" s="271">
        <v>1101</v>
      </c>
      <c r="C577" s="271">
        <v>200113</v>
      </c>
      <c r="D577" s="268" t="s">
        <v>894</v>
      </c>
      <c r="E577" s="268" t="s">
        <v>1278</v>
      </c>
      <c r="F577" s="268" t="s">
        <v>2261</v>
      </c>
      <c r="G577" s="268">
        <v>16</v>
      </c>
      <c r="H577" s="268" t="s">
        <v>3227</v>
      </c>
      <c r="I577" s="268" t="s">
        <v>3201</v>
      </c>
      <c r="J577" s="458">
        <v>165149.19473404271</v>
      </c>
      <c r="K577" s="458">
        <v>13762.43289450356</v>
      </c>
      <c r="L577" s="458">
        <v>11194.760870699611</v>
      </c>
      <c r="M577" s="456">
        <v>0</v>
      </c>
      <c r="N577" s="458">
        <v>119.49693843813893</v>
      </c>
      <c r="O577" s="459">
        <v>0</v>
      </c>
      <c r="P577" s="459">
        <v>2890.110907845748</v>
      </c>
      <c r="Q577" s="458">
        <v>55400.108403681625</v>
      </c>
      <c r="R577" s="458">
        <v>29842.45948844152</v>
      </c>
      <c r="S577" s="458">
        <v>1959.7497903854783</v>
      </c>
      <c r="T577" s="457"/>
      <c r="U577" s="425"/>
      <c r="V577" s="425"/>
      <c r="W577" s="425"/>
      <c r="X577" s="425"/>
      <c r="Y577" s="425"/>
      <c r="Z577" s="425"/>
      <c r="AA577" s="425"/>
      <c r="AB577" s="425"/>
      <c r="AC577" s="425"/>
      <c r="AD577" s="425"/>
      <c r="AE577" s="425"/>
      <c r="AG577" s="425"/>
      <c r="AH577" s="425"/>
      <c r="AI577" s="425"/>
      <c r="AJ577" s="425"/>
      <c r="AK577" s="425"/>
      <c r="AL577" s="425"/>
      <c r="AM577" s="425"/>
      <c r="AN577" s="425"/>
      <c r="AO577" s="425"/>
      <c r="AP577" s="425"/>
      <c r="AQ577" s="425"/>
    </row>
    <row r="578" spans="1:43" s="270" customFormat="1" x14ac:dyDescent="0.25">
      <c r="A578" s="271">
        <v>501101</v>
      </c>
      <c r="B578" s="271">
        <v>1101</v>
      </c>
      <c r="C578" s="271">
        <v>200115</v>
      </c>
      <c r="D578" s="268" t="s">
        <v>894</v>
      </c>
      <c r="E578" s="268" t="s">
        <v>1278</v>
      </c>
      <c r="F578" s="268" t="s">
        <v>3228</v>
      </c>
      <c r="G578" s="268">
        <v>16</v>
      </c>
      <c r="H578" s="268" t="s">
        <v>3229</v>
      </c>
      <c r="I578" s="268" t="s">
        <v>3201</v>
      </c>
      <c r="J578" s="458">
        <v>165149.19473404271</v>
      </c>
      <c r="K578" s="458">
        <v>13762.43289450356</v>
      </c>
      <c r="L578" s="458">
        <v>11194.760870699611</v>
      </c>
      <c r="M578" s="456">
        <v>0</v>
      </c>
      <c r="N578" s="458">
        <v>119.49693843813893</v>
      </c>
      <c r="O578" s="459">
        <v>0</v>
      </c>
      <c r="P578" s="459">
        <v>2890.110907845748</v>
      </c>
      <c r="Q578" s="458">
        <v>55400.108403681625</v>
      </c>
      <c r="R578" s="458">
        <v>29842.45948844152</v>
      </c>
      <c r="S578" s="458">
        <v>1959.7497903854783</v>
      </c>
      <c r="T578" s="457"/>
      <c r="U578" s="425"/>
      <c r="V578" s="425"/>
      <c r="W578" s="425"/>
      <c r="X578" s="425"/>
      <c r="Y578" s="425"/>
      <c r="Z578" s="425"/>
      <c r="AA578" s="425"/>
      <c r="AB578" s="425"/>
      <c r="AC578" s="425"/>
      <c r="AD578" s="425"/>
      <c r="AE578" s="425"/>
      <c r="AG578" s="425"/>
      <c r="AH578" s="425"/>
      <c r="AI578" s="425"/>
      <c r="AJ578" s="425"/>
      <c r="AK578" s="425"/>
      <c r="AL578" s="425"/>
      <c r="AM578" s="425"/>
      <c r="AN578" s="425"/>
      <c r="AO578" s="425"/>
      <c r="AP578" s="425"/>
      <c r="AQ578" s="425"/>
    </row>
    <row r="579" spans="1:43" s="270" customFormat="1" x14ac:dyDescent="0.25">
      <c r="A579" s="271">
        <v>501101</v>
      </c>
      <c r="B579" s="271">
        <v>1101</v>
      </c>
      <c r="C579" s="271">
        <v>200117</v>
      </c>
      <c r="D579" s="268" t="s">
        <v>894</v>
      </c>
      <c r="E579" s="268" t="s">
        <v>1278</v>
      </c>
      <c r="F579" s="268" t="s">
        <v>2506</v>
      </c>
      <c r="G579" s="268">
        <v>16</v>
      </c>
      <c r="H579" s="268" t="s">
        <v>3230</v>
      </c>
      <c r="I579" s="268" t="s">
        <v>3201</v>
      </c>
      <c r="J579" s="458">
        <v>165149.19473404271</v>
      </c>
      <c r="K579" s="458">
        <v>13762.43289450356</v>
      </c>
      <c r="L579" s="458">
        <v>11194.760870699611</v>
      </c>
      <c r="M579" s="456">
        <v>0</v>
      </c>
      <c r="N579" s="458">
        <v>119.49693843813893</v>
      </c>
      <c r="O579" s="459">
        <v>0</v>
      </c>
      <c r="P579" s="459">
        <v>2890.110907845748</v>
      </c>
      <c r="Q579" s="458">
        <v>55400.108403681625</v>
      </c>
      <c r="R579" s="458">
        <v>29842.45948844152</v>
      </c>
      <c r="S579" s="458">
        <v>1959.7497903854783</v>
      </c>
      <c r="T579" s="457"/>
      <c r="U579" s="425"/>
      <c r="V579" s="425"/>
      <c r="W579" s="425"/>
      <c r="X579" s="425"/>
      <c r="Y579" s="425"/>
      <c r="Z579" s="425"/>
      <c r="AA579" s="425"/>
      <c r="AB579" s="425"/>
      <c r="AC579" s="425"/>
      <c r="AD579" s="425"/>
      <c r="AE579" s="425"/>
      <c r="AG579" s="425"/>
      <c r="AH579" s="425"/>
      <c r="AI579" s="425"/>
      <c r="AJ579" s="425"/>
      <c r="AK579" s="425"/>
      <c r="AL579" s="425"/>
      <c r="AM579" s="425"/>
      <c r="AN579" s="425"/>
      <c r="AO579" s="425"/>
      <c r="AP579" s="425"/>
      <c r="AQ579" s="425"/>
    </row>
    <row r="580" spans="1:43" s="270" customFormat="1" x14ac:dyDescent="0.25">
      <c r="A580" s="271">
        <v>501101</v>
      </c>
      <c r="B580" s="271">
        <v>1101</v>
      </c>
      <c r="C580" s="271">
        <v>200118</v>
      </c>
      <c r="D580" s="268" t="s">
        <v>894</v>
      </c>
      <c r="E580" s="268" t="s">
        <v>1278</v>
      </c>
      <c r="F580" s="268" t="s">
        <v>2266</v>
      </c>
      <c r="G580" s="268">
        <v>16</v>
      </c>
      <c r="H580" s="268" t="s">
        <v>3231</v>
      </c>
      <c r="I580" s="268" t="s">
        <v>3201</v>
      </c>
      <c r="J580" s="458">
        <v>165149.19473404271</v>
      </c>
      <c r="K580" s="458">
        <v>13762.43289450356</v>
      </c>
      <c r="L580" s="458">
        <v>11194.760870699611</v>
      </c>
      <c r="M580" s="456">
        <v>0</v>
      </c>
      <c r="N580" s="458">
        <v>119.49693843813893</v>
      </c>
      <c r="O580" s="459">
        <v>0</v>
      </c>
      <c r="P580" s="459">
        <v>2890.110907845748</v>
      </c>
      <c r="Q580" s="458">
        <v>55400.108403681625</v>
      </c>
      <c r="R580" s="458">
        <v>29842.45948844152</v>
      </c>
      <c r="S580" s="458">
        <v>1959.7497903854783</v>
      </c>
      <c r="T580" s="457"/>
      <c r="U580" s="425"/>
      <c r="V580" s="425"/>
      <c r="W580" s="425"/>
      <c r="X580" s="425"/>
      <c r="Y580" s="425"/>
      <c r="Z580" s="425"/>
      <c r="AA580" s="425"/>
      <c r="AB580" s="425"/>
      <c r="AC580" s="425"/>
      <c r="AD580" s="425"/>
      <c r="AE580" s="425"/>
      <c r="AG580" s="425"/>
      <c r="AH580" s="425"/>
      <c r="AI580" s="425"/>
      <c r="AJ580" s="425"/>
      <c r="AK580" s="425"/>
      <c r="AL580" s="425"/>
      <c r="AM580" s="425"/>
      <c r="AN580" s="425"/>
      <c r="AO580" s="425"/>
      <c r="AP580" s="425"/>
      <c r="AQ580" s="425"/>
    </row>
    <row r="581" spans="1:43" s="270" customFormat="1" x14ac:dyDescent="0.25">
      <c r="A581" s="271">
        <v>501101</v>
      </c>
      <c r="B581" s="271">
        <v>1101</v>
      </c>
      <c r="C581" s="271">
        <v>200120</v>
      </c>
      <c r="D581" s="268" t="s">
        <v>894</v>
      </c>
      <c r="E581" s="268" t="s">
        <v>1278</v>
      </c>
      <c r="F581" s="268" t="s">
        <v>2266</v>
      </c>
      <c r="G581" s="268">
        <v>16</v>
      </c>
      <c r="H581" s="268" t="s">
        <v>3232</v>
      </c>
      <c r="I581" s="268" t="s">
        <v>3201</v>
      </c>
      <c r="J581" s="458">
        <v>165149.19473404271</v>
      </c>
      <c r="K581" s="458">
        <v>13762.43289450356</v>
      </c>
      <c r="L581" s="458">
        <v>11194.760870699611</v>
      </c>
      <c r="M581" s="456">
        <v>0</v>
      </c>
      <c r="N581" s="458">
        <v>119.49693843813893</v>
      </c>
      <c r="O581" s="459">
        <v>0</v>
      </c>
      <c r="P581" s="459">
        <v>2890.110907845748</v>
      </c>
      <c r="Q581" s="458">
        <v>55400.108403681625</v>
      </c>
      <c r="R581" s="458">
        <v>29842.45948844152</v>
      </c>
      <c r="S581" s="458">
        <v>1959.7497903854783</v>
      </c>
      <c r="T581" s="457"/>
      <c r="U581" s="425"/>
      <c r="V581" s="425"/>
      <c r="W581" s="425"/>
      <c r="X581" s="425"/>
      <c r="Y581" s="425"/>
      <c r="Z581" s="425"/>
      <c r="AA581" s="425"/>
      <c r="AB581" s="425"/>
      <c r="AC581" s="425"/>
      <c r="AD581" s="425"/>
      <c r="AE581" s="425"/>
      <c r="AG581" s="425"/>
      <c r="AH581" s="425"/>
      <c r="AI581" s="425"/>
      <c r="AJ581" s="425"/>
      <c r="AK581" s="425"/>
      <c r="AL581" s="425"/>
      <c r="AM581" s="425"/>
      <c r="AN581" s="425"/>
      <c r="AO581" s="425"/>
      <c r="AP581" s="425"/>
      <c r="AQ581" s="425"/>
    </row>
    <row r="582" spans="1:43" s="270" customFormat="1" x14ac:dyDescent="0.25">
      <c r="A582" s="271">
        <v>501506</v>
      </c>
      <c r="B582" s="271">
        <v>1506</v>
      </c>
      <c r="C582" s="271">
        <v>200121</v>
      </c>
      <c r="D582" s="268" t="s">
        <v>894</v>
      </c>
      <c r="E582" s="268" t="s">
        <v>1278</v>
      </c>
      <c r="F582" s="268" t="s">
        <v>2336</v>
      </c>
      <c r="G582" s="268">
        <v>16</v>
      </c>
      <c r="H582" s="268" t="s">
        <v>3233</v>
      </c>
      <c r="I582" s="268" t="s">
        <v>3201</v>
      </c>
      <c r="J582" s="458">
        <v>165149.19473404271</v>
      </c>
      <c r="K582" s="458">
        <v>13762.43289450356</v>
      </c>
      <c r="L582" s="458">
        <v>11194.760870699611</v>
      </c>
      <c r="M582" s="456">
        <v>0</v>
      </c>
      <c r="N582" s="458">
        <v>119.49693843813893</v>
      </c>
      <c r="O582" s="459">
        <v>0</v>
      </c>
      <c r="P582" s="459">
        <v>2890.110907845748</v>
      </c>
      <c r="Q582" s="458">
        <v>55400.108403681625</v>
      </c>
      <c r="R582" s="458">
        <v>29842.45948844152</v>
      </c>
      <c r="S582" s="458">
        <v>1959.7497903854783</v>
      </c>
      <c r="T582" s="457"/>
      <c r="U582" s="425"/>
      <c r="V582" s="425"/>
      <c r="W582" s="425"/>
      <c r="X582" s="425"/>
      <c r="Y582" s="425"/>
      <c r="Z582" s="425"/>
      <c r="AA582" s="425"/>
      <c r="AB582" s="425"/>
      <c r="AC582" s="425"/>
      <c r="AD582" s="425"/>
      <c r="AE582" s="425"/>
      <c r="AG582" s="425"/>
      <c r="AH582" s="425"/>
      <c r="AI582" s="425"/>
      <c r="AJ582" s="425"/>
      <c r="AK582" s="425"/>
      <c r="AL582" s="425"/>
      <c r="AM582" s="425"/>
      <c r="AN582" s="425"/>
      <c r="AO582" s="425"/>
      <c r="AP582" s="425"/>
      <c r="AQ582" s="425"/>
    </row>
    <row r="583" spans="1:43" s="270" customFormat="1" x14ac:dyDescent="0.25">
      <c r="A583" s="271">
        <v>501101</v>
      </c>
      <c r="B583" s="271">
        <v>1101</v>
      </c>
      <c r="C583" s="271">
        <v>200122</v>
      </c>
      <c r="D583" s="268" t="s">
        <v>894</v>
      </c>
      <c r="E583" s="268" t="s">
        <v>1278</v>
      </c>
      <c r="F583" s="268" t="s">
        <v>3234</v>
      </c>
      <c r="G583" s="268">
        <v>16</v>
      </c>
      <c r="H583" s="268" t="s">
        <v>3235</v>
      </c>
      <c r="I583" s="268" t="s">
        <v>3201</v>
      </c>
      <c r="J583" s="458">
        <v>165149.19473404271</v>
      </c>
      <c r="K583" s="458">
        <v>13762.43289450356</v>
      </c>
      <c r="L583" s="458">
        <v>11194.760870699611</v>
      </c>
      <c r="M583" s="456">
        <v>0</v>
      </c>
      <c r="N583" s="458">
        <v>119.49693843813893</v>
      </c>
      <c r="O583" s="459">
        <v>0</v>
      </c>
      <c r="P583" s="459">
        <v>2890.110907845748</v>
      </c>
      <c r="Q583" s="458">
        <v>55400.108403681625</v>
      </c>
      <c r="R583" s="458">
        <v>29842.45948844152</v>
      </c>
      <c r="S583" s="458">
        <v>1959.7497903854783</v>
      </c>
      <c r="T583" s="457"/>
      <c r="U583" s="425"/>
      <c r="V583" s="425"/>
      <c r="W583" s="425"/>
      <c r="X583" s="425"/>
      <c r="Y583" s="425"/>
      <c r="Z583" s="425"/>
      <c r="AA583" s="425"/>
      <c r="AB583" s="425"/>
      <c r="AC583" s="425"/>
      <c r="AD583" s="425"/>
      <c r="AE583" s="425"/>
      <c r="AG583" s="425"/>
      <c r="AH583" s="425"/>
      <c r="AI583" s="425"/>
      <c r="AJ583" s="425"/>
      <c r="AK583" s="425"/>
      <c r="AL583" s="425"/>
      <c r="AM583" s="425"/>
      <c r="AN583" s="425"/>
      <c r="AO583" s="425"/>
      <c r="AP583" s="425"/>
      <c r="AQ583" s="425"/>
    </row>
    <row r="584" spans="1:43" s="270" customFormat="1" x14ac:dyDescent="0.25">
      <c r="A584" s="271">
        <v>501445</v>
      </c>
      <c r="B584" s="271">
        <v>1445</v>
      </c>
      <c r="C584" s="271">
        <v>200125</v>
      </c>
      <c r="D584" s="268" t="s">
        <v>894</v>
      </c>
      <c r="E584" s="268" t="s">
        <v>1278</v>
      </c>
      <c r="F584" s="268" t="s">
        <v>3236</v>
      </c>
      <c r="G584" s="268">
        <v>16</v>
      </c>
      <c r="H584" s="268" t="s">
        <v>2495</v>
      </c>
      <c r="I584" s="268" t="s">
        <v>3201</v>
      </c>
      <c r="J584" s="458">
        <v>165149.19473404271</v>
      </c>
      <c r="K584" s="458">
        <v>13762.43289450356</v>
      </c>
      <c r="L584" s="458">
        <v>11194.760870699611</v>
      </c>
      <c r="M584" s="456">
        <v>0</v>
      </c>
      <c r="N584" s="458">
        <v>119.49693843813893</v>
      </c>
      <c r="O584" s="459">
        <v>0</v>
      </c>
      <c r="P584" s="459">
        <v>2890.110907845748</v>
      </c>
      <c r="Q584" s="458">
        <v>55400.108403681625</v>
      </c>
      <c r="R584" s="458">
        <v>29842.45948844152</v>
      </c>
      <c r="S584" s="458">
        <v>1959.7497903854783</v>
      </c>
      <c r="T584" s="457"/>
      <c r="U584" s="425"/>
      <c r="V584" s="425"/>
      <c r="W584" s="425"/>
      <c r="X584" s="425"/>
      <c r="Y584" s="425"/>
      <c r="Z584" s="425"/>
      <c r="AA584" s="425"/>
      <c r="AB584" s="425"/>
      <c r="AC584" s="425"/>
      <c r="AD584" s="425"/>
      <c r="AE584" s="425"/>
      <c r="AG584" s="425"/>
      <c r="AH584" s="425"/>
      <c r="AI584" s="425"/>
      <c r="AJ584" s="425"/>
      <c r="AK584" s="425"/>
      <c r="AL584" s="425"/>
      <c r="AM584" s="425"/>
      <c r="AN584" s="425"/>
      <c r="AO584" s="425"/>
      <c r="AP584" s="425"/>
      <c r="AQ584" s="425"/>
    </row>
    <row r="585" spans="1:43" s="270" customFormat="1" x14ac:dyDescent="0.25">
      <c r="A585" s="271">
        <v>501445</v>
      </c>
      <c r="B585" s="271">
        <v>1445</v>
      </c>
      <c r="C585" s="271">
        <v>200126</v>
      </c>
      <c r="D585" s="268" t="s">
        <v>894</v>
      </c>
      <c r="E585" s="268" t="s">
        <v>1278</v>
      </c>
      <c r="F585" s="268" t="s">
        <v>2588</v>
      </c>
      <c r="G585" s="268">
        <v>16</v>
      </c>
      <c r="H585" s="268" t="s">
        <v>3237</v>
      </c>
      <c r="I585" s="268" t="s">
        <v>3201</v>
      </c>
      <c r="J585" s="458">
        <v>165149.19473404271</v>
      </c>
      <c r="K585" s="458">
        <v>13762.43289450356</v>
      </c>
      <c r="L585" s="458">
        <v>11194.760870699611</v>
      </c>
      <c r="M585" s="456">
        <v>0</v>
      </c>
      <c r="N585" s="458">
        <v>119.49693843813893</v>
      </c>
      <c r="O585" s="459">
        <v>0</v>
      </c>
      <c r="P585" s="459">
        <v>2890.110907845748</v>
      </c>
      <c r="Q585" s="458">
        <v>55400.108403681625</v>
      </c>
      <c r="R585" s="458">
        <v>29842.45948844152</v>
      </c>
      <c r="S585" s="458">
        <v>1959.7497903854783</v>
      </c>
      <c r="T585" s="457"/>
      <c r="U585" s="425"/>
      <c r="V585" s="425"/>
      <c r="W585" s="425"/>
      <c r="X585" s="425"/>
      <c r="Y585" s="425"/>
      <c r="Z585" s="425"/>
      <c r="AA585" s="425"/>
      <c r="AB585" s="425"/>
      <c r="AC585" s="425"/>
      <c r="AD585" s="425"/>
      <c r="AE585" s="425"/>
      <c r="AG585" s="425"/>
      <c r="AH585" s="425"/>
      <c r="AI585" s="425"/>
      <c r="AJ585" s="425"/>
      <c r="AK585" s="425"/>
      <c r="AL585" s="425"/>
      <c r="AM585" s="425"/>
      <c r="AN585" s="425"/>
      <c r="AO585" s="425"/>
      <c r="AP585" s="425"/>
      <c r="AQ585" s="425"/>
    </row>
    <row r="586" spans="1:43" s="270" customFormat="1" x14ac:dyDescent="0.25">
      <c r="A586" s="271">
        <v>501406</v>
      </c>
      <c r="B586" s="271">
        <v>1406</v>
      </c>
      <c r="C586" s="271">
        <v>200132</v>
      </c>
      <c r="D586" s="268" t="s">
        <v>894</v>
      </c>
      <c r="E586" s="268" t="s">
        <v>1290</v>
      </c>
      <c r="F586" s="268" t="s">
        <v>3238</v>
      </c>
      <c r="G586" s="268">
        <v>16</v>
      </c>
      <c r="H586" s="268" t="s">
        <v>3239</v>
      </c>
      <c r="I586" s="268" t="s">
        <v>3201</v>
      </c>
      <c r="J586" s="458">
        <v>165149.19473404271</v>
      </c>
      <c r="K586" s="458">
        <v>13762.43289450356</v>
      </c>
      <c r="L586" s="458">
        <v>11194.760870699611</v>
      </c>
      <c r="M586" s="456">
        <v>0</v>
      </c>
      <c r="N586" s="458">
        <v>119.49693843813893</v>
      </c>
      <c r="O586" s="459">
        <v>0</v>
      </c>
      <c r="P586" s="459">
        <v>2890.110907845748</v>
      </c>
      <c r="Q586" s="458">
        <v>55400.108403681625</v>
      </c>
      <c r="R586" s="458">
        <v>29842.45948844152</v>
      </c>
      <c r="S586" s="458">
        <v>1959.7497903854783</v>
      </c>
      <c r="T586" s="457"/>
      <c r="U586" s="425"/>
      <c r="V586" s="425"/>
      <c r="W586" s="425"/>
      <c r="X586" s="425"/>
      <c r="Y586" s="425"/>
      <c r="Z586" s="425"/>
      <c r="AA586" s="425"/>
      <c r="AB586" s="425"/>
      <c r="AC586" s="425"/>
      <c r="AD586" s="425"/>
      <c r="AE586" s="425"/>
      <c r="AG586" s="425"/>
      <c r="AH586" s="425"/>
      <c r="AI586" s="425"/>
      <c r="AJ586" s="425"/>
      <c r="AK586" s="425"/>
      <c r="AL586" s="425"/>
      <c r="AM586" s="425"/>
      <c r="AN586" s="425"/>
      <c r="AO586" s="425"/>
      <c r="AP586" s="425"/>
      <c r="AQ586" s="425"/>
    </row>
    <row r="587" spans="1:43" s="270" customFormat="1" x14ac:dyDescent="0.25">
      <c r="A587" s="271">
        <v>501506</v>
      </c>
      <c r="B587" s="271">
        <v>1506</v>
      </c>
      <c r="C587" s="271">
        <v>200133</v>
      </c>
      <c r="D587" s="268" t="s">
        <v>894</v>
      </c>
      <c r="E587" s="268" t="s">
        <v>1290</v>
      </c>
      <c r="F587" s="268" t="s">
        <v>2660</v>
      </c>
      <c r="G587" s="268">
        <v>16</v>
      </c>
      <c r="H587" s="268" t="s">
        <v>3240</v>
      </c>
      <c r="I587" s="268" t="s">
        <v>3201</v>
      </c>
      <c r="J587" s="458">
        <v>165149.19473404271</v>
      </c>
      <c r="K587" s="458">
        <v>13762.43289450356</v>
      </c>
      <c r="L587" s="458">
        <v>11194.760870699611</v>
      </c>
      <c r="M587" s="456">
        <v>0</v>
      </c>
      <c r="N587" s="458">
        <v>119.49693843813893</v>
      </c>
      <c r="O587" s="459">
        <v>0</v>
      </c>
      <c r="P587" s="459">
        <v>2890.110907845748</v>
      </c>
      <c r="Q587" s="458">
        <v>55400.108403681625</v>
      </c>
      <c r="R587" s="458">
        <v>29842.45948844152</v>
      </c>
      <c r="S587" s="458">
        <v>1959.7497903854783</v>
      </c>
      <c r="T587" s="457"/>
      <c r="U587" s="425"/>
      <c r="V587" s="425"/>
      <c r="W587" s="425"/>
      <c r="X587" s="425"/>
      <c r="Y587" s="425"/>
      <c r="Z587" s="425"/>
      <c r="AA587" s="425"/>
      <c r="AB587" s="425"/>
      <c r="AC587" s="425"/>
      <c r="AD587" s="425"/>
      <c r="AE587" s="425"/>
      <c r="AG587" s="425"/>
      <c r="AH587" s="425"/>
      <c r="AI587" s="425"/>
      <c r="AJ587" s="425"/>
      <c r="AK587" s="425"/>
      <c r="AL587" s="425"/>
      <c r="AM587" s="425"/>
      <c r="AN587" s="425"/>
      <c r="AO587" s="425"/>
      <c r="AP587" s="425"/>
      <c r="AQ587" s="425"/>
    </row>
    <row r="588" spans="1:43" x14ac:dyDescent="0.25">
      <c r="A588" s="271">
        <v>501444</v>
      </c>
      <c r="B588" s="271">
        <v>1444</v>
      </c>
      <c r="C588" s="271">
        <v>200135</v>
      </c>
      <c r="D588" s="268" t="s">
        <v>894</v>
      </c>
      <c r="E588" s="268" t="s">
        <v>1290</v>
      </c>
      <c r="F588" s="268" t="s">
        <v>2588</v>
      </c>
      <c r="G588" s="268">
        <v>16</v>
      </c>
      <c r="H588" s="268" t="s">
        <v>3241</v>
      </c>
      <c r="I588" s="268" t="s">
        <v>3201</v>
      </c>
      <c r="J588" s="458">
        <v>165149.19473404271</v>
      </c>
      <c r="K588" s="458">
        <v>13762.43289450356</v>
      </c>
      <c r="L588" s="458">
        <v>11194.760870699611</v>
      </c>
      <c r="M588" s="456">
        <v>0</v>
      </c>
      <c r="N588" s="458">
        <v>119.49693843813893</v>
      </c>
      <c r="O588" s="459">
        <v>0</v>
      </c>
      <c r="P588" s="459">
        <v>2890.110907845748</v>
      </c>
      <c r="Q588" s="458">
        <v>55400.108403681625</v>
      </c>
      <c r="R588" s="458">
        <v>29842.45948844152</v>
      </c>
      <c r="S588" s="458">
        <v>1959.7497903854783</v>
      </c>
      <c r="T588" s="457"/>
      <c r="U588" s="425"/>
      <c r="V588" s="425"/>
      <c r="W588" s="425"/>
      <c r="X588" s="425"/>
      <c r="Y588" s="425"/>
      <c r="Z588" s="425"/>
      <c r="AA588" s="425"/>
      <c r="AB588" s="425"/>
      <c r="AC588" s="425"/>
      <c r="AD588" s="425"/>
      <c r="AE588" s="425"/>
      <c r="AF588" s="424"/>
      <c r="AG588" s="425"/>
      <c r="AH588" s="425"/>
      <c r="AI588" s="425"/>
      <c r="AJ588" s="425"/>
      <c r="AK588" s="425"/>
      <c r="AL588" s="425"/>
      <c r="AM588" s="425"/>
      <c r="AN588" s="425"/>
      <c r="AO588" s="425"/>
      <c r="AP588" s="425"/>
      <c r="AQ588" s="425"/>
    </row>
    <row r="589" spans="1:43" s="270" customFormat="1" x14ac:dyDescent="0.25">
      <c r="A589" s="271">
        <v>501444</v>
      </c>
      <c r="B589" s="271">
        <v>1444</v>
      </c>
      <c r="C589" s="271">
        <v>200137</v>
      </c>
      <c r="D589" s="268" t="s">
        <v>894</v>
      </c>
      <c r="E589" s="268" t="s">
        <v>1290</v>
      </c>
      <c r="F589" s="268" t="s">
        <v>2243</v>
      </c>
      <c r="G589" s="268">
        <v>16</v>
      </c>
      <c r="H589" s="268" t="s">
        <v>3242</v>
      </c>
      <c r="I589" s="268" t="s">
        <v>3201</v>
      </c>
      <c r="J589" s="458">
        <v>165149.19473404271</v>
      </c>
      <c r="K589" s="458">
        <v>13762.43289450356</v>
      </c>
      <c r="L589" s="458">
        <v>11194.760870699611</v>
      </c>
      <c r="M589" s="456">
        <v>0</v>
      </c>
      <c r="N589" s="458">
        <v>119.49693843813893</v>
      </c>
      <c r="O589" s="459">
        <v>0</v>
      </c>
      <c r="P589" s="459">
        <v>2890.110907845748</v>
      </c>
      <c r="Q589" s="458">
        <v>55400.108403681625</v>
      </c>
      <c r="R589" s="458">
        <v>29842.45948844152</v>
      </c>
      <c r="S589" s="458">
        <v>1959.7497903854783</v>
      </c>
      <c r="T589" s="457"/>
      <c r="U589" s="425"/>
      <c r="V589" s="425"/>
      <c r="W589" s="425"/>
      <c r="X589" s="425"/>
      <c r="Y589" s="425"/>
      <c r="Z589" s="425"/>
      <c r="AA589" s="425"/>
      <c r="AB589" s="425"/>
      <c r="AC589" s="425"/>
      <c r="AD589" s="425"/>
      <c r="AE589" s="425"/>
      <c r="AG589" s="425"/>
      <c r="AH589" s="425"/>
      <c r="AI589" s="425"/>
      <c r="AJ589" s="425"/>
      <c r="AK589" s="425"/>
      <c r="AL589" s="425"/>
      <c r="AM589" s="425"/>
      <c r="AN589" s="425"/>
      <c r="AO589" s="425"/>
      <c r="AP589" s="425"/>
      <c r="AQ589" s="425"/>
    </row>
    <row r="590" spans="1:43" s="270" customFormat="1" x14ac:dyDescent="0.25">
      <c r="A590" s="271">
        <v>501443</v>
      </c>
      <c r="B590" s="271">
        <v>1443</v>
      </c>
      <c r="C590" s="271">
        <v>200141</v>
      </c>
      <c r="D590" s="268" t="s">
        <v>894</v>
      </c>
      <c r="E590" s="268" t="s">
        <v>1290</v>
      </c>
      <c r="F590" s="268" t="s">
        <v>3085</v>
      </c>
      <c r="G590" s="268">
        <v>16</v>
      </c>
      <c r="H590" s="268" t="s">
        <v>3243</v>
      </c>
      <c r="I590" s="268" t="s">
        <v>3201</v>
      </c>
      <c r="J590" s="458">
        <v>165149.19473404271</v>
      </c>
      <c r="K590" s="458">
        <v>13762.43289450356</v>
      </c>
      <c r="L590" s="458">
        <v>11194.760870699611</v>
      </c>
      <c r="M590" s="456">
        <v>0</v>
      </c>
      <c r="N590" s="458">
        <v>119.49693843813893</v>
      </c>
      <c r="O590" s="459">
        <v>0</v>
      </c>
      <c r="P590" s="459">
        <v>2890.110907845748</v>
      </c>
      <c r="Q590" s="458">
        <v>55400.108403681625</v>
      </c>
      <c r="R590" s="458">
        <v>29842.45948844152</v>
      </c>
      <c r="S590" s="458">
        <v>1959.7497903854783</v>
      </c>
      <c r="T590" s="457"/>
      <c r="U590" s="425"/>
      <c r="V590" s="425"/>
      <c r="W590" s="425"/>
      <c r="X590" s="425"/>
      <c r="Y590" s="425"/>
      <c r="Z590" s="425"/>
      <c r="AA590" s="425"/>
      <c r="AB590" s="425"/>
      <c r="AC590" s="425"/>
      <c r="AD590" s="425"/>
      <c r="AE590" s="425"/>
      <c r="AG590" s="425"/>
      <c r="AH590" s="425"/>
      <c r="AI590" s="425"/>
      <c r="AJ590" s="425"/>
      <c r="AK590" s="425"/>
      <c r="AL590" s="425"/>
      <c r="AM590" s="425"/>
      <c r="AN590" s="425"/>
      <c r="AO590" s="425"/>
      <c r="AP590" s="425"/>
      <c r="AQ590" s="425"/>
    </row>
    <row r="591" spans="1:43" s="270" customFormat="1" x14ac:dyDescent="0.25">
      <c r="A591" s="418">
        <v>501445</v>
      </c>
      <c r="B591" s="271">
        <v>1452</v>
      </c>
      <c r="C591" s="271">
        <v>200145</v>
      </c>
      <c r="D591" s="268" t="s">
        <v>894</v>
      </c>
      <c r="E591" s="268" t="s">
        <v>1290</v>
      </c>
      <c r="F591" s="268" t="s">
        <v>3244</v>
      </c>
      <c r="G591" s="268">
        <v>16</v>
      </c>
      <c r="H591" s="268" t="s">
        <v>3211</v>
      </c>
      <c r="I591" s="268" t="s">
        <v>3201</v>
      </c>
      <c r="J591" s="458">
        <v>165149.19473404271</v>
      </c>
      <c r="K591" s="458">
        <v>13762.43289450356</v>
      </c>
      <c r="L591" s="458">
        <v>11194.760870699611</v>
      </c>
      <c r="M591" s="456">
        <v>0</v>
      </c>
      <c r="N591" s="458">
        <v>119.49693843813893</v>
      </c>
      <c r="O591" s="459">
        <v>0</v>
      </c>
      <c r="P591" s="459">
        <v>2890.110907845748</v>
      </c>
      <c r="Q591" s="458">
        <v>55400.108403681625</v>
      </c>
      <c r="R591" s="458">
        <v>29842.45948844152</v>
      </c>
      <c r="S591" s="458">
        <v>1959.7497903854783</v>
      </c>
      <c r="T591" s="457"/>
      <c r="U591" s="425"/>
      <c r="V591" s="425"/>
      <c r="W591" s="425"/>
      <c r="X591" s="425"/>
      <c r="Y591" s="425"/>
      <c r="Z591" s="425"/>
      <c r="AA591" s="425"/>
      <c r="AB591" s="425"/>
      <c r="AC591" s="425"/>
      <c r="AD591" s="425"/>
      <c r="AE591" s="425"/>
      <c r="AG591" s="425"/>
      <c r="AH591" s="425"/>
      <c r="AI591" s="425"/>
      <c r="AJ591" s="425"/>
      <c r="AK591" s="425"/>
      <c r="AL591" s="425"/>
      <c r="AM591" s="425"/>
      <c r="AN591" s="425"/>
      <c r="AO591" s="425"/>
      <c r="AP591" s="425"/>
      <c r="AQ591" s="425"/>
    </row>
    <row r="592" spans="1:43" s="270" customFormat="1" x14ac:dyDescent="0.25">
      <c r="A592" s="271">
        <v>501406</v>
      </c>
      <c r="B592" s="271">
        <v>1406</v>
      </c>
      <c r="C592" s="271">
        <v>200158</v>
      </c>
      <c r="D592" s="268" t="s">
        <v>894</v>
      </c>
      <c r="E592" s="268" t="s">
        <v>1278</v>
      </c>
      <c r="F592" s="268" t="s">
        <v>3245</v>
      </c>
      <c r="G592" s="268">
        <v>16</v>
      </c>
      <c r="H592" s="268" t="s">
        <v>3246</v>
      </c>
      <c r="I592" s="268" t="s">
        <v>3201</v>
      </c>
      <c r="J592" s="458">
        <v>165149.19473404271</v>
      </c>
      <c r="K592" s="458">
        <v>13762.43289450356</v>
      </c>
      <c r="L592" s="458">
        <v>11194.760870699611</v>
      </c>
      <c r="M592" s="456">
        <v>0</v>
      </c>
      <c r="N592" s="458">
        <v>119.49693843813893</v>
      </c>
      <c r="O592" s="459">
        <v>0</v>
      </c>
      <c r="P592" s="459">
        <v>2890.110907845748</v>
      </c>
      <c r="Q592" s="458">
        <v>55400.108403681625</v>
      </c>
      <c r="R592" s="458">
        <v>29842.45948844152</v>
      </c>
      <c r="S592" s="458">
        <v>1959.7497903854783</v>
      </c>
      <c r="T592" s="453"/>
      <c r="U592" s="425"/>
      <c r="V592" s="425"/>
      <c r="W592" s="425"/>
      <c r="X592" s="425"/>
      <c r="Y592" s="425"/>
      <c r="Z592" s="425"/>
      <c r="AA592" s="425"/>
      <c r="AB592" s="425"/>
      <c r="AC592" s="425"/>
      <c r="AD592" s="425"/>
      <c r="AE592" s="425"/>
      <c r="AG592" s="425"/>
      <c r="AH592" s="425"/>
      <c r="AI592" s="425"/>
      <c r="AJ592" s="425"/>
      <c r="AK592" s="425"/>
      <c r="AL592" s="425"/>
      <c r="AM592" s="425"/>
      <c r="AN592" s="425"/>
      <c r="AO592" s="425"/>
      <c r="AP592" s="425"/>
      <c r="AQ592" s="425"/>
    </row>
    <row r="593" spans="1:43" s="270" customFormat="1" x14ac:dyDescent="0.25">
      <c r="A593" s="271">
        <v>501506</v>
      </c>
      <c r="B593" s="271">
        <v>1506</v>
      </c>
      <c r="C593" s="271">
        <v>200161</v>
      </c>
      <c r="D593" s="268" t="s">
        <v>894</v>
      </c>
      <c r="E593" s="268" t="s">
        <v>1278</v>
      </c>
      <c r="F593" s="268" t="s">
        <v>2461</v>
      </c>
      <c r="G593" s="268">
        <v>16</v>
      </c>
      <c r="H593" s="268" t="s">
        <v>3247</v>
      </c>
      <c r="I593" s="268" t="s">
        <v>3201</v>
      </c>
      <c r="J593" s="458">
        <v>165149.19473404271</v>
      </c>
      <c r="K593" s="458">
        <v>13762.43289450356</v>
      </c>
      <c r="L593" s="458">
        <v>11194.760870699611</v>
      </c>
      <c r="M593" s="456">
        <v>0</v>
      </c>
      <c r="N593" s="458">
        <v>119.49693843813893</v>
      </c>
      <c r="O593" s="459">
        <v>0</v>
      </c>
      <c r="P593" s="459">
        <v>2890.110907845748</v>
      </c>
      <c r="Q593" s="458">
        <v>55400.108403681625</v>
      </c>
      <c r="R593" s="458">
        <v>29842.45948844152</v>
      </c>
      <c r="S593" s="458">
        <v>1959.7497903854783</v>
      </c>
      <c r="T593" s="457"/>
      <c r="U593" s="425"/>
      <c r="V593" s="425"/>
      <c r="W593" s="425"/>
      <c r="X593" s="425"/>
      <c r="Y593" s="425"/>
      <c r="Z593" s="425"/>
      <c r="AA593" s="425"/>
      <c r="AB593" s="425"/>
      <c r="AC593" s="425"/>
      <c r="AD593" s="425"/>
      <c r="AE593" s="425"/>
      <c r="AG593" s="425"/>
      <c r="AH593" s="425"/>
      <c r="AI593" s="425"/>
      <c r="AJ593" s="425"/>
      <c r="AK593" s="425"/>
      <c r="AL593" s="425"/>
      <c r="AM593" s="425"/>
      <c r="AN593" s="425"/>
      <c r="AO593" s="425"/>
      <c r="AP593" s="425"/>
      <c r="AQ593" s="425"/>
    </row>
    <row r="594" spans="1:43" s="270" customFormat="1" x14ac:dyDescent="0.25">
      <c r="A594" s="271">
        <v>501506</v>
      </c>
      <c r="B594" s="271">
        <v>1506</v>
      </c>
      <c r="C594" s="271">
        <v>200163</v>
      </c>
      <c r="D594" s="268" t="s">
        <v>894</v>
      </c>
      <c r="E594" s="268" t="s">
        <v>1290</v>
      </c>
      <c r="F594" s="268" t="s">
        <v>2333</v>
      </c>
      <c r="G594" s="268">
        <v>16</v>
      </c>
      <c r="H594" s="268" t="s">
        <v>3248</v>
      </c>
      <c r="I594" s="268" t="s">
        <v>3201</v>
      </c>
      <c r="J594" s="458">
        <v>165149.19473404271</v>
      </c>
      <c r="K594" s="458">
        <v>13762.43289450356</v>
      </c>
      <c r="L594" s="458">
        <v>11194.760870699611</v>
      </c>
      <c r="M594" s="456">
        <v>0</v>
      </c>
      <c r="N594" s="458">
        <v>119.49693843813893</v>
      </c>
      <c r="O594" s="459">
        <v>0</v>
      </c>
      <c r="P594" s="459">
        <v>2890.110907845748</v>
      </c>
      <c r="Q594" s="458">
        <v>55400.108403681625</v>
      </c>
      <c r="R594" s="458">
        <v>29842.45948844152</v>
      </c>
      <c r="S594" s="458">
        <v>1959.7497903854783</v>
      </c>
      <c r="T594" s="457"/>
      <c r="U594" s="425"/>
      <c r="V594" s="425"/>
      <c r="W594" s="425"/>
      <c r="X594" s="425"/>
      <c r="Y594" s="425"/>
      <c r="Z594" s="425"/>
      <c r="AA594" s="425"/>
      <c r="AB594" s="425"/>
      <c r="AC594" s="425"/>
      <c r="AD594" s="425"/>
      <c r="AE594" s="425"/>
      <c r="AG594" s="425"/>
      <c r="AH594" s="425"/>
      <c r="AI594" s="425"/>
      <c r="AJ594" s="425"/>
      <c r="AK594" s="425"/>
      <c r="AL594" s="425"/>
      <c r="AM594" s="425"/>
      <c r="AN594" s="425"/>
      <c r="AO594" s="425"/>
      <c r="AP594" s="425"/>
      <c r="AQ594" s="425"/>
    </row>
    <row r="595" spans="1:43" s="270" customFormat="1" x14ac:dyDescent="0.25">
      <c r="A595" s="271">
        <v>501406</v>
      </c>
      <c r="B595" s="271">
        <v>1406</v>
      </c>
      <c r="C595" s="271">
        <v>200165</v>
      </c>
      <c r="D595" s="268" t="s">
        <v>894</v>
      </c>
      <c r="E595" s="268" t="s">
        <v>1290</v>
      </c>
      <c r="F595" s="268" t="s">
        <v>3249</v>
      </c>
      <c r="G595" s="268">
        <v>16</v>
      </c>
      <c r="H595" s="268" t="s">
        <v>3250</v>
      </c>
      <c r="I595" s="268" t="s">
        <v>3201</v>
      </c>
      <c r="J595" s="458">
        <v>165149.19473404271</v>
      </c>
      <c r="K595" s="458">
        <v>13762.43289450356</v>
      </c>
      <c r="L595" s="458">
        <v>11194.760870699611</v>
      </c>
      <c r="M595" s="456">
        <v>0</v>
      </c>
      <c r="N595" s="458">
        <v>119.49693843813893</v>
      </c>
      <c r="O595" s="459">
        <v>0</v>
      </c>
      <c r="P595" s="459">
        <v>2890.110907845748</v>
      </c>
      <c r="Q595" s="458">
        <v>55400.108403681625</v>
      </c>
      <c r="R595" s="458">
        <v>29842.45948844152</v>
      </c>
      <c r="S595" s="458">
        <v>1959.7497903854783</v>
      </c>
      <c r="T595" s="457"/>
      <c r="U595" s="425"/>
      <c r="V595" s="425"/>
      <c r="W595" s="425"/>
      <c r="X595" s="425"/>
      <c r="Y595" s="425"/>
      <c r="Z595" s="425"/>
      <c r="AA595" s="425"/>
      <c r="AB595" s="425"/>
      <c r="AC595" s="425"/>
      <c r="AD595" s="425"/>
      <c r="AE595" s="425"/>
      <c r="AG595" s="425"/>
      <c r="AH595" s="425"/>
      <c r="AI595" s="425"/>
      <c r="AJ595" s="425"/>
      <c r="AK595" s="425"/>
      <c r="AL595" s="425"/>
      <c r="AM595" s="425"/>
      <c r="AN595" s="425"/>
      <c r="AO595" s="425"/>
      <c r="AP595" s="425"/>
      <c r="AQ595" s="425"/>
    </row>
    <row r="596" spans="1:43" s="270" customFormat="1" x14ac:dyDescent="0.25">
      <c r="A596" s="271">
        <v>501506</v>
      </c>
      <c r="B596" s="271">
        <v>1506</v>
      </c>
      <c r="C596" s="271">
        <v>200166</v>
      </c>
      <c r="D596" s="268" t="s">
        <v>894</v>
      </c>
      <c r="E596" s="268" t="s">
        <v>1278</v>
      </c>
      <c r="F596" s="268" t="s">
        <v>2422</v>
      </c>
      <c r="G596" s="268">
        <v>16</v>
      </c>
      <c r="H596" s="268" t="s">
        <v>2881</v>
      </c>
      <c r="I596" s="268" t="s">
        <v>3201</v>
      </c>
      <c r="J596" s="458">
        <v>165149.19473404271</v>
      </c>
      <c r="K596" s="458">
        <v>13762.43289450356</v>
      </c>
      <c r="L596" s="458">
        <v>11194.760870699611</v>
      </c>
      <c r="M596" s="456">
        <v>0</v>
      </c>
      <c r="N596" s="458">
        <v>119.49693843813893</v>
      </c>
      <c r="O596" s="459">
        <v>0</v>
      </c>
      <c r="P596" s="459">
        <v>2890.110907845748</v>
      </c>
      <c r="Q596" s="458">
        <v>55400.108403681625</v>
      </c>
      <c r="R596" s="458">
        <v>29842.45948844152</v>
      </c>
      <c r="S596" s="458">
        <v>1959.7497903854783</v>
      </c>
      <c r="T596" s="457"/>
      <c r="U596" s="425"/>
      <c r="V596" s="425"/>
      <c r="W596" s="425"/>
      <c r="X596" s="425"/>
      <c r="Y596" s="425"/>
      <c r="Z596" s="425"/>
      <c r="AA596" s="425"/>
      <c r="AB596" s="425"/>
      <c r="AC596" s="425"/>
      <c r="AD596" s="425"/>
      <c r="AE596" s="425"/>
      <c r="AG596" s="425"/>
      <c r="AH596" s="425"/>
      <c r="AI596" s="425"/>
      <c r="AJ596" s="425"/>
      <c r="AK596" s="425"/>
      <c r="AL596" s="425"/>
      <c r="AM596" s="425"/>
      <c r="AN596" s="425"/>
      <c r="AO596" s="425"/>
      <c r="AP596" s="425"/>
      <c r="AQ596" s="425"/>
    </row>
    <row r="597" spans="1:43" s="270" customFormat="1" x14ac:dyDescent="0.25">
      <c r="A597" s="271">
        <v>501443</v>
      </c>
      <c r="B597" s="271">
        <v>1443</v>
      </c>
      <c r="C597" s="271">
        <v>200167</v>
      </c>
      <c r="D597" s="268" t="s">
        <v>894</v>
      </c>
      <c r="E597" s="268" t="s">
        <v>1290</v>
      </c>
      <c r="F597" s="268" t="s">
        <v>2984</v>
      </c>
      <c r="G597" s="268">
        <v>16</v>
      </c>
      <c r="H597" s="268" t="s">
        <v>3251</v>
      </c>
      <c r="I597" s="268" t="s">
        <v>3201</v>
      </c>
      <c r="J597" s="458">
        <v>165149.19473404271</v>
      </c>
      <c r="K597" s="458">
        <v>13762.43289450356</v>
      </c>
      <c r="L597" s="458">
        <v>11194.760870699611</v>
      </c>
      <c r="M597" s="456">
        <v>0</v>
      </c>
      <c r="N597" s="458">
        <v>119.49693843813893</v>
      </c>
      <c r="O597" s="459">
        <v>0</v>
      </c>
      <c r="P597" s="459">
        <v>2890.110907845748</v>
      </c>
      <c r="Q597" s="458">
        <v>55400.108403681625</v>
      </c>
      <c r="R597" s="458">
        <v>29842.45948844152</v>
      </c>
      <c r="S597" s="458">
        <v>1959.7497903854783</v>
      </c>
      <c r="T597" s="457"/>
      <c r="U597" s="425"/>
      <c r="V597" s="425"/>
      <c r="W597" s="425"/>
      <c r="X597" s="425"/>
      <c r="Y597" s="425"/>
      <c r="Z597" s="425"/>
      <c r="AA597" s="425"/>
      <c r="AB597" s="425"/>
      <c r="AC597" s="425"/>
      <c r="AD597" s="425"/>
      <c r="AE597" s="425"/>
      <c r="AG597" s="425"/>
      <c r="AH597" s="425"/>
      <c r="AI597" s="425"/>
      <c r="AJ597" s="425"/>
      <c r="AK597" s="425"/>
      <c r="AL597" s="425"/>
      <c r="AM597" s="425"/>
      <c r="AN597" s="425"/>
      <c r="AO597" s="425"/>
      <c r="AP597" s="425"/>
      <c r="AQ597" s="425"/>
    </row>
    <row r="598" spans="1:43" s="270" customFormat="1" x14ac:dyDescent="0.25">
      <c r="A598" s="271">
        <v>501506</v>
      </c>
      <c r="B598" s="271">
        <v>1506</v>
      </c>
      <c r="C598" s="271">
        <v>200168</v>
      </c>
      <c r="D598" s="268" t="s">
        <v>894</v>
      </c>
      <c r="E598" s="268" t="s">
        <v>1278</v>
      </c>
      <c r="F598" s="268" t="s">
        <v>3067</v>
      </c>
      <c r="G598" s="268">
        <v>16</v>
      </c>
      <c r="H598" s="268" t="s">
        <v>3252</v>
      </c>
      <c r="I598" s="268" t="s">
        <v>3201</v>
      </c>
      <c r="J598" s="458">
        <v>165149.19473404271</v>
      </c>
      <c r="K598" s="458">
        <v>13762.43289450356</v>
      </c>
      <c r="L598" s="458">
        <v>11194.760870699611</v>
      </c>
      <c r="M598" s="456">
        <v>0</v>
      </c>
      <c r="N598" s="458">
        <v>119.49693843813893</v>
      </c>
      <c r="O598" s="459">
        <v>0</v>
      </c>
      <c r="P598" s="459">
        <v>2890.110907845748</v>
      </c>
      <c r="Q598" s="458">
        <v>55400.108403681625</v>
      </c>
      <c r="R598" s="458">
        <v>29842.45948844152</v>
      </c>
      <c r="S598" s="458">
        <v>1959.7497903854783</v>
      </c>
      <c r="T598" s="457"/>
      <c r="U598" s="425"/>
      <c r="V598" s="425"/>
      <c r="W598" s="425"/>
      <c r="X598" s="425"/>
      <c r="Y598" s="425"/>
      <c r="Z598" s="425"/>
      <c r="AA598" s="425"/>
      <c r="AB598" s="425"/>
      <c r="AC598" s="425"/>
      <c r="AD598" s="425"/>
      <c r="AE598" s="425"/>
      <c r="AG598" s="425"/>
      <c r="AH598" s="425"/>
      <c r="AI598" s="425"/>
      <c r="AJ598" s="425"/>
      <c r="AK598" s="425"/>
      <c r="AL598" s="425"/>
      <c r="AM598" s="425"/>
      <c r="AN598" s="425"/>
      <c r="AO598" s="425"/>
      <c r="AP598" s="425"/>
      <c r="AQ598" s="425"/>
    </row>
    <row r="599" spans="1:43" s="270" customFormat="1" x14ac:dyDescent="0.25">
      <c r="A599" s="271">
        <v>501406</v>
      </c>
      <c r="B599" s="271">
        <v>1406</v>
      </c>
      <c r="C599" s="271">
        <v>200171</v>
      </c>
      <c r="D599" s="268" t="s">
        <v>894</v>
      </c>
      <c r="E599" s="268" t="s">
        <v>1278</v>
      </c>
      <c r="F599" s="268" t="s">
        <v>2751</v>
      </c>
      <c r="G599" s="268">
        <v>16</v>
      </c>
      <c r="H599" s="268" t="s">
        <v>3253</v>
      </c>
      <c r="I599" s="268" t="s">
        <v>3201</v>
      </c>
      <c r="J599" s="458">
        <v>165149.19473404271</v>
      </c>
      <c r="K599" s="458">
        <v>13762.43289450356</v>
      </c>
      <c r="L599" s="458">
        <v>11194.760870699611</v>
      </c>
      <c r="M599" s="456">
        <v>0</v>
      </c>
      <c r="N599" s="458">
        <v>119.49693843813893</v>
      </c>
      <c r="O599" s="459">
        <v>0</v>
      </c>
      <c r="P599" s="459">
        <v>2890.110907845748</v>
      </c>
      <c r="Q599" s="458">
        <v>55400.108403681625</v>
      </c>
      <c r="R599" s="458">
        <v>29842.45948844152</v>
      </c>
      <c r="S599" s="458">
        <v>1959.7497903854783</v>
      </c>
      <c r="T599" s="457"/>
      <c r="U599" s="425"/>
      <c r="V599" s="425"/>
      <c r="W599" s="425"/>
      <c r="X599" s="425"/>
      <c r="Y599" s="425"/>
      <c r="Z599" s="425"/>
      <c r="AA599" s="425"/>
      <c r="AB599" s="425"/>
      <c r="AC599" s="425"/>
      <c r="AD599" s="425"/>
      <c r="AE599" s="425"/>
      <c r="AG599" s="425"/>
      <c r="AH599" s="425"/>
      <c r="AI599" s="425"/>
      <c r="AJ599" s="425"/>
      <c r="AK599" s="425"/>
      <c r="AL599" s="425"/>
      <c r="AM599" s="425"/>
      <c r="AN599" s="425"/>
      <c r="AO599" s="425"/>
      <c r="AP599" s="425"/>
      <c r="AQ599" s="425"/>
    </row>
    <row r="600" spans="1:43" s="270" customFormat="1" x14ac:dyDescent="0.25">
      <c r="A600" s="271">
        <v>501506</v>
      </c>
      <c r="B600" s="271">
        <v>1506</v>
      </c>
      <c r="C600" s="271">
        <v>200172</v>
      </c>
      <c r="D600" s="268" t="s">
        <v>894</v>
      </c>
      <c r="E600" s="268" t="s">
        <v>1278</v>
      </c>
      <c r="F600" s="268" t="s">
        <v>2701</v>
      </c>
      <c r="G600" s="268">
        <v>16</v>
      </c>
      <c r="H600" s="268" t="s">
        <v>3254</v>
      </c>
      <c r="I600" s="268" t="s">
        <v>3201</v>
      </c>
      <c r="J600" s="458">
        <v>165149.19473404271</v>
      </c>
      <c r="K600" s="458">
        <v>13762.43289450356</v>
      </c>
      <c r="L600" s="458">
        <v>11194.760870699611</v>
      </c>
      <c r="M600" s="456">
        <v>0</v>
      </c>
      <c r="N600" s="458">
        <v>119.49693843813893</v>
      </c>
      <c r="O600" s="459">
        <v>0</v>
      </c>
      <c r="P600" s="459">
        <v>2890.110907845748</v>
      </c>
      <c r="Q600" s="458">
        <v>55400.108403681625</v>
      </c>
      <c r="R600" s="458">
        <v>29842.45948844152</v>
      </c>
      <c r="S600" s="458">
        <v>1959.7497903854783</v>
      </c>
      <c r="T600" s="457"/>
      <c r="U600" s="425"/>
      <c r="V600" s="425"/>
      <c r="W600" s="425"/>
      <c r="X600" s="425"/>
      <c r="Y600" s="425"/>
      <c r="Z600" s="425"/>
      <c r="AA600" s="425"/>
      <c r="AB600" s="425"/>
      <c r="AC600" s="425"/>
      <c r="AD600" s="425"/>
      <c r="AE600" s="425"/>
      <c r="AG600" s="425"/>
      <c r="AH600" s="425"/>
      <c r="AI600" s="425"/>
      <c r="AJ600" s="425"/>
      <c r="AK600" s="425"/>
      <c r="AL600" s="425"/>
      <c r="AM600" s="425"/>
      <c r="AN600" s="425"/>
      <c r="AO600" s="425"/>
      <c r="AP600" s="425"/>
      <c r="AQ600" s="425"/>
    </row>
    <row r="601" spans="1:43" s="270" customFormat="1" x14ac:dyDescent="0.25">
      <c r="A601" s="271">
        <v>501101</v>
      </c>
      <c r="B601" s="271">
        <v>1101</v>
      </c>
      <c r="C601" s="271">
        <v>200175</v>
      </c>
      <c r="D601" s="268" t="s">
        <v>894</v>
      </c>
      <c r="E601" s="268" t="s">
        <v>1290</v>
      </c>
      <c r="F601" s="268" t="s">
        <v>3025</v>
      </c>
      <c r="G601" s="268">
        <v>16</v>
      </c>
      <c r="H601" s="268" t="s">
        <v>3255</v>
      </c>
      <c r="I601" s="268" t="s">
        <v>3201</v>
      </c>
      <c r="J601" s="458">
        <v>165149.19473404271</v>
      </c>
      <c r="K601" s="458">
        <v>13762.43289450356</v>
      </c>
      <c r="L601" s="458">
        <v>11194.760870699611</v>
      </c>
      <c r="M601" s="456">
        <v>0</v>
      </c>
      <c r="N601" s="458">
        <v>119.49693843813893</v>
      </c>
      <c r="O601" s="459">
        <v>0</v>
      </c>
      <c r="P601" s="459">
        <v>2890.110907845748</v>
      </c>
      <c r="Q601" s="458">
        <v>55400.108403681625</v>
      </c>
      <c r="R601" s="458">
        <v>29842.45948844152</v>
      </c>
      <c r="S601" s="458">
        <v>1959.7497903854783</v>
      </c>
      <c r="T601" s="457"/>
      <c r="U601" s="425"/>
      <c r="V601" s="425"/>
      <c r="W601" s="425"/>
      <c r="X601" s="425"/>
      <c r="Y601" s="425"/>
      <c r="Z601" s="425"/>
      <c r="AA601" s="425"/>
      <c r="AB601" s="425"/>
      <c r="AC601" s="425"/>
      <c r="AD601" s="425"/>
      <c r="AE601" s="425"/>
      <c r="AG601" s="425"/>
      <c r="AH601" s="425"/>
      <c r="AI601" s="425"/>
      <c r="AJ601" s="425"/>
      <c r="AK601" s="425"/>
      <c r="AL601" s="425"/>
      <c r="AM601" s="425"/>
      <c r="AN601" s="425"/>
      <c r="AO601" s="425"/>
      <c r="AP601" s="425"/>
      <c r="AQ601" s="425"/>
    </row>
    <row r="602" spans="1:43" s="270" customFormat="1" x14ac:dyDescent="0.25">
      <c r="A602" s="271">
        <v>501443</v>
      </c>
      <c r="B602" s="271">
        <v>1443</v>
      </c>
      <c r="C602" s="271">
        <v>200261</v>
      </c>
      <c r="D602" s="268" t="s">
        <v>894</v>
      </c>
      <c r="E602" s="268" t="s">
        <v>1290</v>
      </c>
      <c r="F602" s="268" t="s">
        <v>3256</v>
      </c>
      <c r="G602" s="268">
        <v>16</v>
      </c>
      <c r="H602" s="268" t="s">
        <v>3257</v>
      </c>
      <c r="I602" s="268" t="s">
        <v>3201</v>
      </c>
      <c r="J602" s="458">
        <v>165149.19473404271</v>
      </c>
      <c r="K602" s="458">
        <v>13762.43289450356</v>
      </c>
      <c r="L602" s="458">
        <v>11194.760870699611</v>
      </c>
      <c r="M602" s="456">
        <v>0</v>
      </c>
      <c r="N602" s="458">
        <v>119.49693843813893</v>
      </c>
      <c r="O602" s="459">
        <v>0</v>
      </c>
      <c r="P602" s="459">
        <v>2890.110907845748</v>
      </c>
      <c r="Q602" s="458">
        <v>55400.108403681625</v>
      </c>
      <c r="R602" s="458">
        <v>29842.45948844152</v>
      </c>
      <c r="S602" s="458">
        <v>1959.7497903854783</v>
      </c>
      <c r="T602" s="457"/>
      <c r="U602" s="425"/>
      <c r="V602" s="425"/>
      <c r="W602" s="425"/>
      <c r="X602" s="425"/>
      <c r="Y602" s="425"/>
      <c r="Z602" s="425"/>
      <c r="AA602" s="425"/>
      <c r="AB602" s="425"/>
      <c r="AC602" s="425"/>
      <c r="AD602" s="425"/>
      <c r="AE602" s="425"/>
      <c r="AG602" s="425"/>
      <c r="AH602" s="425"/>
      <c r="AI602" s="425"/>
      <c r="AJ602" s="425"/>
      <c r="AK602" s="425"/>
      <c r="AL602" s="425"/>
      <c r="AM602" s="425"/>
      <c r="AN602" s="425"/>
      <c r="AO602" s="425"/>
      <c r="AP602" s="425"/>
      <c r="AQ602" s="425"/>
    </row>
    <row r="603" spans="1:43" s="270" customFormat="1" x14ac:dyDescent="0.25">
      <c r="A603" s="271">
        <v>501444</v>
      </c>
      <c r="B603" s="271">
        <v>1444</v>
      </c>
      <c r="C603" s="271">
        <v>200265</v>
      </c>
      <c r="D603" s="268" t="s">
        <v>894</v>
      </c>
      <c r="E603" s="268" t="s">
        <v>1290</v>
      </c>
      <c r="F603" s="268" t="s">
        <v>3258</v>
      </c>
      <c r="G603" s="268">
        <v>16</v>
      </c>
      <c r="H603" s="268" t="s">
        <v>3259</v>
      </c>
      <c r="I603" s="268" t="s">
        <v>3201</v>
      </c>
      <c r="J603" s="458">
        <v>165149.19473404271</v>
      </c>
      <c r="K603" s="458">
        <v>13762.43289450356</v>
      </c>
      <c r="L603" s="458">
        <v>11194.760870699611</v>
      </c>
      <c r="M603" s="456">
        <v>0</v>
      </c>
      <c r="N603" s="458">
        <v>119.49693843813893</v>
      </c>
      <c r="O603" s="459">
        <v>0</v>
      </c>
      <c r="P603" s="459">
        <v>2890.110907845748</v>
      </c>
      <c r="Q603" s="458">
        <v>55400.108403681625</v>
      </c>
      <c r="R603" s="458">
        <v>29842.45948844152</v>
      </c>
      <c r="S603" s="458">
        <v>1959.7497903854783</v>
      </c>
      <c r="T603" s="457"/>
      <c r="U603" s="425"/>
      <c r="V603" s="425"/>
      <c r="W603" s="425"/>
      <c r="X603" s="425"/>
      <c r="Y603" s="425"/>
      <c r="Z603" s="425"/>
      <c r="AA603" s="425"/>
      <c r="AB603" s="425"/>
      <c r="AC603" s="425"/>
      <c r="AD603" s="425"/>
      <c r="AE603" s="425"/>
      <c r="AG603" s="425"/>
      <c r="AH603" s="425"/>
      <c r="AI603" s="425"/>
      <c r="AJ603" s="425"/>
      <c r="AK603" s="425"/>
      <c r="AL603" s="425"/>
      <c r="AM603" s="425"/>
      <c r="AN603" s="425"/>
      <c r="AO603" s="425"/>
      <c r="AP603" s="425"/>
      <c r="AQ603" s="425"/>
    </row>
    <row r="604" spans="1:43" s="270" customFormat="1" x14ac:dyDescent="0.25">
      <c r="A604" s="271">
        <v>501444</v>
      </c>
      <c r="B604" s="271">
        <v>1444</v>
      </c>
      <c r="C604" s="271">
        <v>200268</v>
      </c>
      <c r="D604" s="268" t="s">
        <v>894</v>
      </c>
      <c r="E604" s="268" t="s">
        <v>1290</v>
      </c>
      <c r="F604" s="268" t="s">
        <v>3260</v>
      </c>
      <c r="G604" s="268">
        <v>16</v>
      </c>
      <c r="H604" s="268" t="s">
        <v>3261</v>
      </c>
      <c r="I604" s="268" t="s">
        <v>3201</v>
      </c>
      <c r="J604" s="458">
        <v>165149.19473404271</v>
      </c>
      <c r="K604" s="458">
        <v>13762.43289450356</v>
      </c>
      <c r="L604" s="458">
        <v>11194.760870699611</v>
      </c>
      <c r="M604" s="456">
        <v>0</v>
      </c>
      <c r="N604" s="458">
        <v>119.49693843813893</v>
      </c>
      <c r="O604" s="459">
        <v>0</v>
      </c>
      <c r="P604" s="459">
        <v>2890.110907845748</v>
      </c>
      <c r="Q604" s="458">
        <v>55400.108403681625</v>
      </c>
      <c r="R604" s="458">
        <v>29842.45948844152</v>
      </c>
      <c r="S604" s="458">
        <v>1959.7497903854783</v>
      </c>
      <c r="T604" s="457"/>
      <c r="U604" s="425"/>
      <c r="V604" s="425"/>
      <c r="W604" s="425"/>
      <c r="X604" s="425"/>
      <c r="Y604" s="425"/>
      <c r="Z604" s="425"/>
      <c r="AA604" s="425"/>
      <c r="AB604" s="425"/>
      <c r="AC604" s="425"/>
      <c r="AD604" s="425"/>
      <c r="AE604" s="425"/>
      <c r="AG604" s="425"/>
      <c r="AH604" s="425"/>
      <c r="AI604" s="425"/>
      <c r="AJ604" s="425"/>
      <c r="AK604" s="425"/>
      <c r="AL604" s="425"/>
      <c r="AM604" s="425"/>
      <c r="AN604" s="425"/>
      <c r="AO604" s="425"/>
      <c r="AP604" s="425"/>
      <c r="AQ604" s="425"/>
    </row>
    <row r="605" spans="1:43" s="270" customFormat="1" x14ac:dyDescent="0.25">
      <c r="A605" s="271">
        <v>501445</v>
      </c>
      <c r="B605" s="271">
        <v>1445</v>
      </c>
      <c r="C605" s="271">
        <v>200269</v>
      </c>
      <c r="D605" s="268" t="s">
        <v>894</v>
      </c>
      <c r="E605" s="268" t="s">
        <v>1290</v>
      </c>
      <c r="F605" s="268" t="s">
        <v>2768</v>
      </c>
      <c r="G605" s="268">
        <v>16</v>
      </c>
      <c r="H605" s="268" t="s">
        <v>3262</v>
      </c>
      <c r="I605" s="268" t="s">
        <v>3201</v>
      </c>
      <c r="J605" s="458">
        <v>165149.19473404271</v>
      </c>
      <c r="K605" s="458">
        <v>13762.43289450356</v>
      </c>
      <c r="L605" s="458">
        <v>11194.760870699611</v>
      </c>
      <c r="M605" s="456">
        <v>0</v>
      </c>
      <c r="N605" s="458">
        <v>119.49693843813893</v>
      </c>
      <c r="O605" s="459">
        <v>0</v>
      </c>
      <c r="P605" s="459">
        <v>2890.110907845748</v>
      </c>
      <c r="Q605" s="458">
        <v>55400.108403681625</v>
      </c>
      <c r="R605" s="458">
        <v>29842.45948844152</v>
      </c>
      <c r="S605" s="458">
        <v>1959.7497903854783</v>
      </c>
      <c r="T605" s="457"/>
      <c r="U605" s="425"/>
      <c r="V605" s="425"/>
      <c r="W605" s="425"/>
      <c r="X605" s="425"/>
      <c r="Y605" s="425"/>
      <c r="Z605" s="425"/>
      <c r="AA605" s="425"/>
      <c r="AB605" s="425"/>
      <c r="AC605" s="425"/>
      <c r="AD605" s="425"/>
      <c r="AE605" s="425"/>
      <c r="AG605" s="425"/>
      <c r="AH605" s="425"/>
      <c r="AI605" s="425"/>
      <c r="AJ605" s="425"/>
      <c r="AK605" s="425"/>
      <c r="AL605" s="425"/>
      <c r="AM605" s="425"/>
      <c r="AN605" s="425"/>
      <c r="AO605" s="425"/>
      <c r="AP605" s="425"/>
      <c r="AQ605" s="425"/>
    </row>
    <row r="606" spans="1:43" s="270" customFormat="1" x14ac:dyDescent="0.25">
      <c r="A606" s="271">
        <v>501443</v>
      </c>
      <c r="B606" s="271">
        <v>1443</v>
      </c>
      <c r="C606" s="271">
        <v>200270</v>
      </c>
      <c r="D606" s="268" t="s">
        <v>894</v>
      </c>
      <c r="E606" s="268" t="s">
        <v>1278</v>
      </c>
      <c r="F606" s="268" t="s">
        <v>2764</v>
      </c>
      <c r="G606" s="268">
        <v>16</v>
      </c>
      <c r="H606" s="268" t="s">
        <v>3263</v>
      </c>
      <c r="I606" s="268" t="s">
        <v>3201</v>
      </c>
      <c r="J606" s="458">
        <v>165149.19473404271</v>
      </c>
      <c r="K606" s="458">
        <v>13762.43289450356</v>
      </c>
      <c r="L606" s="458">
        <v>11194.760870699611</v>
      </c>
      <c r="M606" s="456">
        <v>0</v>
      </c>
      <c r="N606" s="458">
        <v>119.49693843813893</v>
      </c>
      <c r="O606" s="459">
        <v>0</v>
      </c>
      <c r="P606" s="459">
        <v>2890.110907845748</v>
      </c>
      <c r="Q606" s="458">
        <v>55400.108403681625</v>
      </c>
      <c r="R606" s="458">
        <v>29842.45948844152</v>
      </c>
      <c r="S606" s="458">
        <v>1959.7497903854783</v>
      </c>
      <c r="T606" s="453"/>
      <c r="U606" s="425"/>
      <c r="V606" s="425"/>
      <c r="W606" s="425"/>
      <c r="X606" s="425"/>
      <c r="Y606" s="425"/>
      <c r="Z606" s="425"/>
      <c r="AA606" s="425"/>
      <c r="AB606" s="425"/>
      <c r="AC606" s="425"/>
      <c r="AD606" s="425"/>
      <c r="AE606" s="425"/>
      <c r="AG606" s="425"/>
      <c r="AH606" s="425"/>
      <c r="AI606" s="425"/>
      <c r="AJ606" s="425"/>
      <c r="AK606" s="425"/>
      <c r="AL606" s="425"/>
      <c r="AM606" s="425"/>
      <c r="AN606" s="425"/>
      <c r="AO606" s="425"/>
      <c r="AP606" s="425"/>
      <c r="AQ606" s="425"/>
    </row>
    <row r="607" spans="1:43" s="270" customFormat="1" x14ac:dyDescent="0.25">
      <c r="A607" s="271">
        <v>501444</v>
      </c>
      <c r="B607" s="271">
        <v>1444</v>
      </c>
      <c r="C607" s="271">
        <v>200271</v>
      </c>
      <c r="D607" s="268" t="s">
        <v>894</v>
      </c>
      <c r="E607" s="268" t="s">
        <v>1290</v>
      </c>
      <c r="F607" s="268" t="s">
        <v>3264</v>
      </c>
      <c r="G607" s="268">
        <v>16</v>
      </c>
      <c r="H607" s="268" t="s">
        <v>3265</v>
      </c>
      <c r="I607" s="268" t="s">
        <v>3201</v>
      </c>
      <c r="J607" s="458">
        <v>165149.19473404271</v>
      </c>
      <c r="K607" s="458">
        <v>13762.43289450356</v>
      </c>
      <c r="L607" s="458">
        <v>11194.760870699611</v>
      </c>
      <c r="M607" s="456">
        <v>0</v>
      </c>
      <c r="N607" s="458">
        <v>119.49693843813893</v>
      </c>
      <c r="O607" s="459">
        <v>0</v>
      </c>
      <c r="P607" s="459">
        <v>2890.110907845748</v>
      </c>
      <c r="Q607" s="458">
        <v>55400.108403681625</v>
      </c>
      <c r="R607" s="458">
        <v>29842.45948844152</v>
      </c>
      <c r="S607" s="458">
        <v>1959.7497903854783</v>
      </c>
      <c r="T607" s="457"/>
      <c r="U607" s="425"/>
      <c r="V607" s="425"/>
      <c r="W607" s="425"/>
      <c r="X607" s="425"/>
      <c r="Y607" s="425"/>
      <c r="Z607" s="425"/>
      <c r="AA607" s="425"/>
      <c r="AB607" s="425"/>
      <c r="AC607" s="425"/>
      <c r="AD607" s="425"/>
      <c r="AE607" s="425"/>
      <c r="AG607" s="425"/>
      <c r="AH607" s="425"/>
      <c r="AI607" s="425"/>
      <c r="AJ607" s="425"/>
      <c r="AK607" s="425"/>
      <c r="AL607" s="425"/>
      <c r="AM607" s="425"/>
      <c r="AN607" s="425"/>
      <c r="AO607" s="425"/>
      <c r="AP607" s="425"/>
      <c r="AQ607" s="425"/>
    </row>
    <row r="608" spans="1:43" x14ac:dyDescent="0.25">
      <c r="A608" s="271">
        <v>501506</v>
      </c>
      <c r="B608" s="271">
        <v>1506</v>
      </c>
      <c r="C608" s="271">
        <v>200272</v>
      </c>
      <c r="D608" s="268" t="s">
        <v>894</v>
      </c>
      <c r="E608" s="268" t="s">
        <v>1290</v>
      </c>
      <c r="F608" s="268" t="s">
        <v>1304</v>
      </c>
      <c r="G608" s="268">
        <v>16</v>
      </c>
      <c r="H608" s="268" t="s">
        <v>3205</v>
      </c>
      <c r="I608" s="268" t="s">
        <v>3201</v>
      </c>
      <c r="J608" s="458">
        <v>165149.19473404271</v>
      </c>
      <c r="K608" s="458">
        <v>13762.43289450356</v>
      </c>
      <c r="L608" s="458">
        <v>11194.760870699611</v>
      </c>
      <c r="M608" s="456">
        <v>0</v>
      </c>
      <c r="N608" s="458">
        <v>119.49693843813893</v>
      </c>
      <c r="O608" s="459">
        <v>0</v>
      </c>
      <c r="P608" s="459">
        <v>2890.110907845748</v>
      </c>
      <c r="Q608" s="458">
        <v>55400.108403681625</v>
      </c>
      <c r="R608" s="458">
        <v>29842.45948844152</v>
      </c>
      <c r="S608" s="458">
        <v>1959.7497903854783</v>
      </c>
      <c r="T608" s="457"/>
      <c r="U608" s="425"/>
      <c r="V608" s="425"/>
      <c r="W608" s="425"/>
      <c r="X608" s="425"/>
      <c r="Y608" s="425"/>
      <c r="Z608" s="425"/>
      <c r="AA608" s="425"/>
      <c r="AB608" s="425"/>
      <c r="AC608" s="425"/>
      <c r="AD608" s="425"/>
      <c r="AE608" s="425"/>
      <c r="AF608" s="424"/>
      <c r="AG608" s="425"/>
      <c r="AH608" s="425"/>
      <c r="AI608" s="425"/>
      <c r="AJ608" s="425"/>
      <c r="AK608" s="425"/>
      <c r="AL608" s="425"/>
      <c r="AM608" s="425"/>
      <c r="AN608" s="425"/>
      <c r="AO608" s="425"/>
      <c r="AP608" s="425"/>
      <c r="AQ608" s="425"/>
    </row>
    <row r="609" spans="1:43" s="270" customFormat="1" x14ac:dyDescent="0.25">
      <c r="A609" s="271">
        <v>501444</v>
      </c>
      <c r="B609" s="271">
        <v>1444</v>
      </c>
      <c r="C609" s="271">
        <v>200274</v>
      </c>
      <c r="D609" s="268" t="s">
        <v>894</v>
      </c>
      <c r="E609" s="268" t="s">
        <v>1290</v>
      </c>
      <c r="F609" s="268" t="s">
        <v>2490</v>
      </c>
      <c r="G609" s="268">
        <v>16</v>
      </c>
      <c r="H609" s="268" t="s">
        <v>3266</v>
      </c>
      <c r="I609" s="268" t="s">
        <v>3201</v>
      </c>
      <c r="J609" s="458">
        <v>165149.19473404271</v>
      </c>
      <c r="K609" s="458">
        <v>13762.43289450356</v>
      </c>
      <c r="L609" s="458">
        <v>11194.760870699611</v>
      </c>
      <c r="M609" s="456">
        <v>0</v>
      </c>
      <c r="N609" s="458">
        <v>119.49693843813893</v>
      </c>
      <c r="O609" s="459">
        <v>0</v>
      </c>
      <c r="P609" s="459">
        <v>2890.110907845748</v>
      </c>
      <c r="Q609" s="458">
        <v>55400.108403681625</v>
      </c>
      <c r="R609" s="458">
        <v>29842.45948844152</v>
      </c>
      <c r="S609" s="458">
        <v>1959.7497903854783</v>
      </c>
      <c r="T609" s="457"/>
      <c r="U609" s="425"/>
      <c r="V609" s="425"/>
      <c r="W609" s="425"/>
      <c r="X609" s="425"/>
      <c r="Y609" s="425"/>
      <c r="Z609" s="425"/>
      <c r="AA609" s="425"/>
      <c r="AB609" s="425"/>
      <c r="AC609" s="425"/>
      <c r="AD609" s="425"/>
      <c r="AE609" s="425"/>
      <c r="AG609" s="425"/>
      <c r="AH609" s="425"/>
      <c r="AI609" s="425"/>
      <c r="AJ609" s="425"/>
      <c r="AK609" s="425"/>
      <c r="AL609" s="425"/>
      <c r="AM609" s="425"/>
      <c r="AN609" s="425"/>
      <c r="AO609" s="425"/>
      <c r="AP609" s="425"/>
      <c r="AQ609" s="425"/>
    </row>
    <row r="610" spans="1:43" s="270" customFormat="1" x14ac:dyDescent="0.25">
      <c r="A610" s="271">
        <v>501443</v>
      </c>
      <c r="B610" s="271">
        <v>1443</v>
      </c>
      <c r="C610" s="271">
        <v>200275</v>
      </c>
      <c r="D610" s="268" t="s">
        <v>894</v>
      </c>
      <c r="E610" s="268" t="s">
        <v>1290</v>
      </c>
      <c r="F610" s="268" t="s">
        <v>2306</v>
      </c>
      <c r="G610" s="268">
        <v>16</v>
      </c>
      <c r="H610" s="268" t="s">
        <v>3267</v>
      </c>
      <c r="I610" s="268" t="s">
        <v>3201</v>
      </c>
      <c r="J610" s="458">
        <v>165149.19473404271</v>
      </c>
      <c r="K610" s="458">
        <v>13762.43289450356</v>
      </c>
      <c r="L610" s="458">
        <v>11194.760870699611</v>
      </c>
      <c r="M610" s="456">
        <v>0</v>
      </c>
      <c r="N610" s="458">
        <v>119.49693843813893</v>
      </c>
      <c r="O610" s="459">
        <v>0</v>
      </c>
      <c r="P610" s="459">
        <v>2890.110907845748</v>
      </c>
      <c r="Q610" s="458">
        <v>55400.108403681625</v>
      </c>
      <c r="R610" s="458">
        <v>29842.45948844152</v>
      </c>
      <c r="S610" s="458">
        <v>1959.7497903854783</v>
      </c>
      <c r="T610" s="457"/>
      <c r="U610" s="425"/>
      <c r="V610" s="425"/>
      <c r="W610" s="425"/>
      <c r="X610" s="425"/>
      <c r="Y610" s="425"/>
      <c r="Z610" s="425"/>
      <c r="AA610" s="425"/>
      <c r="AB610" s="425"/>
      <c r="AC610" s="425"/>
      <c r="AD610" s="425"/>
      <c r="AE610" s="425"/>
      <c r="AG610" s="425"/>
      <c r="AH610" s="425"/>
      <c r="AI610" s="425"/>
      <c r="AJ610" s="425"/>
      <c r="AK610" s="425"/>
      <c r="AL610" s="425"/>
      <c r="AM610" s="425"/>
      <c r="AN610" s="425"/>
      <c r="AO610" s="425"/>
      <c r="AP610" s="425"/>
      <c r="AQ610" s="425"/>
    </row>
    <row r="611" spans="1:43" s="270" customFormat="1" x14ac:dyDescent="0.25">
      <c r="A611" s="271">
        <v>501506</v>
      </c>
      <c r="B611" s="271">
        <v>1506</v>
      </c>
      <c r="C611" s="271">
        <v>200276</v>
      </c>
      <c r="D611" s="268" t="s">
        <v>894</v>
      </c>
      <c r="E611" s="268" t="s">
        <v>1278</v>
      </c>
      <c r="F611" s="268" t="s">
        <v>3268</v>
      </c>
      <c r="G611" s="268">
        <v>16</v>
      </c>
      <c r="H611" s="268" t="s">
        <v>3269</v>
      </c>
      <c r="I611" s="268" t="s">
        <v>3201</v>
      </c>
      <c r="J611" s="458">
        <v>165149.19473404271</v>
      </c>
      <c r="K611" s="458">
        <v>13762.43289450356</v>
      </c>
      <c r="L611" s="458">
        <v>11194.760870699611</v>
      </c>
      <c r="M611" s="456">
        <v>0</v>
      </c>
      <c r="N611" s="458">
        <v>119.49693843813893</v>
      </c>
      <c r="O611" s="459">
        <v>0</v>
      </c>
      <c r="P611" s="459">
        <v>2890.110907845748</v>
      </c>
      <c r="Q611" s="458">
        <v>55400.108403681625</v>
      </c>
      <c r="R611" s="458">
        <v>29842.45948844152</v>
      </c>
      <c r="S611" s="458">
        <v>1959.7497903854783</v>
      </c>
      <c r="T611" s="457"/>
      <c r="U611" s="425"/>
      <c r="V611" s="425"/>
      <c r="W611" s="425"/>
      <c r="X611" s="425"/>
      <c r="Y611" s="425"/>
      <c r="Z611" s="425"/>
      <c r="AA611" s="425"/>
      <c r="AB611" s="425"/>
      <c r="AC611" s="425"/>
      <c r="AD611" s="425"/>
      <c r="AE611" s="425"/>
      <c r="AG611" s="425"/>
      <c r="AH611" s="425"/>
      <c r="AI611" s="425"/>
      <c r="AJ611" s="425"/>
      <c r="AK611" s="425"/>
      <c r="AL611" s="425"/>
      <c r="AM611" s="425"/>
      <c r="AN611" s="425"/>
      <c r="AO611" s="425"/>
      <c r="AP611" s="425"/>
      <c r="AQ611" s="425"/>
    </row>
    <row r="612" spans="1:43" s="270" customFormat="1" x14ac:dyDescent="0.25">
      <c r="A612" s="271">
        <v>501445</v>
      </c>
      <c r="B612" s="271">
        <v>1445</v>
      </c>
      <c r="C612" s="271">
        <v>200278</v>
      </c>
      <c r="D612" s="268" t="s">
        <v>894</v>
      </c>
      <c r="E612" s="268" t="s">
        <v>1278</v>
      </c>
      <c r="F612" s="268" t="s">
        <v>3097</v>
      </c>
      <c r="G612" s="268">
        <v>16</v>
      </c>
      <c r="H612" s="268" t="s">
        <v>3270</v>
      </c>
      <c r="I612" s="268" t="s">
        <v>3201</v>
      </c>
      <c r="J612" s="458">
        <v>165149.19473404271</v>
      </c>
      <c r="K612" s="458">
        <v>13762.43289450356</v>
      </c>
      <c r="L612" s="458">
        <v>11194.760870699611</v>
      </c>
      <c r="M612" s="456">
        <v>0</v>
      </c>
      <c r="N612" s="458">
        <v>119.49693843813893</v>
      </c>
      <c r="O612" s="459">
        <v>0</v>
      </c>
      <c r="P612" s="459">
        <v>2890.110907845748</v>
      </c>
      <c r="Q612" s="458">
        <v>55400.108403681625</v>
      </c>
      <c r="R612" s="458">
        <v>29842.45948844152</v>
      </c>
      <c r="S612" s="458">
        <v>1959.7497903854783</v>
      </c>
      <c r="T612" s="457"/>
      <c r="U612" s="425"/>
      <c r="V612" s="425"/>
      <c r="W612" s="425"/>
      <c r="X612" s="425"/>
      <c r="Y612" s="425"/>
      <c r="Z612" s="425"/>
      <c r="AA612" s="425"/>
      <c r="AB612" s="425"/>
      <c r="AC612" s="425"/>
      <c r="AD612" s="425"/>
      <c r="AE612" s="425"/>
      <c r="AG612" s="425"/>
      <c r="AH612" s="425"/>
      <c r="AI612" s="425"/>
      <c r="AJ612" s="425"/>
      <c r="AK612" s="425"/>
      <c r="AL612" s="425"/>
      <c r="AM612" s="425"/>
      <c r="AN612" s="425"/>
      <c r="AO612" s="425"/>
      <c r="AP612" s="425"/>
      <c r="AQ612" s="425"/>
    </row>
    <row r="613" spans="1:43" s="270" customFormat="1" x14ac:dyDescent="0.25">
      <c r="A613" s="271">
        <v>501443</v>
      </c>
      <c r="B613" s="271">
        <v>1443</v>
      </c>
      <c r="C613" s="271">
        <v>200279</v>
      </c>
      <c r="D613" s="268" t="s">
        <v>894</v>
      </c>
      <c r="E613" s="268" t="s">
        <v>1290</v>
      </c>
      <c r="F613" s="268" t="s">
        <v>2508</v>
      </c>
      <c r="G613" s="268">
        <v>16</v>
      </c>
      <c r="H613" s="268" t="s">
        <v>3271</v>
      </c>
      <c r="I613" s="268" t="s">
        <v>3201</v>
      </c>
      <c r="J613" s="458">
        <v>165149.19473404271</v>
      </c>
      <c r="K613" s="458">
        <v>13762.43289450356</v>
      </c>
      <c r="L613" s="458">
        <v>11194.760870699611</v>
      </c>
      <c r="M613" s="456">
        <v>0</v>
      </c>
      <c r="N613" s="458">
        <v>119.49693843813893</v>
      </c>
      <c r="O613" s="459">
        <v>0</v>
      </c>
      <c r="P613" s="459">
        <v>2890.110907845748</v>
      </c>
      <c r="Q613" s="458">
        <v>55400.108403681625</v>
      </c>
      <c r="R613" s="458">
        <v>29842.45948844152</v>
      </c>
      <c r="S613" s="458">
        <v>1959.7497903854783</v>
      </c>
      <c r="T613" s="457"/>
      <c r="U613" s="425"/>
      <c r="V613" s="425"/>
      <c r="W613" s="425"/>
      <c r="X613" s="425"/>
      <c r="Y613" s="425"/>
      <c r="Z613" s="425"/>
      <c r="AA613" s="425"/>
      <c r="AB613" s="425"/>
      <c r="AC613" s="425"/>
      <c r="AD613" s="425"/>
      <c r="AE613" s="425"/>
      <c r="AG613" s="425"/>
      <c r="AH613" s="425"/>
      <c r="AI613" s="425"/>
      <c r="AJ613" s="425"/>
      <c r="AK613" s="425"/>
      <c r="AL613" s="425"/>
      <c r="AM613" s="425"/>
      <c r="AN613" s="425"/>
      <c r="AO613" s="425"/>
      <c r="AP613" s="425"/>
      <c r="AQ613" s="425"/>
    </row>
    <row r="614" spans="1:43" s="270" customFormat="1" x14ac:dyDescent="0.25">
      <c r="A614" s="271">
        <v>501444</v>
      </c>
      <c r="B614" s="271">
        <v>1444</v>
      </c>
      <c r="C614" s="271">
        <v>200280</v>
      </c>
      <c r="D614" s="268" t="s">
        <v>894</v>
      </c>
      <c r="E614" s="268" t="s">
        <v>1278</v>
      </c>
      <c r="F614" s="268" t="s">
        <v>3272</v>
      </c>
      <c r="G614" s="268">
        <v>16</v>
      </c>
      <c r="H614" s="268" t="s">
        <v>3273</v>
      </c>
      <c r="I614" s="268" t="s">
        <v>3201</v>
      </c>
      <c r="J614" s="458">
        <v>165149.19473404271</v>
      </c>
      <c r="K614" s="458">
        <v>13762.43289450356</v>
      </c>
      <c r="L614" s="458">
        <v>11194.760870699611</v>
      </c>
      <c r="M614" s="456">
        <v>0</v>
      </c>
      <c r="N614" s="458">
        <v>119.49693843813893</v>
      </c>
      <c r="O614" s="459">
        <v>0</v>
      </c>
      <c r="P614" s="459">
        <v>2890.110907845748</v>
      </c>
      <c r="Q614" s="458">
        <v>55400.108403681625</v>
      </c>
      <c r="R614" s="458">
        <v>29842.45948844152</v>
      </c>
      <c r="S614" s="458">
        <v>1959.7497903854783</v>
      </c>
      <c r="T614" s="457"/>
      <c r="U614" s="425"/>
      <c r="V614" s="425"/>
      <c r="W614" s="425"/>
      <c r="X614" s="425"/>
      <c r="Y614" s="425"/>
      <c r="Z614" s="425"/>
      <c r="AA614" s="425"/>
      <c r="AB614" s="425"/>
      <c r="AC614" s="425"/>
      <c r="AD614" s="425"/>
      <c r="AE614" s="425"/>
      <c r="AG614" s="425"/>
      <c r="AH614" s="425"/>
      <c r="AI614" s="425"/>
      <c r="AJ614" s="425"/>
      <c r="AK614" s="425"/>
      <c r="AL614" s="425"/>
      <c r="AM614" s="425"/>
      <c r="AN614" s="425"/>
      <c r="AO614" s="425"/>
      <c r="AP614" s="425"/>
      <c r="AQ614" s="425"/>
    </row>
    <row r="615" spans="1:43" s="270" customFormat="1" x14ac:dyDescent="0.25">
      <c r="A615" s="271">
        <v>501443</v>
      </c>
      <c r="B615" s="271">
        <v>1443</v>
      </c>
      <c r="C615" s="271">
        <v>200281</v>
      </c>
      <c r="D615" s="268" t="s">
        <v>894</v>
      </c>
      <c r="E615" s="268" t="s">
        <v>1290</v>
      </c>
      <c r="F615" s="268" t="s">
        <v>3059</v>
      </c>
      <c r="G615" s="268">
        <v>16</v>
      </c>
      <c r="H615" s="268" t="s">
        <v>3274</v>
      </c>
      <c r="I615" s="268" t="s">
        <v>3201</v>
      </c>
      <c r="J615" s="458">
        <v>165149.19473404271</v>
      </c>
      <c r="K615" s="458">
        <v>13762.43289450356</v>
      </c>
      <c r="L615" s="458">
        <v>11194.760870699611</v>
      </c>
      <c r="M615" s="456">
        <v>0</v>
      </c>
      <c r="N615" s="458">
        <v>119.49693843813893</v>
      </c>
      <c r="O615" s="459">
        <v>0</v>
      </c>
      <c r="P615" s="459">
        <v>2890.110907845748</v>
      </c>
      <c r="Q615" s="458">
        <v>55400.108403681625</v>
      </c>
      <c r="R615" s="458">
        <v>29842.45948844152</v>
      </c>
      <c r="S615" s="458">
        <v>1959.7497903854783</v>
      </c>
      <c r="T615" s="457"/>
      <c r="U615" s="425"/>
      <c r="V615" s="425"/>
      <c r="W615" s="425"/>
      <c r="X615" s="425"/>
      <c r="Y615" s="425"/>
      <c r="Z615" s="425"/>
      <c r="AA615" s="425"/>
      <c r="AB615" s="425"/>
      <c r="AC615" s="425"/>
      <c r="AD615" s="425"/>
      <c r="AE615" s="425"/>
      <c r="AG615" s="425"/>
      <c r="AH615" s="425"/>
      <c r="AI615" s="425"/>
      <c r="AJ615" s="425"/>
      <c r="AK615" s="425"/>
      <c r="AL615" s="425"/>
      <c r="AM615" s="425"/>
      <c r="AN615" s="425"/>
      <c r="AO615" s="425"/>
      <c r="AP615" s="425"/>
      <c r="AQ615" s="425"/>
    </row>
    <row r="616" spans="1:43" s="270" customFormat="1" x14ac:dyDescent="0.25">
      <c r="A616" s="271">
        <v>501444</v>
      </c>
      <c r="B616" s="271">
        <v>1444</v>
      </c>
      <c r="C616" s="271">
        <v>200283</v>
      </c>
      <c r="D616" s="268" t="s">
        <v>894</v>
      </c>
      <c r="E616" s="268" t="s">
        <v>1278</v>
      </c>
      <c r="F616" s="268" t="s">
        <v>2971</v>
      </c>
      <c r="G616" s="268">
        <v>16</v>
      </c>
      <c r="H616" s="268" t="s">
        <v>3275</v>
      </c>
      <c r="I616" s="268" t="s">
        <v>3201</v>
      </c>
      <c r="J616" s="458">
        <v>165149.19473404271</v>
      </c>
      <c r="K616" s="458">
        <v>13762.43289450356</v>
      </c>
      <c r="L616" s="458">
        <v>11194.760870699611</v>
      </c>
      <c r="M616" s="456">
        <v>0</v>
      </c>
      <c r="N616" s="458">
        <v>119.49693843813893</v>
      </c>
      <c r="O616" s="459">
        <v>0</v>
      </c>
      <c r="P616" s="459">
        <v>2890.110907845748</v>
      </c>
      <c r="Q616" s="458">
        <v>55400.108403681625</v>
      </c>
      <c r="R616" s="458">
        <v>29842.45948844152</v>
      </c>
      <c r="S616" s="458">
        <v>1959.7497903854783</v>
      </c>
      <c r="T616" s="457"/>
      <c r="U616" s="425"/>
      <c r="V616" s="425"/>
      <c r="W616" s="425"/>
      <c r="X616" s="425"/>
      <c r="Y616" s="425"/>
      <c r="Z616" s="425"/>
      <c r="AA616" s="425"/>
      <c r="AB616" s="425"/>
      <c r="AC616" s="425"/>
      <c r="AD616" s="425"/>
      <c r="AE616" s="425"/>
      <c r="AG616" s="425"/>
      <c r="AH616" s="425"/>
      <c r="AI616" s="425"/>
      <c r="AJ616" s="425"/>
      <c r="AK616" s="425"/>
      <c r="AL616" s="425"/>
      <c r="AM616" s="425"/>
      <c r="AN616" s="425"/>
      <c r="AO616" s="425"/>
      <c r="AP616" s="425"/>
      <c r="AQ616" s="425"/>
    </row>
    <row r="617" spans="1:43" s="270" customFormat="1" x14ac:dyDescent="0.25">
      <c r="A617" s="271">
        <v>501445</v>
      </c>
      <c r="B617" s="271">
        <v>1445</v>
      </c>
      <c r="C617" s="271">
        <v>200284</v>
      </c>
      <c r="D617" s="268" t="s">
        <v>894</v>
      </c>
      <c r="E617" s="268" t="s">
        <v>1278</v>
      </c>
      <c r="F617" s="268" t="s">
        <v>2362</v>
      </c>
      <c r="G617" s="268">
        <v>16</v>
      </c>
      <c r="H617" s="268" t="s">
        <v>3276</v>
      </c>
      <c r="I617" s="268" t="s">
        <v>3201</v>
      </c>
      <c r="J617" s="458">
        <v>165149.19473404271</v>
      </c>
      <c r="K617" s="458">
        <v>13762.43289450356</v>
      </c>
      <c r="L617" s="458">
        <v>11194.760870699611</v>
      </c>
      <c r="M617" s="456">
        <v>0</v>
      </c>
      <c r="N617" s="458">
        <v>119.49693843813893</v>
      </c>
      <c r="O617" s="459">
        <v>0</v>
      </c>
      <c r="P617" s="459">
        <v>2890.110907845748</v>
      </c>
      <c r="Q617" s="458">
        <v>55400.108403681625</v>
      </c>
      <c r="R617" s="458">
        <v>29842.45948844152</v>
      </c>
      <c r="S617" s="458">
        <v>1959.7497903854783</v>
      </c>
      <c r="T617" s="457"/>
      <c r="U617" s="425"/>
      <c r="V617" s="425"/>
      <c r="W617" s="425"/>
      <c r="X617" s="425"/>
      <c r="Y617" s="425"/>
      <c r="Z617" s="425"/>
      <c r="AA617" s="425"/>
      <c r="AB617" s="425"/>
      <c r="AC617" s="425"/>
      <c r="AD617" s="425"/>
      <c r="AE617" s="425"/>
      <c r="AG617" s="425"/>
      <c r="AH617" s="425"/>
      <c r="AI617" s="425"/>
      <c r="AJ617" s="425"/>
      <c r="AK617" s="425"/>
      <c r="AL617" s="425"/>
      <c r="AM617" s="425"/>
      <c r="AN617" s="425"/>
      <c r="AO617" s="425"/>
      <c r="AP617" s="425"/>
      <c r="AQ617" s="425"/>
    </row>
    <row r="618" spans="1:43" x14ac:dyDescent="0.25">
      <c r="A618" s="271">
        <v>501443</v>
      </c>
      <c r="B618" s="271">
        <v>1443</v>
      </c>
      <c r="C618" s="271">
        <v>200285</v>
      </c>
      <c r="D618" s="268" t="s">
        <v>894</v>
      </c>
      <c r="E618" s="268" t="s">
        <v>1290</v>
      </c>
      <c r="F618" s="268" t="s">
        <v>3277</v>
      </c>
      <c r="G618" s="268">
        <v>16</v>
      </c>
      <c r="H618" s="268" t="s">
        <v>3265</v>
      </c>
      <c r="I618" s="268" t="s">
        <v>3201</v>
      </c>
      <c r="J618" s="458">
        <v>165149.19473404271</v>
      </c>
      <c r="K618" s="458">
        <v>13762.43289450356</v>
      </c>
      <c r="L618" s="458">
        <v>11194.760870699611</v>
      </c>
      <c r="M618" s="456">
        <v>0</v>
      </c>
      <c r="N618" s="458">
        <v>119.49693843813893</v>
      </c>
      <c r="O618" s="459">
        <v>0</v>
      </c>
      <c r="P618" s="459">
        <v>2890.110907845748</v>
      </c>
      <c r="Q618" s="458">
        <v>55400.108403681625</v>
      </c>
      <c r="R618" s="458">
        <v>29842.45948844152</v>
      </c>
      <c r="S618" s="458">
        <v>1959.7497903854783</v>
      </c>
      <c r="T618" s="457"/>
      <c r="U618" s="425"/>
      <c r="V618" s="425"/>
      <c r="W618" s="425"/>
      <c r="X618" s="425"/>
      <c r="Y618" s="425"/>
      <c r="Z618" s="425"/>
      <c r="AA618" s="425"/>
      <c r="AB618" s="425"/>
      <c r="AC618" s="425"/>
      <c r="AD618" s="425"/>
      <c r="AE618" s="425"/>
      <c r="AF618" s="424"/>
      <c r="AG618" s="425"/>
      <c r="AH618" s="425"/>
      <c r="AI618" s="425"/>
      <c r="AJ618" s="425"/>
      <c r="AK618" s="425"/>
      <c r="AL618" s="425"/>
      <c r="AM618" s="425"/>
      <c r="AN618" s="425"/>
      <c r="AO618" s="425"/>
      <c r="AP618" s="425"/>
      <c r="AQ618" s="425"/>
    </row>
    <row r="619" spans="1:43" s="270" customFormat="1" x14ac:dyDescent="0.25">
      <c r="A619" s="271">
        <v>501406</v>
      </c>
      <c r="B619" s="271">
        <v>1406</v>
      </c>
      <c r="C619" s="271">
        <v>200286</v>
      </c>
      <c r="D619" s="268" t="s">
        <v>894</v>
      </c>
      <c r="E619" s="268" t="s">
        <v>1290</v>
      </c>
      <c r="F619" s="268" t="s">
        <v>3278</v>
      </c>
      <c r="G619" s="268">
        <v>16</v>
      </c>
      <c r="H619" s="268" t="s">
        <v>2438</v>
      </c>
      <c r="I619" s="268" t="s">
        <v>3201</v>
      </c>
      <c r="J619" s="458">
        <v>165149.19473404271</v>
      </c>
      <c r="K619" s="458">
        <v>13762.43289450356</v>
      </c>
      <c r="L619" s="458">
        <v>11194.760870699611</v>
      </c>
      <c r="M619" s="456">
        <v>0</v>
      </c>
      <c r="N619" s="458">
        <v>119.49693843813893</v>
      </c>
      <c r="O619" s="459">
        <v>0</v>
      </c>
      <c r="P619" s="459">
        <v>2890.110907845748</v>
      </c>
      <c r="Q619" s="458">
        <v>55400.108403681625</v>
      </c>
      <c r="R619" s="458">
        <v>29842.45948844152</v>
      </c>
      <c r="S619" s="458">
        <v>1959.7497903854783</v>
      </c>
      <c r="T619" s="457"/>
      <c r="U619" s="425"/>
      <c r="V619" s="425"/>
      <c r="W619" s="425"/>
      <c r="X619" s="425"/>
      <c r="Y619" s="425"/>
      <c r="Z619" s="425"/>
      <c r="AA619" s="425"/>
      <c r="AB619" s="425"/>
      <c r="AC619" s="425"/>
      <c r="AD619" s="425"/>
      <c r="AE619" s="425"/>
      <c r="AG619" s="425"/>
      <c r="AH619" s="425"/>
      <c r="AI619" s="425"/>
      <c r="AJ619" s="425"/>
      <c r="AK619" s="425"/>
      <c r="AL619" s="425"/>
      <c r="AM619" s="425"/>
      <c r="AN619" s="425"/>
      <c r="AO619" s="425"/>
      <c r="AP619" s="425"/>
      <c r="AQ619" s="425"/>
    </row>
    <row r="620" spans="1:43" s="270" customFormat="1" x14ac:dyDescent="0.25">
      <c r="A620" s="271">
        <v>501443</v>
      </c>
      <c r="B620" s="271">
        <v>1443</v>
      </c>
      <c r="C620" s="271">
        <v>200287</v>
      </c>
      <c r="D620" s="268" t="s">
        <v>894</v>
      </c>
      <c r="E620" s="268" t="s">
        <v>1290</v>
      </c>
      <c r="F620" s="268" t="s">
        <v>2549</v>
      </c>
      <c r="G620" s="268">
        <v>16</v>
      </c>
      <c r="H620" s="268" t="s">
        <v>2196</v>
      </c>
      <c r="I620" s="268" t="s">
        <v>3201</v>
      </c>
      <c r="J620" s="458">
        <v>165149.19473404271</v>
      </c>
      <c r="K620" s="458">
        <v>13762.43289450356</v>
      </c>
      <c r="L620" s="458">
        <v>11194.760870699611</v>
      </c>
      <c r="M620" s="456">
        <v>0</v>
      </c>
      <c r="N620" s="458">
        <v>119.49693843813893</v>
      </c>
      <c r="O620" s="459">
        <v>0</v>
      </c>
      <c r="P620" s="459">
        <v>2890.110907845748</v>
      </c>
      <c r="Q620" s="458">
        <v>55400.108403681625</v>
      </c>
      <c r="R620" s="458">
        <v>29842.45948844152</v>
      </c>
      <c r="S620" s="458">
        <v>1959.7497903854783</v>
      </c>
      <c r="T620" s="457"/>
      <c r="U620" s="425"/>
      <c r="V620" s="425"/>
      <c r="W620" s="425"/>
      <c r="X620" s="425"/>
      <c r="Y620" s="425"/>
      <c r="Z620" s="425"/>
      <c r="AA620" s="425"/>
      <c r="AB620" s="425"/>
      <c r="AC620" s="425"/>
      <c r="AD620" s="425"/>
      <c r="AE620" s="425"/>
      <c r="AG620" s="425"/>
      <c r="AH620" s="425"/>
      <c r="AI620" s="425"/>
      <c r="AJ620" s="425"/>
      <c r="AK620" s="425"/>
      <c r="AL620" s="425"/>
      <c r="AM620" s="425"/>
      <c r="AN620" s="425"/>
      <c r="AO620" s="425"/>
      <c r="AP620" s="425"/>
      <c r="AQ620" s="425"/>
    </row>
    <row r="621" spans="1:43" s="270" customFormat="1" x14ac:dyDescent="0.25">
      <c r="A621" s="271">
        <v>501445</v>
      </c>
      <c r="B621" s="271">
        <v>1445</v>
      </c>
      <c r="C621" s="271">
        <v>200289</v>
      </c>
      <c r="D621" s="268" t="s">
        <v>894</v>
      </c>
      <c r="E621" s="268" t="s">
        <v>1290</v>
      </c>
      <c r="F621" s="268" t="s">
        <v>1306</v>
      </c>
      <c r="G621" s="268">
        <v>16</v>
      </c>
      <c r="H621" s="268" t="s">
        <v>3279</v>
      </c>
      <c r="I621" s="268" t="s">
        <v>3201</v>
      </c>
      <c r="J621" s="458">
        <v>165149.19473404271</v>
      </c>
      <c r="K621" s="458">
        <v>13762.43289450356</v>
      </c>
      <c r="L621" s="458">
        <v>11194.760870699611</v>
      </c>
      <c r="M621" s="456">
        <v>0</v>
      </c>
      <c r="N621" s="458">
        <v>119.49693843813893</v>
      </c>
      <c r="O621" s="459">
        <v>0</v>
      </c>
      <c r="P621" s="459">
        <v>2890.110907845748</v>
      </c>
      <c r="Q621" s="458">
        <v>55400.108403681625</v>
      </c>
      <c r="R621" s="458">
        <v>29842.45948844152</v>
      </c>
      <c r="S621" s="458">
        <v>1959.7497903854783</v>
      </c>
      <c r="T621" s="457"/>
      <c r="U621" s="425"/>
      <c r="V621" s="425"/>
      <c r="W621" s="425"/>
      <c r="X621" s="425"/>
      <c r="Y621" s="425"/>
      <c r="Z621" s="425"/>
      <c r="AA621" s="425"/>
      <c r="AB621" s="425"/>
      <c r="AC621" s="425"/>
      <c r="AD621" s="425"/>
      <c r="AE621" s="425"/>
      <c r="AG621" s="425"/>
      <c r="AH621" s="425"/>
      <c r="AI621" s="425"/>
      <c r="AJ621" s="425"/>
      <c r="AK621" s="425"/>
      <c r="AL621" s="425"/>
      <c r="AM621" s="425"/>
      <c r="AN621" s="425"/>
      <c r="AO621" s="425"/>
      <c r="AP621" s="425"/>
      <c r="AQ621" s="425"/>
    </row>
    <row r="622" spans="1:43" s="270" customFormat="1" x14ac:dyDescent="0.25">
      <c r="A622" s="271">
        <v>501445</v>
      </c>
      <c r="B622" s="271">
        <v>1445</v>
      </c>
      <c r="C622" s="271">
        <v>200291</v>
      </c>
      <c r="D622" s="268" t="s">
        <v>894</v>
      </c>
      <c r="E622" s="268" t="s">
        <v>1290</v>
      </c>
      <c r="F622" s="268" t="s">
        <v>2362</v>
      </c>
      <c r="G622" s="268">
        <v>16</v>
      </c>
      <c r="H622" s="268" t="s">
        <v>3280</v>
      </c>
      <c r="I622" s="268" t="s">
        <v>3201</v>
      </c>
      <c r="J622" s="458">
        <v>165149.19473404271</v>
      </c>
      <c r="K622" s="458">
        <v>13762.43289450356</v>
      </c>
      <c r="L622" s="458">
        <v>11194.760870699611</v>
      </c>
      <c r="M622" s="456">
        <v>0</v>
      </c>
      <c r="N622" s="458">
        <v>119.49693843813893</v>
      </c>
      <c r="O622" s="459">
        <v>0</v>
      </c>
      <c r="P622" s="459">
        <v>2890.110907845748</v>
      </c>
      <c r="Q622" s="458">
        <v>55400.108403681625</v>
      </c>
      <c r="R622" s="458">
        <v>29842.45948844152</v>
      </c>
      <c r="S622" s="458">
        <v>1959.7497903854783</v>
      </c>
      <c r="T622" s="457"/>
      <c r="U622" s="425"/>
      <c r="V622" s="425"/>
      <c r="W622" s="425"/>
      <c r="X622" s="425"/>
      <c r="Y622" s="425"/>
      <c r="Z622" s="425"/>
      <c r="AA622" s="425"/>
      <c r="AB622" s="425"/>
      <c r="AC622" s="425"/>
      <c r="AD622" s="425"/>
      <c r="AE622" s="425"/>
      <c r="AG622" s="425"/>
      <c r="AH622" s="425"/>
      <c r="AI622" s="425"/>
      <c r="AJ622" s="425"/>
      <c r="AK622" s="425"/>
      <c r="AL622" s="425"/>
      <c r="AM622" s="425"/>
      <c r="AN622" s="425"/>
      <c r="AO622" s="425"/>
      <c r="AP622" s="425"/>
      <c r="AQ622" s="425"/>
    </row>
    <row r="623" spans="1:43" s="270" customFormat="1" x14ac:dyDescent="0.25">
      <c r="A623" s="271">
        <v>501444</v>
      </c>
      <c r="B623" s="271">
        <v>1444</v>
      </c>
      <c r="C623" s="271">
        <v>200292</v>
      </c>
      <c r="D623" s="268" t="s">
        <v>894</v>
      </c>
      <c r="E623" s="268" t="s">
        <v>1278</v>
      </c>
      <c r="F623" s="268" t="s">
        <v>2211</v>
      </c>
      <c r="G623" s="268">
        <v>16</v>
      </c>
      <c r="H623" s="268" t="s">
        <v>2659</v>
      </c>
      <c r="I623" s="268" t="s">
        <v>3201</v>
      </c>
      <c r="J623" s="458">
        <v>165149.19473404271</v>
      </c>
      <c r="K623" s="458">
        <v>13762.43289450356</v>
      </c>
      <c r="L623" s="458">
        <v>11194.760870699611</v>
      </c>
      <c r="M623" s="456">
        <v>0</v>
      </c>
      <c r="N623" s="458">
        <v>119.49693843813893</v>
      </c>
      <c r="O623" s="459">
        <v>0</v>
      </c>
      <c r="P623" s="459">
        <v>2890.110907845748</v>
      </c>
      <c r="Q623" s="458">
        <v>55400.108403681625</v>
      </c>
      <c r="R623" s="458">
        <v>29842.45948844152</v>
      </c>
      <c r="S623" s="458">
        <v>1959.7497903854783</v>
      </c>
      <c r="T623" s="457"/>
      <c r="U623" s="425"/>
      <c r="V623" s="425"/>
      <c r="W623" s="425"/>
      <c r="X623" s="425"/>
      <c r="Y623" s="425"/>
      <c r="Z623" s="425"/>
      <c r="AA623" s="425"/>
      <c r="AB623" s="425"/>
      <c r="AC623" s="425"/>
      <c r="AD623" s="425"/>
      <c r="AE623" s="425"/>
      <c r="AG623" s="425"/>
      <c r="AH623" s="425"/>
      <c r="AI623" s="425"/>
      <c r="AJ623" s="425"/>
      <c r="AK623" s="425"/>
      <c r="AL623" s="425"/>
      <c r="AM623" s="425"/>
      <c r="AN623" s="425"/>
      <c r="AO623" s="425"/>
      <c r="AP623" s="425"/>
      <c r="AQ623" s="425"/>
    </row>
    <row r="624" spans="1:43" s="270" customFormat="1" x14ac:dyDescent="0.25">
      <c r="A624" s="271">
        <v>501443</v>
      </c>
      <c r="B624" s="271">
        <v>1443</v>
      </c>
      <c r="C624" s="271">
        <v>200293</v>
      </c>
      <c r="D624" s="268" t="s">
        <v>894</v>
      </c>
      <c r="E624" s="268" t="s">
        <v>1290</v>
      </c>
      <c r="F624" s="268" t="s">
        <v>3281</v>
      </c>
      <c r="G624" s="268">
        <v>16</v>
      </c>
      <c r="H624" s="268" t="s">
        <v>3282</v>
      </c>
      <c r="I624" s="268" t="s">
        <v>3201</v>
      </c>
      <c r="J624" s="458">
        <v>165149.19473404271</v>
      </c>
      <c r="K624" s="458">
        <v>13762.43289450356</v>
      </c>
      <c r="L624" s="458">
        <v>11194.760870699611</v>
      </c>
      <c r="M624" s="456">
        <v>0</v>
      </c>
      <c r="N624" s="458">
        <v>119.49693843813893</v>
      </c>
      <c r="O624" s="456">
        <v>0</v>
      </c>
      <c r="P624" s="459">
        <v>2890.110907845748</v>
      </c>
      <c r="Q624" s="458">
        <v>55400.108403681625</v>
      </c>
      <c r="R624" s="458">
        <v>29842.45948844152</v>
      </c>
      <c r="S624" s="458">
        <v>1959.7497903854783</v>
      </c>
      <c r="T624" s="457"/>
      <c r="U624" s="425"/>
      <c r="V624" s="425"/>
      <c r="W624" s="425"/>
      <c r="X624" s="425"/>
      <c r="Y624" s="425"/>
      <c r="Z624" s="425"/>
      <c r="AA624" s="425"/>
      <c r="AB624" s="425"/>
      <c r="AC624" s="425"/>
      <c r="AD624" s="425"/>
      <c r="AE624" s="425"/>
      <c r="AG624" s="425"/>
      <c r="AH624" s="425"/>
      <c r="AI624" s="425"/>
      <c r="AJ624" s="425"/>
      <c r="AK624" s="425"/>
      <c r="AL624" s="425"/>
      <c r="AM624" s="425"/>
      <c r="AN624" s="425"/>
      <c r="AO624" s="425"/>
      <c r="AP624" s="425"/>
      <c r="AQ624" s="425"/>
    </row>
    <row r="625" spans="1:43" s="270" customFormat="1" x14ac:dyDescent="0.25">
      <c r="A625" s="271">
        <v>501443</v>
      </c>
      <c r="B625" s="271">
        <v>1443</v>
      </c>
      <c r="C625" s="271">
        <v>200296</v>
      </c>
      <c r="D625" s="268" t="s">
        <v>894</v>
      </c>
      <c r="E625" s="268" t="s">
        <v>1278</v>
      </c>
      <c r="F625" s="268" t="s">
        <v>3006</v>
      </c>
      <c r="G625" s="268">
        <v>16</v>
      </c>
      <c r="H625" s="268" t="s">
        <v>3283</v>
      </c>
      <c r="I625" s="268" t="s">
        <v>3201</v>
      </c>
      <c r="J625" s="458">
        <v>165149.19473404271</v>
      </c>
      <c r="K625" s="458">
        <v>13762.43289450356</v>
      </c>
      <c r="L625" s="458">
        <v>11194.760870699611</v>
      </c>
      <c r="M625" s="456">
        <v>0</v>
      </c>
      <c r="N625" s="458">
        <v>119.49693843813893</v>
      </c>
      <c r="O625" s="456">
        <v>0</v>
      </c>
      <c r="P625" s="459">
        <v>2890.110907845748</v>
      </c>
      <c r="Q625" s="458">
        <v>55400.108403681625</v>
      </c>
      <c r="R625" s="458">
        <v>29842.45948844152</v>
      </c>
      <c r="S625" s="458">
        <v>1959.7497903854783</v>
      </c>
      <c r="T625" s="457"/>
      <c r="U625" s="425"/>
      <c r="V625" s="425"/>
      <c r="W625" s="425"/>
      <c r="X625" s="425"/>
      <c r="Y625" s="425"/>
      <c r="Z625" s="425"/>
      <c r="AA625" s="425"/>
      <c r="AB625" s="425"/>
      <c r="AC625" s="425"/>
      <c r="AD625" s="425"/>
      <c r="AE625" s="425"/>
      <c r="AG625" s="425"/>
      <c r="AH625" s="425"/>
      <c r="AI625" s="425"/>
      <c r="AJ625" s="425"/>
      <c r="AK625" s="425"/>
      <c r="AL625" s="425"/>
      <c r="AM625" s="425"/>
      <c r="AN625" s="425"/>
      <c r="AO625" s="425"/>
      <c r="AP625" s="425"/>
      <c r="AQ625" s="425"/>
    </row>
    <row r="626" spans="1:43" s="270" customFormat="1" x14ac:dyDescent="0.25">
      <c r="A626" s="271">
        <v>501443</v>
      </c>
      <c r="B626" s="271">
        <v>1443</v>
      </c>
      <c r="C626" s="271">
        <v>200297</v>
      </c>
      <c r="D626" s="268" t="s">
        <v>894</v>
      </c>
      <c r="E626" s="268" t="s">
        <v>1278</v>
      </c>
      <c r="F626" s="268" t="s">
        <v>3284</v>
      </c>
      <c r="G626" s="268">
        <v>16</v>
      </c>
      <c r="H626" s="268" t="s">
        <v>3285</v>
      </c>
      <c r="I626" s="268" t="s">
        <v>3201</v>
      </c>
      <c r="J626" s="458">
        <v>165149.19473404271</v>
      </c>
      <c r="K626" s="458">
        <v>13762.43289450356</v>
      </c>
      <c r="L626" s="458">
        <v>11194.760870699611</v>
      </c>
      <c r="M626" s="456">
        <v>0</v>
      </c>
      <c r="N626" s="458">
        <v>119.49693843813893</v>
      </c>
      <c r="O626" s="456">
        <v>0</v>
      </c>
      <c r="P626" s="459">
        <v>2890.110907845748</v>
      </c>
      <c r="Q626" s="458">
        <v>55400.108403681625</v>
      </c>
      <c r="R626" s="458">
        <v>29842.45948844152</v>
      </c>
      <c r="S626" s="458">
        <v>1959.7497903854783</v>
      </c>
      <c r="T626" s="452"/>
      <c r="U626" s="425"/>
      <c r="V626" s="425"/>
      <c r="W626" s="425"/>
      <c r="X626" s="425"/>
      <c r="Y626" s="425"/>
      <c r="Z626" s="425"/>
      <c r="AA626" s="425"/>
      <c r="AB626" s="425"/>
      <c r="AC626" s="425"/>
      <c r="AD626" s="425"/>
      <c r="AE626" s="425"/>
      <c r="AG626" s="425"/>
      <c r="AH626" s="425"/>
      <c r="AI626" s="425"/>
      <c r="AJ626" s="425"/>
      <c r="AK626" s="425"/>
      <c r="AL626" s="425"/>
      <c r="AM626" s="425"/>
      <c r="AN626" s="425"/>
      <c r="AO626" s="425"/>
      <c r="AP626" s="425"/>
      <c r="AQ626" s="425"/>
    </row>
    <row r="627" spans="1:43" s="280" customFormat="1" x14ac:dyDescent="0.25">
      <c r="A627" s="271">
        <v>501443</v>
      </c>
      <c r="B627" s="271">
        <v>1443</v>
      </c>
      <c r="C627" s="271">
        <v>200303</v>
      </c>
      <c r="D627" s="268" t="s">
        <v>894</v>
      </c>
      <c r="E627" s="268" t="s">
        <v>1278</v>
      </c>
      <c r="F627" s="268" t="s">
        <v>2971</v>
      </c>
      <c r="G627" s="268">
        <v>16</v>
      </c>
      <c r="H627" s="268" t="s">
        <v>3286</v>
      </c>
      <c r="I627" s="268" t="s">
        <v>3201</v>
      </c>
      <c r="J627" s="458">
        <v>165149.19473404271</v>
      </c>
      <c r="K627" s="457">
        <v>13762.43289450356</v>
      </c>
      <c r="L627" s="458">
        <v>11194.760870699611</v>
      </c>
      <c r="M627" s="456">
        <v>0</v>
      </c>
      <c r="N627" s="458">
        <v>119.49693843813893</v>
      </c>
      <c r="O627" s="456">
        <v>0</v>
      </c>
      <c r="P627" s="459">
        <v>2890.110907845748</v>
      </c>
      <c r="Q627" s="458">
        <v>55400.108403681625</v>
      </c>
      <c r="R627" s="458">
        <v>29842.45948844152</v>
      </c>
      <c r="S627" s="458">
        <v>1959.7497903854783</v>
      </c>
      <c r="T627" s="457"/>
      <c r="U627" s="425"/>
      <c r="V627" s="425"/>
      <c r="W627" s="425"/>
      <c r="X627" s="425"/>
      <c r="Y627" s="425"/>
      <c r="Z627" s="425"/>
      <c r="AA627" s="425"/>
      <c r="AB627" s="425"/>
      <c r="AC627" s="425"/>
      <c r="AD627" s="425"/>
      <c r="AE627" s="425"/>
      <c r="AF627" s="322"/>
      <c r="AG627" s="425"/>
      <c r="AH627" s="425"/>
      <c r="AI627" s="425"/>
      <c r="AJ627" s="425"/>
      <c r="AK627" s="425"/>
      <c r="AL627" s="425"/>
      <c r="AM627" s="425"/>
      <c r="AN627" s="425"/>
      <c r="AO627" s="425"/>
      <c r="AP627" s="425"/>
      <c r="AQ627" s="425"/>
    </row>
    <row r="628" spans="1:43" s="280" customFormat="1" x14ac:dyDescent="0.25">
      <c r="A628" s="271">
        <v>501443</v>
      </c>
      <c r="B628" s="271">
        <v>1443</v>
      </c>
      <c r="C628" s="271">
        <v>200306</v>
      </c>
      <c r="D628" s="268" t="s">
        <v>894</v>
      </c>
      <c r="E628" s="268" t="s">
        <v>1278</v>
      </c>
      <c r="F628" s="268" t="s">
        <v>2549</v>
      </c>
      <c r="G628" s="268">
        <v>16</v>
      </c>
      <c r="H628" s="268" t="s">
        <v>3112</v>
      </c>
      <c r="I628" s="268" t="s">
        <v>3201</v>
      </c>
      <c r="J628" s="458">
        <v>165149.19473404271</v>
      </c>
      <c r="K628" s="458">
        <v>13762.43289450356</v>
      </c>
      <c r="L628" s="458">
        <v>11194.760870699611</v>
      </c>
      <c r="M628" s="456">
        <v>0</v>
      </c>
      <c r="N628" s="458">
        <v>119.49693843813893</v>
      </c>
      <c r="O628" s="456">
        <v>0</v>
      </c>
      <c r="P628" s="459">
        <v>2890.110907845748</v>
      </c>
      <c r="Q628" s="458">
        <v>55400.108403681625</v>
      </c>
      <c r="R628" s="458">
        <v>29842.45948844152</v>
      </c>
      <c r="S628" s="458">
        <v>1959.7497903854783</v>
      </c>
      <c r="T628" s="457"/>
      <c r="U628" s="425"/>
      <c r="V628" s="425"/>
      <c r="W628" s="425"/>
      <c r="X628" s="425"/>
      <c r="Y628" s="425"/>
      <c r="Z628" s="425"/>
      <c r="AA628" s="425"/>
      <c r="AB628" s="425"/>
      <c r="AC628" s="425"/>
      <c r="AD628" s="425"/>
      <c r="AE628" s="425"/>
      <c r="AF628" s="322"/>
      <c r="AG628" s="425"/>
      <c r="AH628" s="425"/>
      <c r="AI628" s="425"/>
      <c r="AJ628" s="425"/>
      <c r="AK628" s="425"/>
      <c r="AL628" s="425"/>
      <c r="AM628" s="425"/>
      <c r="AN628" s="425"/>
      <c r="AO628" s="425"/>
      <c r="AP628" s="425"/>
      <c r="AQ628" s="425"/>
    </row>
    <row r="629" spans="1:43" s="270" customFormat="1" x14ac:dyDescent="0.25">
      <c r="A629" s="271">
        <v>501443</v>
      </c>
      <c r="B629" s="271">
        <v>1443</v>
      </c>
      <c r="C629" s="271">
        <v>200309</v>
      </c>
      <c r="D629" s="268" t="s">
        <v>894</v>
      </c>
      <c r="E629" s="268" t="s">
        <v>1278</v>
      </c>
      <c r="F629" s="268" t="s">
        <v>2549</v>
      </c>
      <c r="G629" s="268">
        <v>16</v>
      </c>
      <c r="H629" s="268" t="s">
        <v>3287</v>
      </c>
      <c r="I629" s="268" t="s">
        <v>3201</v>
      </c>
      <c r="J629" s="458">
        <v>165149.19473404271</v>
      </c>
      <c r="K629" s="458">
        <v>13762.43289450356</v>
      </c>
      <c r="L629" s="458">
        <v>11194.760870699611</v>
      </c>
      <c r="M629" s="456">
        <v>0</v>
      </c>
      <c r="N629" s="458">
        <v>119.49693843813893</v>
      </c>
      <c r="O629" s="456">
        <v>0</v>
      </c>
      <c r="P629" s="459">
        <v>2890.110907845748</v>
      </c>
      <c r="Q629" s="458">
        <v>55400.108403681625</v>
      </c>
      <c r="R629" s="458">
        <v>29842.45948844152</v>
      </c>
      <c r="S629" s="458">
        <v>1959.7497903854783</v>
      </c>
      <c r="T629" s="457"/>
      <c r="U629" s="425"/>
      <c r="V629" s="425"/>
      <c r="W629" s="425"/>
      <c r="X629" s="425"/>
      <c r="Y629" s="425"/>
      <c r="Z629" s="425"/>
      <c r="AA629" s="425"/>
      <c r="AB629" s="425"/>
      <c r="AC629" s="425"/>
      <c r="AD629" s="425"/>
      <c r="AE629" s="425"/>
      <c r="AG629" s="425"/>
      <c r="AH629" s="425"/>
      <c r="AI629" s="425"/>
      <c r="AJ629" s="425"/>
      <c r="AK629" s="425"/>
      <c r="AL629" s="425"/>
      <c r="AM629" s="425"/>
      <c r="AN629" s="425"/>
      <c r="AO629" s="425"/>
      <c r="AP629" s="425"/>
      <c r="AQ629" s="425"/>
    </row>
    <row r="630" spans="1:43" s="280" customFormat="1" x14ac:dyDescent="0.25">
      <c r="A630" s="271">
        <v>501444</v>
      </c>
      <c r="B630" s="271">
        <v>1444</v>
      </c>
      <c r="C630" s="271">
        <v>200312</v>
      </c>
      <c r="D630" s="268" t="s">
        <v>894</v>
      </c>
      <c r="E630" s="268" t="s">
        <v>1278</v>
      </c>
      <c r="F630" s="268" t="s">
        <v>2360</v>
      </c>
      <c r="G630" s="268">
        <v>16</v>
      </c>
      <c r="H630" s="268" t="s">
        <v>3288</v>
      </c>
      <c r="I630" s="268" t="s">
        <v>3201</v>
      </c>
      <c r="J630" s="458">
        <v>165149.19473404271</v>
      </c>
      <c r="K630" s="458">
        <v>13762.43289450356</v>
      </c>
      <c r="L630" s="458">
        <v>11194.760870699611</v>
      </c>
      <c r="M630" s="456">
        <v>0</v>
      </c>
      <c r="N630" s="458">
        <v>119.49693843813893</v>
      </c>
      <c r="O630" s="456">
        <v>0</v>
      </c>
      <c r="P630" s="459">
        <v>2890.110907845748</v>
      </c>
      <c r="Q630" s="458">
        <v>55400.108403681625</v>
      </c>
      <c r="R630" s="458">
        <v>29842.45948844152</v>
      </c>
      <c r="S630" s="458">
        <v>1959.7497903854783</v>
      </c>
      <c r="T630" s="452"/>
      <c r="U630" s="425"/>
      <c r="V630" s="425"/>
      <c r="W630" s="425"/>
      <c r="X630" s="425"/>
      <c r="Y630" s="425"/>
      <c r="Z630" s="425"/>
      <c r="AA630" s="425"/>
      <c r="AB630" s="425"/>
      <c r="AC630" s="425"/>
      <c r="AD630" s="425"/>
      <c r="AE630" s="425"/>
      <c r="AF630" s="322"/>
      <c r="AG630" s="425"/>
      <c r="AH630" s="425"/>
      <c r="AI630" s="425"/>
      <c r="AJ630" s="425"/>
      <c r="AK630" s="425"/>
      <c r="AL630" s="425"/>
      <c r="AM630" s="425"/>
      <c r="AN630" s="425"/>
      <c r="AO630" s="425"/>
      <c r="AP630" s="425"/>
      <c r="AQ630" s="425"/>
    </row>
    <row r="631" spans="1:43" s="270" customFormat="1" x14ac:dyDescent="0.25">
      <c r="A631" s="271">
        <v>501443</v>
      </c>
      <c r="B631" s="271">
        <v>1443</v>
      </c>
      <c r="C631" s="271">
        <v>200315</v>
      </c>
      <c r="D631" s="268" t="s">
        <v>894</v>
      </c>
      <c r="E631" s="268" t="s">
        <v>1290</v>
      </c>
      <c r="F631" s="268" t="s">
        <v>3289</v>
      </c>
      <c r="G631" s="268">
        <v>16</v>
      </c>
      <c r="H631" s="268" t="s">
        <v>3290</v>
      </c>
      <c r="I631" s="268" t="s">
        <v>3201</v>
      </c>
      <c r="J631" s="458">
        <v>165149.19473404271</v>
      </c>
      <c r="K631" s="458">
        <v>13762.43289450356</v>
      </c>
      <c r="L631" s="458">
        <v>11194.760870699611</v>
      </c>
      <c r="M631" s="456">
        <v>0</v>
      </c>
      <c r="N631" s="458">
        <v>119.49693843813893</v>
      </c>
      <c r="O631" s="456">
        <v>0</v>
      </c>
      <c r="P631" s="459">
        <v>2890.110907845748</v>
      </c>
      <c r="Q631" s="458">
        <v>55400.108403681625</v>
      </c>
      <c r="R631" s="458">
        <v>29842.45948844152</v>
      </c>
      <c r="S631" s="458">
        <v>1959.7497903854783</v>
      </c>
      <c r="T631" s="457"/>
      <c r="U631" s="425"/>
      <c r="V631" s="425"/>
      <c r="W631" s="425"/>
      <c r="X631" s="425"/>
      <c r="Y631" s="425"/>
      <c r="Z631" s="425"/>
      <c r="AA631" s="425"/>
      <c r="AB631" s="425"/>
      <c r="AC631" s="425"/>
      <c r="AD631" s="425"/>
      <c r="AE631" s="425"/>
      <c r="AG631" s="425"/>
      <c r="AH631" s="425"/>
      <c r="AI631" s="425"/>
      <c r="AJ631" s="425"/>
      <c r="AK631" s="425"/>
      <c r="AL631" s="425"/>
      <c r="AM631" s="425"/>
      <c r="AN631" s="425"/>
      <c r="AO631" s="425"/>
      <c r="AP631" s="425"/>
      <c r="AQ631" s="425"/>
    </row>
    <row r="632" spans="1:43" s="270" customFormat="1" x14ac:dyDescent="0.25">
      <c r="A632" s="271">
        <v>501445</v>
      </c>
      <c r="B632" s="271">
        <v>1445</v>
      </c>
      <c r="C632" s="271">
        <v>200318</v>
      </c>
      <c r="D632" s="268" t="s">
        <v>894</v>
      </c>
      <c r="E632" s="268" t="s">
        <v>1278</v>
      </c>
      <c r="F632" s="268" t="s">
        <v>2251</v>
      </c>
      <c r="G632" s="268">
        <v>16</v>
      </c>
      <c r="H632" s="268" t="s">
        <v>3291</v>
      </c>
      <c r="I632" s="268" t="s">
        <v>3201</v>
      </c>
      <c r="J632" s="458">
        <v>165149.19473404271</v>
      </c>
      <c r="K632" s="458">
        <v>13762.43289450356</v>
      </c>
      <c r="L632" s="458">
        <v>11194.760870699611</v>
      </c>
      <c r="M632" s="456">
        <v>0</v>
      </c>
      <c r="N632" s="458">
        <v>119.49693843813893</v>
      </c>
      <c r="O632" s="456">
        <v>0</v>
      </c>
      <c r="P632" s="459">
        <v>2890.110907845748</v>
      </c>
      <c r="Q632" s="458">
        <v>55400.108403681625</v>
      </c>
      <c r="R632" s="458">
        <v>29842.45948844152</v>
      </c>
      <c r="S632" s="458">
        <v>1959.7497903854783</v>
      </c>
      <c r="T632" s="457"/>
      <c r="U632" s="425"/>
      <c r="V632" s="425"/>
      <c r="W632" s="425"/>
      <c r="X632" s="425"/>
      <c r="Y632" s="425"/>
      <c r="Z632" s="425"/>
      <c r="AA632" s="425"/>
      <c r="AB632" s="425"/>
      <c r="AC632" s="425"/>
      <c r="AD632" s="425"/>
      <c r="AE632" s="425"/>
      <c r="AG632" s="425"/>
      <c r="AH632" s="425"/>
      <c r="AI632" s="425"/>
      <c r="AJ632" s="425"/>
      <c r="AK632" s="425"/>
      <c r="AL632" s="425"/>
      <c r="AM632" s="425"/>
      <c r="AN632" s="425"/>
      <c r="AO632" s="425"/>
      <c r="AP632" s="425"/>
      <c r="AQ632" s="425"/>
    </row>
    <row r="633" spans="1:43" s="270" customFormat="1" x14ac:dyDescent="0.25">
      <c r="A633" s="271">
        <v>501443</v>
      </c>
      <c r="B633" s="271">
        <v>1443</v>
      </c>
      <c r="C633" s="271">
        <v>200342</v>
      </c>
      <c r="D633" s="268" t="s">
        <v>894</v>
      </c>
      <c r="E633" s="268" t="s">
        <v>1278</v>
      </c>
      <c r="F633" s="268" t="s">
        <v>3292</v>
      </c>
      <c r="G633" s="268">
        <v>16</v>
      </c>
      <c r="H633" s="268" t="s">
        <v>3293</v>
      </c>
      <c r="I633" s="268" t="s">
        <v>3201</v>
      </c>
      <c r="J633" s="458">
        <v>165149.19473404271</v>
      </c>
      <c r="K633" s="458">
        <v>13762.43289450356</v>
      </c>
      <c r="L633" s="458">
        <v>11194.760870699611</v>
      </c>
      <c r="M633" s="456">
        <v>0</v>
      </c>
      <c r="N633" s="458">
        <v>119.49693843813893</v>
      </c>
      <c r="O633" s="456">
        <v>0</v>
      </c>
      <c r="P633" s="459">
        <v>2890.110907845748</v>
      </c>
      <c r="Q633" s="458">
        <v>55400.108403681625</v>
      </c>
      <c r="R633" s="458">
        <v>29842.45948844152</v>
      </c>
      <c r="S633" s="458">
        <v>1959.7497903854783</v>
      </c>
      <c r="T633" s="452"/>
      <c r="U633" s="425"/>
      <c r="V633" s="425"/>
      <c r="W633" s="425"/>
      <c r="X633" s="425"/>
      <c r="Y633" s="425"/>
      <c r="Z633" s="425"/>
      <c r="AA633" s="425"/>
      <c r="AB633" s="425"/>
      <c r="AC633" s="425"/>
      <c r="AD633" s="425"/>
      <c r="AE633" s="425"/>
      <c r="AG633" s="425"/>
      <c r="AH633" s="425"/>
      <c r="AI633" s="425"/>
      <c r="AJ633" s="425"/>
      <c r="AK633" s="425"/>
      <c r="AL633" s="425"/>
      <c r="AM633" s="425"/>
      <c r="AN633" s="425"/>
      <c r="AO633" s="425"/>
      <c r="AP633" s="425"/>
      <c r="AQ633" s="425"/>
    </row>
    <row r="634" spans="1:43" s="270" customFormat="1" x14ac:dyDescent="0.25">
      <c r="A634" s="271">
        <v>501444</v>
      </c>
      <c r="B634" s="271">
        <v>1444</v>
      </c>
      <c r="C634" s="271">
        <v>200345</v>
      </c>
      <c r="D634" s="268" t="s">
        <v>894</v>
      </c>
      <c r="E634" s="268" t="s">
        <v>1278</v>
      </c>
      <c r="F634" s="268" t="s">
        <v>2203</v>
      </c>
      <c r="G634" s="268">
        <v>16</v>
      </c>
      <c r="H634" s="268" t="s">
        <v>3294</v>
      </c>
      <c r="I634" s="268" t="s">
        <v>3201</v>
      </c>
      <c r="J634" s="458">
        <v>165149.19473404271</v>
      </c>
      <c r="K634" s="458">
        <v>13762.43289450356</v>
      </c>
      <c r="L634" s="458">
        <v>11194.760870699611</v>
      </c>
      <c r="M634" s="456">
        <v>0</v>
      </c>
      <c r="N634" s="458">
        <v>119.49693843813893</v>
      </c>
      <c r="O634" s="456">
        <v>0</v>
      </c>
      <c r="P634" s="459">
        <v>2890.110907845748</v>
      </c>
      <c r="Q634" s="458">
        <v>55400.108403681625</v>
      </c>
      <c r="R634" s="458">
        <v>29842.45948844152</v>
      </c>
      <c r="S634" s="458">
        <v>1959.7497903854783</v>
      </c>
      <c r="T634" s="452"/>
      <c r="U634" s="425"/>
      <c r="V634" s="425"/>
      <c r="W634" s="425"/>
      <c r="X634" s="425"/>
      <c r="Y634" s="425"/>
      <c r="Z634" s="425"/>
      <c r="AA634" s="425"/>
      <c r="AB634" s="425"/>
      <c r="AC634" s="425"/>
      <c r="AD634" s="425"/>
      <c r="AE634" s="425"/>
      <c r="AG634" s="425"/>
      <c r="AH634" s="425"/>
      <c r="AI634" s="425"/>
      <c r="AJ634" s="425"/>
      <c r="AK634" s="425"/>
      <c r="AL634" s="425"/>
      <c r="AM634" s="425"/>
      <c r="AN634" s="425"/>
      <c r="AO634" s="425"/>
      <c r="AP634" s="425"/>
      <c r="AQ634" s="425"/>
    </row>
    <row r="635" spans="1:43" s="270" customFormat="1" x14ac:dyDescent="0.25">
      <c r="A635" s="271">
        <v>501445</v>
      </c>
      <c r="B635" s="271">
        <v>1445</v>
      </c>
      <c r="C635" s="271">
        <v>200347</v>
      </c>
      <c r="D635" s="268" t="s">
        <v>894</v>
      </c>
      <c r="E635" s="268" t="s">
        <v>1290</v>
      </c>
      <c r="F635" s="268" t="s">
        <v>2547</v>
      </c>
      <c r="G635" s="268">
        <v>16</v>
      </c>
      <c r="H635" s="268" t="s">
        <v>3295</v>
      </c>
      <c r="I635" s="268" t="s">
        <v>3201</v>
      </c>
      <c r="J635" s="458">
        <v>165149.19473404271</v>
      </c>
      <c r="K635" s="458">
        <v>13762.43289450356</v>
      </c>
      <c r="L635" s="458">
        <v>11194.760870699611</v>
      </c>
      <c r="M635" s="456">
        <v>0</v>
      </c>
      <c r="N635" s="458">
        <v>119.49693843813893</v>
      </c>
      <c r="O635" s="456">
        <v>0</v>
      </c>
      <c r="P635" s="459">
        <v>2890.110907845748</v>
      </c>
      <c r="Q635" s="458">
        <v>55400.108403681625</v>
      </c>
      <c r="R635" s="458">
        <v>29842.45948844152</v>
      </c>
      <c r="S635" s="458">
        <v>1959.7497903854783</v>
      </c>
      <c r="T635" s="457"/>
      <c r="U635" s="425"/>
      <c r="V635" s="425"/>
      <c r="W635" s="425"/>
      <c r="X635" s="425"/>
      <c r="Y635" s="425"/>
      <c r="Z635" s="425"/>
      <c r="AA635" s="425"/>
      <c r="AB635" s="425"/>
      <c r="AC635" s="425"/>
      <c r="AD635" s="425"/>
      <c r="AE635" s="425"/>
      <c r="AG635" s="425"/>
      <c r="AH635" s="425"/>
      <c r="AI635" s="425"/>
      <c r="AJ635" s="425"/>
      <c r="AK635" s="425"/>
      <c r="AL635" s="425"/>
      <c r="AM635" s="425"/>
      <c r="AN635" s="425"/>
      <c r="AO635" s="425"/>
      <c r="AP635" s="425"/>
      <c r="AQ635" s="425"/>
    </row>
    <row r="636" spans="1:43" s="270" customFormat="1" x14ac:dyDescent="0.25">
      <c r="A636" s="271">
        <v>501445</v>
      </c>
      <c r="B636" s="271">
        <v>1445</v>
      </c>
      <c r="C636" s="271">
        <v>200418</v>
      </c>
      <c r="D636" s="268" t="s">
        <v>894</v>
      </c>
      <c r="E636" s="268" t="s">
        <v>1290</v>
      </c>
      <c r="F636" s="268" t="s">
        <v>2725</v>
      </c>
      <c r="G636" s="268">
        <v>16</v>
      </c>
      <c r="H636" s="268" t="s">
        <v>3296</v>
      </c>
      <c r="I636" s="268" t="s">
        <v>3201</v>
      </c>
      <c r="J636" s="458">
        <v>165149.19473404271</v>
      </c>
      <c r="K636" s="458">
        <v>13762.43289450356</v>
      </c>
      <c r="L636" s="458">
        <v>11194.760870699611</v>
      </c>
      <c r="M636" s="456">
        <v>0</v>
      </c>
      <c r="N636" s="458">
        <v>119.49693843813893</v>
      </c>
      <c r="O636" s="456">
        <v>0</v>
      </c>
      <c r="P636" s="459">
        <v>2890.110907845748</v>
      </c>
      <c r="Q636" s="458">
        <v>55400.108403681625</v>
      </c>
      <c r="R636" s="458">
        <v>29842.45948844152</v>
      </c>
      <c r="S636" s="458">
        <v>1959.7497903854783</v>
      </c>
      <c r="T636" s="452"/>
      <c r="U636" s="425"/>
      <c r="V636" s="425"/>
      <c r="W636" s="425"/>
      <c r="X636" s="425"/>
      <c r="Y636" s="425"/>
      <c r="Z636" s="425"/>
      <c r="AA636" s="425"/>
      <c r="AB636" s="425"/>
      <c r="AC636" s="425"/>
      <c r="AD636" s="425"/>
      <c r="AE636" s="425"/>
      <c r="AG636" s="425"/>
      <c r="AH636" s="425"/>
      <c r="AI636" s="425"/>
      <c r="AJ636" s="425"/>
      <c r="AK636" s="425"/>
      <c r="AL636" s="425"/>
      <c r="AM636" s="425"/>
      <c r="AN636" s="425"/>
      <c r="AO636" s="425"/>
      <c r="AP636" s="425"/>
      <c r="AQ636" s="425"/>
    </row>
    <row r="637" spans="1:43" s="270" customFormat="1" x14ac:dyDescent="0.25">
      <c r="A637" s="271">
        <v>501445</v>
      </c>
      <c r="B637" s="271">
        <v>1445</v>
      </c>
      <c r="C637" s="271">
        <v>200423</v>
      </c>
      <c r="D637" s="268" t="s">
        <v>894</v>
      </c>
      <c r="E637" s="268" t="s">
        <v>1290</v>
      </c>
      <c r="F637" s="268" t="s">
        <v>3297</v>
      </c>
      <c r="G637" s="268">
        <v>16</v>
      </c>
      <c r="H637" s="268" t="s">
        <v>3298</v>
      </c>
      <c r="I637" s="268" t="s">
        <v>3201</v>
      </c>
      <c r="J637" s="458">
        <v>165149.19473404271</v>
      </c>
      <c r="K637" s="458">
        <v>13762.43289450356</v>
      </c>
      <c r="L637" s="458">
        <v>11194.760870699611</v>
      </c>
      <c r="M637" s="456">
        <v>0</v>
      </c>
      <c r="N637" s="458">
        <v>119.49693843813893</v>
      </c>
      <c r="O637" s="456">
        <v>0</v>
      </c>
      <c r="P637" s="459">
        <v>2890.110907845748</v>
      </c>
      <c r="Q637" s="458">
        <v>55400.108403681625</v>
      </c>
      <c r="R637" s="458">
        <v>29842.45948844152</v>
      </c>
      <c r="S637" s="458">
        <v>1959.7497903854783</v>
      </c>
      <c r="T637" s="452"/>
      <c r="U637" s="425"/>
      <c r="V637" s="425"/>
      <c r="W637" s="425"/>
      <c r="X637" s="425"/>
      <c r="Y637" s="425"/>
      <c r="Z637" s="425"/>
      <c r="AA637" s="425"/>
      <c r="AB637" s="425"/>
      <c r="AC637" s="425"/>
      <c r="AD637" s="425"/>
      <c r="AE637" s="425"/>
      <c r="AG637" s="425"/>
      <c r="AH637" s="425"/>
      <c r="AI637" s="425"/>
      <c r="AJ637" s="425"/>
      <c r="AK637" s="425"/>
      <c r="AL637" s="425"/>
      <c r="AM637" s="425"/>
      <c r="AN637" s="425"/>
      <c r="AO637" s="425"/>
      <c r="AP637" s="425"/>
      <c r="AQ637" s="425"/>
    </row>
    <row r="638" spans="1:43" s="270" customFormat="1" x14ac:dyDescent="0.25">
      <c r="A638" s="271">
        <v>501445</v>
      </c>
      <c r="B638" s="271">
        <v>1445</v>
      </c>
      <c r="C638" s="271">
        <v>200424</v>
      </c>
      <c r="D638" s="268" t="s">
        <v>894</v>
      </c>
      <c r="E638" s="268" t="s">
        <v>1290</v>
      </c>
      <c r="F638" s="268" t="s">
        <v>2725</v>
      </c>
      <c r="G638" s="268">
        <v>16</v>
      </c>
      <c r="H638" s="268" t="s">
        <v>3299</v>
      </c>
      <c r="I638" s="268" t="s">
        <v>3201</v>
      </c>
      <c r="J638" s="458">
        <v>165149.19473404271</v>
      </c>
      <c r="K638" s="458">
        <v>13762.43289450356</v>
      </c>
      <c r="L638" s="458">
        <v>11194.760870699611</v>
      </c>
      <c r="M638" s="456">
        <v>0</v>
      </c>
      <c r="N638" s="458">
        <v>119.49693843813893</v>
      </c>
      <c r="O638" s="456">
        <v>0</v>
      </c>
      <c r="P638" s="459">
        <v>2890.110907845748</v>
      </c>
      <c r="Q638" s="458">
        <v>55400.108403681625</v>
      </c>
      <c r="R638" s="458">
        <v>29842.45948844152</v>
      </c>
      <c r="S638" s="458">
        <v>1959.7497903854783</v>
      </c>
      <c r="T638" s="452"/>
      <c r="U638" s="425"/>
      <c r="V638" s="425"/>
      <c r="W638" s="425"/>
      <c r="X638" s="425"/>
      <c r="Y638" s="425"/>
      <c r="Z638" s="425"/>
      <c r="AA638" s="425"/>
      <c r="AB638" s="425"/>
      <c r="AC638" s="425"/>
      <c r="AD638" s="425"/>
      <c r="AE638" s="425"/>
      <c r="AG638" s="425"/>
      <c r="AH638" s="425"/>
      <c r="AI638" s="425"/>
      <c r="AJ638" s="425"/>
      <c r="AK638" s="425"/>
      <c r="AL638" s="425"/>
      <c r="AM638" s="425"/>
      <c r="AN638" s="425"/>
      <c r="AO638" s="425"/>
      <c r="AP638" s="425"/>
      <c r="AQ638" s="425"/>
    </row>
    <row r="639" spans="1:43" s="270" customFormat="1" x14ac:dyDescent="0.25">
      <c r="A639" s="271">
        <v>501445</v>
      </c>
      <c r="B639" s="271">
        <v>1445</v>
      </c>
      <c r="C639" s="271">
        <v>200427</v>
      </c>
      <c r="D639" s="268" t="s">
        <v>894</v>
      </c>
      <c r="E639" s="268" t="s">
        <v>1290</v>
      </c>
      <c r="F639" s="268" t="s">
        <v>3300</v>
      </c>
      <c r="G639" s="268">
        <v>16</v>
      </c>
      <c r="H639" s="268" t="s">
        <v>3301</v>
      </c>
      <c r="I639" s="268" t="s">
        <v>3201</v>
      </c>
      <c r="J639" s="458">
        <v>165149.19473404271</v>
      </c>
      <c r="K639" s="458">
        <v>13762.43289450356</v>
      </c>
      <c r="L639" s="458">
        <v>11194.760870699611</v>
      </c>
      <c r="M639" s="456">
        <v>0</v>
      </c>
      <c r="N639" s="458">
        <v>119.49693843813893</v>
      </c>
      <c r="O639" s="456">
        <v>0</v>
      </c>
      <c r="P639" s="459">
        <v>2890.110907845748</v>
      </c>
      <c r="Q639" s="458">
        <v>55400.108403681625</v>
      </c>
      <c r="R639" s="458">
        <v>29842.45948844152</v>
      </c>
      <c r="S639" s="458">
        <v>1959.7497903854783</v>
      </c>
      <c r="T639" s="457"/>
      <c r="U639" s="425"/>
      <c r="V639" s="425"/>
      <c r="W639" s="425"/>
      <c r="X639" s="425"/>
      <c r="Y639" s="425"/>
      <c r="Z639" s="425"/>
      <c r="AA639" s="425"/>
      <c r="AB639" s="425"/>
      <c r="AC639" s="425"/>
      <c r="AD639" s="425"/>
      <c r="AE639" s="425"/>
      <c r="AG639" s="425"/>
      <c r="AH639" s="425"/>
      <c r="AI639" s="425"/>
      <c r="AJ639" s="425"/>
      <c r="AK639" s="425"/>
      <c r="AL639" s="425"/>
      <c r="AM639" s="425"/>
      <c r="AN639" s="425"/>
      <c r="AO639" s="425"/>
      <c r="AP639" s="425"/>
      <c r="AQ639" s="425"/>
    </row>
    <row r="640" spans="1:43" s="270" customFormat="1" x14ac:dyDescent="0.25">
      <c r="A640" s="271">
        <v>501445</v>
      </c>
      <c r="B640" s="271">
        <v>1445</v>
      </c>
      <c r="C640" s="271">
        <v>200429</v>
      </c>
      <c r="D640" s="268" t="s">
        <v>894</v>
      </c>
      <c r="E640" s="268" t="s">
        <v>1278</v>
      </c>
      <c r="F640" s="268" t="s">
        <v>3302</v>
      </c>
      <c r="G640" s="268">
        <v>16</v>
      </c>
      <c r="H640" s="268" t="s">
        <v>3303</v>
      </c>
      <c r="I640" s="268" t="s">
        <v>3201</v>
      </c>
      <c r="J640" s="458">
        <v>165149.19473404271</v>
      </c>
      <c r="K640" s="458">
        <v>13762.43289450356</v>
      </c>
      <c r="L640" s="458">
        <v>11194.760870699611</v>
      </c>
      <c r="M640" s="456">
        <v>0</v>
      </c>
      <c r="N640" s="458">
        <v>119.49693843813893</v>
      </c>
      <c r="O640" s="456">
        <v>0</v>
      </c>
      <c r="P640" s="459">
        <v>2890.110907845748</v>
      </c>
      <c r="Q640" s="458">
        <v>55400.108403681625</v>
      </c>
      <c r="R640" s="458">
        <v>29842.45948844152</v>
      </c>
      <c r="S640" s="458">
        <v>1959.7497903854783</v>
      </c>
      <c r="T640" s="457"/>
      <c r="U640" s="425"/>
      <c r="V640" s="425"/>
      <c r="W640" s="425"/>
      <c r="X640" s="425"/>
      <c r="Y640" s="425"/>
      <c r="Z640" s="425"/>
      <c r="AA640" s="425"/>
      <c r="AB640" s="425"/>
      <c r="AC640" s="425"/>
      <c r="AD640" s="425"/>
      <c r="AE640" s="425"/>
      <c r="AG640" s="425"/>
      <c r="AH640" s="425"/>
      <c r="AI640" s="425"/>
      <c r="AJ640" s="425"/>
      <c r="AK640" s="425"/>
      <c r="AL640" s="425"/>
      <c r="AM640" s="425"/>
      <c r="AN640" s="425"/>
      <c r="AO640" s="425"/>
      <c r="AP640" s="425"/>
      <c r="AQ640" s="425"/>
    </row>
    <row r="641" spans="1:43" s="270" customFormat="1" x14ac:dyDescent="0.25">
      <c r="A641" s="271">
        <v>501445</v>
      </c>
      <c r="B641" s="271">
        <v>1445</v>
      </c>
      <c r="C641" s="271">
        <v>200433</v>
      </c>
      <c r="D641" s="268" t="s">
        <v>894</v>
      </c>
      <c r="E641" s="268" t="s">
        <v>1290</v>
      </c>
      <c r="F641" s="268" t="s">
        <v>2411</v>
      </c>
      <c r="G641" s="268">
        <v>16</v>
      </c>
      <c r="H641" s="268" t="s">
        <v>3304</v>
      </c>
      <c r="I641" s="268" t="s">
        <v>3201</v>
      </c>
      <c r="J641" s="458">
        <v>165149.19473404271</v>
      </c>
      <c r="K641" s="458">
        <v>13762.43289450356</v>
      </c>
      <c r="L641" s="458">
        <v>11194.760870699611</v>
      </c>
      <c r="M641" s="456">
        <v>0</v>
      </c>
      <c r="N641" s="458">
        <v>119.49693843813893</v>
      </c>
      <c r="O641" s="456">
        <v>0</v>
      </c>
      <c r="P641" s="459">
        <v>2890.110907845748</v>
      </c>
      <c r="Q641" s="458">
        <v>55400.108403681625</v>
      </c>
      <c r="R641" s="458">
        <v>29842.45948844152</v>
      </c>
      <c r="S641" s="458">
        <v>1959.7497903854783</v>
      </c>
      <c r="T641" s="457"/>
      <c r="U641" s="425"/>
      <c r="V641" s="425"/>
      <c r="W641" s="425"/>
      <c r="X641" s="425"/>
      <c r="Y641" s="425"/>
      <c r="Z641" s="425"/>
      <c r="AA641" s="425"/>
      <c r="AB641" s="425"/>
      <c r="AC641" s="425"/>
      <c r="AD641" s="425"/>
      <c r="AE641" s="425"/>
      <c r="AG641" s="425"/>
      <c r="AH641" s="425"/>
      <c r="AI641" s="425"/>
      <c r="AJ641" s="425"/>
      <c r="AK641" s="425"/>
      <c r="AL641" s="425"/>
      <c r="AM641" s="425"/>
      <c r="AN641" s="425"/>
      <c r="AO641" s="425"/>
      <c r="AP641" s="425"/>
      <c r="AQ641" s="425"/>
    </row>
    <row r="642" spans="1:43" s="270" customFormat="1" x14ac:dyDescent="0.25">
      <c r="A642" s="271">
        <v>501445</v>
      </c>
      <c r="B642" s="271">
        <v>1445</v>
      </c>
      <c r="C642" s="271">
        <v>200435</v>
      </c>
      <c r="D642" s="268" t="s">
        <v>894</v>
      </c>
      <c r="E642" s="268" t="s">
        <v>1290</v>
      </c>
      <c r="F642" s="268" t="s">
        <v>2838</v>
      </c>
      <c r="G642" s="268">
        <v>16</v>
      </c>
      <c r="H642" s="268" t="s">
        <v>3305</v>
      </c>
      <c r="I642" s="268" t="s">
        <v>3201</v>
      </c>
      <c r="J642" s="458">
        <v>165149.19473404271</v>
      </c>
      <c r="K642" s="458">
        <v>13762.43289450356</v>
      </c>
      <c r="L642" s="458">
        <v>11194.760870699611</v>
      </c>
      <c r="M642" s="456">
        <v>0</v>
      </c>
      <c r="N642" s="458">
        <v>119.49693843813893</v>
      </c>
      <c r="O642" s="456">
        <v>0</v>
      </c>
      <c r="P642" s="459">
        <v>2890.110907845748</v>
      </c>
      <c r="Q642" s="458">
        <v>55400.108403681625</v>
      </c>
      <c r="R642" s="458">
        <v>29842.45948844152</v>
      </c>
      <c r="S642" s="458">
        <v>1959.7497903854783</v>
      </c>
      <c r="T642" s="457"/>
      <c r="U642" s="425"/>
      <c r="V642" s="425"/>
      <c r="W642" s="425"/>
      <c r="X642" s="425"/>
      <c r="Y642" s="425"/>
      <c r="Z642" s="425"/>
      <c r="AA642" s="425"/>
      <c r="AB642" s="425"/>
      <c r="AC642" s="425"/>
      <c r="AD642" s="425"/>
      <c r="AE642" s="425"/>
      <c r="AG642" s="425"/>
      <c r="AH642" s="425"/>
      <c r="AI642" s="425"/>
      <c r="AJ642" s="425"/>
      <c r="AK642" s="425"/>
      <c r="AL642" s="425"/>
      <c r="AM642" s="425"/>
      <c r="AN642" s="425"/>
      <c r="AO642" s="425"/>
      <c r="AP642" s="425"/>
      <c r="AQ642" s="425"/>
    </row>
    <row r="643" spans="1:43" s="270" customFormat="1" x14ac:dyDescent="0.25">
      <c r="A643" s="271">
        <v>501445</v>
      </c>
      <c r="B643" s="271">
        <v>1445</v>
      </c>
      <c r="C643" s="271">
        <v>200439</v>
      </c>
      <c r="D643" s="268" t="s">
        <v>894</v>
      </c>
      <c r="E643" s="268" t="s">
        <v>1290</v>
      </c>
      <c r="F643" s="268" t="s">
        <v>3306</v>
      </c>
      <c r="G643" s="268">
        <v>16</v>
      </c>
      <c r="H643" s="268" t="s">
        <v>3307</v>
      </c>
      <c r="I643" s="268" t="s">
        <v>3201</v>
      </c>
      <c r="J643" s="458">
        <v>165149.19473404271</v>
      </c>
      <c r="K643" s="458">
        <v>13762.43289450356</v>
      </c>
      <c r="L643" s="458">
        <v>11194.760870699611</v>
      </c>
      <c r="M643" s="456">
        <v>0</v>
      </c>
      <c r="N643" s="458">
        <v>119.49693843813893</v>
      </c>
      <c r="O643" s="456">
        <v>0</v>
      </c>
      <c r="P643" s="459">
        <v>2890.110907845748</v>
      </c>
      <c r="Q643" s="458">
        <v>55400.108403681625</v>
      </c>
      <c r="R643" s="458">
        <v>29842.45948844152</v>
      </c>
      <c r="S643" s="458">
        <v>1959.7497903854783</v>
      </c>
      <c r="T643" s="457"/>
      <c r="U643" s="425"/>
      <c r="V643" s="425"/>
      <c r="W643" s="425"/>
      <c r="X643" s="425"/>
      <c r="Y643" s="425"/>
      <c r="Z643" s="425"/>
      <c r="AA643" s="425"/>
      <c r="AB643" s="425"/>
      <c r="AC643" s="425"/>
      <c r="AD643" s="425"/>
      <c r="AE643" s="425"/>
      <c r="AG643" s="425"/>
      <c r="AH643" s="425"/>
      <c r="AI643" s="425"/>
      <c r="AJ643" s="425"/>
      <c r="AK643" s="425"/>
      <c r="AL643" s="425"/>
      <c r="AM643" s="425"/>
      <c r="AN643" s="425"/>
      <c r="AO643" s="425"/>
      <c r="AP643" s="425"/>
      <c r="AQ643" s="425"/>
    </row>
    <row r="644" spans="1:43" s="270" customFormat="1" x14ac:dyDescent="0.25">
      <c r="A644" s="271">
        <v>501444</v>
      </c>
      <c r="B644" s="271">
        <v>1444</v>
      </c>
      <c r="C644" s="271">
        <v>200470</v>
      </c>
      <c r="D644" s="268" t="s">
        <v>894</v>
      </c>
      <c r="E644" s="268" t="s">
        <v>1290</v>
      </c>
      <c r="F644" s="268" t="s">
        <v>2306</v>
      </c>
      <c r="G644" s="268">
        <v>16</v>
      </c>
      <c r="H644" s="268" t="s">
        <v>3308</v>
      </c>
      <c r="I644" s="268" t="s">
        <v>3201</v>
      </c>
      <c r="J644" s="458">
        <v>165149.19473404271</v>
      </c>
      <c r="K644" s="458">
        <v>13762.43289450356</v>
      </c>
      <c r="L644" s="458">
        <v>11194.760870699611</v>
      </c>
      <c r="M644" s="456">
        <v>0</v>
      </c>
      <c r="N644" s="458">
        <v>119.49693843813893</v>
      </c>
      <c r="O644" s="456">
        <v>0</v>
      </c>
      <c r="P644" s="459">
        <v>2890.110907845748</v>
      </c>
      <c r="Q644" s="458">
        <v>55400.108403681625</v>
      </c>
      <c r="R644" s="458">
        <v>29842.45948844152</v>
      </c>
      <c r="S644" s="458">
        <v>1959.7497903854783</v>
      </c>
      <c r="T644" s="457"/>
      <c r="U644" s="425"/>
      <c r="V644" s="425"/>
      <c r="W644" s="425"/>
      <c r="X644" s="425"/>
      <c r="Y644" s="425"/>
      <c r="Z644" s="425"/>
      <c r="AA644" s="425"/>
      <c r="AB644" s="425"/>
      <c r="AC644" s="425"/>
      <c r="AD644" s="425"/>
      <c r="AE644" s="425"/>
      <c r="AG644" s="425"/>
      <c r="AH644" s="425"/>
      <c r="AI644" s="425"/>
      <c r="AJ644" s="425"/>
      <c r="AK644" s="425"/>
      <c r="AL644" s="425"/>
      <c r="AM644" s="425"/>
      <c r="AN644" s="425"/>
      <c r="AO644" s="425"/>
      <c r="AP644" s="425"/>
      <c r="AQ644" s="425"/>
    </row>
    <row r="645" spans="1:43" s="270" customFormat="1" x14ac:dyDescent="0.25">
      <c r="A645" s="271">
        <v>501506</v>
      </c>
      <c r="B645" s="271">
        <v>1506</v>
      </c>
      <c r="C645" s="271">
        <v>200476</v>
      </c>
      <c r="D645" s="268" t="s">
        <v>894</v>
      </c>
      <c r="E645" s="268" t="s">
        <v>1278</v>
      </c>
      <c r="F645" s="268" t="s">
        <v>2694</v>
      </c>
      <c r="G645" s="268">
        <v>16</v>
      </c>
      <c r="H645" s="268" t="s">
        <v>3293</v>
      </c>
      <c r="I645" s="268" t="s">
        <v>3201</v>
      </c>
      <c r="J645" s="458">
        <v>165149.19473404271</v>
      </c>
      <c r="K645" s="458">
        <v>13762.43289450356</v>
      </c>
      <c r="L645" s="458">
        <v>11194.760870699611</v>
      </c>
      <c r="M645" s="456">
        <v>0</v>
      </c>
      <c r="N645" s="458">
        <v>119.49693843813893</v>
      </c>
      <c r="O645" s="456">
        <v>0</v>
      </c>
      <c r="P645" s="459">
        <v>2890.110907845748</v>
      </c>
      <c r="Q645" s="458">
        <v>55400.108403681625</v>
      </c>
      <c r="R645" s="458">
        <v>29842.45948844152</v>
      </c>
      <c r="S645" s="458">
        <v>1959.7497903854783</v>
      </c>
      <c r="T645" s="457"/>
      <c r="U645" s="425"/>
      <c r="V645" s="425"/>
      <c r="W645" s="425"/>
      <c r="X645" s="425"/>
      <c r="Y645" s="425"/>
      <c r="Z645" s="425"/>
      <c r="AA645" s="425"/>
      <c r="AB645" s="425"/>
      <c r="AC645" s="425"/>
      <c r="AD645" s="425"/>
      <c r="AE645" s="425"/>
      <c r="AG645" s="425"/>
      <c r="AH645" s="425"/>
      <c r="AI645" s="425"/>
      <c r="AJ645" s="425"/>
      <c r="AK645" s="425"/>
      <c r="AL645" s="425"/>
      <c r="AM645" s="425"/>
      <c r="AN645" s="425"/>
      <c r="AO645" s="425"/>
      <c r="AP645" s="425"/>
      <c r="AQ645" s="425"/>
    </row>
    <row r="646" spans="1:43" s="280" customFormat="1" x14ac:dyDescent="0.25">
      <c r="A646" s="271">
        <v>501506</v>
      </c>
      <c r="B646" s="271">
        <v>1506</v>
      </c>
      <c r="C646" s="271">
        <v>200487</v>
      </c>
      <c r="D646" s="268" t="s">
        <v>894</v>
      </c>
      <c r="E646" s="268" t="s">
        <v>1278</v>
      </c>
      <c r="F646" s="268" t="s">
        <v>3309</v>
      </c>
      <c r="G646" s="268">
        <v>16</v>
      </c>
      <c r="H646" s="268" t="s">
        <v>3310</v>
      </c>
      <c r="I646" s="268" t="s">
        <v>3201</v>
      </c>
      <c r="J646" s="458">
        <v>165149.19473404271</v>
      </c>
      <c r="K646" s="458">
        <v>13762.43289450356</v>
      </c>
      <c r="L646" s="458">
        <v>11194.760870699611</v>
      </c>
      <c r="M646" s="456">
        <v>0</v>
      </c>
      <c r="N646" s="458">
        <v>119.49693843813893</v>
      </c>
      <c r="O646" s="456">
        <v>0</v>
      </c>
      <c r="P646" s="459">
        <v>2890.110907845748</v>
      </c>
      <c r="Q646" s="458">
        <v>55400.108403681625</v>
      </c>
      <c r="R646" s="458">
        <v>29842.45948844152</v>
      </c>
      <c r="S646" s="458">
        <v>1959.7497903854783</v>
      </c>
      <c r="T646" s="457"/>
      <c r="U646" s="425"/>
      <c r="V646" s="425"/>
      <c r="W646" s="425"/>
      <c r="X646" s="425"/>
      <c r="Y646" s="425"/>
      <c r="Z646" s="425"/>
      <c r="AA646" s="425"/>
      <c r="AB646" s="425"/>
      <c r="AC646" s="425"/>
      <c r="AD646" s="425"/>
      <c r="AE646" s="425"/>
      <c r="AF646" s="322"/>
      <c r="AG646" s="425"/>
      <c r="AH646" s="425"/>
      <c r="AI646" s="425"/>
      <c r="AJ646" s="425"/>
      <c r="AK646" s="425"/>
      <c r="AL646" s="425"/>
      <c r="AM646" s="425"/>
      <c r="AN646" s="425"/>
      <c r="AO646" s="425"/>
      <c r="AP646" s="425"/>
      <c r="AQ646" s="425"/>
    </row>
    <row r="647" spans="1:43" s="270" customFormat="1" x14ac:dyDescent="0.25">
      <c r="A647" s="271">
        <v>501506</v>
      </c>
      <c r="B647" s="271">
        <v>1506</v>
      </c>
      <c r="C647" s="271">
        <v>200489</v>
      </c>
      <c r="D647" s="268" t="s">
        <v>894</v>
      </c>
      <c r="E647" s="268" t="s">
        <v>1290</v>
      </c>
      <c r="F647" s="268" t="s">
        <v>2820</v>
      </c>
      <c r="G647" s="268">
        <v>16</v>
      </c>
      <c r="H647" s="268" t="s">
        <v>3311</v>
      </c>
      <c r="I647" s="268" t="s">
        <v>3201</v>
      </c>
      <c r="J647" s="458">
        <v>165149.19473404271</v>
      </c>
      <c r="K647" s="458">
        <v>13762.43289450356</v>
      </c>
      <c r="L647" s="458">
        <v>11194.760870699611</v>
      </c>
      <c r="M647" s="456">
        <v>0</v>
      </c>
      <c r="N647" s="458">
        <v>119.49693843813893</v>
      </c>
      <c r="O647" s="456">
        <v>0</v>
      </c>
      <c r="P647" s="459">
        <v>2890.110907845748</v>
      </c>
      <c r="Q647" s="458">
        <v>55400.108403681625</v>
      </c>
      <c r="R647" s="458">
        <v>29842.45948844152</v>
      </c>
      <c r="S647" s="458">
        <v>1959.7497903854783</v>
      </c>
      <c r="T647" s="457"/>
      <c r="U647" s="425"/>
      <c r="V647" s="425"/>
      <c r="W647" s="425"/>
      <c r="X647" s="425"/>
      <c r="Y647" s="425"/>
      <c r="Z647" s="425"/>
      <c r="AA647" s="425"/>
      <c r="AB647" s="425"/>
      <c r="AC647" s="425"/>
      <c r="AD647" s="425"/>
      <c r="AE647" s="425"/>
      <c r="AG647" s="425"/>
      <c r="AH647" s="425"/>
      <c r="AI647" s="425"/>
      <c r="AJ647" s="425"/>
      <c r="AK647" s="425"/>
      <c r="AL647" s="425"/>
      <c r="AM647" s="425"/>
      <c r="AN647" s="425"/>
      <c r="AO647" s="425"/>
      <c r="AP647" s="425"/>
      <c r="AQ647" s="425"/>
    </row>
    <row r="648" spans="1:43" s="270" customFormat="1" x14ac:dyDescent="0.25">
      <c r="A648" s="271">
        <v>501444</v>
      </c>
      <c r="B648" s="271">
        <v>1444</v>
      </c>
      <c r="C648" s="271">
        <v>200496</v>
      </c>
      <c r="D648" s="268" t="s">
        <v>894</v>
      </c>
      <c r="E648" s="268" t="s">
        <v>1290</v>
      </c>
      <c r="F648" s="268" t="s">
        <v>3312</v>
      </c>
      <c r="G648" s="268">
        <v>16</v>
      </c>
      <c r="H648" s="268" t="s">
        <v>3313</v>
      </c>
      <c r="I648" s="268" t="s">
        <v>3201</v>
      </c>
      <c r="J648" s="458">
        <v>165149.19473404271</v>
      </c>
      <c r="K648" s="458">
        <v>13762.43289450356</v>
      </c>
      <c r="L648" s="458">
        <v>11194.760870699611</v>
      </c>
      <c r="M648" s="456">
        <v>0</v>
      </c>
      <c r="N648" s="458">
        <v>119.49693843813893</v>
      </c>
      <c r="O648" s="456">
        <v>0</v>
      </c>
      <c r="P648" s="459">
        <v>2890.110907845748</v>
      </c>
      <c r="Q648" s="458">
        <v>55400.108403681625</v>
      </c>
      <c r="R648" s="458">
        <v>29842.45948844152</v>
      </c>
      <c r="S648" s="458">
        <v>1959.7497903854783</v>
      </c>
      <c r="T648" s="457"/>
      <c r="U648" s="425"/>
      <c r="V648" s="425"/>
      <c r="W648" s="425"/>
      <c r="X648" s="425"/>
      <c r="Y648" s="425"/>
      <c r="Z648" s="425"/>
      <c r="AA648" s="425"/>
      <c r="AB648" s="425"/>
      <c r="AC648" s="425"/>
      <c r="AD648" s="425"/>
      <c r="AE648" s="425"/>
      <c r="AG648" s="425"/>
      <c r="AH648" s="425"/>
      <c r="AI648" s="425"/>
      <c r="AJ648" s="425"/>
      <c r="AK648" s="425"/>
      <c r="AL648" s="425"/>
      <c r="AM648" s="425"/>
      <c r="AN648" s="425"/>
      <c r="AO648" s="425"/>
      <c r="AP648" s="425"/>
      <c r="AQ648" s="425"/>
    </row>
    <row r="649" spans="1:43" s="270" customFormat="1" x14ac:dyDescent="0.25">
      <c r="A649" s="271">
        <v>501444</v>
      </c>
      <c r="B649" s="271">
        <v>1444</v>
      </c>
      <c r="C649" s="271">
        <v>200503</v>
      </c>
      <c r="D649" s="268" t="s">
        <v>894</v>
      </c>
      <c r="E649" s="268" t="s">
        <v>1290</v>
      </c>
      <c r="F649" s="268" t="s">
        <v>3314</v>
      </c>
      <c r="G649" s="268">
        <v>16</v>
      </c>
      <c r="H649" s="268" t="s">
        <v>2676</v>
      </c>
      <c r="I649" s="268" t="s">
        <v>3201</v>
      </c>
      <c r="J649" s="458">
        <v>165149.19473404271</v>
      </c>
      <c r="K649" s="458">
        <v>13762.43289450356</v>
      </c>
      <c r="L649" s="458">
        <v>11194.760870699611</v>
      </c>
      <c r="M649" s="456">
        <v>0</v>
      </c>
      <c r="N649" s="458">
        <v>119.49693843813893</v>
      </c>
      <c r="O649" s="456">
        <v>0</v>
      </c>
      <c r="P649" s="459">
        <v>2890.110907845748</v>
      </c>
      <c r="Q649" s="458">
        <v>55400.108403681625</v>
      </c>
      <c r="R649" s="458">
        <v>29842.45948844152</v>
      </c>
      <c r="S649" s="458">
        <v>1959.7497903854783</v>
      </c>
      <c r="T649" s="457"/>
      <c r="U649" s="425"/>
      <c r="V649" s="425"/>
      <c r="W649" s="425"/>
      <c r="X649" s="425"/>
      <c r="Y649" s="425"/>
      <c r="Z649" s="425"/>
      <c r="AA649" s="425"/>
      <c r="AB649" s="425"/>
      <c r="AC649" s="425"/>
      <c r="AD649" s="425"/>
      <c r="AE649" s="425"/>
      <c r="AG649" s="425"/>
      <c r="AH649" s="425"/>
      <c r="AI649" s="425"/>
      <c r="AJ649" s="425"/>
      <c r="AK649" s="425"/>
      <c r="AL649" s="425"/>
      <c r="AM649" s="425"/>
      <c r="AN649" s="425"/>
      <c r="AO649" s="425"/>
      <c r="AP649" s="425"/>
      <c r="AQ649" s="425"/>
    </row>
    <row r="650" spans="1:43" s="280" customFormat="1" x14ac:dyDescent="0.25">
      <c r="A650" s="418">
        <v>501445</v>
      </c>
      <c r="B650" s="271">
        <v>1457</v>
      </c>
      <c r="C650" s="271">
        <v>200514</v>
      </c>
      <c r="D650" s="268" t="s">
        <v>894</v>
      </c>
      <c r="E650" s="268" t="s">
        <v>1290</v>
      </c>
      <c r="F650" s="268" t="s">
        <v>3312</v>
      </c>
      <c r="G650" s="268">
        <v>16</v>
      </c>
      <c r="H650" s="268" t="s">
        <v>3315</v>
      </c>
      <c r="I650" s="268" t="s">
        <v>3201</v>
      </c>
      <c r="J650" s="458">
        <v>165149.19473404271</v>
      </c>
      <c r="K650" s="458">
        <v>13762.43289450356</v>
      </c>
      <c r="L650" s="458">
        <v>11194.760870699611</v>
      </c>
      <c r="M650" s="456">
        <v>0</v>
      </c>
      <c r="N650" s="458">
        <v>119.49693843813893</v>
      </c>
      <c r="O650" s="456">
        <v>0</v>
      </c>
      <c r="P650" s="459">
        <v>2890.110907845748</v>
      </c>
      <c r="Q650" s="458">
        <v>55400.108403681625</v>
      </c>
      <c r="R650" s="458">
        <v>29842.45948844152</v>
      </c>
      <c r="S650" s="458">
        <v>1959.7497903854783</v>
      </c>
      <c r="T650" s="457"/>
      <c r="U650" s="425"/>
      <c r="V650" s="425"/>
      <c r="W650" s="425"/>
      <c r="X650" s="425"/>
      <c r="Y650" s="425"/>
      <c r="Z650" s="425"/>
      <c r="AA650" s="425"/>
      <c r="AB650" s="425"/>
      <c r="AC650" s="425"/>
      <c r="AD650" s="425"/>
      <c r="AE650" s="425"/>
      <c r="AF650" s="322"/>
      <c r="AG650" s="425"/>
      <c r="AH650" s="425"/>
      <c r="AI650" s="425"/>
      <c r="AJ650" s="425"/>
      <c r="AK650" s="425"/>
      <c r="AL650" s="425"/>
      <c r="AM650" s="425"/>
      <c r="AN650" s="425"/>
      <c r="AO650" s="425"/>
      <c r="AP650" s="425"/>
      <c r="AQ650" s="425"/>
    </row>
    <row r="651" spans="1:43" s="270" customFormat="1" x14ac:dyDescent="0.25">
      <c r="A651" s="271">
        <v>501443</v>
      </c>
      <c r="B651" s="271">
        <v>1443</v>
      </c>
      <c r="C651" s="271">
        <v>200515</v>
      </c>
      <c r="D651" s="268" t="s">
        <v>894</v>
      </c>
      <c r="E651" s="268" t="s">
        <v>1290</v>
      </c>
      <c r="F651" s="268" t="s">
        <v>3316</v>
      </c>
      <c r="G651" s="268">
        <v>16</v>
      </c>
      <c r="H651" s="268" t="s">
        <v>2262</v>
      </c>
      <c r="I651" s="268" t="s">
        <v>3201</v>
      </c>
      <c r="J651" s="458">
        <v>165149.19473404271</v>
      </c>
      <c r="K651" s="458">
        <v>13762.43289450356</v>
      </c>
      <c r="L651" s="458">
        <v>11194.760870699611</v>
      </c>
      <c r="M651" s="456">
        <v>0</v>
      </c>
      <c r="N651" s="458">
        <v>119.49693843813893</v>
      </c>
      <c r="O651" s="456">
        <v>0</v>
      </c>
      <c r="P651" s="459">
        <v>2890.110907845748</v>
      </c>
      <c r="Q651" s="458">
        <v>55400.108403681625</v>
      </c>
      <c r="R651" s="458">
        <v>29842.45948844152</v>
      </c>
      <c r="S651" s="458">
        <v>1959.7497903854783</v>
      </c>
      <c r="T651" s="457"/>
      <c r="U651" s="425"/>
      <c r="V651" s="425"/>
      <c r="W651" s="425"/>
      <c r="X651" s="425"/>
      <c r="Y651" s="425"/>
      <c r="Z651" s="425"/>
      <c r="AA651" s="425"/>
      <c r="AB651" s="425"/>
      <c r="AC651" s="425"/>
      <c r="AD651" s="425"/>
      <c r="AE651" s="425"/>
      <c r="AG651" s="425"/>
      <c r="AH651" s="425"/>
      <c r="AI651" s="425"/>
      <c r="AJ651" s="425"/>
      <c r="AK651" s="425"/>
      <c r="AL651" s="425"/>
      <c r="AM651" s="425"/>
      <c r="AN651" s="425"/>
      <c r="AO651" s="425"/>
      <c r="AP651" s="425"/>
      <c r="AQ651" s="425"/>
    </row>
    <row r="652" spans="1:43" s="270" customFormat="1" x14ac:dyDescent="0.25">
      <c r="A652" s="271">
        <v>501506</v>
      </c>
      <c r="B652" s="271">
        <v>1506</v>
      </c>
      <c r="C652" s="271">
        <v>200518</v>
      </c>
      <c r="D652" s="268" t="s">
        <v>894</v>
      </c>
      <c r="E652" s="268" t="s">
        <v>1278</v>
      </c>
      <c r="F652" s="268" t="s">
        <v>3268</v>
      </c>
      <c r="G652" s="268">
        <v>16</v>
      </c>
      <c r="H652" s="268" t="s">
        <v>3317</v>
      </c>
      <c r="I652" s="268" t="s">
        <v>3201</v>
      </c>
      <c r="J652" s="458">
        <v>165149.19473404271</v>
      </c>
      <c r="K652" s="458">
        <v>13762.43289450356</v>
      </c>
      <c r="L652" s="458">
        <v>11194.760870699611</v>
      </c>
      <c r="M652" s="456">
        <v>0</v>
      </c>
      <c r="N652" s="458">
        <v>119.49693843813893</v>
      </c>
      <c r="O652" s="456">
        <v>0</v>
      </c>
      <c r="P652" s="459">
        <v>2890.110907845748</v>
      </c>
      <c r="Q652" s="458">
        <v>55400.108403681625</v>
      </c>
      <c r="R652" s="458">
        <v>29842.45948844152</v>
      </c>
      <c r="S652" s="458">
        <v>1959.7497903854783</v>
      </c>
      <c r="T652" s="457"/>
      <c r="U652" s="425"/>
      <c r="V652" s="425"/>
      <c r="W652" s="425"/>
      <c r="X652" s="425"/>
      <c r="Y652" s="425"/>
      <c r="Z652" s="425"/>
      <c r="AA652" s="425"/>
      <c r="AB652" s="425"/>
      <c r="AC652" s="425"/>
      <c r="AD652" s="425"/>
      <c r="AE652" s="425"/>
      <c r="AG652" s="425"/>
      <c r="AH652" s="425"/>
      <c r="AI652" s="425"/>
      <c r="AJ652" s="425"/>
      <c r="AK652" s="425"/>
      <c r="AL652" s="425"/>
      <c r="AM652" s="425"/>
      <c r="AN652" s="425"/>
      <c r="AO652" s="425"/>
      <c r="AP652" s="425"/>
      <c r="AQ652" s="425"/>
    </row>
    <row r="653" spans="1:43" s="270" customFormat="1" x14ac:dyDescent="0.25">
      <c r="A653" s="418">
        <v>501445</v>
      </c>
      <c r="B653" s="271">
        <v>1457</v>
      </c>
      <c r="C653" s="271">
        <v>200527</v>
      </c>
      <c r="D653" s="268" t="s">
        <v>894</v>
      </c>
      <c r="E653" s="268" t="s">
        <v>1290</v>
      </c>
      <c r="F653" s="268" t="s">
        <v>3268</v>
      </c>
      <c r="G653" s="268">
        <v>16</v>
      </c>
      <c r="H653" s="268" t="s">
        <v>3318</v>
      </c>
      <c r="I653" s="268" t="s">
        <v>3319</v>
      </c>
      <c r="J653" s="458">
        <v>165149.19473404271</v>
      </c>
      <c r="K653" s="458">
        <v>13762.43289450356</v>
      </c>
      <c r="L653" s="458">
        <v>11194.760870699611</v>
      </c>
      <c r="M653" s="456">
        <v>0</v>
      </c>
      <c r="N653" s="458">
        <v>119.49693843813893</v>
      </c>
      <c r="O653" s="456">
        <v>0</v>
      </c>
      <c r="P653" s="459">
        <v>2890.110907845748</v>
      </c>
      <c r="Q653" s="458">
        <v>55400.108403681625</v>
      </c>
      <c r="R653" s="458">
        <v>29842.45948844152</v>
      </c>
      <c r="S653" s="458">
        <v>1959.7497903854783</v>
      </c>
      <c r="T653" s="457"/>
      <c r="U653" s="425"/>
      <c r="V653" s="425"/>
      <c r="W653" s="425"/>
      <c r="X653" s="425"/>
      <c r="Y653" s="425"/>
      <c r="Z653" s="425"/>
      <c r="AA653" s="425"/>
      <c r="AB653" s="425"/>
      <c r="AC653" s="425"/>
      <c r="AD653" s="425"/>
      <c r="AE653" s="425"/>
      <c r="AG653" s="425"/>
      <c r="AH653" s="425"/>
      <c r="AI653" s="425"/>
      <c r="AJ653" s="425"/>
      <c r="AK653" s="425"/>
      <c r="AL653" s="425"/>
      <c r="AM653" s="425"/>
      <c r="AN653" s="425"/>
      <c r="AO653" s="425"/>
      <c r="AP653" s="425"/>
      <c r="AQ653" s="425"/>
    </row>
    <row r="654" spans="1:43" s="270" customFormat="1" x14ac:dyDescent="0.25">
      <c r="A654" s="271">
        <v>501506</v>
      </c>
      <c r="B654" s="271">
        <v>1506</v>
      </c>
      <c r="C654" s="271">
        <v>200530</v>
      </c>
      <c r="D654" s="268" t="s">
        <v>894</v>
      </c>
      <c r="E654" s="268" t="s">
        <v>1290</v>
      </c>
      <c r="F654" s="268" t="s">
        <v>2490</v>
      </c>
      <c r="G654" s="268">
        <v>16</v>
      </c>
      <c r="H654" s="268" t="s">
        <v>3320</v>
      </c>
      <c r="I654" s="268" t="s">
        <v>3201</v>
      </c>
      <c r="J654" s="458">
        <v>165149.19473404271</v>
      </c>
      <c r="K654" s="458">
        <v>13762.43289450356</v>
      </c>
      <c r="L654" s="458">
        <v>11194.760870699611</v>
      </c>
      <c r="M654" s="456">
        <v>0</v>
      </c>
      <c r="N654" s="458">
        <v>119.49693843813893</v>
      </c>
      <c r="O654" s="456">
        <v>0</v>
      </c>
      <c r="P654" s="459">
        <v>2890.110907845748</v>
      </c>
      <c r="Q654" s="458">
        <v>55400.108403681625</v>
      </c>
      <c r="R654" s="458">
        <v>29842.45948844152</v>
      </c>
      <c r="S654" s="458">
        <v>1959.7497903854783</v>
      </c>
      <c r="T654" s="457"/>
      <c r="U654" s="425"/>
      <c r="V654" s="425"/>
      <c r="W654" s="425"/>
      <c r="X654" s="425"/>
      <c r="Y654" s="425"/>
      <c r="Z654" s="425"/>
      <c r="AA654" s="425"/>
      <c r="AB654" s="425"/>
      <c r="AC654" s="425"/>
      <c r="AD654" s="425"/>
      <c r="AE654" s="425"/>
      <c r="AG654" s="425"/>
      <c r="AH654" s="425"/>
      <c r="AI654" s="425"/>
      <c r="AJ654" s="425"/>
      <c r="AK654" s="425"/>
      <c r="AL654" s="425"/>
      <c r="AM654" s="425"/>
      <c r="AN654" s="425"/>
      <c r="AO654" s="425"/>
      <c r="AP654" s="425"/>
      <c r="AQ654" s="425"/>
    </row>
    <row r="655" spans="1:43" s="270" customFormat="1" x14ac:dyDescent="0.25">
      <c r="A655" s="271">
        <v>501506</v>
      </c>
      <c r="B655" s="271">
        <v>1506</v>
      </c>
      <c r="C655" s="271">
        <v>200532</v>
      </c>
      <c r="D655" s="268" t="s">
        <v>894</v>
      </c>
      <c r="E655" s="268" t="s">
        <v>1278</v>
      </c>
      <c r="F655" s="268" t="s">
        <v>2547</v>
      </c>
      <c r="G655" s="268">
        <v>16</v>
      </c>
      <c r="H655" s="268" t="s">
        <v>3321</v>
      </c>
      <c r="I655" s="268" t="s">
        <v>3201</v>
      </c>
      <c r="J655" s="458">
        <v>165149.19473404271</v>
      </c>
      <c r="K655" s="458">
        <v>13762.43289450356</v>
      </c>
      <c r="L655" s="458">
        <v>11194.760870699611</v>
      </c>
      <c r="M655" s="456">
        <v>0</v>
      </c>
      <c r="N655" s="458">
        <v>119.49693843813893</v>
      </c>
      <c r="O655" s="456">
        <v>0</v>
      </c>
      <c r="P655" s="459">
        <v>2890.110907845748</v>
      </c>
      <c r="Q655" s="458">
        <v>55400.108403681625</v>
      </c>
      <c r="R655" s="458">
        <v>29842.45948844152</v>
      </c>
      <c r="S655" s="458">
        <v>1959.7497903854783</v>
      </c>
      <c r="T655" s="452"/>
      <c r="U655" s="425"/>
      <c r="V655" s="425"/>
      <c r="W655" s="425"/>
      <c r="X655" s="425"/>
      <c r="Y655" s="425"/>
      <c r="Z655" s="425"/>
      <c r="AA655" s="425"/>
      <c r="AB655" s="425"/>
      <c r="AC655" s="425"/>
      <c r="AD655" s="425"/>
      <c r="AE655" s="425"/>
      <c r="AG655" s="425"/>
      <c r="AH655" s="425"/>
      <c r="AI655" s="425"/>
      <c r="AJ655" s="425"/>
      <c r="AK655" s="425"/>
      <c r="AL655" s="425"/>
      <c r="AM655" s="425"/>
      <c r="AN655" s="425"/>
      <c r="AO655" s="425"/>
      <c r="AP655" s="425"/>
      <c r="AQ655" s="425"/>
    </row>
    <row r="656" spans="1:43" s="270" customFormat="1" x14ac:dyDescent="0.25">
      <c r="A656" s="271">
        <v>501444</v>
      </c>
      <c r="B656" s="271">
        <v>1444</v>
      </c>
      <c r="C656" s="271">
        <v>200538</v>
      </c>
      <c r="D656" s="268" t="s">
        <v>894</v>
      </c>
      <c r="E656" s="268" t="s">
        <v>1278</v>
      </c>
      <c r="F656" s="268" t="s">
        <v>3322</v>
      </c>
      <c r="G656" s="268">
        <v>16</v>
      </c>
      <c r="H656" s="268" t="s">
        <v>3323</v>
      </c>
      <c r="I656" s="268" t="s">
        <v>3201</v>
      </c>
      <c r="J656" s="458">
        <v>165149.19473404271</v>
      </c>
      <c r="K656" s="458">
        <v>13762.43289450356</v>
      </c>
      <c r="L656" s="458">
        <v>11194.760870699611</v>
      </c>
      <c r="M656" s="456">
        <v>0</v>
      </c>
      <c r="N656" s="458">
        <v>119.49693843813893</v>
      </c>
      <c r="O656" s="456">
        <v>0</v>
      </c>
      <c r="P656" s="459">
        <v>2890.110907845748</v>
      </c>
      <c r="Q656" s="458">
        <v>55400.108403681625</v>
      </c>
      <c r="R656" s="458">
        <v>29842.45948844152</v>
      </c>
      <c r="S656" s="458">
        <v>1959.7497903854783</v>
      </c>
      <c r="T656" s="457"/>
      <c r="U656" s="425"/>
      <c r="V656" s="425"/>
      <c r="W656" s="425"/>
      <c r="X656" s="425"/>
      <c r="Y656" s="425"/>
      <c r="Z656" s="425"/>
      <c r="AA656" s="425"/>
      <c r="AB656" s="425"/>
      <c r="AC656" s="425"/>
      <c r="AD656" s="425"/>
      <c r="AE656" s="425"/>
      <c r="AG656" s="425"/>
      <c r="AH656" s="425"/>
      <c r="AI656" s="425"/>
      <c r="AJ656" s="425"/>
      <c r="AK656" s="425"/>
      <c r="AL656" s="425"/>
      <c r="AM656" s="425"/>
      <c r="AN656" s="425"/>
      <c r="AO656" s="425"/>
      <c r="AP656" s="425"/>
      <c r="AQ656" s="425"/>
    </row>
    <row r="657" spans="1:43" s="270" customFormat="1" x14ac:dyDescent="0.25">
      <c r="A657" s="271">
        <v>501444</v>
      </c>
      <c r="B657" s="271">
        <v>1444</v>
      </c>
      <c r="C657" s="271">
        <v>200539</v>
      </c>
      <c r="D657" s="268" t="s">
        <v>894</v>
      </c>
      <c r="E657" s="268" t="s">
        <v>1278</v>
      </c>
      <c r="F657" s="268" t="s">
        <v>2364</v>
      </c>
      <c r="G657" s="268">
        <v>16</v>
      </c>
      <c r="H657" s="268" t="s">
        <v>3324</v>
      </c>
      <c r="I657" s="268" t="s">
        <v>3201</v>
      </c>
      <c r="J657" s="458">
        <v>165149.19473404271</v>
      </c>
      <c r="K657" s="458">
        <v>13762.43289450356</v>
      </c>
      <c r="L657" s="458">
        <v>11194.760870699611</v>
      </c>
      <c r="M657" s="456">
        <v>0</v>
      </c>
      <c r="N657" s="458">
        <v>119.49693843813893</v>
      </c>
      <c r="O657" s="456">
        <v>0</v>
      </c>
      <c r="P657" s="459">
        <v>2890.110907845748</v>
      </c>
      <c r="Q657" s="458">
        <v>55400.108403681625</v>
      </c>
      <c r="R657" s="458">
        <v>29842.45948844152</v>
      </c>
      <c r="S657" s="458">
        <v>1959.7497903854783</v>
      </c>
      <c r="T657" s="457"/>
      <c r="U657" s="425"/>
      <c r="V657" s="425"/>
      <c r="W657" s="425"/>
      <c r="X657" s="425"/>
      <c r="Y657" s="425"/>
      <c r="Z657" s="425"/>
      <c r="AA657" s="425"/>
      <c r="AB657" s="425"/>
      <c r="AC657" s="425"/>
      <c r="AD657" s="425"/>
      <c r="AE657" s="425"/>
      <c r="AG657" s="425"/>
      <c r="AH657" s="425"/>
      <c r="AI657" s="425"/>
      <c r="AJ657" s="425"/>
      <c r="AK657" s="425"/>
      <c r="AL657" s="425"/>
      <c r="AM657" s="425"/>
      <c r="AN657" s="425"/>
      <c r="AO657" s="425"/>
      <c r="AP657" s="425"/>
      <c r="AQ657" s="425"/>
    </row>
    <row r="658" spans="1:43" s="270" customFormat="1" x14ac:dyDescent="0.25">
      <c r="A658" s="271">
        <v>501444</v>
      </c>
      <c r="B658" s="271">
        <v>1444</v>
      </c>
      <c r="C658" s="271">
        <v>200541</v>
      </c>
      <c r="D658" s="268" t="s">
        <v>894</v>
      </c>
      <c r="E658" s="268" t="s">
        <v>1278</v>
      </c>
      <c r="F658" s="268" t="s">
        <v>2827</v>
      </c>
      <c r="G658" s="268">
        <v>16</v>
      </c>
      <c r="H658" s="268" t="s">
        <v>3325</v>
      </c>
      <c r="I658" s="268" t="s">
        <v>3201</v>
      </c>
      <c r="J658" s="458">
        <v>165149.19473404271</v>
      </c>
      <c r="K658" s="458">
        <v>13762.43289450356</v>
      </c>
      <c r="L658" s="458">
        <v>11194.760870699611</v>
      </c>
      <c r="M658" s="456">
        <v>0</v>
      </c>
      <c r="N658" s="458">
        <v>119.49693843813893</v>
      </c>
      <c r="O658" s="456">
        <v>0</v>
      </c>
      <c r="P658" s="459">
        <v>2890.110907845748</v>
      </c>
      <c r="Q658" s="458">
        <v>55400.108403681625</v>
      </c>
      <c r="R658" s="458">
        <v>29842.45948844152</v>
      </c>
      <c r="S658" s="458">
        <v>1959.7497903854783</v>
      </c>
      <c r="T658" s="452"/>
      <c r="U658" s="425"/>
      <c r="V658" s="425"/>
      <c r="W658" s="425"/>
      <c r="X658" s="425"/>
      <c r="Y658" s="425"/>
      <c r="Z658" s="425"/>
      <c r="AA658" s="425"/>
      <c r="AB658" s="425"/>
      <c r="AC658" s="425"/>
      <c r="AD658" s="425"/>
      <c r="AE658" s="425"/>
      <c r="AG658" s="425"/>
      <c r="AH658" s="425"/>
      <c r="AI658" s="425"/>
      <c r="AJ658" s="425"/>
      <c r="AK658" s="425"/>
      <c r="AL658" s="425"/>
      <c r="AM658" s="425"/>
      <c r="AN658" s="425"/>
      <c r="AO658" s="425"/>
      <c r="AP658" s="425"/>
      <c r="AQ658" s="425"/>
    </row>
    <row r="659" spans="1:43" s="270" customFormat="1" x14ac:dyDescent="0.25">
      <c r="A659" s="271">
        <v>501444</v>
      </c>
      <c r="B659" s="271">
        <v>1444</v>
      </c>
      <c r="C659" s="271">
        <v>200544</v>
      </c>
      <c r="D659" s="268" t="s">
        <v>894</v>
      </c>
      <c r="E659" s="268" t="s">
        <v>1290</v>
      </c>
      <c r="F659" s="268" t="s">
        <v>2517</v>
      </c>
      <c r="G659" s="268">
        <v>16</v>
      </c>
      <c r="H659" s="268" t="s">
        <v>3326</v>
      </c>
      <c r="I659" s="268" t="s">
        <v>3201</v>
      </c>
      <c r="J659" s="458">
        <v>165149.19473404271</v>
      </c>
      <c r="K659" s="458">
        <v>13762.43289450356</v>
      </c>
      <c r="L659" s="458">
        <v>11194.760870699611</v>
      </c>
      <c r="M659" s="456">
        <v>0</v>
      </c>
      <c r="N659" s="458">
        <v>119.49693843813893</v>
      </c>
      <c r="O659" s="456">
        <v>0</v>
      </c>
      <c r="P659" s="459">
        <v>2890.110907845748</v>
      </c>
      <c r="Q659" s="458">
        <v>55400.108403681625</v>
      </c>
      <c r="R659" s="458">
        <v>29842.45948844152</v>
      </c>
      <c r="S659" s="458">
        <v>1959.7497903854783</v>
      </c>
      <c r="T659" s="457"/>
      <c r="U659" s="425"/>
      <c r="V659" s="425"/>
      <c r="W659" s="425"/>
      <c r="X659" s="425"/>
      <c r="Y659" s="425"/>
      <c r="Z659" s="425"/>
      <c r="AA659" s="425"/>
      <c r="AB659" s="425"/>
      <c r="AC659" s="425"/>
      <c r="AD659" s="425"/>
      <c r="AE659" s="425"/>
      <c r="AG659" s="425"/>
      <c r="AH659" s="425"/>
      <c r="AI659" s="425"/>
      <c r="AJ659" s="425"/>
      <c r="AK659" s="425"/>
      <c r="AL659" s="425"/>
      <c r="AM659" s="425"/>
      <c r="AN659" s="425"/>
      <c r="AO659" s="425"/>
      <c r="AP659" s="425"/>
      <c r="AQ659" s="425"/>
    </row>
    <row r="660" spans="1:43" s="270" customFormat="1" x14ac:dyDescent="0.25">
      <c r="A660" s="271">
        <v>501444</v>
      </c>
      <c r="B660" s="271">
        <v>1444</v>
      </c>
      <c r="C660" s="271">
        <v>200547</v>
      </c>
      <c r="D660" s="268" t="s">
        <v>894</v>
      </c>
      <c r="E660" s="268" t="s">
        <v>1278</v>
      </c>
      <c r="F660" s="268" t="s">
        <v>2822</v>
      </c>
      <c r="G660" s="268">
        <v>16</v>
      </c>
      <c r="H660" s="268" t="s">
        <v>3327</v>
      </c>
      <c r="I660" s="268" t="s">
        <v>3201</v>
      </c>
      <c r="J660" s="458">
        <v>165149.19473404271</v>
      </c>
      <c r="K660" s="458">
        <v>13762.43289450356</v>
      </c>
      <c r="L660" s="458">
        <v>11194.760870699611</v>
      </c>
      <c r="M660" s="456">
        <v>0</v>
      </c>
      <c r="N660" s="458">
        <v>119.49693843813893</v>
      </c>
      <c r="O660" s="456">
        <v>0</v>
      </c>
      <c r="P660" s="459">
        <v>2890.110907845748</v>
      </c>
      <c r="Q660" s="458">
        <v>55400.108403681625</v>
      </c>
      <c r="R660" s="458">
        <v>29842.45948844152</v>
      </c>
      <c r="S660" s="458">
        <v>1959.7497903854783</v>
      </c>
      <c r="T660" s="457"/>
      <c r="U660" s="425"/>
      <c r="V660" s="425"/>
      <c r="W660" s="425"/>
      <c r="X660" s="425"/>
      <c r="Y660" s="425"/>
      <c r="Z660" s="425"/>
      <c r="AA660" s="425"/>
      <c r="AB660" s="425"/>
      <c r="AC660" s="425"/>
      <c r="AD660" s="425"/>
      <c r="AE660" s="425"/>
      <c r="AG660" s="425"/>
      <c r="AH660" s="425"/>
      <c r="AI660" s="425"/>
      <c r="AJ660" s="425"/>
      <c r="AK660" s="425"/>
      <c r="AL660" s="425"/>
      <c r="AM660" s="425"/>
      <c r="AN660" s="425"/>
      <c r="AO660" s="425"/>
      <c r="AP660" s="425"/>
      <c r="AQ660" s="425"/>
    </row>
    <row r="661" spans="1:43" s="280" customFormat="1" x14ac:dyDescent="0.25">
      <c r="A661" s="271">
        <v>501506</v>
      </c>
      <c r="B661" s="271">
        <v>1506</v>
      </c>
      <c r="C661" s="271">
        <v>200548</v>
      </c>
      <c r="D661" s="268" t="s">
        <v>894</v>
      </c>
      <c r="E661" s="268" t="s">
        <v>1278</v>
      </c>
      <c r="F661" s="268" t="s">
        <v>3322</v>
      </c>
      <c r="G661" s="268">
        <v>16</v>
      </c>
      <c r="H661" s="268" t="s">
        <v>3328</v>
      </c>
      <c r="I661" s="268" t="s">
        <v>3201</v>
      </c>
      <c r="J661" s="458">
        <v>165149.19473404271</v>
      </c>
      <c r="K661" s="458">
        <v>13762.43289450356</v>
      </c>
      <c r="L661" s="458">
        <v>11194.760870699611</v>
      </c>
      <c r="M661" s="456">
        <v>0</v>
      </c>
      <c r="N661" s="458">
        <v>119.49693843813893</v>
      </c>
      <c r="O661" s="456">
        <v>0</v>
      </c>
      <c r="P661" s="459">
        <v>2890.110907845748</v>
      </c>
      <c r="Q661" s="458">
        <v>55400.108403681625</v>
      </c>
      <c r="R661" s="458">
        <v>29842.45948844152</v>
      </c>
      <c r="S661" s="458">
        <v>1959.7497903854783</v>
      </c>
      <c r="T661" s="457"/>
      <c r="U661" s="425"/>
      <c r="V661" s="425"/>
      <c r="W661" s="425"/>
      <c r="X661" s="425"/>
      <c r="Y661" s="425"/>
      <c r="Z661" s="425"/>
      <c r="AA661" s="425"/>
      <c r="AB661" s="425"/>
      <c r="AC661" s="425"/>
      <c r="AD661" s="425"/>
      <c r="AE661" s="425"/>
      <c r="AF661" s="322"/>
      <c r="AG661" s="425"/>
      <c r="AH661" s="425"/>
      <c r="AI661" s="425"/>
      <c r="AJ661" s="425"/>
      <c r="AK661" s="425"/>
      <c r="AL661" s="425"/>
      <c r="AM661" s="425"/>
      <c r="AN661" s="425"/>
      <c r="AO661" s="425"/>
      <c r="AP661" s="425"/>
      <c r="AQ661" s="425"/>
    </row>
    <row r="662" spans="1:43" s="270" customFormat="1" x14ac:dyDescent="0.25">
      <c r="A662" s="271">
        <v>501406</v>
      </c>
      <c r="B662" s="271">
        <v>1406</v>
      </c>
      <c r="C662" s="271">
        <v>200549</v>
      </c>
      <c r="D662" s="268" t="s">
        <v>894</v>
      </c>
      <c r="E662" s="268" t="s">
        <v>1278</v>
      </c>
      <c r="F662" s="268" t="s">
        <v>3329</v>
      </c>
      <c r="G662" s="268">
        <v>16</v>
      </c>
      <c r="H662" s="268" t="s">
        <v>3330</v>
      </c>
      <c r="I662" s="268" t="s">
        <v>3331</v>
      </c>
      <c r="J662" s="458">
        <v>165149.19473404271</v>
      </c>
      <c r="K662" s="458">
        <v>13762.43289450356</v>
      </c>
      <c r="L662" s="458">
        <v>11194.760870699611</v>
      </c>
      <c r="M662" s="456">
        <v>0</v>
      </c>
      <c r="N662" s="458">
        <v>119.49693843813893</v>
      </c>
      <c r="O662" s="456">
        <v>0</v>
      </c>
      <c r="P662" s="459">
        <v>2890.110907845748</v>
      </c>
      <c r="Q662" s="458">
        <v>55400.108403681625</v>
      </c>
      <c r="R662" s="458">
        <v>29842.45948844152</v>
      </c>
      <c r="S662" s="458">
        <v>1959.7497903854783</v>
      </c>
      <c r="T662" s="457"/>
      <c r="U662" s="425"/>
      <c r="V662" s="425"/>
      <c r="W662" s="425"/>
      <c r="X662" s="425"/>
      <c r="Y662" s="425"/>
      <c r="Z662" s="425"/>
      <c r="AA662" s="425"/>
      <c r="AB662" s="425"/>
      <c r="AC662" s="425"/>
      <c r="AD662" s="425"/>
      <c r="AE662" s="425"/>
      <c r="AG662" s="425"/>
      <c r="AH662" s="425"/>
      <c r="AI662" s="425"/>
      <c r="AJ662" s="425"/>
      <c r="AK662" s="425"/>
      <c r="AL662" s="425"/>
      <c r="AM662" s="425"/>
      <c r="AN662" s="425"/>
      <c r="AO662" s="425"/>
      <c r="AP662" s="425"/>
      <c r="AQ662" s="425"/>
    </row>
    <row r="663" spans="1:43" s="270" customFormat="1" x14ac:dyDescent="0.25">
      <c r="A663" s="271">
        <v>501444</v>
      </c>
      <c r="B663" s="271">
        <v>1444</v>
      </c>
      <c r="C663" s="271">
        <v>200550</v>
      </c>
      <c r="D663" s="268" t="s">
        <v>894</v>
      </c>
      <c r="E663" s="268" t="s">
        <v>1290</v>
      </c>
      <c r="F663" s="268" t="s">
        <v>2273</v>
      </c>
      <c r="G663" s="268">
        <v>16</v>
      </c>
      <c r="H663" s="268" t="s">
        <v>3332</v>
      </c>
      <c r="I663" s="268" t="s">
        <v>3201</v>
      </c>
      <c r="J663" s="458">
        <v>165149.19473404271</v>
      </c>
      <c r="K663" s="458">
        <v>13762.43289450356</v>
      </c>
      <c r="L663" s="458">
        <v>11194.760870699611</v>
      </c>
      <c r="M663" s="456">
        <v>0</v>
      </c>
      <c r="N663" s="458">
        <v>119.49693843813893</v>
      </c>
      <c r="O663" s="456">
        <v>0</v>
      </c>
      <c r="P663" s="459">
        <v>2890.110907845748</v>
      </c>
      <c r="Q663" s="458">
        <v>55400.108403681625</v>
      </c>
      <c r="R663" s="458">
        <v>29842.45948844152</v>
      </c>
      <c r="S663" s="458">
        <v>1959.7497903854783</v>
      </c>
      <c r="T663" s="457"/>
      <c r="U663" s="425"/>
      <c r="V663" s="425"/>
      <c r="W663" s="425"/>
      <c r="X663" s="425"/>
      <c r="Y663" s="425"/>
      <c r="Z663" s="425"/>
      <c r="AA663" s="425"/>
      <c r="AB663" s="425"/>
      <c r="AC663" s="425"/>
      <c r="AD663" s="425"/>
      <c r="AE663" s="425"/>
      <c r="AG663" s="425"/>
      <c r="AH663" s="425"/>
      <c r="AI663" s="425"/>
      <c r="AJ663" s="425"/>
      <c r="AK663" s="425"/>
      <c r="AL663" s="425"/>
      <c r="AM663" s="425"/>
      <c r="AN663" s="425"/>
      <c r="AO663" s="425"/>
      <c r="AP663" s="425"/>
      <c r="AQ663" s="425"/>
    </row>
    <row r="664" spans="1:43" s="270" customFormat="1" x14ac:dyDescent="0.25">
      <c r="A664" s="271">
        <v>501443</v>
      </c>
      <c r="B664" s="271">
        <v>1443</v>
      </c>
      <c r="C664" s="271">
        <v>200554</v>
      </c>
      <c r="D664" s="268" t="s">
        <v>894</v>
      </c>
      <c r="E664" s="268" t="s">
        <v>1290</v>
      </c>
      <c r="F664" s="268" t="s">
        <v>2753</v>
      </c>
      <c r="G664" s="268">
        <v>16</v>
      </c>
      <c r="H664" s="268" t="s">
        <v>3333</v>
      </c>
      <c r="I664" s="268" t="s">
        <v>3201</v>
      </c>
      <c r="J664" s="458">
        <v>165149.19473404271</v>
      </c>
      <c r="K664" s="458">
        <v>13762.43289450356</v>
      </c>
      <c r="L664" s="458">
        <v>11194.760870699611</v>
      </c>
      <c r="M664" s="456">
        <v>0</v>
      </c>
      <c r="N664" s="458">
        <v>119.49693843813893</v>
      </c>
      <c r="O664" s="456">
        <v>0</v>
      </c>
      <c r="P664" s="459">
        <v>2890.110907845748</v>
      </c>
      <c r="Q664" s="458">
        <v>55400.108403681625</v>
      </c>
      <c r="R664" s="458">
        <v>29842.45948844152</v>
      </c>
      <c r="S664" s="458">
        <v>1959.7497903854783</v>
      </c>
      <c r="T664" s="457"/>
      <c r="U664" s="425"/>
      <c r="V664" s="425"/>
      <c r="W664" s="425"/>
      <c r="X664" s="425"/>
      <c r="Y664" s="425"/>
      <c r="Z664" s="425"/>
      <c r="AA664" s="425"/>
      <c r="AB664" s="425"/>
      <c r="AC664" s="425"/>
      <c r="AD664" s="425"/>
      <c r="AE664" s="425"/>
      <c r="AG664" s="425"/>
      <c r="AH664" s="425"/>
      <c r="AI664" s="425"/>
      <c r="AJ664" s="425"/>
      <c r="AK664" s="425"/>
      <c r="AL664" s="425"/>
      <c r="AM664" s="425"/>
      <c r="AN664" s="425"/>
      <c r="AO664" s="425"/>
      <c r="AP664" s="425"/>
      <c r="AQ664" s="425"/>
    </row>
    <row r="665" spans="1:43" s="270" customFormat="1" x14ac:dyDescent="0.25">
      <c r="A665" s="271">
        <v>501506</v>
      </c>
      <c r="B665" s="271">
        <v>1506</v>
      </c>
      <c r="C665" s="271">
        <v>200555</v>
      </c>
      <c r="D665" s="268" t="s">
        <v>894</v>
      </c>
      <c r="E665" s="268" t="s">
        <v>1278</v>
      </c>
      <c r="F665" s="268" t="s">
        <v>1278</v>
      </c>
      <c r="G665" s="268">
        <v>16</v>
      </c>
      <c r="H665" s="268" t="s">
        <v>3334</v>
      </c>
      <c r="I665" s="268" t="s">
        <v>3201</v>
      </c>
      <c r="J665" s="458">
        <v>165149.19473404271</v>
      </c>
      <c r="K665" s="458">
        <v>13762.43289450356</v>
      </c>
      <c r="L665" s="458">
        <v>11194.760870699611</v>
      </c>
      <c r="M665" s="456">
        <v>0</v>
      </c>
      <c r="N665" s="458">
        <v>119.49693843813893</v>
      </c>
      <c r="O665" s="456">
        <v>0</v>
      </c>
      <c r="P665" s="459">
        <v>2890.110907845748</v>
      </c>
      <c r="Q665" s="458">
        <v>55400.108403681625</v>
      </c>
      <c r="R665" s="458">
        <v>29842.45948844152</v>
      </c>
      <c r="S665" s="458">
        <v>1959.7497903854783</v>
      </c>
      <c r="T665" s="452"/>
      <c r="U665" s="425"/>
      <c r="V665" s="425"/>
      <c r="W665" s="425"/>
      <c r="X665" s="425"/>
      <c r="Y665" s="425"/>
      <c r="Z665" s="425"/>
      <c r="AA665" s="425"/>
      <c r="AB665" s="425"/>
      <c r="AC665" s="425"/>
      <c r="AD665" s="425"/>
      <c r="AE665" s="425"/>
      <c r="AG665" s="425"/>
      <c r="AH665" s="425"/>
      <c r="AI665" s="425"/>
      <c r="AJ665" s="425"/>
      <c r="AK665" s="425"/>
      <c r="AL665" s="425"/>
      <c r="AM665" s="425"/>
      <c r="AN665" s="425"/>
      <c r="AO665" s="425"/>
      <c r="AP665" s="425"/>
      <c r="AQ665" s="425"/>
    </row>
    <row r="666" spans="1:43" s="270" customFormat="1" x14ac:dyDescent="0.25">
      <c r="A666" s="271">
        <v>501406</v>
      </c>
      <c r="B666" s="271">
        <v>1406</v>
      </c>
      <c r="C666" s="271">
        <v>200556</v>
      </c>
      <c r="D666" s="268" t="s">
        <v>894</v>
      </c>
      <c r="E666" s="268" t="s">
        <v>1290</v>
      </c>
      <c r="F666" s="268" t="s">
        <v>2237</v>
      </c>
      <c r="G666" s="268">
        <v>16</v>
      </c>
      <c r="H666" s="268" t="s">
        <v>3335</v>
      </c>
      <c r="I666" s="268" t="s">
        <v>3201</v>
      </c>
      <c r="J666" s="458">
        <v>165149.19473404271</v>
      </c>
      <c r="K666" s="458">
        <v>13762.43289450356</v>
      </c>
      <c r="L666" s="458">
        <v>11194.760870699611</v>
      </c>
      <c r="M666" s="456">
        <v>0</v>
      </c>
      <c r="N666" s="458">
        <v>119.49693843813893</v>
      </c>
      <c r="O666" s="456">
        <v>0</v>
      </c>
      <c r="P666" s="459">
        <v>2890.110907845748</v>
      </c>
      <c r="Q666" s="458">
        <v>55400.108403681625</v>
      </c>
      <c r="R666" s="458">
        <v>29842.45948844152</v>
      </c>
      <c r="S666" s="458">
        <v>1959.7497903854783</v>
      </c>
      <c r="T666" s="457"/>
      <c r="U666" s="425"/>
      <c r="V666" s="425"/>
      <c r="W666" s="425"/>
      <c r="X666" s="425"/>
      <c r="Y666" s="425"/>
      <c r="Z666" s="425"/>
      <c r="AA666" s="425"/>
      <c r="AB666" s="425"/>
      <c r="AC666" s="425"/>
      <c r="AD666" s="425"/>
      <c r="AE666" s="425"/>
      <c r="AG666" s="425"/>
      <c r="AH666" s="425"/>
      <c r="AI666" s="425"/>
      <c r="AJ666" s="425"/>
      <c r="AK666" s="425"/>
      <c r="AL666" s="425"/>
      <c r="AM666" s="425"/>
      <c r="AN666" s="425"/>
      <c r="AO666" s="425"/>
      <c r="AP666" s="425"/>
      <c r="AQ666" s="425"/>
    </row>
    <row r="667" spans="1:43" s="270" customFormat="1" x14ac:dyDescent="0.25">
      <c r="A667" s="271">
        <v>501443</v>
      </c>
      <c r="B667" s="271">
        <v>1443</v>
      </c>
      <c r="C667" s="271">
        <v>200557</v>
      </c>
      <c r="D667" s="268" t="s">
        <v>894</v>
      </c>
      <c r="E667" s="268" t="s">
        <v>1290</v>
      </c>
      <c r="F667" s="268" t="s">
        <v>3336</v>
      </c>
      <c r="G667" s="268">
        <v>16</v>
      </c>
      <c r="H667" s="268" t="s">
        <v>2389</v>
      </c>
      <c r="I667" s="268" t="s">
        <v>3201</v>
      </c>
      <c r="J667" s="458">
        <v>165149.19473404271</v>
      </c>
      <c r="K667" s="458">
        <v>13762.43289450356</v>
      </c>
      <c r="L667" s="458">
        <v>11194.760870699611</v>
      </c>
      <c r="M667" s="456">
        <v>0</v>
      </c>
      <c r="N667" s="458">
        <v>119.49693843813893</v>
      </c>
      <c r="O667" s="456">
        <v>0</v>
      </c>
      <c r="P667" s="459">
        <v>2890.110907845748</v>
      </c>
      <c r="Q667" s="458">
        <v>55400.108403681625</v>
      </c>
      <c r="R667" s="458">
        <v>29842.45948844152</v>
      </c>
      <c r="S667" s="458">
        <v>1959.7497903854783</v>
      </c>
      <c r="T667" s="457"/>
      <c r="U667" s="425"/>
      <c r="V667" s="425"/>
      <c r="W667" s="425"/>
      <c r="X667" s="425"/>
      <c r="Y667" s="425"/>
      <c r="Z667" s="425"/>
      <c r="AA667" s="425"/>
      <c r="AB667" s="425"/>
      <c r="AC667" s="425"/>
      <c r="AD667" s="425"/>
      <c r="AE667" s="425"/>
      <c r="AG667" s="425"/>
      <c r="AH667" s="425"/>
      <c r="AI667" s="425"/>
      <c r="AJ667" s="425"/>
      <c r="AK667" s="425"/>
      <c r="AL667" s="425"/>
      <c r="AM667" s="425"/>
      <c r="AN667" s="425"/>
      <c r="AO667" s="425"/>
      <c r="AP667" s="425"/>
      <c r="AQ667" s="425"/>
    </row>
    <row r="668" spans="1:43" s="280" customFormat="1" x14ac:dyDescent="0.25">
      <c r="A668" s="271">
        <v>501506</v>
      </c>
      <c r="B668" s="271">
        <v>1506</v>
      </c>
      <c r="C668" s="271">
        <v>200559</v>
      </c>
      <c r="D668" s="268" t="s">
        <v>894</v>
      </c>
      <c r="E668" s="268" t="s">
        <v>1278</v>
      </c>
      <c r="F668" s="268" t="s">
        <v>2886</v>
      </c>
      <c r="G668" s="268">
        <v>16</v>
      </c>
      <c r="H668" s="268" t="s">
        <v>3259</v>
      </c>
      <c r="I668" s="268" t="s">
        <v>3201</v>
      </c>
      <c r="J668" s="458">
        <v>165149.19473404271</v>
      </c>
      <c r="K668" s="458">
        <v>13762.43289450356</v>
      </c>
      <c r="L668" s="458">
        <v>11194.760870699611</v>
      </c>
      <c r="M668" s="456">
        <v>0</v>
      </c>
      <c r="N668" s="458">
        <v>119.49693843813893</v>
      </c>
      <c r="O668" s="456">
        <v>0</v>
      </c>
      <c r="P668" s="459">
        <v>2890.110907845748</v>
      </c>
      <c r="Q668" s="458">
        <v>55400.108403681625</v>
      </c>
      <c r="R668" s="458">
        <v>29842.45948844152</v>
      </c>
      <c r="S668" s="458">
        <v>1959.7497903854783</v>
      </c>
      <c r="T668" s="457"/>
      <c r="U668" s="425"/>
      <c r="V668" s="425"/>
      <c r="W668" s="425"/>
      <c r="X668" s="425"/>
      <c r="Y668" s="425"/>
      <c r="Z668" s="425"/>
      <c r="AA668" s="425"/>
      <c r="AB668" s="425"/>
      <c r="AC668" s="425"/>
      <c r="AD668" s="425"/>
      <c r="AE668" s="425"/>
      <c r="AF668" s="322"/>
      <c r="AG668" s="425"/>
      <c r="AH668" s="425"/>
      <c r="AI668" s="425"/>
      <c r="AJ668" s="425"/>
      <c r="AK668" s="425"/>
      <c r="AL668" s="425"/>
      <c r="AM668" s="425"/>
      <c r="AN668" s="425"/>
      <c r="AO668" s="425"/>
      <c r="AP668" s="425"/>
      <c r="AQ668" s="425"/>
    </row>
    <row r="669" spans="1:43" s="270" customFormat="1" x14ac:dyDescent="0.25">
      <c r="A669" s="418">
        <v>501445</v>
      </c>
      <c r="B669" s="271">
        <v>1457</v>
      </c>
      <c r="C669" s="271">
        <v>200560</v>
      </c>
      <c r="D669" s="268" t="s">
        <v>894</v>
      </c>
      <c r="E669" s="268" t="s">
        <v>1290</v>
      </c>
      <c r="F669" s="268" t="s">
        <v>2508</v>
      </c>
      <c r="G669" s="268">
        <v>16</v>
      </c>
      <c r="H669" s="268" t="s">
        <v>3337</v>
      </c>
      <c r="I669" s="268" t="s">
        <v>3201</v>
      </c>
      <c r="J669" s="458">
        <v>165149.19473404271</v>
      </c>
      <c r="K669" s="458">
        <v>13762.43289450356</v>
      </c>
      <c r="L669" s="458">
        <v>11194.760870699611</v>
      </c>
      <c r="M669" s="456">
        <v>0</v>
      </c>
      <c r="N669" s="458">
        <v>119.49693843813893</v>
      </c>
      <c r="O669" s="456">
        <v>0</v>
      </c>
      <c r="P669" s="459">
        <v>2890.110907845748</v>
      </c>
      <c r="Q669" s="458">
        <v>55400.108403681625</v>
      </c>
      <c r="R669" s="458">
        <v>29842.45948844152</v>
      </c>
      <c r="S669" s="458">
        <v>1959.7497903854783</v>
      </c>
      <c r="T669" s="457"/>
      <c r="U669" s="425"/>
      <c r="V669" s="425"/>
      <c r="W669" s="425"/>
      <c r="X669" s="425"/>
      <c r="Y669" s="425"/>
      <c r="Z669" s="425"/>
      <c r="AA669" s="425"/>
      <c r="AB669" s="425"/>
      <c r="AC669" s="425"/>
      <c r="AD669" s="425"/>
      <c r="AE669" s="425"/>
      <c r="AG669" s="425"/>
      <c r="AH669" s="425"/>
      <c r="AI669" s="425"/>
      <c r="AJ669" s="425"/>
      <c r="AK669" s="425"/>
      <c r="AL669" s="425"/>
      <c r="AM669" s="425"/>
      <c r="AN669" s="425"/>
      <c r="AO669" s="425"/>
      <c r="AP669" s="425"/>
      <c r="AQ669" s="425"/>
    </row>
    <row r="670" spans="1:43" s="270" customFormat="1" x14ac:dyDescent="0.25">
      <c r="A670" s="271">
        <v>501443</v>
      </c>
      <c r="B670" s="271">
        <v>1443</v>
      </c>
      <c r="C670" s="271">
        <v>200561</v>
      </c>
      <c r="D670" s="268" t="s">
        <v>894</v>
      </c>
      <c r="E670" s="268" t="s">
        <v>1290</v>
      </c>
      <c r="F670" s="268" t="s">
        <v>2845</v>
      </c>
      <c r="G670" s="268">
        <v>16</v>
      </c>
      <c r="H670" s="268" t="s">
        <v>3338</v>
      </c>
      <c r="I670" s="268" t="s">
        <v>3201</v>
      </c>
      <c r="J670" s="458">
        <v>165149.19473404271</v>
      </c>
      <c r="K670" s="458">
        <v>13762.43289450356</v>
      </c>
      <c r="L670" s="458">
        <v>11194.760870699611</v>
      </c>
      <c r="M670" s="456">
        <v>0</v>
      </c>
      <c r="N670" s="458">
        <v>119.49693843813893</v>
      </c>
      <c r="O670" s="456">
        <v>0</v>
      </c>
      <c r="P670" s="459">
        <v>2890.110907845748</v>
      </c>
      <c r="Q670" s="458">
        <v>55400.108403681625</v>
      </c>
      <c r="R670" s="458">
        <v>29842.45948844152</v>
      </c>
      <c r="S670" s="458">
        <v>1959.7497903854783</v>
      </c>
      <c r="T670" s="457"/>
      <c r="U670" s="425"/>
      <c r="V670" s="425"/>
      <c r="W670" s="425"/>
      <c r="X670" s="425"/>
      <c r="Y670" s="425"/>
      <c r="Z670" s="425"/>
      <c r="AA670" s="425"/>
      <c r="AB670" s="425"/>
      <c r="AC670" s="425"/>
      <c r="AD670" s="425"/>
      <c r="AE670" s="425"/>
      <c r="AG670" s="425"/>
      <c r="AH670" s="425"/>
      <c r="AI670" s="425"/>
      <c r="AJ670" s="425"/>
      <c r="AK670" s="425"/>
      <c r="AL670" s="425"/>
      <c r="AM670" s="425"/>
      <c r="AN670" s="425"/>
      <c r="AO670" s="425"/>
      <c r="AP670" s="425"/>
      <c r="AQ670" s="425"/>
    </row>
    <row r="671" spans="1:43" s="270" customFormat="1" x14ac:dyDescent="0.25">
      <c r="A671" s="271">
        <v>501406</v>
      </c>
      <c r="B671" s="271">
        <v>1406</v>
      </c>
      <c r="C671" s="271">
        <v>200562</v>
      </c>
      <c r="D671" s="268" t="s">
        <v>894</v>
      </c>
      <c r="E671" s="268" t="s">
        <v>1290</v>
      </c>
      <c r="F671" s="268" t="s">
        <v>2408</v>
      </c>
      <c r="G671" s="268">
        <v>16</v>
      </c>
      <c r="H671" s="268" t="s">
        <v>3339</v>
      </c>
      <c r="I671" s="268" t="s">
        <v>3201</v>
      </c>
      <c r="J671" s="458">
        <v>165149.19473404271</v>
      </c>
      <c r="K671" s="458">
        <v>13762.43289450356</v>
      </c>
      <c r="L671" s="458">
        <v>11194.760870699611</v>
      </c>
      <c r="M671" s="456">
        <v>0</v>
      </c>
      <c r="N671" s="458">
        <v>119.49693843813893</v>
      </c>
      <c r="O671" s="456">
        <v>0</v>
      </c>
      <c r="P671" s="459">
        <v>2890.110907845748</v>
      </c>
      <c r="Q671" s="458">
        <v>55400.108403681625</v>
      </c>
      <c r="R671" s="458">
        <v>29842.45948844152</v>
      </c>
      <c r="S671" s="458">
        <v>1959.7497903854783</v>
      </c>
      <c r="T671" s="457"/>
      <c r="U671" s="425"/>
      <c r="V671" s="425"/>
      <c r="W671" s="425"/>
      <c r="X671" s="425"/>
      <c r="Y671" s="425"/>
      <c r="Z671" s="425"/>
      <c r="AA671" s="425"/>
      <c r="AB671" s="425"/>
      <c r="AC671" s="425"/>
      <c r="AD671" s="425"/>
      <c r="AE671" s="425"/>
      <c r="AG671" s="425"/>
      <c r="AH671" s="425"/>
      <c r="AI671" s="425"/>
      <c r="AJ671" s="425"/>
      <c r="AK671" s="425"/>
      <c r="AL671" s="425"/>
      <c r="AM671" s="425"/>
      <c r="AN671" s="425"/>
      <c r="AO671" s="425"/>
      <c r="AP671" s="425"/>
      <c r="AQ671" s="425"/>
    </row>
    <row r="672" spans="1:43" s="270" customFormat="1" x14ac:dyDescent="0.25">
      <c r="A672" s="271">
        <v>501506</v>
      </c>
      <c r="B672" s="271">
        <v>1506</v>
      </c>
      <c r="C672" s="271">
        <v>200563</v>
      </c>
      <c r="D672" s="268" t="s">
        <v>894</v>
      </c>
      <c r="E672" s="268" t="s">
        <v>1278</v>
      </c>
      <c r="F672" s="268" t="s">
        <v>1290</v>
      </c>
      <c r="G672" s="268">
        <v>16</v>
      </c>
      <c r="H672" s="268" t="s">
        <v>3340</v>
      </c>
      <c r="I672" s="268" t="s">
        <v>3201</v>
      </c>
      <c r="J672" s="458">
        <v>165149.19473404271</v>
      </c>
      <c r="K672" s="458">
        <v>13762.43289450356</v>
      </c>
      <c r="L672" s="458">
        <v>11194.760870699611</v>
      </c>
      <c r="M672" s="456">
        <v>0</v>
      </c>
      <c r="N672" s="458">
        <v>119.49693843813893</v>
      </c>
      <c r="O672" s="456">
        <v>0</v>
      </c>
      <c r="P672" s="459">
        <v>2890.110907845748</v>
      </c>
      <c r="Q672" s="458">
        <v>55400.108403681625</v>
      </c>
      <c r="R672" s="458">
        <v>29842.45948844152</v>
      </c>
      <c r="S672" s="458">
        <v>1959.7497903854783</v>
      </c>
      <c r="T672" s="457"/>
      <c r="U672" s="425"/>
      <c r="V672" s="425"/>
      <c r="W672" s="425"/>
      <c r="X672" s="425"/>
      <c r="Y672" s="425"/>
      <c r="Z672" s="425"/>
      <c r="AA672" s="425"/>
      <c r="AB672" s="425"/>
      <c r="AC672" s="425"/>
      <c r="AD672" s="425"/>
      <c r="AE672" s="425"/>
      <c r="AG672" s="425"/>
      <c r="AH672" s="425"/>
      <c r="AI672" s="425"/>
      <c r="AJ672" s="425"/>
      <c r="AK672" s="425"/>
      <c r="AL672" s="425"/>
      <c r="AM672" s="425"/>
      <c r="AN672" s="425"/>
      <c r="AO672" s="425"/>
      <c r="AP672" s="425"/>
      <c r="AQ672" s="425"/>
    </row>
    <row r="673" spans="1:43" s="270" customFormat="1" x14ac:dyDescent="0.25">
      <c r="A673" s="271">
        <v>501506</v>
      </c>
      <c r="B673" s="271">
        <v>1506</v>
      </c>
      <c r="C673" s="271">
        <v>200565</v>
      </c>
      <c r="D673" s="268" t="s">
        <v>894</v>
      </c>
      <c r="E673" s="268" t="s">
        <v>1278</v>
      </c>
      <c r="F673" s="268" t="s">
        <v>2812</v>
      </c>
      <c r="G673" s="268">
        <v>16</v>
      </c>
      <c r="H673" s="268" t="s">
        <v>3341</v>
      </c>
      <c r="I673" s="268" t="s">
        <v>3201</v>
      </c>
      <c r="J673" s="458">
        <v>165149.19473404271</v>
      </c>
      <c r="K673" s="458">
        <v>13762.43289450356</v>
      </c>
      <c r="L673" s="458">
        <v>11194.760870699611</v>
      </c>
      <c r="M673" s="456">
        <v>0</v>
      </c>
      <c r="N673" s="458">
        <v>119.49693843813893</v>
      </c>
      <c r="O673" s="456">
        <v>0</v>
      </c>
      <c r="P673" s="459">
        <v>2890.110907845748</v>
      </c>
      <c r="Q673" s="458">
        <v>55400.108403681625</v>
      </c>
      <c r="R673" s="458">
        <v>29842.45948844152</v>
      </c>
      <c r="S673" s="458">
        <v>1959.7497903854783</v>
      </c>
      <c r="T673" s="457"/>
      <c r="U673" s="425"/>
      <c r="V673" s="425"/>
      <c r="W673" s="425"/>
      <c r="X673" s="425"/>
      <c r="Y673" s="425"/>
      <c r="Z673" s="425"/>
      <c r="AA673" s="425"/>
      <c r="AB673" s="425"/>
      <c r="AC673" s="425"/>
      <c r="AD673" s="425"/>
      <c r="AE673" s="425"/>
      <c r="AG673" s="425"/>
      <c r="AH673" s="425"/>
      <c r="AI673" s="425"/>
      <c r="AJ673" s="425"/>
      <c r="AK673" s="425"/>
      <c r="AL673" s="425"/>
      <c r="AM673" s="425"/>
      <c r="AN673" s="425"/>
      <c r="AO673" s="425"/>
      <c r="AP673" s="425"/>
      <c r="AQ673" s="425"/>
    </row>
    <row r="674" spans="1:43" s="270" customFormat="1" x14ac:dyDescent="0.25">
      <c r="A674" s="271">
        <v>501406</v>
      </c>
      <c r="B674" s="271">
        <v>1406</v>
      </c>
      <c r="C674" s="271">
        <v>200566</v>
      </c>
      <c r="D674" s="268" t="s">
        <v>894</v>
      </c>
      <c r="E674" s="268" t="s">
        <v>1278</v>
      </c>
      <c r="F674" s="268" t="s">
        <v>3199</v>
      </c>
      <c r="G674" s="268">
        <v>16</v>
      </c>
      <c r="H674" s="268" t="s">
        <v>3342</v>
      </c>
      <c r="I674" s="268" t="s">
        <v>3201</v>
      </c>
      <c r="J674" s="458">
        <v>165149.19473404271</v>
      </c>
      <c r="K674" s="458">
        <v>13762.43289450356</v>
      </c>
      <c r="L674" s="458">
        <v>11194.760870699611</v>
      </c>
      <c r="M674" s="456">
        <v>0</v>
      </c>
      <c r="N674" s="458">
        <v>119.49693843813893</v>
      </c>
      <c r="O674" s="456">
        <v>0</v>
      </c>
      <c r="P674" s="459">
        <v>2890.110907845748</v>
      </c>
      <c r="Q674" s="458">
        <v>55400.108403681625</v>
      </c>
      <c r="R674" s="458">
        <v>29842.45948844152</v>
      </c>
      <c r="S674" s="458">
        <v>1959.7497903854783</v>
      </c>
      <c r="T674" s="457"/>
      <c r="U674" s="425"/>
      <c r="V674" s="425"/>
      <c r="W674" s="425"/>
      <c r="X674" s="425"/>
      <c r="Y674" s="425"/>
      <c r="Z674" s="425"/>
      <c r="AA674" s="425"/>
      <c r="AB674" s="425"/>
      <c r="AC674" s="425"/>
      <c r="AD674" s="425"/>
      <c r="AE674" s="425"/>
      <c r="AG674" s="425"/>
      <c r="AH674" s="425"/>
      <c r="AI674" s="425"/>
      <c r="AJ674" s="425"/>
      <c r="AK674" s="425"/>
      <c r="AL674" s="425"/>
      <c r="AM674" s="425"/>
      <c r="AN674" s="425"/>
      <c r="AO674" s="425"/>
      <c r="AP674" s="425"/>
      <c r="AQ674" s="425"/>
    </row>
    <row r="675" spans="1:43" s="270" customFormat="1" x14ac:dyDescent="0.25">
      <c r="A675" s="271">
        <v>501443</v>
      </c>
      <c r="B675" s="271">
        <v>1443</v>
      </c>
      <c r="C675" s="271">
        <v>200567</v>
      </c>
      <c r="D675" s="268" t="s">
        <v>894</v>
      </c>
      <c r="E675" s="268" t="s">
        <v>1290</v>
      </c>
      <c r="F675" s="268" t="s">
        <v>894</v>
      </c>
      <c r="G675" s="268">
        <v>16</v>
      </c>
      <c r="H675" s="268" t="s">
        <v>3343</v>
      </c>
      <c r="I675" s="268" t="s">
        <v>3201</v>
      </c>
      <c r="J675" s="458">
        <v>165149.19473404271</v>
      </c>
      <c r="K675" s="458">
        <v>13762.43289450356</v>
      </c>
      <c r="L675" s="458">
        <v>11194.760870699611</v>
      </c>
      <c r="M675" s="456">
        <v>0</v>
      </c>
      <c r="N675" s="458">
        <v>119.49693843813893</v>
      </c>
      <c r="O675" s="456">
        <v>0</v>
      </c>
      <c r="P675" s="459">
        <v>2890.110907845748</v>
      </c>
      <c r="Q675" s="458">
        <v>55400.108403681625</v>
      </c>
      <c r="R675" s="458">
        <v>29842.45948844152</v>
      </c>
      <c r="S675" s="458">
        <v>1959.7497903854783</v>
      </c>
      <c r="T675" s="452"/>
      <c r="U675" s="425"/>
      <c r="V675" s="425"/>
      <c r="W675" s="425"/>
      <c r="X675" s="425"/>
      <c r="Y675" s="425"/>
      <c r="Z675" s="425"/>
      <c r="AA675" s="425"/>
      <c r="AB675" s="425"/>
      <c r="AC675" s="425"/>
      <c r="AD675" s="425"/>
      <c r="AE675" s="425"/>
      <c r="AG675" s="425"/>
      <c r="AH675" s="425"/>
      <c r="AI675" s="425"/>
      <c r="AJ675" s="425"/>
      <c r="AK675" s="425"/>
      <c r="AL675" s="425"/>
      <c r="AM675" s="425"/>
      <c r="AN675" s="425"/>
      <c r="AO675" s="425"/>
      <c r="AP675" s="425"/>
      <c r="AQ675" s="425"/>
    </row>
    <row r="676" spans="1:43" s="270" customFormat="1" x14ac:dyDescent="0.25">
      <c r="A676" s="271">
        <v>501506</v>
      </c>
      <c r="B676" s="271">
        <v>1506</v>
      </c>
      <c r="C676" s="271">
        <v>200568</v>
      </c>
      <c r="D676" s="268" t="s">
        <v>894</v>
      </c>
      <c r="E676" s="268" t="s">
        <v>1278</v>
      </c>
      <c r="F676" s="268" t="s">
        <v>3206</v>
      </c>
      <c r="G676" s="268">
        <v>16</v>
      </c>
      <c r="H676" s="268" t="s">
        <v>3344</v>
      </c>
      <c r="I676" s="268" t="s">
        <v>3201</v>
      </c>
      <c r="J676" s="458">
        <v>165149.19473404271</v>
      </c>
      <c r="K676" s="458">
        <v>13762.43289450356</v>
      </c>
      <c r="L676" s="458">
        <v>11194.760870699611</v>
      </c>
      <c r="M676" s="456">
        <v>0</v>
      </c>
      <c r="N676" s="458">
        <v>119.49693843813893</v>
      </c>
      <c r="O676" s="456">
        <v>0</v>
      </c>
      <c r="P676" s="459">
        <v>2890.110907845748</v>
      </c>
      <c r="Q676" s="458">
        <v>55400.108403681625</v>
      </c>
      <c r="R676" s="458">
        <v>29842.45948844152</v>
      </c>
      <c r="S676" s="458">
        <v>1959.7497903854783</v>
      </c>
      <c r="T676" s="457"/>
      <c r="U676" s="425"/>
      <c r="V676" s="425"/>
      <c r="W676" s="425"/>
      <c r="X676" s="425"/>
      <c r="Y676" s="425"/>
      <c r="Z676" s="425"/>
      <c r="AA676" s="425"/>
      <c r="AB676" s="425"/>
      <c r="AC676" s="425"/>
      <c r="AD676" s="425"/>
      <c r="AE676" s="425"/>
      <c r="AG676" s="425"/>
      <c r="AH676" s="425"/>
      <c r="AI676" s="425"/>
      <c r="AJ676" s="425"/>
      <c r="AK676" s="425"/>
      <c r="AL676" s="425"/>
      <c r="AM676" s="425"/>
      <c r="AN676" s="425"/>
      <c r="AO676" s="425"/>
      <c r="AP676" s="425"/>
      <c r="AQ676" s="425"/>
    </row>
    <row r="677" spans="1:43" s="270" customFormat="1" x14ac:dyDescent="0.25">
      <c r="A677" s="271">
        <v>501444</v>
      </c>
      <c r="B677" s="271">
        <v>1444</v>
      </c>
      <c r="C677" s="271">
        <v>200569</v>
      </c>
      <c r="D677" s="268" t="s">
        <v>894</v>
      </c>
      <c r="E677" s="268" t="s">
        <v>1278</v>
      </c>
      <c r="F677" s="268" t="s">
        <v>2895</v>
      </c>
      <c r="G677" s="268">
        <v>16</v>
      </c>
      <c r="H677" s="268" t="s">
        <v>3345</v>
      </c>
      <c r="I677" s="268" t="s">
        <v>3201</v>
      </c>
      <c r="J677" s="458">
        <v>165149.19473404271</v>
      </c>
      <c r="K677" s="458">
        <v>13762.43289450356</v>
      </c>
      <c r="L677" s="458">
        <v>11194.760870699611</v>
      </c>
      <c r="M677" s="456">
        <v>0</v>
      </c>
      <c r="N677" s="458">
        <v>119.49693843813893</v>
      </c>
      <c r="O677" s="456">
        <v>0</v>
      </c>
      <c r="P677" s="459">
        <v>2890.110907845748</v>
      </c>
      <c r="Q677" s="458">
        <v>55400.108403681625</v>
      </c>
      <c r="R677" s="458">
        <v>29842.45948844152</v>
      </c>
      <c r="S677" s="458">
        <v>1959.7497903854783</v>
      </c>
      <c r="T677" s="452"/>
      <c r="U677" s="425"/>
      <c r="V677" s="425"/>
      <c r="W677" s="425"/>
      <c r="X677" s="425"/>
      <c r="Y677" s="425"/>
      <c r="Z677" s="425"/>
      <c r="AA677" s="425"/>
      <c r="AB677" s="425"/>
      <c r="AC677" s="425"/>
      <c r="AD677" s="425"/>
      <c r="AE677" s="425"/>
      <c r="AG677" s="425"/>
      <c r="AH677" s="425"/>
      <c r="AI677" s="425"/>
      <c r="AJ677" s="425"/>
      <c r="AK677" s="425"/>
      <c r="AL677" s="425"/>
      <c r="AM677" s="425"/>
      <c r="AN677" s="425"/>
      <c r="AO677" s="425"/>
      <c r="AP677" s="425"/>
      <c r="AQ677" s="425"/>
    </row>
    <row r="678" spans="1:43" s="270" customFormat="1" x14ac:dyDescent="0.25">
      <c r="A678" s="271">
        <v>501443</v>
      </c>
      <c r="B678" s="271">
        <v>1443</v>
      </c>
      <c r="C678" s="271">
        <v>200571</v>
      </c>
      <c r="D678" s="268" t="s">
        <v>894</v>
      </c>
      <c r="E678" s="268" t="s">
        <v>1290</v>
      </c>
      <c r="F678" s="268" t="s">
        <v>2627</v>
      </c>
      <c r="G678" s="268">
        <v>16</v>
      </c>
      <c r="H678" s="268" t="s">
        <v>3346</v>
      </c>
      <c r="I678" s="268" t="s">
        <v>3201</v>
      </c>
      <c r="J678" s="458">
        <v>165149.19473404271</v>
      </c>
      <c r="K678" s="458">
        <v>13762.43289450356</v>
      </c>
      <c r="L678" s="458">
        <v>11194.760870699611</v>
      </c>
      <c r="M678" s="456">
        <v>0</v>
      </c>
      <c r="N678" s="458">
        <v>119.49693843813893</v>
      </c>
      <c r="O678" s="456">
        <v>0</v>
      </c>
      <c r="P678" s="459">
        <v>2890.110907845748</v>
      </c>
      <c r="Q678" s="458">
        <v>55400.108403681625</v>
      </c>
      <c r="R678" s="458">
        <v>29842.45948844152</v>
      </c>
      <c r="S678" s="458">
        <v>1959.7497903854783</v>
      </c>
      <c r="T678" s="452"/>
      <c r="U678" s="425"/>
      <c r="V678" s="425"/>
      <c r="W678" s="425"/>
      <c r="X678" s="425"/>
      <c r="Y678" s="425"/>
      <c r="Z678" s="425"/>
      <c r="AA678" s="425"/>
      <c r="AB678" s="425"/>
      <c r="AC678" s="425"/>
      <c r="AD678" s="425"/>
      <c r="AE678" s="425"/>
      <c r="AG678" s="425"/>
      <c r="AH678" s="425"/>
      <c r="AI678" s="425"/>
      <c r="AJ678" s="425"/>
      <c r="AK678" s="425"/>
      <c r="AL678" s="425"/>
      <c r="AM678" s="425"/>
      <c r="AN678" s="425"/>
      <c r="AO678" s="425"/>
      <c r="AP678" s="425"/>
      <c r="AQ678" s="425"/>
    </row>
    <row r="679" spans="1:43" s="270" customFormat="1" x14ac:dyDescent="0.25">
      <c r="A679" s="271">
        <v>501444</v>
      </c>
      <c r="B679" s="271">
        <v>1444</v>
      </c>
      <c r="C679" s="271">
        <v>200572</v>
      </c>
      <c r="D679" s="268" t="s">
        <v>894</v>
      </c>
      <c r="E679" s="268" t="s">
        <v>1278</v>
      </c>
      <c r="F679" s="268" t="s">
        <v>3134</v>
      </c>
      <c r="G679" s="268">
        <v>16</v>
      </c>
      <c r="H679" s="268" t="s">
        <v>3347</v>
      </c>
      <c r="I679" s="268" t="s">
        <v>3201</v>
      </c>
      <c r="J679" s="458">
        <v>165149.19473404271</v>
      </c>
      <c r="K679" s="458">
        <v>13762.43289450356</v>
      </c>
      <c r="L679" s="458">
        <v>11194.760870699611</v>
      </c>
      <c r="M679" s="456">
        <v>0</v>
      </c>
      <c r="N679" s="458">
        <v>119.49693843813893</v>
      </c>
      <c r="O679" s="456">
        <v>0</v>
      </c>
      <c r="P679" s="459">
        <v>2890.110907845748</v>
      </c>
      <c r="Q679" s="458">
        <v>55400.108403681625</v>
      </c>
      <c r="R679" s="458">
        <v>29842.45948844152</v>
      </c>
      <c r="S679" s="458">
        <v>1959.7497903854783</v>
      </c>
      <c r="T679" s="452"/>
      <c r="U679" s="425"/>
      <c r="V679" s="425"/>
      <c r="W679" s="425"/>
      <c r="X679" s="425"/>
      <c r="Y679" s="425"/>
      <c r="Z679" s="425"/>
      <c r="AA679" s="425"/>
      <c r="AB679" s="425"/>
      <c r="AC679" s="425"/>
      <c r="AD679" s="425"/>
      <c r="AE679" s="425"/>
      <c r="AG679" s="425"/>
      <c r="AH679" s="425"/>
      <c r="AI679" s="425"/>
      <c r="AJ679" s="425"/>
      <c r="AK679" s="425"/>
      <c r="AL679" s="425"/>
      <c r="AM679" s="425"/>
      <c r="AN679" s="425"/>
      <c r="AO679" s="425"/>
      <c r="AP679" s="425"/>
      <c r="AQ679" s="425"/>
    </row>
    <row r="680" spans="1:43" s="270" customFormat="1" x14ac:dyDescent="0.25">
      <c r="A680" s="271">
        <v>501506</v>
      </c>
      <c r="B680" s="271">
        <v>1506</v>
      </c>
      <c r="C680" s="271">
        <v>200573</v>
      </c>
      <c r="D680" s="268" t="s">
        <v>894</v>
      </c>
      <c r="E680" s="268" t="s">
        <v>1278</v>
      </c>
      <c r="F680" s="268" t="s">
        <v>3348</v>
      </c>
      <c r="G680" s="268">
        <v>16</v>
      </c>
      <c r="H680" s="268" t="s">
        <v>3349</v>
      </c>
      <c r="I680" s="268" t="s">
        <v>3201</v>
      </c>
      <c r="J680" s="458">
        <v>165149.19473404271</v>
      </c>
      <c r="K680" s="458">
        <v>13762.43289450356</v>
      </c>
      <c r="L680" s="458">
        <v>11194.760870699611</v>
      </c>
      <c r="M680" s="456">
        <v>0</v>
      </c>
      <c r="N680" s="458">
        <v>119.49693843813893</v>
      </c>
      <c r="O680" s="456">
        <v>0</v>
      </c>
      <c r="P680" s="459">
        <v>2890.110907845748</v>
      </c>
      <c r="Q680" s="458">
        <v>55400.108403681625</v>
      </c>
      <c r="R680" s="458">
        <v>29842.45948844152</v>
      </c>
      <c r="S680" s="458">
        <v>1959.7497903854783</v>
      </c>
      <c r="T680" s="452"/>
      <c r="U680" s="425"/>
      <c r="V680" s="425"/>
      <c r="W680" s="425"/>
      <c r="X680" s="425"/>
      <c r="Y680" s="425"/>
      <c r="Z680" s="425"/>
      <c r="AA680" s="425"/>
      <c r="AB680" s="425"/>
      <c r="AC680" s="425"/>
      <c r="AD680" s="425"/>
      <c r="AE680" s="425"/>
      <c r="AG680" s="425"/>
      <c r="AH680" s="425"/>
      <c r="AI680" s="425"/>
      <c r="AJ680" s="425"/>
      <c r="AK680" s="425"/>
      <c r="AL680" s="425"/>
      <c r="AM680" s="425"/>
      <c r="AN680" s="425"/>
      <c r="AO680" s="425"/>
      <c r="AP680" s="425"/>
      <c r="AQ680" s="425"/>
    </row>
    <row r="681" spans="1:43" s="270" customFormat="1" x14ac:dyDescent="0.25">
      <c r="A681" s="271">
        <v>501444</v>
      </c>
      <c r="B681" s="271">
        <v>1444</v>
      </c>
      <c r="C681" s="271">
        <v>200575</v>
      </c>
      <c r="D681" s="268" t="s">
        <v>894</v>
      </c>
      <c r="E681" s="268" t="s">
        <v>1278</v>
      </c>
      <c r="F681" s="268" t="s">
        <v>3350</v>
      </c>
      <c r="G681" s="268">
        <v>16</v>
      </c>
      <c r="H681" s="268" t="s">
        <v>3351</v>
      </c>
      <c r="I681" s="268" t="s">
        <v>3201</v>
      </c>
      <c r="J681" s="458">
        <v>165149.19473404271</v>
      </c>
      <c r="K681" s="458">
        <v>13762.43289450356</v>
      </c>
      <c r="L681" s="458">
        <v>11194.760870699611</v>
      </c>
      <c r="M681" s="456">
        <v>0</v>
      </c>
      <c r="N681" s="458">
        <v>119.49693843813893</v>
      </c>
      <c r="O681" s="456">
        <v>0</v>
      </c>
      <c r="P681" s="459">
        <v>2890.110907845748</v>
      </c>
      <c r="Q681" s="458">
        <v>55400.108403681625</v>
      </c>
      <c r="R681" s="458">
        <v>29842.45948844152</v>
      </c>
      <c r="S681" s="458">
        <v>1959.7497903854783</v>
      </c>
      <c r="T681" s="452"/>
      <c r="U681" s="425"/>
      <c r="V681" s="425"/>
      <c r="W681" s="425"/>
      <c r="X681" s="425"/>
      <c r="Y681" s="425"/>
      <c r="Z681" s="425"/>
      <c r="AA681" s="425"/>
      <c r="AB681" s="425"/>
      <c r="AC681" s="425"/>
      <c r="AD681" s="425"/>
      <c r="AE681" s="425"/>
      <c r="AG681" s="425"/>
      <c r="AH681" s="425"/>
      <c r="AI681" s="425"/>
      <c r="AJ681" s="425"/>
      <c r="AK681" s="425"/>
      <c r="AL681" s="425"/>
      <c r="AM681" s="425"/>
      <c r="AN681" s="425"/>
      <c r="AO681" s="425"/>
      <c r="AP681" s="425"/>
      <c r="AQ681" s="425"/>
    </row>
    <row r="682" spans="1:43" s="270" customFormat="1" x14ac:dyDescent="0.25">
      <c r="A682" s="271">
        <v>501444</v>
      </c>
      <c r="B682" s="271">
        <v>1444</v>
      </c>
      <c r="C682" s="271">
        <v>200577</v>
      </c>
      <c r="D682" s="268" t="s">
        <v>894</v>
      </c>
      <c r="E682" s="268" t="s">
        <v>1278</v>
      </c>
      <c r="F682" s="268" t="s">
        <v>3352</v>
      </c>
      <c r="G682" s="268">
        <v>16</v>
      </c>
      <c r="H682" s="268" t="s">
        <v>3353</v>
      </c>
      <c r="I682" s="268" t="s">
        <v>3201</v>
      </c>
      <c r="J682" s="458">
        <v>165149.19473404271</v>
      </c>
      <c r="K682" s="458">
        <v>13762.43289450356</v>
      </c>
      <c r="L682" s="458">
        <v>11194.760870699611</v>
      </c>
      <c r="M682" s="456">
        <v>0</v>
      </c>
      <c r="N682" s="458">
        <v>119.49693843813893</v>
      </c>
      <c r="O682" s="456">
        <v>0</v>
      </c>
      <c r="P682" s="459">
        <v>2890.110907845748</v>
      </c>
      <c r="Q682" s="458">
        <v>55400.108403681625</v>
      </c>
      <c r="R682" s="458">
        <v>29842.45948844152</v>
      </c>
      <c r="S682" s="458">
        <v>1959.7497903854783</v>
      </c>
      <c r="T682" s="452"/>
      <c r="U682" s="425"/>
      <c r="V682" s="425"/>
      <c r="W682" s="425"/>
      <c r="X682" s="425"/>
      <c r="Y682" s="425"/>
      <c r="Z682" s="425"/>
      <c r="AA682" s="425"/>
      <c r="AB682" s="425"/>
      <c r="AC682" s="425"/>
      <c r="AD682" s="425"/>
      <c r="AE682" s="425"/>
      <c r="AG682" s="425"/>
      <c r="AH682" s="425"/>
      <c r="AI682" s="425"/>
      <c r="AJ682" s="425"/>
      <c r="AK682" s="425"/>
      <c r="AL682" s="425"/>
      <c r="AM682" s="425"/>
      <c r="AN682" s="425"/>
      <c r="AO682" s="425"/>
      <c r="AP682" s="425"/>
      <c r="AQ682" s="425"/>
    </row>
    <row r="683" spans="1:43" s="270" customFormat="1" x14ac:dyDescent="0.25">
      <c r="A683" s="271">
        <v>501406</v>
      </c>
      <c r="B683" s="271">
        <v>1406</v>
      </c>
      <c r="C683" s="271">
        <v>200578</v>
      </c>
      <c r="D683" s="268" t="s">
        <v>894</v>
      </c>
      <c r="E683" s="268" t="s">
        <v>1290</v>
      </c>
      <c r="F683" s="268" t="s">
        <v>1306</v>
      </c>
      <c r="G683" s="268">
        <v>16</v>
      </c>
      <c r="H683" s="268" t="s">
        <v>3354</v>
      </c>
      <c r="I683" s="268" t="s">
        <v>3201</v>
      </c>
      <c r="J683" s="458">
        <v>165149.19473404271</v>
      </c>
      <c r="K683" s="458">
        <v>13762.43289450356</v>
      </c>
      <c r="L683" s="458">
        <v>11194.760870699611</v>
      </c>
      <c r="M683" s="456">
        <v>0</v>
      </c>
      <c r="N683" s="458">
        <v>119.49693843813893</v>
      </c>
      <c r="O683" s="456">
        <v>0</v>
      </c>
      <c r="P683" s="459">
        <v>2890.110907845748</v>
      </c>
      <c r="Q683" s="458">
        <v>55400.108403681625</v>
      </c>
      <c r="R683" s="458">
        <v>29842.45948844152</v>
      </c>
      <c r="S683" s="458">
        <v>1959.7497903854783</v>
      </c>
      <c r="T683" s="452"/>
      <c r="U683" s="425"/>
      <c r="V683" s="425"/>
      <c r="W683" s="425"/>
      <c r="X683" s="425"/>
      <c r="Y683" s="425"/>
      <c r="Z683" s="425"/>
      <c r="AA683" s="425"/>
      <c r="AB683" s="425"/>
      <c r="AC683" s="425"/>
      <c r="AD683" s="425"/>
      <c r="AE683" s="425"/>
      <c r="AG683" s="425"/>
      <c r="AH683" s="425"/>
      <c r="AI683" s="425"/>
      <c r="AJ683" s="425"/>
      <c r="AK683" s="425"/>
      <c r="AL683" s="425"/>
      <c r="AM683" s="425"/>
      <c r="AN683" s="425"/>
      <c r="AO683" s="425"/>
      <c r="AP683" s="425"/>
      <c r="AQ683" s="425"/>
    </row>
    <row r="684" spans="1:43" s="270" customFormat="1" x14ac:dyDescent="0.25">
      <c r="A684" s="271">
        <v>501444</v>
      </c>
      <c r="B684" s="271">
        <v>1444</v>
      </c>
      <c r="C684" s="271">
        <v>200579</v>
      </c>
      <c r="D684" s="268" t="s">
        <v>894</v>
      </c>
      <c r="E684" s="268" t="s">
        <v>1278</v>
      </c>
      <c r="F684" s="268" t="s">
        <v>2547</v>
      </c>
      <c r="G684" s="268">
        <v>16</v>
      </c>
      <c r="H684" s="268" t="s">
        <v>3355</v>
      </c>
      <c r="I684" s="268" t="s">
        <v>3201</v>
      </c>
      <c r="J684" s="458">
        <v>165149.19473404271</v>
      </c>
      <c r="K684" s="458">
        <v>13762.43289450356</v>
      </c>
      <c r="L684" s="458">
        <v>11194.760870699611</v>
      </c>
      <c r="M684" s="456">
        <v>0</v>
      </c>
      <c r="N684" s="458">
        <v>119.49693843813893</v>
      </c>
      <c r="O684" s="456">
        <v>0</v>
      </c>
      <c r="P684" s="459">
        <v>2890.110907845748</v>
      </c>
      <c r="Q684" s="458">
        <v>55400.108403681625</v>
      </c>
      <c r="R684" s="458">
        <v>29842.45948844152</v>
      </c>
      <c r="S684" s="458">
        <v>1959.7497903854783</v>
      </c>
      <c r="T684" s="452"/>
      <c r="U684" s="425"/>
      <c r="V684" s="425"/>
      <c r="W684" s="425"/>
      <c r="X684" s="425"/>
      <c r="Y684" s="425"/>
      <c r="Z684" s="425"/>
      <c r="AA684" s="425"/>
      <c r="AB684" s="425"/>
      <c r="AC684" s="425"/>
      <c r="AD684" s="425"/>
      <c r="AE684" s="425"/>
      <c r="AG684" s="425"/>
      <c r="AH684" s="425"/>
      <c r="AI684" s="425"/>
      <c r="AJ684" s="425"/>
      <c r="AK684" s="425"/>
      <c r="AL684" s="425"/>
      <c r="AM684" s="425"/>
      <c r="AN684" s="425"/>
      <c r="AO684" s="425"/>
      <c r="AP684" s="425"/>
      <c r="AQ684" s="425"/>
    </row>
    <row r="685" spans="1:43" s="270" customFormat="1" x14ac:dyDescent="0.25">
      <c r="A685" s="271">
        <v>501406</v>
      </c>
      <c r="B685" s="271">
        <v>1406</v>
      </c>
      <c r="C685" s="271">
        <v>200580</v>
      </c>
      <c r="D685" s="268" t="s">
        <v>894</v>
      </c>
      <c r="E685" s="268" t="s">
        <v>1278</v>
      </c>
      <c r="F685" s="268" t="s">
        <v>2649</v>
      </c>
      <c r="G685" s="268">
        <v>16</v>
      </c>
      <c r="H685" s="268" t="s">
        <v>2451</v>
      </c>
      <c r="I685" s="268" t="s">
        <v>3201</v>
      </c>
      <c r="J685" s="458">
        <v>165149.19473404271</v>
      </c>
      <c r="K685" s="458">
        <v>13762.43289450356</v>
      </c>
      <c r="L685" s="458">
        <v>11194.760870699611</v>
      </c>
      <c r="M685" s="456">
        <v>0</v>
      </c>
      <c r="N685" s="458">
        <v>119.49693843813893</v>
      </c>
      <c r="O685" s="456">
        <v>0</v>
      </c>
      <c r="P685" s="459">
        <v>2890.110907845748</v>
      </c>
      <c r="Q685" s="458">
        <v>55400.108403681625</v>
      </c>
      <c r="R685" s="458">
        <v>29842.45948844152</v>
      </c>
      <c r="S685" s="458">
        <v>1959.7497903854783</v>
      </c>
      <c r="T685" s="452"/>
      <c r="U685" s="425"/>
      <c r="V685" s="425"/>
      <c r="W685" s="425"/>
      <c r="X685" s="425"/>
      <c r="Y685" s="425"/>
      <c r="Z685" s="425"/>
      <c r="AA685" s="425"/>
      <c r="AB685" s="425"/>
      <c r="AC685" s="425"/>
      <c r="AD685" s="425"/>
      <c r="AE685" s="425"/>
      <c r="AG685" s="425"/>
      <c r="AH685" s="425"/>
      <c r="AI685" s="425"/>
      <c r="AJ685" s="425"/>
      <c r="AK685" s="425"/>
      <c r="AL685" s="425"/>
      <c r="AM685" s="425"/>
      <c r="AN685" s="425"/>
      <c r="AO685" s="425"/>
      <c r="AP685" s="425"/>
      <c r="AQ685" s="425"/>
    </row>
    <row r="686" spans="1:43" s="270" customFormat="1" x14ac:dyDescent="0.25">
      <c r="A686" s="418">
        <v>501445</v>
      </c>
      <c r="B686" s="271">
        <v>1457</v>
      </c>
      <c r="C686" s="271">
        <v>200581</v>
      </c>
      <c r="D686" s="268" t="s">
        <v>894</v>
      </c>
      <c r="E686" s="268" t="s">
        <v>1290</v>
      </c>
      <c r="F686" s="268" t="s">
        <v>3356</v>
      </c>
      <c r="G686" s="268">
        <v>16</v>
      </c>
      <c r="H686" s="268" t="s">
        <v>3357</v>
      </c>
      <c r="I686" s="268" t="s">
        <v>3201</v>
      </c>
      <c r="J686" s="458">
        <v>165149.19473404271</v>
      </c>
      <c r="K686" s="458">
        <v>13762.43289450356</v>
      </c>
      <c r="L686" s="458">
        <v>11194.760870699611</v>
      </c>
      <c r="M686" s="456">
        <v>0</v>
      </c>
      <c r="N686" s="458">
        <v>119.49693843813893</v>
      </c>
      <c r="O686" s="456">
        <v>0</v>
      </c>
      <c r="P686" s="459">
        <v>2890.110907845748</v>
      </c>
      <c r="Q686" s="458">
        <v>55400.108403681625</v>
      </c>
      <c r="R686" s="458">
        <v>29842.45948844152</v>
      </c>
      <c r="S686" s="458">
        <v>1959.7497903854783</v>
      </c>
      <c r="T686" s="452"/>
      <c r="U686" s="425"/>
      <c r="V686" s="425"/>
      <c r="W686" s="425"/>
      <c r="X686" s="425"/>
      <c r="Y686" s="425"/>
      <c r="Z686" s="425"/>
      <c r="AA686" s="425"/>
      <c r="AB686" s="425"/>
      <c r="AC686" s="425"/>
      <c r="AD686" s="425"/>
      <c r="AE686" s="425"/>
      <c r="AG686" s="425"/>
      <c r="AH686" s="425"/>
      <c r="AI686" s="425"/>
      <c r="AJ686" s="425"/>
      <c r="AK686" s="425"/>
      <c r="AL686" s="425"/>
      <c r="AM686" s="425"/>
      <c r="AN686" s="425"/>
      <c r="AO686" s="425"/>
      <c r="AP686" s="425"/>
      <c r="AQ686" s="425"/>
    </row>
    <row r="687" spans="1:43" s="270" customFormat="1" x14ac:dyDescent="0.25">
      <c r="A687" s="418">
        <v>501445</v>
      </c>
      <c r="B687" s="271">
        <v>1457</v>
      </c>
      <c r="C687" s="271">
        <v>200583</v>
      </c>
      <c r="D687" s="268" t="s">
        <v>894</v>
      </c>
      <c r="E687" s="268" t="s">
        <v>1290</v>
      </c>
      <c r="F687" s="268" t="s">
        <v>2508</v>
      </c>
      <c r="G687" s="268">
        <v>16</v>
      </c>
      <c r="H687" s="268" t="s">
        <v>3358</v>
      </c>
      <c r="I687" s="268" t="s">
        <v>3359</v>
      </c>
      <c r="J687" s="458">
        <v>165149.19473404271</v>
      </c>
      <c r="K687" s="458">
        <v>13762.43289450356</v>
      </c>
      <c r="L687" s="458">
        <v>11194.760870699611</v>
      </c>
      <c r="M687" s="456">
        <v>0</v>
      </c>
      <c r="N687" s="458">
        <v>119.49693843813893</v>
      </c>
      <c r="O687" s="456">
        <v>0</v>
      </c>
      <c r="P687" s="459">
        <v>2890.110907845748</v>
      </c>
      <c r="Q687" s="458">
        <v>55400.108403681625</v>
      </c>
      <c r="R687" s="458">
        <v>29842.45948844152</v>
      </c>
      <c r="S687" s="458">
        <v>1959.7497903854783</v>
      </c>
      <c r="T687" s="452"/>
      <c r="U687" s="425"/>
      <c r="V687" s="425"/>
      <c r="W687" s="425"/>
      <c r="X687" s="425"/>
      <c r="Y687" s="425"/>
      <c r="Z687" s="425"/>
      <c r="AA687" s="425"/>
      <c r="AB687" s="425"/>
      <c r="AC687" s="425"/>
      <c r="AD687" s="425"/>
      <c r="AE687" s="425"/>
      <c r="AG687" s="425"/>
      <c r="AH687" s="425"/>
      <c r="AI687" s="425"/>
      <c r="AJ687" s="425"/>
      <c r="AK687" s="425"/>
      <c r="AL687" s="425"/>
      <c r="AM687" s="425"/>
      <c r="AN687" s="425"/>
      <c r="AO687" s="425"/>
      <c r="AP687" s="425"/>
      <c r="AQ687" s="425"/>
    </row>
    <row r="688" spans="1:43" s="270" customFormat="1" x14ac:dyDescent="0.25">
      <c r="A688" s="271">
        <v>501444</v>
      </c>
      <c r="B688" s="271">
        <v>1444</v>
      </c>
      <c r="C688" s="271">
        <v>200584</v>
      </c>
      <c r="D688" s="268" t="s">
        <v>894</v>
      </c>
      <c r="E688" s="268" t="s">
        <v>1290</v>
      </c>
      <c r="F688" s="268" t="s">
        <v>2971</v>
      </c>
      <c r="G688" s="268">
        <v>16</v>
      </c>
      <c r="H688" s="268" t="s">
        <v>3360</v>
      </c>
      <c r="I688" s="268" t="s">
        <v>3201</v>
      </c>
      <c r="J688" s="458">
        <v>165149.19473404271</v>
      </c>
      <c r="K688" s="458">
        <v>13762.43289450356</v>
      </c>
      <c r="L688" s="458">
        <v>11194.760870699611</v>
      </c>
      <c r="M688" s="456">
        <v>0</v>
      </c>
      <c r="N688" s="458">
        <v>119.49693843813893</v>
      </c>
      <c r="O688" s="456">
        <v>0</v>
      </c>
      <c r="P688" s="459">
        <v>2890.110907845748</v>
      </c>
      <c r="Q688" s="458">
        <v>55400.108403681625</v>
      </c>
      <c r="R688" s="458">
        <v>29842.45948844152</v>
      </c>
      <c r="S688" s="458">
        <v>1959.7497903854783</v>
      </c>
      <c r="T688" s="452"/>
      <c r="U688" s="425"/>
      <c r="V688" s="425"/>
      <c r="W688" s="425"/>
      <c r="X688" s="425"/>
      <c r="Y688" s="425"/>
      <c r="Z688" s="425"/>
      <c r="AA688" s="425"/>
      <c r="AB688" s="425"/>
      <c r="AC688" s="425"/>
      <c r="AD688" s="425"/>
      <c r="AE688" s="425"/>
      <c r="AG688" s="425"/>
      <c r="AH688" s="425"/>
      <c r="AI688" s="425"/>
      <c r="AJ688" s="425"/>
      <c r="AK688" s="425"/>
      <c r="AL688" s="425"/>
      <c r="AM688" s="425"/>
      <c r="AN688" s="425"/>
      <c r="AO688" s="425"/>
      <c r="AP688" s="425"/>
      <c r="AQ688" s="425"/>
    </row>
    <row r="689" spans="1:43" s="270" customFormat="1" x14ac:dyDescent="0.25">
      <c r="A689" s="271">
        <v>501506</v>
      </c>
      <c r="B689" s="271">
        <v>1506</v>
      </c>
      <c r="C689" s="271">
        <v>200585</v>
      </c>
      <c r="D689" s="268" t="s">
        <v>894</v>
      </c>
      <c r="E689" s="268" t="s">
        <v>1278</v>
      </c>
      <c r="F689" s="268" t="s">
        <v>3361</v>
      </c>
      <c r="G689" s="268">
        <v>16</v>
      </c>
      <c r="H689" s="268" t="s">
        <v>3362</v>
      </c>
      <c r="I689" s="268" t="s">
        <v>3201</v>
      </c>
      <c r="J689" s="458">
        <v>165149.19473404271</v>
      </c>
      <c r="K689" s="458">
        <v>13762.43289450356</v>
      </c>
      <c r="L689" s="458">
        <v>11194.760870699611</v>
      </c>
      <c r="M689" s="456">
        <v>0</v>
      </c>
      <c r="N689" s="458">
        <v>119.49693843813893</v>
      </c>
      <c r="O689" s="456">
        <v>0</v>
      </c>
      <c r="P689" s="459">
        <v>2890.110907845748</v>
      </c>
      <c r="Q689" s="458">
        <v>55400.108403681625</v>
      </c>
      <c r="R689" s="458">
        <v>29842.45948844152</v>
      </c>
      <c r="S689" s="458">
        <v>1959.7497903854783</v>
      </c>
      <c r="T689" s="452"/>
      <c r="U689" s="425"/>
      <c r="V689" s="425"/>
      <c r="W689" s="425"/>
      <c r="X689" s="425"/>
      <c r="Y689" s="425"/>
      <c r="Z689" s="425"/>
      <c r="AA689" s="425"/>
      <c r="AB689" s="425"/>
      <c r="AC689" s="425"/>
      <c r="AD689" s="425"/>
      <c r="AE689" s="425"/>
      <c r="AG689" s="425"/>
      <c r="AH689" s="425"/>
      <c r="AI689" s="425"/>
      <c r="AJ689" s="425"/>
      <c r="AK689" s="425"/>
      <c r="AL689" s="425"/>
      <c r="AM689" s="425"/>
      <c r="AN689" s="425"/>
      <c r="AO689" s="425"/>
      <c r="AP689" s="425"/>
      <c r="AQ689" s="425"/>
    </row>
    <row r="690" spans="1:43" s="270" customFormat="1" x14ac:dyDescent="0.25">
      <c r="A690" s="271">
        <v>501506</v>
      </c>
      <c r="B690" s="271">
        <v>1506</v>
      </c>
      <c r="C690" s="271">
        <v>200586</v>
      </c>
      <c r="D690" s="268" t="s">
        <v>894</v>
      </c>
      <c r="E690" s="268" t="s">
        <v>1278</v>
      </c>
      <c r="F690" s="268" t="s">
        <v>3363</v>
      </c>
      <c r="G690" s="268">
        <v>16</v>
      </c>
      <c r="H690" s="268" t="s">
        <v>3364</v>
      </c>
      <c r="I690" s="268" t="s">
        <v>3201</v>
      </c>
      <c r="J690" s="458">
        <v>165149.19473404271</v>
      </c>
      <c r="K690" s="458">
        <v>13762.43289450356</v>
      </c>
      <c r="L690" s="458">
        <v>11194.760870699611</v>
      </c>
      <c r="M690" s="456">
        <v>0</v>
      </c>
      <c r="N690" s="458">
        <v>119.49693843813893</v>
      </c>
      <c r="O690" s="456">
        <v>0</v>
      </c>
      <c r="P690" s="459">
        <v>2890.110907845748</v>
      </c>
      <c r="Q690" s="458">
        <v>55400.108403681625</v>
      </c>
      <c r="R690" s="458">
        <v>29842.45948844152</v>
      </c>
      <c r="S690" s="458">
        <v>1959.7497903854783</v>
      </c>
      <c r="T690" s="452"/>
      <c r="U690" s="425"/>
      <c r="V690" s="425"/>
      <c r="W690" s="425"/>
      <c r="X690" s="425"/>
      <c r="Y690" s="425"/>
      <c r="Z690" s="425"/>
      <c r="AA690" s="425"/>
      <c r="AB690" s="425"/>
      <c r="AC690" s="425"/>
      <c r="AD690" s="425"/>
      <c r="AE690" s="425"/>
      <c r="AG690" s="425"/>
      <c r="AH690" s="425"/>
      <c r="AI690" s="425"/>
      <c r="AJ690" s="425"/>
      <c r="AK690" s="425"/>
      <c r="AL690" s="425"/>
      <c r="AM690" s="425"/>
      <c r="AN690" s="425"/>
      <c r="AO690" s="425"/>
      <c r="AP690" s="425"/>
      <c r="AQ690" s="425"/>
    </row>
    <row r="691" spans="1:43" s="270" customFormat="1" x14ac:dyDescent="0.25">
      <c r="A691" s="271">
        <v>501444</v>
      </c>
      <c r="B691" s="271">
        <v>1444</v>
      </c>
      <c r="C691" s="271">
        <v>200587</v>
      </c>
      <c r="D691" s="268" t="s">
        <v>894</v>
      </c>
      <c r="E691" s="268" t="s">
        <v>1290</v>
      </c>
      <c r="F691" s="268" t="s">
        <v>3365</v>
      </c>
      <c r="G691" s="268">
        <v>16</v>
      </c>
      <c r="H691" s="268" t="s">
        <v>3366</v>
      </c>
      <c r="I691" s="268" t="s">
        <v>3201</v>
      </c>
      <c r="J691" s="458">
        <v>165149.19473404271</v>
      </c>
      <c r="K691" s="458">
        <v>13762.43289450356</v>
      </c>
      <c r="L691" s="458">
        <v>11194.760870699611</v>
      </c>
      <c r="M691" s="456">
        <v>0</v>
      </c>
      <c r="N691" s="458">
        <v>119.49693843813893</v>
      </c>
      <c r="O691" s="456">
        <v>0</v>
      </c>
      <c r="P691" s="459">
        <v>2890.110907845748</v>
      </c>
      <c r="Q691" s="458">
        <v>55400.108403681625</v>
      </c>
      <c r="R691" s="458">
        <v>29842.45948844152</v>
      </c>
      <c r="S691" s="458">
        <v>1959.7497903854783</v>
      </c>
      <c r="T691" s="452"/>
      <c r="U691" s="425"/>
      <c r="V691" s="425"/>
      <c r="W691" s="425"/>
      <c r="X691" s="425"/>
      <c r="Y691" s="425"/>
      <c r="Z691" s="425"/>
      <c r="AA691" s="425"/>
      <c r="AB691" s="425"/>
      <c r="AC691" s="425"/>
      <c r="AD691" s="425"/>
      <c r="AE691" s="425"/>
      <c r="AG691" s="425"/>
      <c r="AH691" s="425"/>
      <c r="AI691" s="425"/>
      <c r="AJ691" s="425"/>
      <c r="AK691" s="425"/>
      <c r="AL691" s="425"/>
      <c r="AM691" s="425"/>
      <c r="AN691" s="425"/>
      <c r="AO691" s="425"/>
      <c r="AP691" s="425"/>
      <c r="AQ691" s="425"/>
    </row>
    <row r="692" spans="1:43" s="270" customFormat="1" x14ac:dyDescent="0.25">
      <c r="A692" s="271">
        <v>501506</v>
      </c>
      <c r="B692" s="271">
        <v>1506</v>
      </c>
      <c r="C692" s="271">
        <v>200589</v>
      </c>
      <c r="D692" s="268" t="s">
        <v>894</v>
      </c>
      <c r="E692" s="268" t="s">
        <v>1278</v>
      </c>
      <c r="F692" s="268" t="s">
        <v>3272</v>
      </c>
      <c r="G692" s="268">
        <v>16</v>
      </c>
      <c r="H692" s="268" t="s">
        <v>3367</v>
      </c>
      <c r="I692" s="268" t="s">
        <v>3201</v>
      </c>
      <c r="J692" s="458">
        <v>165149.19473404271</v>
      </c>
      <c r="K692" s="458">
        <v>13762.43289450356</v>
      </c>
      <c r="L692" s="458">
        <v>11194.760870699611</v>
      </c>
      <c r="M692" s="456">
        <v>0</v>
      </c>
      <c r="N692" s="458">
        <v>119.49693843813893</v>
      </c>
      <c r="O692" s="456">
        <v>0</v>
      </c>
      <c r="P692" s="459">
        <v>2890.110907845748</v>
      </c>
      <c r="Q692" s="458">
        <v>55400.108403681625</v>
      </c>
      <c r="R692" s="458">
        <v>29842.45948844152</v>
      </c>
      <c r="S692" s="458">
        <v>1959.7497903854783</v>
      </c>
      <c r="T692" s="452"/>
      <c r="U692" s="425"/>
      <c r="V692" s="425"/>
      <c r="W692" s="425"/>
      <c r="X692" s="425"/>
      <c r="Y692" s="425"/>
      <c r="Z692" s="425"/>
      <c r="AA692" s="425"/>
      <c r="AB692" s="425"/>
      <c r="AC692" s="425"/>
      <c r="AD692" s="425"/>
      <c r="AE692" s="425"/>
      <c r="AG692" s="425"/>
      <c r="AH692" s="425"/>
      <c r="AI692" s="425"/>
      <c r="AJ692" s="425"/>
      <c r="AK692" s="425"/>
      <c r="AL692" s="425"/>
      <c r="AM692" s="425"/>
      <c r="AN692" s="425"/>
      <c r="AO692" s="425"/>
      <c r="AP692" s="425"/>
      <c r="AQ692" s="425"/>
    </row>
    <row r="693" spans="1:43" s="280" customFormat="1" x14ac:dyDescent="0.25">
      <c r="A693" s="271">
        <v>501506</v>
      </c>
      <c r="B693" s="271">
        <v>1506</v>
      </c>
      <c r="C693" s="271">
        <v>200593</v>
      </c>
      <c r="D693" s="268" t="s">
        <v>894</v>
      </c>
      <c r="E693" s="268" t="s">
        <v>1278</v>
      </c>
      <c r="F693" s="268" t="s">
        <v>3368</v>
      </c>
      <c r="G693" s="268">
        <v>16</v>
      </c>
      <c r="H693" s="268" t="s">
        <v>3369</v>
      </c>
      <c r="I693" s="268" t="s">
        <v>3201</v>
      </c>
      <c r="J693" s="458">
        <v>165149.19473404271</v>
      </c>
      <c r="K693" s="458">
        <v>13762.43289450356</v>
      </c>
      <c r="L693" s="458">
        <v>11194.760870699611</v>
      </c>
      <c r="M693" s="456">
        <v>0</v>
      </c>
      <c r="N693" s="458">
        <v>119.49693843813893</v>
      </c>
      <c r="O693" s="456">
        <v>0</v>
      </c>
      <c r="P693" s="459">
        <v>2890.110907845748</v>
      </c>
      <c r="Q693" s="458">
        <v>55400.108403681625</v>
      </c>
      <c r="R693" s="452">
        <v>0</v>
      </c>
      <c r="S693" s="458">
        <v>1959.7497903854783</v>
      </c>
      <c r="T693" s="452"/>
      <c r="U693" s="425"/>
      <c r="V693" s="425"/>
      <c r="W693" s="425"/>
      <c r="X693" s="425"/>
      <c r="Y693" s="425"/>
      <c r="Z693" s="425"/>
      <c r="AA693" s="425"/>
      <c r="AB693" s="425"/>
      <c r="AC693" s="425"/>
      <c r="AD693" s="425"/>
      <c r="AE693" s="425"/>
      <c r="AF693" s="322"/>
      <c r="AG693" s="425"/>
      <c r="AH693" s="425"/>
      <c r="AI693" s="425"/>
      <c r="AJ693" s="425"/>
      <c r="AK693" s="425"/>
      <c r="AL693" s="425"/>
      <c r="AM693" s="425"/>
      <c r="AN693" s="425"/>
      <c r="AO693" s="425"/>
      <c r="AP693" s="425"/>
      <c r="AQ693" s="425"/>
    </row>
    <row r="694" spans="1:43" s="270" customFormat="1" x14ac:dyDescent="0.25">
      <c r="A694" s="270">
        <v>501442</v>
      </c>
      <c r="B694" s="271">
        <v>1442</v>
      </c>
      <c r="C694" s="271">
        <v>200106</v>
      </c>
      <c r="D694" s="268" t="s">
        <v>894</v>
      </c>
      <c r="E694" s="268" t="s">
        <v>1290</v>
      </c>
      <c r="F694" s="268" t="s">
        <v>3370</v>
      </c>
      <c r="G694" s="268">
        <v>8</v>
      </c>
      <c r="H694" s="268" t="s">
        <v>2196</v>
      </c>
      <c r="I694" s="268" t="s">
        <v>2777</v>
      </c>
      <c r="J694" s="458">
        <v>344306.08614055614</v>
      </c>
      <c r="K694" s="458">
        <v>28692.173845046345</v>
      </c>
      <c r="L694" s="456">
        <v>11194.760870699611</v>
      </c>
      <c r="M694" s="456">
        <v>0</v>
      </c>
      <c r="N694" s="458">
        <v>119.49693843813893</v>
      </c>
      <c r="O694" s="456">
        <v>0</v>
      </c>
      <c r="P694" s="456">
        <v>6025.3565074597336</v>
      </c>
      <c r="Q694" s="458">
        <v>55400.108403681625</v>
      </c>
      <c r="R694" s="458">
        <v>61975.095505300116</v>
      </c>
      <c r="S694" s="458">
        <v>1959.7497903854783</v>
      </c>
      <c r="T694" s="457"/>
      <c r="U694" s="425"/>
      <c r="V694" s="425"/>
      <c r="W694" s="425"/>
      <c r="X694" s="425"/>
      <c r="Y694" s="425"/>
      <c r="Z694" s="425"/>
      <c r="AA694" s="425"/>
      <c r="AB694" s="425"/>
      <c r="AC694" s="425"/>
      <c r="AD694" s="425"/>
      <c r="AE694" s="425"/>
      <c r="AG694" s="425"/>
      <c r="AH694" s="425"/>
      <c r="AI694" s="425"/>
      <c r="AJ694" s="425"/>
      <c r="AK694" s="425"/>
      <c r="AL694" s="425"/>
      <c r="AM694" s="425"/>
      <c r="AN694" s="425"/>
      <c r="AO694" s="425"/>
      <c r="AP694" s="425"/>
      <c r="AQ694" s="425"/>
    </row>
    <row r="695" spans="1:43" s="270" customFormat="1" x14ac:dyDescent="0.25">
      <c r="A695" s="270">
        <v>501105</v>
      </c>
      <c r="B695" s="271">
        <v>1105</v>
      </c>
      <c r="C695" s="271">
        <v>200594</v>
      </c>
      <c r="D695" s="268" t="s">
        <v>894</v>
      </c>
      <c r="E695" s="268" t="s">
        <v>1290</v>
      </c>
      <c r="F695" s="268" t="s">
        <v>3371</v>
      </c>
      <c r="G695" s="268"/>
      <c r="H695" s="268" t="s">
        <v>3372</v>
      </c>
      <c r="I695" s="268" t="s">
        <v>3373</v>
      </c>
      <c r="J695" s="458">
        <v>344300.55387488776</v>
      </c>
      <c r="K695" s="458">
        <v>28691.71282290731</v>
      </c>
      <c r="L695" s="456">
        <v>11194.760870699611</v>
      </c>
      <c r="M695" s="456">
        <v>0</v>
      </c>
      <c r="N695" s="458">
        <v>119.49693843813893</v>
      </c>
      <c r="O695" s="456">
        <v>0</v>
      </c>
      <c r="P695" s="456">
        <v>6025.2596928105359</v>
      </c>
      <c r="Q695" s="456">
        <v>55400.108403681625</v>
      </c>
      <c r="R695" s="458">
        <v>61974.099697479796</v>
      </c>
      <c r="S695" s="458">
        <v>1959.7497903854783</v>
      </c>
      <c r="T695" s="457"/>
      <c r="U695" s="425"/>
      <c r="V695" s="425"/>
      <c r="W695" s="425"/>
      <c r="X695" s="425"/>
      <c r="Y695" s="425"/>
      <c r="Z695" s="425"/>
      <c r="AA695" s="425"/>
      <c r="AB695" s="425"/>
      <c r="AC695" s="425"/>
      <c r="AD695" s="425"/>
      <c r="AE695" s="425"/>
      <c r="AG695" s="425"/>
      <c r="AH695" s="425"/>
      <c r="AI695" s="425"/>
      <c r="AJ695" s="425"/>
      <c r="AK695" s="425"/>
      <c r="AL695" s="425"/>
      <c r="AM695" s="425"/>
      <c r="AN695" s="425"/>
      <c r="AO695" s="425"/>
      <c r="AP695" s="425"/>
      <c r="AQ695" s="425"/>
    </row>
    <row r="696" spans="1:43" s="275" customFormat="1" x14ac:dyDescent="0.25">
      <c r="A696" s="268">
        <v>501406</v>
      </c>
      <c r="B696" s="268">
        <v>1406</v>
      </c>
      <c r="C696" s="268">
        <v>34568</v>
      </c>
      <c r="D696" s="268" t="s">
        <v>1290</v>
      </c>
      <c r="E696" s="268" t="s">
        <v>894</v>
      </c>
      <c r="F696" s="309" t="s">
        <v>3404</v>
      </c>
      <c r="G696" s="268">
        <v>8</v>
      </c>
      <c r="H696" s="312" t="s">
        <v>3405</v>
      </c>
      <c r="I696" s="268" t="s">
        <v>2712</v>
      </c>
      <c r="J696" s="462">
        <v>348665.51148728083</v>
      </c>
      <c r="K696" s="458">
        <v>0</v>
      </c>
      <c r="L696" s="461">
        <v>11194.760870699611</v>
      </c>
      <c r="M696" s="461">
        <v>0</v>
      </c>
      <c r="N696" s="461">
        <v>119.49693843813893</v>
      </c>
      <c r="O696" s="461">
        <v>0</v>
      </c>
      <c r="P696" s="461">
        <v>610164.64510274155</v>
      </c>
      <c r="Q696" s="462">
        <v>55400.108403681625</v>
      </c>
      <c r="R696" s="461">
        <v>63003.857925751654</v>
      </c>
      <c r="S696" s="461">
        <v>1959.7497903854783</v>
      </c>
      <c r="T696" s="457"/>
      <c r="U696" s="425"/>
      <c r="V696" s="425"/>
      <c r="W696" s="425"/>
      <c r="X696" s="425"/>
      <c r="Y696" s="425"/>
      <c r="Z696" s="425"/>
      <c r="AA696" s="425"/>
      <c r="AB696" s="425"/>
      <c r="AC696" s="425"/>
      <c r="AD696" s="425"/>
      <c r="AE696" s="425"/>
      <c r="AG696" s="425"/>
      <c r="AH696" s="425"/>
      <c r="AI696" s="425"/>
      <c r="AJ696" s="425"/>
      <c r="AK696" s="425"/>
      <c r="AL696" s="425"/>
      <c r="AM696" s="425"/>
      <c r="AN696" s="425"/>
      <c r="AO696" s="425"/>
      <c r="AP696" s="425"/>
      <c r="AQ696" s="425"/>
    </row>
    <row r="697" spans="1:43" s="275" customFormat="1" x14ac:dyDescent="0.25">
      <c r="A697" s="268">
        <v>501105</v>
      </c>
      <c r="B697" s="268">
        <v>1105</v>
      </c>
      <c r="C697" s="268">
        <v>35664</v>
      </c>
      <c r="D697" s="268" t="s">
        <v>1290</v>
      </c>
      <c r="E697" s="268" t="s">
        <v>894</v>
      </c>
      <c r="F697" s="309" t="s">
        <v>3404</v>
      </c>
      <c r="G697" s="268">
        <v>8</v>
      </c>
      <c r="H697" s="312" t="s">
        <v>3406</v>
      </c>
      <c r="I697" s="268" t="s">
        <v>3373</v>
      </c>
      <c r="J697" s="462">
        <v>348665.51148728083</v>
      </c>
      <c r="K697" s="458">
        <v>0</v>
      </c>
      <c r="L697" s="461">
        <v>11194.760870699611</v>
      </c>
      <c r="M697" s="461">
        <v>0</v>
      </c>
      <c r="N697" s="461">
        <v>119.49693843813893</v>
      </c>
      <c r="O697" s="461">
        <v>0</v>
      </c>
      <c r="P697" s="461">
        <v>610164.64510274155</v>
      </c>
      <c r="Q697" s="462">
        <v>55400.108403681625</v>
      </c>
      <c r="R697" s="461">
        <v>63003.857925751654</v>
      </c>
      <c r="S697" s="461">
        <v>1959.7497903854783</v>
      </c>
      <c r="T697" s="457"/>
      <c r="U697" s="425"/>
      <c r="V697" s="425"/>
      <c r="W697" s="425"/>
      <c r="X697" s="425"/>
      <c r="Y697" s="425"/>
      <c r="Z697" s="425"/>
      <c r="AA697" s="425"/>
      <c r="AB697" s="425"/>
      <c r="AC697" s="425"/>
      <c r="AD697" s="425"/>
      <c r="AE697" s="425"/>
      <c r="AG697" s="425"/>
      <c r="AH697" s="425"/>
      <c r="AI697" s="425"/>
      <c r="AJ697" s="425"/>
      <c r="AK697" s="425"/>
      <c r="AL697" s="425"/>
      <c r="AM697" s="425"/>
      <c r="AN697" s="425"/>
      <c r="AO697" s="425"/>
      <c r="AP697" s="425"/>
      <c r="AQ697" s="425"/>
    </row>
    <row r="698" spans="1:43" s="275" customFormat="1" x14ac:dyDescent="0.25">
      <c r="A698" s="268">
        <v>501444</v>
      </c>
      <c r="B698" s="268">
        <v>1444</v>
      </c>
      <c r="C698" s="268">
        <v>40086</v>
      </c>
      <c r="D698" s="268" t="s">
        <v>1290</v>
      </c>
      <c r="E698" s="268" t="s">
        <v>894</v>
      </c>
      <c r="F698" s="309" t="s">
        <v>3404</v>
      </c>
      <c r="G698" s="268">
        <v>8</v>
      </c>
      <c r="H698" s="312" t="s">
        <v>3407</v>
      </c>
      <c r="I698" s="268" t="s">
        <v>2717</v>
      </c>
      <c r="J698" s="463">
        <v>332909.61886358552</v>
      </c>
      <c r="K698" s="458">
        <v>0</v>
      </c>
      <c r="L698" s="458">
        <v>11194.760870699611</v>
      </c>
      <c r="M698" s="458">
        <v>0</v>
      </c>
      <c r="N698" s="458">
        <v>119.49693843813893</v>
      </c>
      <c r="O698" s="461">
        <v>0</v>
      </c>
      <c r="P698" s="458">
        <v>582591.83301127469</v>
      </c>
      <c r="Q698" s="463">
        <v>55400.108403681625</v>
      </c>
      <c r="R698" s="458">
        <v>60156.768128649899</v>
      </c>
      <c r="S698" s="458">
        <v>1959.7497903854783</v>
      </c>
      <c r="T698" s="457"/>
      <c r="U698" s="425"/>
      <c r="V698" s="425"/>
      <c r="W698" s="425"/>
      <c r="X698" s="425"/>
      <c r="Y698" s="425"/>
      <c r="Z698" s="425"/>
      <c r="AA698" s="425"/>
      <c r="AB698" s="425"/>
      <c r="AC698" s="425"/>
      <c r="AD698" s="425"/>
      <c r="AE698" s="425"/>
      <c r="AG698" s="425"/>
      <c r="AH698" s="425"/>
      <c r="AI698" s="425"/>
      <c r="AJ698" s="425"/>
      <c r="AK698" s="425"/>
      <c r="AL698" s="425"/>
      <c r="AM698" s="425"/>
      <c r="AN698" s="425"/>
      <c r="AO698" s="425"/>
      <c r="AP698" s="425"/>
      <c r="AQ698" s="425"/>
    </row>
    <row r="699" spans="1:43" s="275" customFormat="1" x14ac:dyDescent="0.25">
      <c r="A699" s="268">
        <v>501444</v>
      </c>
      <c r="B699" s="268">
        <v>1444</v>
      </c>
      <c r="C699" s="268">
        <v>42628</v>
      </c>
      <c r="D699" s="268" t="s">
        <v>1290</v>
      </c>
      <c r="E699" s="268" t="s">
        <v>894</v>
      </c>
      <c r="F699" s="309" t="s">
        <v>3404</v>
      </c>
      <c r="G699" s="268">
        <v>13</v>
      </c>
      <c r="H699" s="312" t="s">
        <v>3408</v>
      </c>
      <c r="I699" s="268" t="s">
        <v>2978</v>
      </c>
      <c r="J699" s="463">
        <v>179356.052970577</v>
      </c>
      <c r="K699" s="458">
        <v>0</v>
      </c>
      <c r="L699" s="458">
        <v>11194.760870699611</v>
      </c>
      <c r="M699" s="458">
        <v>0</v>
      </c>
      <c r="N699" s="458">
        <v>119.49693843813893</v>
      </c>
      <c r="O699" s="461">
        <v>0</v>
      </c>
      <c r="P699" s="458">
        <v>313873.09269850975</v>
      </c>
      <c r="Q699" s="463">
        <v>55400.108403681625</v>
      </c>
      <c r="R699" s="458">
        <v>32409.638771783269</v>
      </c>
      <c r="S699" s="458">
        <v>1959.7497903854783</v>
      </c>
      <c r="T699" s="457"/>
      <c r="U699" s="425"/>
      <c r="V699" s="425"/>
      <c r="W699" s="425"/>
      <c r="X699" s="425"/>
      <c r="Y699" s="425"/>
      <c r="Z699" s="425"/>
      <c r="AA699" s="425"/>
      <c r="AB699" s="425"/>
      <c r="AC699" s="425"/>
      <c r="AD699" s="425"/>
      <c r="AE699" s="425"/>
      <c r="AG699" s="425"/>
      <c r="AH699" s="425"/>
      <c r="AI699" s="425"/>
      <c r="AJ699" s="425"/>
      <c r="AK699" s="425"/>
      <c r="AL699" s="425"/>
      <c r="AM699" s="425"/>
      <c r="AN699" s="425"/>
      <c r="AO699" s="425"/>
      <c r="AP699" s="425"/>
      <c r="AQ699" s="425"/>
    </row>
    <row r="700" spans="1:43" s="275" customFormat="1" x14ac:dyDescent="0.25">
      <c r="A700" s="268">
        <v>501406</v>
      </c>
      <c r="B700" s="268">
        <v>1406</v>
      </c>
      <c r="C700" s="268">
        <v>42657</v>
      </c>
      <c r="D700" s="268" t="s">
        <v>1290</v>
      </c>
      <c r="E700" s="268" t="s">
        <v>894</v>
      </c>
      <c r="F700" s="309" t="s">
        <v>3404</v>
      </c>
      <c r="G700" s="268">
        <v>8</v>
      </c>
      <c r="H700" s="312" t="s">
        <v>3409</v>
      </c>
      <c r="I700" s="268" t="s">
        <v>2689</v>
      </c>
      <c r="J700" s="463">
        <v>332909.61886358552</v>
      </c>
      <c r="K700" s="458">
        <v>0</v>
      </c>
      <c r="L700" s="458">
        <v>11194.760870699611</v>
      </c>
      <c r="M700" s="458">
        <v>8298.3985026485352</v>
      </c>
      <c r="N700" s="458">
        <v>119.49693843813893</v>
      </c>
      <c r="O700" s="461">
        <v>0</v>
      </c>
      <c r="P700" s="458">
        <v>582591.83301127469</v>
      </c>
      <c r="Q700" s="463">
        <v>55400.108403681625</v>
      </c>
      <c r="R700" s="458">
        <v>60156.768128649899</v>
      </c>
      <c r="S700" s="458">
        <v>1959.7497903854783</v>
      </c>
      <c r="T700" s="457"/>
      <c r="U700" s="425"/>
      <c r="V700" s="425"/>
      <c r="W700" s="425"/>
      <c r="X700" s="425"/>
      <c r="Y700" s="425"/>
      <c r="Z700" s="425"/>
      <c r="AA700" s="425"/>
      <c r="AB700" s="425"/>
      <c r="AC700" s="425"/>
      <c r="AD700" s="425"/>
      <c r="AE700" s="425"/>
      <c r="AG700" s="425"/>
      <c r="AH700" s="425"/>
      <c r="AI700" s="425"/>
      <c r="AJ700" s="425"/>
      <c r="AK700" s="425"/>
      <c r="AL700" s="425"/>
      <c r="AM700" s="425"/>
      <c r="AN700" s="425"/>
      <c r="AO700" s="425"/>
      <c r="AP700" s="425"/>
      <c r="AQ700" s="425"/>
    </row>
    <row r="701" spans="1:43" s="275" customFormat="1" x14ac:dyDescent="0.25">
      <c r="A701" s="268">
        <v>501105</v>
      </c>
      <c r="B701" s="268">
        <v>1105</v>
      </c>
      <c r="C701" s="268">
        <v>54124</v>
      </c>
      <c r="D701" s="268" t="s">
        <v>1278</v>
      </c>
      <c r="E701" s="268" t="s">
        <v>894</v>
      </c>
      <c r="F701" s="309" t="s">
        <v>3404</v>
      </c>
      <c r="G701" s="268">
        <v>5</v>
      </c>
      <c r="H701" s="312" t="s">
        <v>3410</v>
      </c>
      <c r="I701" s="268" t="s">
        <v>3411</v>
      </c>
      <c r="J701" s="463">
        <v>539041.83766937512</v>
      </c>
      <c r="K701" s="458">
        <v>0</v>
      </c>
      <c r="L701" s="458">
        <v>11194.760870699611</v>
      </c>
      <c r="M701" s="458">
        <v>8298.3985026485352</v>
      </c>
      <c r="N701" s="458">
        <v>119.49693843813893</v>
      </c>
      <c r="O701" s="461">
        <v>0</v>
      </c>
      <c r="P701" s="458">
        <v>943323.21592140652</v>
      </c>
      <c r="Q701" s="463">
        <v>55400.108403681625</v>
      </c>
      <c r="R701" s="458">
        <v>97404.860066856083</v>
      </c>
      <c r="S701" s="458">
        <v>1959.7497903854783</v>
      </c>
      <c r="T701" s="457"/>
      <c r="U701" s="425"/>
      <c r="V701" s="425"/>
      <c r="W701" s="425"/>
      <c r="X701" s="425"/>
      <c r="Y701" s="425"/>
      <c r="Z701" s="425"/>
      <c r="AA701" s="425"/>
      <c r="AB701" s="425"/>
      <c r="AC701" s="425"/>
      <c r="AD701" s="425"/>
      <c r="AE701" s="425"/>
      <c r="AG701" s="425"/>
      <c r="AH701" s="425"/>
      <c r="AI701" s="425"/>
      <c r="AJ701" s="425"/>
      <c r="AK701" s="425"/>
      <c r="AL701" s="425"/>
      <c r="AM701" s="425"/>
      <c r="AN701" s="425"/>
      <c r="AO701" s="425"/>
      <c r="AP701" s="425"/>
      <c r="AQ701" s="425"/>
    </row>
    <row r="702" spans="1:43" s="275" customFormat="1" x14ac:dyDescent="0.25">
      <c r="A702" s="268">
        <v>501444</v>
      </c>
      <c r="B702" s="268">
        <v>1444</v>
      </c>
      <c r="C702" s="268">
        <v>57406</v>
      </c>
      <c r="D702" s="268" t="s">
        <v>1290</v>
      </c>
      <c r="E702" s="268" t="s">
        <v>894</v>
      </c>
      <c r="F702" s="309" t="s">
        <v>3404</v>
      </c>
      <c r="G702" s="268">
        <v>15</v>
      </c>
      <c r="H702" s="312" t="s">
        <v>3412</v>
      </c>
      <c r="I702" s="268" t="s">
        <v>3133</v>
      </c>
      <c r="J702" s="463">
        <v>158886.66999737729</v>
      </c>
      <c r="K702" s="458">
        <v>0</v>
      </c>
      <c r="L702" s="458">
        <v>11194.760870699611</v>
      </c>
      <c r="M702" s="458">
        <v>0</v>
      </c>
      <c r="N702" s="458">
        <v>119.49693843813893</v>
      </c>
      <c r="O702" s="461">
        <v>0</v>
      </c>
      <c r="P702" s="458">
        <v>278051.67249541025</v>
      </c>
      <c r="Q702" s="463">
        <v>55400.108403681625</v>
      </c>
      <c r="R702" s="458">
        <v>28710.821268526073</v>
      </c>
      <c r="S702" s="458">
        <v>1959.7497903854783</v>
      </c>
      <c r="T702" s="457"/>
      <c r="U702" s="425"/>
      <c r="V702" s="425"/>
      <c r="W702" s="425"/>
      <c r="X702" s="425"/>
      <c r="Y702" s="425"/>
      <c r="Z702" s="425"/>
      <c r="AA702" s="425"/>
      <c r="AB702" s="425"/>
      <c r="AC702" s="425"/>
      <c r="AD702" s="425"/>
      <c r="AE702" s="425"/>
      <c r="AG702" s="425"/>
      <c r="AH702" s="425"/>
      <c r="AI702" s="425"/>
      <c r="AJ702" s="425"/>
      <c r="AK702" s="425"/>
      <c r="AL702" s="425"/>
      <c r="AM702" s="425"/>
      <c r="AN702" s="425"/>
      <c r="AO702" s="425"/>
      <c r="AP702" s="425"/>
      <c r="AQ702" s="425"/>
    </row>
    <row r="703" spans="1:43" s="275" customFormat="1" x14ac:dyDescent="0.25">
      <c r="A703" s="268">
        <v>501443</v>
      </c>
      <c r="B703" s="268">
        <v>1443</v>
      </c>
      <c r="C703" s="268">
        <v>87890</v>
      </c>
      <c r="D703" s="268" t="s">
        <v>1290</v>
      </c>
      <c r="E703" s="268" t="s">
        <v>894</v>
      </c>
      <c r="F703" s="309" t="s">
        <v>3404</v>
      </c>
      <c r="G703" s="268">
        <v>8</v>
      </c>
      <c r="H703" s="312" t="s">
        <v>3413</v>
      </c>
      <c r="I703" s="268" t="s">
        <v>2739</v>
      </c>
      <c r="J703" s="463">
        <v>317109.46811454272</v>
      </c>
      <c r="K703" s="458">
        <v>0</v>
      </c>
      <c r="L703" s="458">
        <v>11194.760870699611</v>
      </c>
      <c r="M703" s="458">
        <v>0</v>
      </c>
      <c r="N703" s="458">
        <v>119.49693843813893</v>
      </c>
      <c r="O703" s="461">
        <v>0</v>
      </c>
      <c r="P703" s="458">
        <v>554941.56920044974</v>
      </c>
      <c r="Q703" s="463">
        <v>55400.108403681625</v>
      </c>
      <c r="R703" s="458">
        <v>57301.680888297866</v>
      </c>
      <c r="S703" s="458">
        <v>1959.7497903854783</v>
      </c>
      <c r="T703" s="457"/>
      <c r="U703" s="425"/>
      <c r="V703" s="425"/>
      <c r="W703" s="425"/>
      <c r="X703" s="425"/>
      <c r="Y703" s="425"/>
      <c r="Z703" s="425"/>
      <c r="AA703" s="425"/>
      <c r="AB703" s="425"/>
      <c r="AC703" s="425"/>
      <c r="AD703" s="425"/>
      <c r="AE703" s="425"/>
      <c r="AG703" s="425"/>
      <c r="AH703" s="425"/>
      <c r="AI703" s="425"/>
      <c r="AJ703" s="425"/>
      <c r="AK703" s="425"/>
      <c r="AL703" s="425"/>
      <c r="AM703" s="425"/>
      <c r="AN703" s="425"/>
      <c r="AO703" s="425"/>
      <c r="AP703" s="425"/>
      <c r="AQ703" s="425"/>
    </row>
    <row r="704" spans="1:43" s="275" customFormat="1" x14ac:dyDescent="0.25">
      <c r="A704" s="268">
        <v>501443</v>
      </c>
      <c r="B704" s="268">
        <v>1443</v>
      </c>
      <c r="C704" s="268">
        <v>90515</v>
      </c>
      <c r="D704" s="268" t="s">
        <v>1290</v>
      </c>
      <c r="E704" s="268" t="s">
        <v>876</v>
      </c>
      <c r="F704" s="309" t="s">
        <v>3404</v>
      </c>
      <c r="G704" s="268">
        <v>6</v>
      </c>
      <c r="H704" s="312" t="s">
        <v>3414</v>
      </c>
      <c r="I704" s="268" t="s">
        <v>2481</v>
      </c>
      <c r="J704" s="463">
        <v>478828.65813415736</v>
      </c>
      <c r="K704" s="458">
        <v>0</v>
      </c>
      <c r="L704" s="458">
        <v>11194.760870699611</v>
      </c>
      <c r="M704" s="458">
        <v>0</v>
      </c>
      <c r="N704" s="458">
        <v>119.49693843813893</v>
      </c>
      <c r="O704" s="461">
        <v>0</v>
      </c>
      <c r="P704" s="458">
        <v>837950.1517347754</v>
      </c>
      <c r="Q704" s="463">
        <v>55400.108403681625</v>
      </c>
      <c r="R704" s="458">
        <v>86524.338524842242</v>
      </c>
      <c r="S704" s="458">
        <v>1959.7497903854783</v>
      </c>
      <c r="T704" s="457"/>
      <c r="U704" s="425"/>
      <c r="V704" s="425"/>
      <c r="W704" s="425"/>
      <c r="X704" s="425"/>
      <c r="Y704" s="425"/>
      <c r="Z704" s="425"/>
      <c r="AA704" s="425"/>
      <c r="AB704" s="425"/>
      <c r="AC704" s="425"/>
      <c r="AD704" s="425"/>
      <c r="AE704" s="425"/>
      <c r="AG704" s="425"/>
      <c r="AH704" s="425"/>
      <c r="AI704" s="425"/>
      <c r="AJ704" s="425"/>
      <c r="AK704" s="425"/>
      <c r="AL704" s="425"/>
      <c r="AM704" s="425"/>
      <c r="AN704" s="425"/>
      <c r="AO704" s="425"/>
      <c r="AP704" s="425"/>
      <c r="AQ704" s="425"/>
    </row>
    <row r="705" spans="1:43" s="275" customFormat="1" x14ac:dyDescent="0.25">
      <c r="A705" s="268">
        <v>501444</v>
      </c>
      <c r="B705" s="268">
        <v>1444</v>
      </c>
      <c r="C705" s="268">
        <v>120883</v>
      </c>
      <c r="D705" s="268" t="s">
        <v>1290</v>
      </c>
      <c r="E705" s="268" t="s">
        <v>894</v>
      </c>
      <c r="F705" s="309" t="s">
        <v>3404</v>
      </c>
      <c r="G705" s="268">
        <v>15</v>
      </c>
      <c r="H705" s="312" t="s">
        <v>3415</v>
      </c>
      <c r="I705" s="268" t="s">
        <v>3133</v>
      </c>
      <c r="J705" s="463">
        <v>158886.66999737729</v>
      </c>
      <c r="K705" s="458">
        <v>0</v>
      </c>
      <c r="L705" s="458">
        <v>11194.760870699611</v>
      </c>
      <c r="M705" s="458">
        <v>0</v>
      </c>
      <c r="N705" s="458">
        <v>119.49693843813893</v>
      </c>
      <c r="O705" s="461">
        <v>0</v>
      </c>
      <c r="P705" s="458">
        <v>278051.67249541025</v>
      </c>
      <c r="Q705" s="463">
        <v>55400.108403681625</v>
      </c>
      <c r="R705" s="458">
        <v>28710.821268526073</v>
      </c>
      <c r="S705" s="458">
        <v>1959.7497903854783</v>
      </c>
      <c r="T705" s="457"/>
      <c r="U705" s="425"/>
      <c r="V705" s="425"/>
      <c r="W705" s="425"/>
      <c r="X705" s="425"/>
      <c r="Y705" s="425"/>
      <c r="Z705" s="425"/>
      <c r="AA705" s="425"/>
      <c r="AB705" s="425"/>
      <c r="AC705" s="425"/>
      <c r="AD705" s="425"/>
      <c r="AE705" s="425"/>
      <c r="AG705" s="425"/>
      <c r="AH705" s="425"/>
      <c r="AI705" s="425"/>
      <c r="AJ705" s="425"/>
      <c r="AK705" s="425"/>
      <c r="AL705" s="425"/>
      <c r="AM705" s="425"/>
      <c r="AN705" s="425"/>
      <c r="AO705" s="425"/>
      <c r="AP705" s="425"/>
      <c r="AQ705" s="425"/>
    </row>
    <row r="706" spans="1:43" s="275" customFormat="1" x14ac:dyDescent="0.25">
      <c r="A706" s="268">
        <v>501443</v>
      </c>
      <c r="B706" s="268">
        <v>1443</v>
      </c>
      <c r="C706" s="268">
        <v>200025</v>
      </c>
      <c r="D706" s="268" t="s">
        <v>1290</v>
      </c>
      <c r="E706" s="268" t="s">
        <v>894</v>
      </c>
      <c r="F706" s="309" t="s">
        <v>3404</v>
      </c>
      <c r="G706" s="268">
        <v>6</v>
      </c>
      <c r="H706" s="312" t="s">
        <v>3416</v>
      </c>
      <c r="I706" s="268" t="s">
        <v>2483</v>
      </c>
      <c r="J706" s="463">
        <v>428617.81492746528</v>
      </c>
      <c r="K706" s="458">
        <v>0</v>
      </c>
      <c r="L706" s="458">
        <v>11194.760870699611</v>
      </c>
      <c r="M706" s="458">
        <v>0</v>
      </c>
      <c r="N706" s="458">
        <v>119.49693843813893</v>
      </c>
      <c r="O706" s="461">
        <v>0</v>
      </c>
      <c r="P706" s="458">
        <v>750081.17612306424</v>
      </c>
      <c r="Q706" s="463">
        <v>55400.108403681625</v>
      </c>
      <c r="R706" s="458">
        <v>77451.239157392978</v>
      </c>
      <c r="S706" s="458">
        <v>1959.7497903854783</v>
      </c>
      <c r="T706" s="457"/>
      <c r="U706" s="425"/>
      <c r="V706" s="425"/>
      <c r="W706" s="425"/>
      <c r="X706" s="425"/>
      <c r="Y706" s="425"/>
      <c r="Z706" s="425"/>
      <c r="AA706" s="425"/>
      <c r="AB706" s="425"/>
      <c r="AC706" s="425"/>
      <c r="AD706" s="425"/>
      <c r="AE706" s="425"/>
      <c r="AG706" s="425"/>
      <c r="AH706" s="425"/>
      <c r="AI706" s="425"/>
      <c r="AJ706" s="425"/>
      <c r="AK706" s="425"/>
      <c r="AL706" s="425"/>
      <c r="AM706" s="425"/>
      <c r="AN706" s="425"/>
      <c r="AO706" s="425"/>
      <c r="AP706" s="425"/>
      <c r="AQ706" s="425"/>
    </row>
    <row r="707" spans="1:43" s="275" customFormat="1" x14ac:dyDescent="0.25">
      <c r="A707" s="268">
        <v>501406</v>
      </c>
      <c r="B707" s="268">
        <v>1406</v>
      </c>
      <c r="C707" s="268">
        <v>200056</v>
      </c>
      <c r="D707" s="268" t="s">
        <v>1290</v>
      </c>
      <c r="E707" s="268" t="s">
        <v>894</v>
      </c>
      <c r="F707" s="309" t="s">
        <v>3404</v>
      </c>
      <c r="G707" s="268">
        <v>1110</v>
      </c>
      <c r="H707" s="312" t="s">
        <v>3417</v>
      </c>
      <c r="I707" s="268" t="s">
        <v>2879</v>
      </c>
      <c r="J707" s="463">
        <v>222076.20846221168</v>
      </c>
      <c r="K707" s="458">
        <v>0</v>
      </c>
      <c r="L707" s="458">
        <v>11194.760870699611</v>
      </c>
      <c r="M707" s="458">
        <v>0</v>
      </c>
      <c r="N707" s="458">
        <v>119.49693843813893</v>
      </c>
      <c r="O707" s="461">
        <v>0</v>
      </c>
      <c r="P707" s="458">
        <v>388633.36480887042</v>
      </c>
      <c r="Q707" s="463">
        <v>55400.108403681625</v>
      </c>
      <c r="R707" s="458">
        <v>40129.170869121648</v>
      </c>
      <c r="S707" s="458">
        <v>1959.7497903854783</v>
      </c>
      <c r="T707" s="457"/>
      <c r="U707" s="425"/>
      <c r="V707" s="425"/>
      <c r="W707" s="425"/>
      <c r="X707" s="425"/>
      <c r="Y707" s="425"/>
      <c r="Z707" s="425"/>
      <c r="AA707" s="425"/>
      <c r="AB707" s="425"/>
      <c r="AC707" s="425"/>
      <c r="AD707" s="425"/>
      <c r="AE707" s="425"/>
      <c r="AG707" s="425"/>
      <c r="AH707" s="425"/>
      <c r="AI707" s="425"/>
      <c r="AJ707" s="425"/>
      <c r="AK707" s="425"/>
      <c r="AL707" s="425"/>
      <c r="AM707" s="425"/>
      <c r="AN707" s="425"/>
      <c r="AO707" s="425"/>
      <c r="AP707" s="425"/>
      <c r="AQ707" s="425"/>
    </row>
    <row r="708" spans="1:43" s="275" customFormat="1" x14ac:dyDescent="0.25">
      <c r="A708" s="416">
        <v>501506</v>
      </c>
      <c r="B708" s="268">
        <v>1506</v>
      </c>
      <c r="C708" s="268">
        <v>200114</v>
      </c>
      <c r="D708" s="268" t="s">
        <v>1278</v>
      </c>
      <c r="E708" s="268" t="s">
        <v>894</v>
      </c>
      <c r="F708" s="309" t="s">
        <v>3404</v>
      </c>
      <c r="G708" s="268">
        <v>1110</v>
      </c>
      <c r="H708" s="312" t="s">
        <v>3418</v>
      </c>
      <c r="I708" s="268" t="s">
        <v>2929</v>
      </c>
      <c r="J708" s="463">
        <v>222076.20846221168</v>
      </c>
      <c r="K708" s="458">
        <v>0</v>
      </c>
      <c r="L708" s="458">
        <v>11194.760870699611</v>
      </c>
      <c r="M708" s="458">
        <v>0</v>
      </c>
      <c r="N708" s="458">
        <v>119.49693843813893</v>
      </c>
      <c r="O708" s="461">
        <v>0</v>
      </c>
      <c r="P708" s="458">
        <v>388633.36480887042</v>
      </c>
      <c r="Q708" s="463">
        <v>55400.108403681625</v>
      </c>
      <c r="R708" s="458">
        <v>40129.170869121648</v>
      </c>
      <c r="S708" s="458">
        <v>1959.7497903854783</v>
      </c>
      <c r="T708" s="457"/>
      <c r="U708" s="425"/>
      <c r="V708" s="425"/>
      <c r="W708" s="425"/>
      <c r="X708" s="425"/>
      <c r="Y708" s="425"/>
      <c r="Z708" s="425"/>
      <c r="AA708" s="425"/>
      <c r="AB708" s="425"/>
      <c r="AC708" s="425"/>
      <c r="AD708" s="425"/>
      <c r="AE708" s="425"/>
      <c r="AG708" s="425"/>
      <c r="AH708" s="425"/>
      <c r="AI708" s="425"/>
      <c r="AJ708" s="425"/>
      <c r="AK708" s="425"/>
      <c r="AL708" s="425"/>
      <c r="AM708" s="425"/>
      <c r="AN708" s="425"/>
      <c r="AO708" s="425"/>
      <c r="AP708" s="425"/>
      <c r="AQ708" s="425"/>
    </row>
    <row r="709" spans="1:43" s="275" customFormat="1" x14ac:dyDescent="0.25">
      <c r="A709" s="268">
        <v>501443</v>
      </c>
      <c r="B709" s="268">
        <v>1443</v>
      </c>
      <c r="C709" s="268">
        <v>200164</v>
      </c>
      <c r="D709" s="268" t="s">
        <v>1278</v>
      </c>
      <c r="E709" s="268" t="s">
        <v>894</v>
      </c>
      <c r="F709" s="309" t="s">
        <v>3404</v>
      </c>
      <c r="G709" s="268">
        <v>16</v>
      </c>
      <c r="H709" s="312" t="s">
        <v>3419</v>
      </c>
      <c r="I709" s="268" t="s">
        <v>3201</v>
      </c>
      <c r="J709" s="458">
        <v>165149.19473404271</v>
      </c>
      <c r="K709" s="458">
        <v>0</v>
      </c>
      <c r="L709" s="458">
        <v>11194.760870699611</v>
      </c>
      <c r="M709" s="458">
        <v>0</v>
      </c>
      <c r="N709" s="458">
        <v>119.49693843813893</v>
      </c>
      <c r="O709" s="461">
        <v>0</v>
      </c>
      <c r="P709" s="458">
        <v>287791.2262046854</v>
      </c>
      <c r="Q709" s="463">
        <v>55400.108403681625</v>
      </c>
      <c r="R709" s="458">
        <v>29716.499757249516</v>
      </c>
      <c r="S709" s="458">
        <v>1959.7497903854783</v>
      </c>
      <c r="T709" s="457"/>
      <c r="U709" s="425"/>
      <c r="V709" s="425"/>
      <c r="W709" s="425"/>
      <c r="X709" s="425"/>
      <c r="Y709" s="425"/>
      <c r="Z709" s="425"/>
      <c r="AA709" s="425"/>
      <c r="AB709" s="425"/>
      <c r="AC709" s="425"/>
      <c r="AD709" s="425"/>
      <c r="AE709" s="425"/>
      <c r="AG709" s="425"/>
      <c r="AH709" s="425"/>
      <c r="AI709" s="425"/>
      <c r="AJ709" s="425"/>
      <c r="AK709" s="425"/>
      <c r="AL709" s="425"/>
      <c r="AM709" s="425"/>
      <c r="AN709" s="425"/>
      <c r="AO709" s="425"/>
      <c r="AP709" s="425"/>
      <c r="AQ709" s="425"/>
    </row>
    <row r="710" spans="1:43" s="275" customFormat="1" x14ac:dyDescent="0.25">
      <c r="A710" s="268">
        <v>501205</v>
      </c>
      <c r="B710" s="268">
        <v>1205</v>
      </c>
      <c r="C710" s="268">
        <v>200186</v>
      </c>
      <c r="D710" s="268" t="s">
        <v>1290</v>
      </c>
      <c r="E710" s="268" t="s">
        <v>894</v>
      </c>
      <c r="F710" s="309" t="s">
        <v>3404</v>
      </c>
      <c r="G710" s="268">
        <v>5</v>
      </c>
      <c r="H710" s="312" t="s">
        <v>3420</v>
      </c>
      <c r="I710" s="268" t="s">
        <v>3421</v>
      </c>
      <c r="J710" s="463">
        <v>539041.83766937512</v>
      </c>
      <c r="K710" s="458">
        <v>0</v>
      </c>
      <c r="L710" s="458">
        <v>11194.760870699611</v>
      </c>
      <c r="M710" s="458">
        <v>0</v>
      </c>
      <c r="N710" s="458">
        <v>119.49693843813893</v>
      </c>
      <c r="O710" s="461">
        <v>0</v>
      </c>
      <c r="P710" s="458">
        <v>943323.21592140652</v>
      </c>
      <c r="Q710" s="463">
        <v>55400.108403681625</v>
      </c>
      <c r="R710" s="458">
        <v>97404.860066856083</v>
      </c>
      <c r="S710" s="458">
        <v>1959.7497903854783</v>
      </c>
      <c r="T710" s="457"/>
      <c r="U710" s="425"/>
      <c r="V710" s="425"/>
      <c r="W710" s="425"/>
      <c r="X710" s="425"/>
      <c r="Y710" s="425"/>
      <c r="Z710" s="425"/>
      <c r="AA710" s="425"/>
      <c r="AB710" s="425"/>
      <c r="AC710" s="425"/>
      <c r="AD710" s="425"/>
      <c r="AE710" s="425"/>
      <c r="AG710" s="425"/>
      <c r="AH710" s="425"/>
      <c r="AI710" s="425"/>
      <c r="AJ710" s="425"/>
      <c r="AK710" s="425"/>
      <c r="AL710" s="425"/>
      <c r="AM710" s="425"/>
      <c r="AN710" s="425"/>
      <c r="AO710" s="425"/>
      <c r="AP710" s="425"/>
      <c r="AQ710" s="425"/>
    </row>
    <row r="711" spans="1:43" s="275" customFormat="1" x14ac:dyDescent="0.25">
      <c r="A711" s="416">
        <v>501443</v>
      </c>
      <c r="B711" s="268">
        <v>1443</v>
      </c>
      <c r="C711" s="268">
        <v>200215</v>
      </c>
      <c r="D711" s="268" t="s">
        <v>1278</v>
      </c>
      <c r="E711" s="268" t="s">
        <v>894</v>
      </c>
      <c r="F711" s="309" t="s">
        <v>3404</v>
      </c>
      <c r="G711" s="268"/>
      <c r="H711" s="312" t="s">
        <v>3422</v>
      </c>
      <c r="I711" s="268" t="s">
        <v>3423</v>
      </c>
      <c r="J711" s="463">
        <v>273515.21464729571</v>
      </c>
      <c r="K711" s="458">
        <v>0</v>
      </c>
      <c r="L711" s="458">
        <v>11194.760870699611</v>
      </c>
      <c r="M711" s="458">
        <v>0</v>
      </c>
      <c r="N711" s="458">
        <v>119.49693843813893</v>
      </c>
      <c r="O711" s="461">
        <v>0</v>
      </c>
      <c r="P711" s="458">
        <v>478651.62563276751</v>
      </c>
      <c r="Q711" s="463">
        <v>55400.108403681625</v>
      </c>
      <c r="R711" s="458">
        <v>49424.199286766336</v>
      </c>
      <c r="S711" s="458">
        <v>1959.7497903854783</v>
      </c>
      <c r="T711" s="457"/>
      <c r="U711" s="425"/>
      <c r="V711" s="425"/>
      <c r="W711" s="425"/>
      <c r="X711" s="425"/>
      <c r="Y711" s="425"/>
      <c r="Z711" s="425"/>
      <c r="AA711" s="425"/>
      <c r="AB711" s="425"/>
      <c r="AC711" s="425"/>
      <c r="AD711" s="425"/>
      <c r="AE711" s="425"/>
      <c r="AG711" s="425"/>
      <c r="AH711" s="425"/>
      <c r="AI711" s="425"/>
      <c r="AJ711" s="425"/>
      <c r="AK711" s="425"/>
      <c r="AL711" s="425"/>
      <c r="AM711" s="425"/>
      <c r="AN711" s="425"/>
      <c r="AO711" s="425"/>
      <c r="AP711" s="425"/>
      <c r="AQ711" s="425"/>
    </row>
    <row r="712" spans="1:43" s="275" customFormat="1" x14ac:dyDescent="0.25">
      <c r="A712" s="416">
        <v>501406</v>
      </c>
      <c r="B712" s="268">
        <v>1406</v>
      </c>
      <c r="C712" s="268">
        <v>200228</v>
      </c>
      <c r="D712" s="268" t="s">
        <v>1278</v>
      </c>
      <c r="E712" s="268" t="s">
        <v>894</v>
      </c>
      <c r="F712" s="309" t="s">
        <v>3404</v>
      </c>
      <c r="G712" s="268"/>
      <c r="H712" s="312" t="s">
        <v>3424</v>
      </c>
      <c r="I712" s="268" t="s">
        <v>2801</v>
      </c>
      <c r="J712" s="463">
        <v>273515.21464729571</v>
      </c>
      <c r="K712" s="458">
        <v>0</v>
      </c>
      <c r="L712" s="458">
        <v>11194.760870699611</v>
      </c>
      <c r="M712" s="458">
        <v>0</v>
      </c>
      <c r="N712" s="458">
        <v>119.49693843813893</v>
      </c>
      <c r="O712" s="461">
        <v>0</v>
      </c>
      <c r="P712" s="458">
        <v>478651.62563276751</v>
      </c>
      <c r="Q712" s="463">
        <v>55400.108403681625</v>
      </c>
      <c r="R712" s="458">
        <v>49424.199286766336</v>
      </c>
      <c r="S712" s="458">
        <v>1959.7497903854783</v>
      </c>
      <c r="T712" s="457"/>
      <c r="U712" s="425"/>
      <c r="V712" s="425"/>
      <c r="W712" s="425"/>
      <c r="X712" s="425"/>
      <c r="Y712" s="425"/>
      <c r="Z712" s="425"/>
      <c r="AA712" s="425"/>
      <c r="AB712" s="425"/>
      <c r="AC712" s="425"/>
      <c r="AD712" s="425"/>
      <c r="AE712" s="425"/>
      <c r="AG712" s="425"/>
      <c r="AH712" s="425"/>
      <c r="AI712" s="425"/>
      <c r="AJ712" s="425"/>
      <c r="AK712" s="425"/>
      <c r="AL712" s="425"/>
      <c r="AM712" s="425"/>
      <c r="AN712" s="425"/>
      <c r="AO712" s="425"/>
      <c r="AP712" s="425"/>
      <c r="AQ712" s="425"/>
    </row>
    <row r="713" spans="1:43" s="275" customFormat="1" x14ac:dyDescent="0.25">
      <c r="A713" s="416">
        <v>501406</v>
      </c>
      <c r="B713" s="268">
        <v>1406</v>
      </c>
      <c r="C713" s="268">
        <v>200233</v>
      </c>
      <c r="D713" s="268" t="s">
        <v>1290</v>
      </c>
      <c r="E713" s="268" t="s">
        <v>894</v>
      </c>
      <c r="F713" s="309" t="s">
        <v>3404</v>
      </c>
      <c r="G713" s="268"/>
      <c r="H713" s="312" t="s">
        <v>3425</v>
      </c>
      <c r="I713" s="268" t="s">
        <v>2801</v>
      </c>
      <c r="J713" s="463">
        <v>273515.21464729571</v>
      </c>
      <c r="K713" s="458">
        <v>0</v>
      </c>
      <c r="L713" s="458">
        <v>11194.760870699611</v>
      </c>
      <c r="M713" s="458">
        <v>0</v>
      </c>
      <c r="N713" s="458">
        <v>119.49693843813893</v>
      </c>
      <c r="O713" s="461">
        <v>0</v>
      </c>
      <c r="P713" s="458">
        <v>478651.62563276751</v>
      </c>
      <c r="Q713" s="463">
        <v>55400.108403681625</v>
      </c>
      <c r="R713" s="458">
        <v>49424.199286766336</v>
      </c>
      <c r="S713" s="458">
        <v>1959.7497903854783</v>
      </c>
      <c r="T713" s="457"/>
      <c r="U713" s="425"/>
      <c r="V713" s="425"/>
      <c r="W713" s="425"/>
      <c r="X713" s="425"/>
      <c r="Y713" s="425"/>
      <c r="Z713" s="425"/>
      <c r="AA713" s="425"/>
      <c r="AB713" s="425"/>
      <c r="AC713" s="425"/>
      <c r="AD713" s="425"/>
      <c r="AE713" s="425"/>
      <c r="AG713" s="425"/>
      <c r="AH713" s="425"/>
      <c r="AI713" s="425"/>
      <c r="AJ713" s="425"/>
      <c r="AK713" s="425"/>
      <c r="AL713" s="425"/>
      <c r="AM713" s="425"/>
      <c r="AN713" s="425"/>
      <c r="AO713" s="425"/>
      <c r="AP713" s="425"/>
      <c r="AQ713" s="425"/>
    </row>
    <row r="714" spans="1:43" s="275" customFormat="1" x14ac:dyDescent="0.25">
      <c r="A714" s="416">
        <v>501206</v>
      </c>
      <c r="B714" s="268">
        <v>1206</v>
      </c>
      <c r="C714" s="268">
        <v>200244</v>
      </c>
      <c r="D714" s="268" t="s">
        <v>1278</v>
      </c>
      <c r="E714" s="268" t="s">
        <v>1698</v>
      </c>
      <c r="F714" s="309" t="s">
        <v>3404</v>
      </c>
      <c r="G714" s="268">
        <v>6</v>
      </c>
      <c r="H714" s="312" t="s">
        <v>3426</v>
      </c>
      <c r="I714" s="268" t="s">
        <v>3427</v>
      </c>
      <c r="J714" s="463">
        <v>405293.78286935447</v>
      </c>
      <c r="K714" s="458">
        <v>0</v>
      </c>
      <c r="L714" s="458">
        <v>11194.760870699611</v>
      </c>
      <c r="M714" s="458">
        <v>0</v>
      </c>
      <c r="N714" s="458">
        <v>119.49693843813893</v>
      </c>
      <c r="O714" s="461">
        <v>0</v>
      </c>
      <c r="P714" s="458">
        <v>709264.12002137036</v>
      </c>
      <c r="Q714" s="463">
        <v>55400.108403681625</v>
      </c>
      <c r="R714" s="458">
        <v>73236.586564492347</v>
      </c>
      <c r="S714" s="458">
        <v>1959.7497903854783</v>
      </c>
      <c r="T714" s="457"/>
      <c r="U714" s="425"/>
      <c r="V714" s="425"/>
      <c r="W714" s="425"/>
      <c r="X714" s="425"/>
      <c r="Y714" s="425"/>
      <c r="Z714" s="425"/>
      <c r="AA714" s="425"/>
      <c r="AB714" s="425"/>
      <c r="AC714" s="425"/>
      <c r="AD714" s="425"/>
      <c r="AE714" s="425"/>
      <c r="AG714" s="425"/>
      <c r="AH714" s="425"/>
      <c r="AI714" s="425"/>
      <c r="AJ714" s="425"/>
      <c r="AK714" s="425"/>
      <c r="AL714" s="425"/>
      <c r="AM714" s="425"/>
      <c r="AN714" s="425"/>
      <c r="AO714" s="425"/>
      <c r="AP714" s="425"/>
      <c r="AQ714" s="425"/>
    </row>
    <row r="715" spans="1:43" s="275" customFormat="1" x14ac:dyDescent="0.25">
      <c r="A715" s="268">
        <v>501506</v>
      </c>
      <c r="B715" s="268">
        <v>1506</v>
      </c>
      <c r="C715" s="268">
        <v>200263</v>
      </c>
      <c r="D715" s="268" t="s">
        <v>1278</v>
      </c>
      <c r="E715" s="268" t="s">
        <v>894</v>
      </c>
      <c r="F715" s="309" t="s">
        <v>3404</v>
      </c>
      <c r="G715" s="268">
        <v>16</v>
      </c>
      <c r="H715" s="312" t="s">
        <v>3428</v>
      </c>
      <c r="I715" s="268" t="s">
        <v>3201</v>
      </c>
      <c r="J715" s="463">
        <v>152093.04775654236</v>
      </c>
      <c r="K715" s="458">
        <v>0</v>
      </c>
      <c r="L715" s="458">
        <v>11194.760870699611</v>
      </c>
      <c r="M715" s="458">
        <v>0</v>
      </c>
      <c r="N715" s="458">
        <v>119.49693843813893</v>
      </c>
      <c r="O715" s="461">
        <v>0</v>
      </c>
      <c r="P715" s="458">
        <v>266162.83357394912</v>
      </c>
      <c r="Q715" s="463">
        <v>55400.108403681625</v>
      </c>
      <c r="R715" s="458">
        <v>27483.213729607203</v>
      </c>
      <c r="S715" s="458">
        <v>1959.7497903854783</v>
      </c>
      <c r="T715" s="457"/>
      <c r="U715" s="425"/>
      <c r="V715" s="425"/>
      <c r="W715" s="425"/>
      <c r="X715" s="425"/>
      <c r="Y715" s="425"/>
      <c r="Z715" s="425"/>
      <c r="AA715" s="425"/>
      <c r="AB715" s="425"/>
      <c r="AC715" s="425"/>
      <c r="AD715" s="425"/>
      <c r="AE715" s="425"/>
      <c r="AG715" s="425"/>
      <c r="AH715" s="425"/>
      <c r="AI715" s="425"/>
      <c r="AJ715" s="425"/>
      <c r="AK715" s="425"/>
      <c r="AL715" s="425"/>
      <c r="AM715" s="425"/>
      <c r="AN715" s="425"/>
      <c r="AO715" s="425"/>
      <c r="AP715" s="425"/>
      <c r="AQ715" s="425"/>
    </row>
    <row r="716" spans="1:43" s="275" customFormat="1" x14ac:dyDescent="0.25">
      <c r="A716" s="268">
        <v>501445</v>
      </c>
      <c r="B716" s="268">
        <v>1445</v>
      </c>
      <c r="C716" s="268">
        <v>200294</v>
      </c>
      <c r="D716" s="268" t="s">
        <v>1290</v>
      </c>
      <c r="E716" s="268" t="s">
        <v>894</v>
      </c>
      <c r="F716" s="309" t="s">
        <v>3404</v>
      </c>
      <c r="G716" s="268">
        <v>16</v>
      </c>
      <c r="H716" s="312" t="s">
        <v>3429</v>
      </c>
      <c r="I716" s="268" t="s">
        <v>3201</v>
      </c>
      <c r="J716" s="463">
        <v>152093.04775654236</v>
      </c>
      <c r="K716" s="458">
        <v>0</v>
      </c>
      <c r="L716" s="458">
        <v>11194.760870699611</v>
      </c>
      <c r="M716" s="458">
        <v>0</v>
      </c>
      <c r="N716" s="458">
        <v>119.49693843813893</v>
      </c>
      <c r="O716" s="461">
        <v>0</v>
      </c>
      <c r="P716" s="458">
        <v>266162.83357394912</v>
      </c>
      <c r="Q716" s="463">
        <v>55400.108403681625</v>
      </c>
      <c r="R716" s="464">
        <v>27483.213729607203</v>
      </c>
      <c r="S716" s="458">
        <v>1959.7497903854783</v>
      </c>
      <c r="T716" s="457"/>
      <c r="U716" s="425"/>
      <c r="V716" s="425"/>
      <c r="W716" s="425"/>
      <c r="X716" s="425"/>
      <c r="Y716" s="425"/>
      <c r="Z716" s="425"/>
      <c r="AA716" s="425"/>
      <c r="AB716" s="425"/>
      <c r="AC716" s="425"/>
      <c r="AD716" s="425"/>
      <c r="AE716" s="425"/>
      <c r="AG716" s="425"/>
      <c r="AH716" s="425"/>
      <c r="AI716" s="425"/>
      <c r="AJ716" s="425"/>
      <c r="AK716" s="425"/>
      <c r="AL716" s="425"/>
      <c r="AM716" s="425"/>
      <c r="AN716" s="425"/>
      <c r="AO716" s="425"/>
      <c r="AP716" s="425"/>
      <c r="AQ716" s="425"/>
    </row>
    <row r="717" spans="1:43" s="275" customFormat="1" x14ac:dyDescent="0.25">
      <c r="A717" s="268">
        <v>501444</v>
      </c>
      <c r="B717" s="268">
        <v>1444</v>
      </c>
      <c r="C717" s="268">
        <v>200314</v>
      </c>
      <c r="D717" s="268" t="s">
        <v>1290</v>
      </c>
      <c r="E717" s="268" t="s">
        <v>894</v>
      </c>
      <c r="F717" s="309" t="s">
        <v>3404</v>
      </c>
      <c r="G717" s="268">
        <v>8</v>
      </c>
      <c r="H717" s="312" t="s">
        <v>3430</v>
      </c>
      <c r="I717" s="268" t="s">
        <v>2689</v>
      </c>
      <c r="J717" s="463">
        <v>317109.46811454272</v>
      </c>
      <c r="K717" s="458">
        <v>0</v>
      </c>
      <c r="L717" s="458">
        <v>11194.760870699611</v>
      </c>
      <c r="M717" s="458">
        <v>0</v>
      </c>
      <c r="N717" s="458">
        <v>119.49693843813893</v>
      </c>
      <c r="O717" s="461">
        <v>0</v>
      </c>
      <c r="P717" s="458">
        <v>554941.56920044974</v>
      </c>
      <c r="Q717" s="463">
        <v>55400.108403681625</v>
      </c>
      <c r="R717" s="464">
        <v>57301.680888297866</v>
      </c>
      <c r="S717" s="458">
        <v>1959.7497903854783</v>
      </c>
      <c r="T717" s="457"/>
      <c r="U717" s="425"/>
      <c r="V717" s="425"/>
      <c r="W717" s="425"/>
      <c r="X717" s="425"/>
      <c r="Y717" s="425"/>
      <c r="Z717" s="425"/>
      <c r="AA717" s="425"/>
      <c r="AB717" s="425"/>
      <c r="AC717" s="425"/>
      <c r="AD717" s="425"/>
      <c r="AE717" s="425"/>
      <c r="AG717" s="425"/>
      <c r="AH717" s="425"/>
      <c r="AI717" s="425"/>
      <c r="AJ717" s="425"/>
      <c r="AK717" s="425"/>
      <c r="AL717" s="425"/>
      <c r="AM717" s="425"/>
      <c r="AN717" s="425"/>
      <c r="AO717" s="425"/>
      <c r="AP717" s="425"/>
      <c r="AQ717" s="425"/>
    </row>
    <row r="718" spans="1:43" s="270" customFormat="1" x14ac:dyDescent="0.25">
      <c r="A718" s="267">
        <v>501101</v>
      </c>
      <c r="B718" s="267">
        <v>1101</v>
      </c>
      <c r="C718" s="267">
        <v>51680</v>
      </c>
      <c r="D718" s="268" t="s">
        <v>1290</v>
      </c>
      <c r="E718" s="268" t="s">
        <v>894</v>
      </c>
      <c r="F718" s="309" t="s">
        <v>3404</v>
      </c>
      <c r="G718" s="268">
        <v>5</v>
      </c>
      <c r="H718" s="268" t="s">
        <v>3431</v>
      </c>
      <c r="I718" s="268" t="s">
        <v>2301</v>
      </c>
      <c r="J718" s="456">
        <v>585258.38506345905</v>
      </c>
      <c r="K718" s="458">
        <v>0</v>
      </c>
      <c r="L718" s="458">
        <v>11194.760870699611</v>
      </c>
      <c r="M718" s="456">
        <v>3872.5859679026498</v>
      </c>
      <c r="N718" s="456">
        <v>119.49693843813893</v>
      </c>
      <c r="O718" s="456">
        <v>167948.52116226949</v>
      </c>
      <c r="P718" s="458">
        <v>1024202.1738610533</v>
      </c>
      <c r="Q718" s="463">
        <v>55400.108403681625</v>
      </c>
      <c r="R718" s="464">
        <v>105756.19018096704</v>
      </c>
      <c r="S718" s="456">
        <v>1959.7497903854783</v>
      </c>
      <c r="T718" s="457"/>
      <c r="U718" s="425"/>
      <c r="V718" s="425"/>
      <c r="W718" s="425"/>
      <c r="X718" s="425"/>
      <c r="Y718" s="425"/>
      <c r="Z718" s="425"/>
      <c r="AA718" s="425"/>
      <c r="AB718" s="425"/>
      <c r="AC718" s="425"/>
      <c r="AD718" s="425"/>
      <c r="AE718" s="425"/>
      <c r="AG718" s="425"/>
      <c r="AH718" s="425"/>
      <c r="AI718" s="425"/>
      <c r="AJ718" s="425"/>
      <c r="AK718" s="425"/>
      <c r="AL718" s="425"/>
      <c r="AM718" s="425"/>
      <c r="AN718" s="425"/>
      <c r="AO718" s="425"/>
      <c r="AP718" s="425"/>
      <c r="AQ718" s="425"/>
    </row>
    <row r="719" spans="1:43" s="270" customFormat="1" x14ac:dyDescent="0.25">
      <c r="A719" s="271">
        <v>501206</v>
      </c>
      <c r="B719" s="271">
        <v>1206</v>
      </c>
      <c r="C719" s="271">
        <v>200448</v>
      </c>
      <c r="D719" s="268" t="s">
        <v>1290</v>
      </c>
      <c r="E719" s="268" t="s">
        <v>894</v>
      </c>
      <c r="F719" s="309" t="s">
        <v>3404</v>
      </c>
      <c r="G719" s="268">
        <v>3</v>
      </c>
      <c r="H719" s="268" t="s">
        <v>3432</v>
      </c>
      <c r="I719" s="268" t="s">
        <v>3433</v>
      </c>
      <c r="J719" s="458">
        <v>758141.68720197014</v>
      </c>
      <c r="K719" s="458">
        <v>0</v>
      </c>
      <c r="L719" s="458">
        <v>11194.760870699611</v>
      </c>
      <c r="M719" s="456">
        <v>8298.3985026485352</v>
      </c>
      <c r="N719" s="458">
        <v>119.49693843813893</v>
      </c>
      <c r="O719" s="458">
        <v>216023.90982094666</v>
      </c>
      <c r="P719" s="458">
        <v>1326747.9526034477</v>
      </c>
      <c r="Q719" s="463">
        <v>55400.108403681625</v>
      </c>
      <c r="R719" s="458">
        <v>136996.20287739602</v>
      </c>
      <c r="S719" s="456">
        <v>1959.7497903854783</v>
      </c>
      <c r="T719" s="457"/>
      <c r="U719" s="425"/>
      <c r="V719" s="425"/>
      <c r="W719" s="425"/>
      <c r="X719" s="425"/>
      <c r="Y719" s="425"/>
      <c r="Z719" s="425"/>
      <c r="AA719" s="425"/>
      <c r="AB719" s="425"/>
      <c r="AC719" s="425"/>
      <c r="AD719" s="425"/>
      <c r="AE719" s="425"/>
      <c r="AG719" s="425"/>
      <c r="AH719" s="425"/>
      <c r="AI719" s="425"/>
      <c r="AJ719" s="425"/>
      <c r="AK719" s="425"/>
      <c r="AL719" s="425"/>
      <c r="AM719" s="425"/>
      <c r="AN719" s="425"/>
      <c r="AO719" s="425"/>
      <c r="AP719" s="425"/>
      <c r="AQ719" s="425"/>
    </row>
    <row r="720" spans="1:43" s="270" customFormat="1" x14ac:dyDescent="0.25">
      <c r="A720" s="270">
        <v>501444</v>
      </c>
      <c r="B720" s="271"/>
      <c r="C720" s="271">
        <v>200062</v>
      </c>
      <c r="D720" s="268" t="s">
        <v>1290</v>
      </c>
      <c r="E720" s="268" t="s">
        <v>894</v>
      </c>
      <c r="F720" s="317" t="s">
        <v>3404</v>
      </c>
      <c r="G720" s="268"/>
      <c r="H720" s="268" t="s">
        <v>3434</v>
      </c>
      <c r="I720" s="268" t="s">
        <v>3435</v>
      </c>
      <c r="J720" s="463">
        <v>164452.12925982024</v>
      </c>
      <c r="K720" s="458">
        <v>0</v>
      </c>
      <c r="L720" s="458">
        <v>11194.760870699611</v>
      </c>
      <c r="M720" s="456">
        <v>0</v>
      </c>
      <c r="N720" s="458">
        <v>119.49693843813893</v>
      </c>
      <c r="O720" s="458">
        <v>0</v>
      </c>
      <c r="P720" s="458">
        <v>0</v>
      </c>
      <c r="Q720" s="463">
        <v>55400.108403681625</v>
      </c>
      <c r="R720" s="458">
        <v>29716.499757249516</v>
      </c>
      <c r="S720" s="456">
        <v>1959.7497903854783</v>
      </c>
      <c r="T720" s="457"/>
      <c r="U720" s="425"/>
      <c r="V720" s="425"/>
      <c r="W720" s="425"/>
      <c r="X720" s="425"/>
      <c r="Y720" s="425"/>
      <c r="Z720" s="425"/>
      <c r="AA720" s="425"/>
      <c r="AB720" s="425"/>
      <c r="AC720" s="425"/>
      <c r="AD720" s="425"/>
      <c r="AE720" s="425"/>
      <c r="AG720" s="425"/>
      <c r="AH720" s="425"/>
      <c r="AI720" s="425"/>
      <c r="AJ720" s="425"/>
      <c r="AK720" s="425"/>
      <c r="AL720" s="425"/>
      <c r="AM720" s="425"/>
      <c r="AN720" s="425"/>
      <c r="AO720" s="425"/>
      <c r="AP720" s="425"/>
      <c r="AQ720" s="425"/>
    </row>
    <row r="721" spans="1:43" s="270" customFormat="1" x14ac:dyDescent="0.25">
      <c r="A721" s="271">
        <v>501445</v>
      </c>
      <c r="B721" s="271">
        <v>1445</v>
      </c>
      <c r="C721" s="271">
        <v>200294</v>
      </c>
      <c r="D721" s="268" t="s">
        <v>1290</v>
      </c>
      <c r="E721" s="268" t="s">
        <v>894</v>
      </c>
      <c r="F721" s="309" t="s">
        <v>3404</v>
      </c>
      <c r="G721" s="268" t="s">
        <v>894</v>
      </c>
      <c r="H721" s="268" t="s">
        <v>3436</v>
      </c>
      <c r="I721" s="268" t="s">
        <v>3201</v>
      </c>
      <c r="J721" s="458">
        <v>165149.19473404271</v>
      </c>
      <c r="K721" s="458">
        <v>0</v>
      </c>
      <c r="L721" s="458">
        <v>11194.760870699611</v>
      </c>
      <c r="M721" s="458">
        <v>0</v>
      </c>
      <c r="N721" s="456">
        <v>119.86575614936774</v>
      </c>
      <c r="O721" s="458">
        <v>0</v>
      </c>
      <c r="P721" s="458">
        <v>289011.09078457474</v>
      </c>
      <c r="Q721" s="463">
        <v>55400.108403681625</v>
      </c>
      <c r="R721" s="458">
        <v>29842.45948844152</v>
      </c>
      <c r="S721" s="456">
        <v>1959.7497903854783</v>
      </c>
      <c r="T721" s="457"/>
      <c r="U721" s="425"/>
      <c r="V721" s="425"/>
      <c r="W721" s="425"/>
      <c r="X721" s="425"/>
      <c r="Y721" s="425"/>
      <c r="Z721" s="425"/>
      <c r="AA721" s="425"/>
      <c r="AB721" s="425"/>
      <c r="AC721" s="425"/>
      <c r="AD721" s="425"/>
      <c r="AE721" s="425"/>
      <c r="AG721" s="425"/>
      <c r="AH721" s="425"/>
      <c r="AI721" s="425"/>
      <c r="AJ721" s="425"/>
      <c r="AK721" s="425"/>
      <c r="AL721" s="425"/>
      <c r="AM721" s="425"/>
      <c r="AN721" s="425"/>
      <c r="AO721" s="425"/>
      <c r="AP721" s="425"/>
      <c r="AQ721" s="425"/>
    </row>
    <row r="722" spans="1:43" s="270" customFormat="1" x14ac:dyDescent="0.25">
      <c r="A722" s="271">
        <v>501107</v>
      </c>
      <c r="B722" s="271">
        <v>1107</v>
      </c>
      <c r="C722" s="271">
        <v>200499</v>
      </c>
      <c r="D722" s="268" t="s">
        <v>2674</v>
      </c>
      <c r="E722" s="268" t="s">
        <v>1278</v>
      </c>
      <c r="F722" s="309" t="s">
        <v>3404</v>
      </c>
      <c r="G722" s="268" t="s">
        <v>894</v>
      </c>
      <c r="H722" s="268" t="s">
        <v>3437</v>
      </c>
      <c r="I722" s="268" t="s">
        <v>3438</v>
      </c>
      <c r="J722" s="458">
        <v>87050.200292783135</v>
      </c>
      <c r="K722" s="458">
        <v>0</v>
      </c>
      <c r="L722" s="458">
        <v>0</v>
      </c>
      <c r="M722" s="456">
        <v>0</v>
      </c>
      <c r="N722" s="456">
        <v>0</v>
      </c>
      <c r="O722" s="458">
        <v>0</v>
      </c>
      <c r="P722" s="456">
        <v>0</v>
      </c>
      <c r="Q722" s="456">
        <v>0</v>
      </c>
      <c r="R722" s="456">
        <v>0</v>
      </c>
      <c r="S722" s="458">
        <v>0</v>
      </c>
      <c r="T722" s="457"/>
      <c r="U722" s="425"/>
      <c r="V722" s="425"/>
      <c r="W722" s="425"/>
      <c r="X722" s="425"/>
      <c r="Y722" s="425"/>
      <c r="Z722" s="425"/>
      <c r="AA722" s="425"/>
      <c r="AB722" s="425"/>
      <c r="AC722" s="425"/>
      <c r="AD722" s="425"/>
      <c r="AE722" s="425"/>
      <c r="AG722" s="425"/>
      <c r="AH722" s="425"/>
      <c r="AI722" s="425"/>
      <c r="AJ722" s="425"/>
      <c r="AK722" s="425"/>
      <c r="AL722" s="425"/>
      <c r="AM722" s="425"/>
      <c r="AN722" s="425"/>
      <c r="AO722" s="425"/>
      <c r="AP722" s="425"/>
      <c r="AQ722" s="425"/>
    </row>
    <row r="723" spans="1:43" s="270" customFormat="1" x14ac:dyDescent="0.25">
      <c r="A723" s="271">
        <v>501107</v>
      </c>
      <c r="B723" s="271">
        <v>1107</v>
      </c>
      <c r="C723" s="271">
        <v>200505</v>
      </c>
      <c r="D723" s="268" t="s">
        <v>776</v>
      </c>
      <c r="E723" s="268" t="s">
        <v>1278</v>
      </c>
      <c r="F723" s="309" t="s">
        <v>3404</v>
      </c>
      <c r="G723" s="268" t="s">
        <v>894</v>
      </c>
      <c r="H723" s="268" t="s">
        <v>3439</v>
      </c>
      <c r="I723" s="268" t="s">
        <v>3438</v>
      </c>
      <c r="J723" s="458">
        <v>87050.200292783135</v>
      </c>
      <c r="K723" s="458">
        <v>0</v>
      </c>
      <c r="L723" s="458">
        <v>0</v>
      </c>
      <c r="M723" s="456">
        <v>0</v>
      </c>
      <c r="N723" s="456">
        <v>0</v>
      </c>
      <c r="O723" s="458">
        <v>0</v>
      </c>
      <c r="P723" s="456">
        <v>0</v>
      </c>
      <c r="Q723" s="456">
        <v>0</v>
      </c>
      <c r="R723" s="456">
        <v>0</v>
      </c>
      <c r="S723" s="458">
        <v>0</v>
      </c>
      <c r="T723" s="457"/>
      <c r="U723" s="425"/>
      <c r="V723" s="425"/>
      <c r="W723" s="425"/>
      <c r="X723" s="425"/>
      <c r="Y723" s="425"/>
      <c r="Z723" s="425"/>
      <c r="AA723" s="425"/>
      <c r="AB723" s="425"/>
      <c r="AC723" s="425"/>
      <c r="AD723" s="425"/>
      <c r="AE723" s="425"/>
      <c r="AG723" s="425"/>
      <c r="AH723" s="425"/>
      <c r="AI723" s="425"/>
      <c r="AJ723" s="425"/>
      <c r="AK723" s="425"/>
      <c r="AL723" s="425"/>
      <c r="AM723" s="425"/>
      <c r="AN723" s="425"/>
      <c r="AO723" s="425"/>
      <c r="AP723" s="425"/>
      <c r="AQ723" s="425"/>
    </row>
    <row r="724" spans="1:43" s="280" customFormat="1" x14ac:dyDescent="0.25">
      <c r="A724" s="271">
        <v>501107</v>
      </c>
      <c r="B724" s="271">
        <v>1107</v>
      </c>
      <c r="C724" s="271">
        <v>200511</v>
      </c>
      <c r="D724" s="268" t="s">
        <v>3440</v>
      </c>
      <c r="E724" s="268" t="s">
        <v>1278</v>
      </c>
      <c r="F724" s="309" t="s">
        <v>3404</v>
      </c>
      <c r="G724" s="268" t="s">
        <v>894</v>
      </c>
      <c r="H724" s="268" t="s">
        <v>3441</v>
      </c>
      <c r="I724" s="268" t="s">
        <v>3438</v>
      </c>
      <c r="J724" s="458">
        <v>87050.200292783135</v>
      </c>
      <c r="K724" s="458">
        <v>0</v>
      </c>
      <c r="L724" s="458">
        <v>0</v>
      </c>
      <c r="M724" s="456">
        <v>0</v>
      </c>
      <c r="N724" s="456">
        <v>0</v>
      </c>
      <c r="O724" s="458">
        <v>0</v>
      </c>
      <c r="P724" s="456">
        <v>0</v>
      </c>
      <c r="Q724" s="456">
        <v>0</v>
      </c>
      <c r="R724" s="456">
        <v>0</v>
      </c>
      <c r="S724" s="458">
        <v>0</v>
      </c>
      <c r="T724" s="452"/>
      <c r="U724" s="425"/>
      <c r="V724" s="425"/>
      <c r="W724" s="425"/>
      <c r="X724" s="425"/>
      <c r="Y724" s="425"/>
      <c r="Z724" s="425"/>
      <c r="AA724" s="425"/>
      <c r="AB724" s="425"/>
      <c r="AC724" s="425"/>
      <c r="AD724" s="425"/>
      <c r="AE724" s="425"/>
      <c r="AF724" s="322"/>
      <c r="AG724" s="425"/>
      <c r="AH724" s="425"/>
      <c r="AI724" s="425"/>
      <c r="AJ724" s="425"/>
      <c r="AK724" s="425"/>
      <c r="AL724" s="425"/>
      <c r="AM724" s="425"/>
      <c r="AN724" s="425"/>
      <c r="AO724" s="425"/>
      <c r="AP724" s="425"/>
      <c r="AQ724" s="425"/>
    </row>
    <row r="725" spans="1:43" s="270" customFormat="1" x14ac:dyDescent="0.25">
      <c r="A725" s="271">
        <v>501107</v>
      </c>
      <c r="B725" s="271">
        <v>1107</v>
      </c>
      <c r="C725" s="271">
        <v>200529</v>
      </c>
      <c r="D725" s="268" t="s">
        <v>2854</v>
      </c>
      <c r="E725" s="268" t="s">
        <v>1290</v>
      </c>
      <c r="F725" s="309" t="s">
        <v>3404</v>
      </c>
      <c r="G725" s="268" t="s">
        <v>894</v>
      </c>
      <c r="H725" s="268" t="s">
        <v>3273</v>
      </c>
      <c r="I725" s="268" t="s">
        <v>3438</v>
      </c>
      <c r="J725" s="458">
        <v>87050.200292783135</v>
      </c>
      <c r="K725" s="458">
        <v>0</v>
      </c>
      <c r="L725" s="458">
        <v>0</v>
      </c>
      <c r="M725" s="456">
        <v>0</v>
      </c>
      <c r="N725" s="456">
        <v>0</v>
      </c>
      <c r="O725" s="458">
        <v>0</v>
      </c>
      <c r="P725" s="456">
        <v>0</v>
      </c>
      <c r="Q725" s="456">
        <v>0</v>
      </c>
      <c r="R725" s="456">
        <v>0</v>
      </c>
      <c r="S725" s="458">
        <v>0</v>
      </c>
      <c r="T725" s="457"/>
      <c r="U725" s="425"/>
      <c r="V725" s="425"/>
      <c r="W725" s="425"/>
      <c r="X725" s="425"/>
      <c r="Y725" s="425"/>
      <c r="Z725" s="425"/>
      <c r="AA725" s="425"/>
      <c r="AB725" s="425"/>
      <c r="AC725" s="425"/>
      <c r="AD725" s="425"/>
      <c r="AE725" s="425"/>
      <c r="AG725" s="425"/>
      <c r="AH725" s="425"/>
      <c r="AI725" s="425"/>
      <c r="AJ725" s="425"/>
      <c r="AK725" s="425"/>
      <c r="AL725" s="425"/>
      <c r="AM725" s="425"/>
      <c r="AN725" s="425"/>
      <c r="AO725" s="425"/>
      <c r="AP725" s="425"/>
      <c r="AQ725" s="425"/>
    </row>
    <row r="726" spans="1:43" s="270" customFormat="1" x14ac:dyDescent="0.25">
      <c r="A726" s="271">
        <v>501107</v>
      </c>
      <c r="B726" s="271">
        <v>1107</v>
      </c>
      <c r="C726" s="271">
        <v>200524</v>
      </c>
      <c r="D726" s="268" t="s">
        <v>2747</v>
      </c>
      <c r="E726" s="268" t="s">
        <v>1290</v>
      </c>
      <c r="F726" s="309" t="s">
        <v>3404</v>
      </c>
      <c r="G726" s="268" t="s">
        <v>894</v>
      </c>
      <c r="H726" s="268" t="s">
        <v>3442</v>
      </c>
      <c r="I726" s="268" t="s">
        <v>3438</v>
      </c>
      <c r="J726" s="458">
        <v>87050.200292783135</v>
      </c>
      <c r="K726" s="458">
        <v>0</v>
      </c>
      <c r="L726" s="458">
        <v>0</v>
      </c>
      <c r="M726" s="456">
        <v>0</v>
      </c>
      <c r="N726" s="456">
        <v>0</v>
      </c>
      <c r="O726" s="458">
        <v>0</v>
      </c>
      <c r="P726" s="456">
        <v>0</v>
      </c>
      <c r="Q726" s="456">
        <v>0</v>
      </c>
      <c r="R726" s="456">
        <v>0</v>
      </c>
      <c r="S726" s="458">
        <v>0</v>
      </c>
      <c r="T726" s="457"/>
      <c r="U726" s="425"/>
      <c r="V726" s="425"/>
      <c r="W726" s="425"/>
      <c r="X726" s="425"/>
      <c r="Y726" s="425"/>
      <c r="Z726" s="425"/>
      <c r="AA726" s="425"/>
      <c r="AB726" s="425"/>
      <c r="AC726" s="425"/>
      <c r="AD726" s="425"/>
      <c r="AE726" s="425"/>
      <c r="AG726" s="425"/>
      <c r="AH726" s="425"/>
      <c r="AI726" s="425"/>
      <c r="AJ726" s="425"/>
      <c r="AK726" s="425"/>
      <c r="AL726" s="425"/>
      <c r="AM726" s="425"/>
      <c r="AN726" s="425"/>
      <c r="AO726" s="425"/>
      <c r="AP726" s="425"/>
      <c r="AQ726" s="425"/>
    </row>
    <row r="727" spans="1:43" s="270" customFormat="1" x14ac:dyDescent="0.25">
      <c r="A727" s="271">
        <v>501107</v>
      </c>
      <c r="B727" s="271">
        <v>1107</v>
      </c>
      <c r="C727" s="271">
        <v>200523</v>
      </c>
      <c r="D727" s="268" t="s">
        <v>3443</v>
      </c>
      <c r="E727" s="268" t="s">
        <v>1278</v>
      </c>
      <c r="F727" s="309" t="s">
        <v>3404</v>
      </c>
      <c r="G727" s="268" t="s">
        <v>894</v>
      </c>
      <c r="H727" s="268" t="s">
        <v>3444</v>
      </c>
      <c r="I727" s="268" t="s">
        <v>3438</v>
      </c>
      <c r="J727" s="458">
        <v>87050.200292783135</v>
      </c>
      <c r="K727" s="458">
        <v>0</v>
      </c>
      <c r="L727" s="458">
        <v>0</v>
      </c>
      <c r="M727" s="456">
        <v>0</v>
      </c>
      <c r="N727" s="456">
        <v>0</v>
      </c>
      <c r="O727" s="458">
        <v>0</v>
      </c>
      <c r="P727" s="456">
        <v>0</v>
      </c>
      <c r="Q727" s="456">
        <v>0</v>
      </c>
      <c r="R727" s="456">
        <v>0</v>
      </c>
      <c r="S727" s="458">
        <v>0</v>
      </c>
      <c r="T727" s="457"/>
      <c r="U727" s="425"/>
      <c r="V727" s="425"/>
      <c r="W727" s="425"/>
      <c r="X727" s="425"/>
      <c r="Y727" s="425"/>
      <c r="Z727" s="425"/>
      <c r="AA727" s="425"/>
      <c r="AB727" s="425"/>
      <c r="AC727" s="425"/>
      <c r="AD727" s="425"/>
      <c r="AE727" s="425"/>
      <c r="AG727" s="425"/>
      <c r="AH727" s="425"/>
      <c r="AI727" s="425"/>
      <c r="AJ727" s="425"/>
      <c r="AK727" s="425"/>
      <c r="AL727" s="425"/>
      <c r="AM727" s="425"/>
      <c r="AN727" s="425"/>
      <c r="AO727" s="425"/>
      <c r="AP727" s="425"/>
      <c r="AQ727" s="425"/>
    </row>
    <row r="728" spans="1:43" s="270" customFormat="1" x14ac:dyDescent="0.25">
      <c r="A728" s="271">
        <v>501305</v>
      </c>
      <c r="B728" s="271">
        <v>1305</v>
      </c>
      <c r="C728" s="271">
        <v>8510</v>
      </c>
      <c r="D728" s="268" t="s">
        <v>3445</v>
      </c>
      <c r="E728" s="268" t="s">
        <v>1290</v>
      </c>
      <c r="F728" s="309" t="s">
        <v>3404</v>
      </c>
      <c r="G728" s="268" t="s">
        <v>1698</v>
      </c>
      <c r="H728" s="268" t="s">
        <v>3446</v>
      </c>
      <c r="I728" s="268" t="s">
        <v>3446</v>
      </c>
      <c r="J728" s="458">
        <v>758141.68720197014</v>
      </c>
      <c r="K728" s="458">
        <v>0</v>
      </c>
      <c r="L728" s="458">
        <v>11194.539580072875</v>
      </c>
      <c r="M728" s="458">
        <v>8298.3985026485352</v>
      </c>
      <c r="N728" s="456">
        <v>119.86575614936774</v>
      </c>
      <c r="O728" s="458">
        <v>216023.90982094666</v>
      </c>
      <c r="P728" s="458">
        <v>13267.47952603448</v>
      </c>
      <c r="Q728" s="459">
        <v>55400.108403681625</v>
      </c>
      <c r="R728" s="458">
        <v>136996.20287739602</v>
      </c>
      <c r="S728" s="458">
        <v>1959.7497903854783</v>
      </c>
      <c r="T728" s="457"/>
      <c r="U728" s="425"/>
      <c r="V728" s="425"/>
      <c r="W728" s="425"/>
      <c r="X728" s="425"/>
      <c r="Y728" s="425"/>
      <c r="Z728" s="425"/>
      <c r="AA728" s="425"/>
      <c r="AB728" s="425"/>
      <c r="AC728" s="425"/>
      <c r="AD728" s="425"/>
      <c r="AE728" s="425"/>
      <c r="AG728" s="425"/>
      <c r="AH728" s="425"/>
      <c r="AI728" s="425"/>
      <c r="AJ728" s="425"/>
      <c r="AK728" s="425"/>
      <c r="AL728" s="425"/>
      <c r="AM728" s="425"/>
      <c r="AN728" s="425"/>
      <c r="AO728" s="425"/>
      <c r="AP728" s="425"/>
      <c r="AQ728" s="425"/>
    </row>
    <row r="729" spans="1:43" s="270" customFormat="1" x14ac:dyDescent="0.25">
      <c r="A729" s="271">
        <v>501442</v>
      </c>
      <c r="B729" s="271">
        <v>1442</v>
      </c>
      <c r="C729" s="271">
        <v>200545</v>
      </c>
      <c r="D729" s="268" t="s">
        <v>3447</v>
      </c>
      <c r="E729" s="268" t="s">
        <v>1278</v>
      </c>
      <c r="F729" s="309" t="s">
        <v>3404</v>
      </c>
      <c r="G729" s="268" t="s">
        <v>894</v>
      </c>
      <c r="H729" s="268" t="s">
        <v>3315</v>
      </c>
      <c r="I729" s="268" t="s">
        <v>3448</v>
      </c>
      <c r="J729" s="458">
        <v>165149.19473404271</v>
      </c>
      <c r="K729" s="458">
        <v>0</v>
      </c>
      <c r="L729" s="458">
        <v>11194.539580072875</v>
      </c>
      <c r="M729" s="456">
        <v>0</v>
      </c>
      <c r="N729" s="456">
        <v>119.86575614936774</v>
      </c>
      <c r="O729" s="458">
        <v>0</v>
      </c>
      <c r="P729" s="458">
        <v>2890.110907845748</v>
      </c>
      <c r="Q729" s="456">
        <v>55400.108403681625</v>
      </c>
      <c r="R729" s="458">
        <v>29842.45948844152</v>
      </c>
      <c r="S729" s="458">
        <v>1959.7497903854783</v>
      </c>
      <c r="T729" s="457"/>
      <c r="U729" s="425"/>
      <c r="V729" s="425"/>
      <c r="W729" s="425"/>
      <c r="X729" s="425"/>
      <c r="Y729" s="425"/>
      <c r="Z729" s="425"/>
      <c r="AA729" s="425"/>
      <c r="AB729" s="425"/>
      <c r="AC729" s="425"/>
      <c r="AD729" s="425"/>
      <c r="AE729" s="425"/>
      <c r="AG729" s="425"/>
      <c r="AH729" s="425"/>
      <c r="AI729" s="425"/>
      <c r="AJ729" s="425"/>
      <c r="AK729" s="425"/>
      <c r="AL729" s="425"/>
      <c r="AM729" s="425"/>
      <c r="AN729" s="425"/>
      <c r="AO729" s="425"/>
      <c r="AP729" s="425"/>
      <c r="AQ729" s="425"/>
    </row>
    <row r="730" spans="1:43" s="270" customFormat="1" ht="12.6" thickBot="1" x14ac:dyDescent="0.3">
      <c r="D730" s="275"/>
      <c r="E730" s="275"/>
      <c r="F730" s="275"/>
      <c r="G730" s="275"/>
      <c r="H730" s="275"/>
      <c r="I730" s="275"/>
      <c r="J730" s="465">
        <f t="shared" ref="J730:S730" si="0">SUM(J3:J729)</f>
        <v>237027588.1219644</v>
      </c>
      <c r="K730" s="465">
        <f t="shared" si="0"/>
        <v>17693816.934485611</v>
      </c>
      <c r="L730" s="465">
        <f t="shared" si="0"/>
        <v>7937085.0147448489</v>
      </c>
      <c r="M730" s="465">
        <f t="shared" si="0"/>
        <v>682053.11810461932</v>
      </c>
      <c r="N730" s="465">
        <f t="shared" si="0"/>
        <v>84724.435805774905</v>
      </c>
      <c r="O730" s="465">
        <f t="shared" si="0"/>
        <v>17220902.95988429</v>
      </c>
      <c r="P730" s="465">
        <f t="shared" si="0"/>
        <v>17954473.275833838</v>
      </c>
      <c r="Q730" s="465">
        <f t="shared" si="0"/>
        <v>39278676.858210608</v>
      </c>
      <c r="R730" s="465">
        <f t="shared" si="0"/>
        <v>40001559.118480995</v>
      </c>
      <c r="S730" s="465">
        <f t="shared" si="0"/>
        <v>1389462.6013832863</v>
      </c>
      <c r="T730" s="465">
        <f>SUM(J730:S730)</f>
        <v>379270342.43889827</v>
      </c>
      <c r="U730" s="425"/>
      <c r="V730" s="425"/>
      <c r="W730" s="425"/>
      <c r="X730" s="425"/>
      <c r="Y730" s="425"/>
      <c r="Z730" s="425"/>
      <c r="AA730" s="425"/>
      <c r="AB730" s="425"/>
      <c r="AC730" s="425"/>
      <c r="AD730" s="425"/>
      <c r="AE730" s="425"/>
      <c r="AG730" s="425"/>
      <c r="AH730" s="425"/>
      <c r="AI730" s="425"/>
      <c r="AJ730" s="425"/>
      <c r="AK730" s="425"/>
      <c r="AL730" s="425"/>
      <c r="AM730" s="425"/>
      <c r="AN730" s="425"/>
      <c r="AO730" s="425"/>
      <c r="AP730" s="425"/>
      <c r="AQ730" s="425"/>
    </row>
    <row r="731" spans="1:43" s="441" customFormat="1" ht="18" thickTop="1" x14ac:dyDescent="0.3">
      <c r="D731" s="442"/>
      <c r="E731" s="442"/>
      <c r="F731" s="442"/>
      <c r="G731" s="442"/>
      <c r="H731" s="442"/>
      <c r="I731" s="442"/>
      <c r="J731" s="466"/>
      <c r="K731" s="466"/>
      <c r="L731" s="467"/>
      <c r="M731" s="467"/>
      <c r="N731" s="466"/>
      <c r="O731" s="467"/>
      <c r="P731" s="467"/>
      <c r="Q731" s="467"/>
      <c r="R731" s="466"/>
      <c r="S731" s="466"/>
      <c r="T731" s="466"/>
      <c r="AG731" s="443"/>
      <c r="AH731" s="443"/>
      <c r="AI731" s="443"/>
      <c r="AJ731" s="443"/>
      <c r="AK731" s="443"/>
      <c r="AL731" s="443"/>
      <c r="AM731" s="443"/>
      <c r="AN731" s="443"/>
      <c r="AO731" s="443"/>
      <c r="AP731" s="443"/>
      <c r="AQ731" s="443"/>
    </row>
    <row r="732" spans="1:43" s="441" customFormat="1" ht="17.399999999999999" x14ac:dyDescent="0.3">
      <c r="D732" s="442"/>
      <c r="E732" s="442"/>
      <c r="F732" s="442"/>
      <c r="G732" s="442"/>
      <c r="H732" s="442"/>
      <c r="I732" s="444"/>
      <c r="J732" s="468"/>
      <c r="K732" s="468"/>
      <c r="L732" s="469"/>
      <c r="M732" s="469"/>
      <c r="N732" s="468"/>
      <c r="O732" s="469"/>
      <c r="P732" s="469"/>
      <c r="Q732" s="469"/>
      <c r="R732" s="468"/>
      <c r="S732" s="468"/>
      <c r="T732" s="468" t="s">
        <v>3496</v>
      </c>
      <c r="AG732" s="445"/>
      <c r="AH732" s="445"/>
      <c r="AI732" s="445"/>
      <c r="AJ732" s="445"/>
      <c r="AK732" s="445"/>
      <c r="AL732" s="445"/>
      <c r="AM732" s="445"/>
      <c r="AN732" s="445"/>
      <c r="AO732" s="445"/>
      <c r="AP732" s="445"/>
      <c r="AQ732" s="445"/>
    </row>
    <row r="733" spans="1:43" s="446" customFormat="1" ht="17.399999999999999" x14ac:dyDescent="0.3">
      <c r="D733" s="442"/>
      <c r="E733" s="442"/>
      <c r="F733" s="442"/>
      <c r="G733" s="442"/>
      <c r="H733" s="442"/>
      <c r="I733" s="447" t="s">
        <v>3374</v>
      </c>
      <c r="J733" s="470">
        <f>SUM(J3:J729)</f>
        <v>237027588.1219644</v>
      </c>
      <c r="K733" s="470">
        <f t="shared" ref="K733:S733" si="1">SUM(K3:K729)</f>
        <v>17693816.934485611</v>
      </c>
      <c r="L733" s="470">
        <f t="shared" si="1"/>
        <v>7937085.0147448489</v>
      </c>
      <c r="M733" s="470">
        <f t="shared" si="1"/>
        <v>682053.11810461932</v>
      </c>
      <c r="N733" s="470">
        <f t="shared" si="1"/>
        <v>84724.435805774905</v>
      </c>
      <c r="O733" s="470">
        <f t="shared" si="1"/>
        <v>17220902.95988429</v>
      </c>
      <c r="P733" s="470">
        <f t="shared" si="1"/>
        <v>17954473.275833838</v>
      </c>
      <c r="Q733" s="470">
        <f t="shared" si="1"/>
        <v>39278676.858210608</v>
      </c>
      <c r="R733" s="470">
        <f t="shared" si="1"/>
        <v>40001559.118480995</v>
      </c>
      <c r="S733" s="470">
        <f t="shared" si="1"/>
        <v>1389462.6013832863</v>
      </c>
      <c r="T733" s="470">
        <f>SUM(J733:S733)</f>
        <v>379270342.43889827</v>
      </c>
      <c r="AG733" s="448"/>
      <c r="AH733" s="448"/>
      <c r="AI733" s="448"/>
      <c r="AJ733" s="448"/>
      <c r="AK733" s="448"/>
      <c r="AL733" s="448"/>
      <c r="AM733" s="448"/>
      <c r="AN733" s="448"/>
      <c r="AO733" s="448"/>
      <c r="AP733" s="448"/>
      <c r="AQ733" s="448"/>
    </row>
    <row r="734" spans="1:43" s="446" customFormat="1" ht="17.399999999999999" x14ac:dyDescent="0.3">
      <c r="D734" s="442"/>
      <c r="E734" s="442"/>
      <c r="F734" s="442"/>
      <c r="G734" s="442"/>
      <c r="H734" s="442"/>
      <c r="I734" s="447" t="s">
        <v>3375</v>
      </c>
      <c r="J734" s="470">
        <f t="shared" ref="J734:P734" si="2">J733*5.3%+J733</f>
        <v>249590050.29242849</v>
      </c>
      <c r="K734" s="470">
        <f t="shared" si="2"/>
        <v>18631589.232013348</v>
      </c>
      <c r="L734" s="470">
        <f t="shared" si="2"/>
        <v>8357750.5205263263</v>
      </c>
      <c r="M734" s="470">
        <f t="shared" si="2"/>
        <v>718201.9333641642</v>
      </c>
      <c r="N734" s="470">
        <f t="shared" si="2"/>
        <v>89214.830903480979</v>
      </c>
      <c r="O734" s="470">
        <f t="shared" si="2"/>
        <v>18133610.816758156</v>
      </c>
      <c r="P734" s="470">
        <f t="shared" si="2"/>
        <v>18906060.35945303</v>
      </c>
      <c r="Q734" s="470">
        <f t="shared" ref="Q734:S734" si="3">Q733*5.3%+Q733</f>
        <v>41360446.731695771</v>
      </c>
      <c r="R734" s="470">
        <f t="shared" si="3"/>
        <v>42121641.75176049</v>
      </c>
      <c r="S734" s="470">
        <f t="shared" si="3"/>
        <v>1463104.1192566005</v>
      </c>
      <c r="T734" s="470">
        <f>SUM(J734:S734)</f>
        <v>399371670.58815986</v>
      </c>
      <c r="AG734" s="448"/>
      <c r="AH734" s="448"/>
      <c r="AI734" s="448"/>
      <c r="AJ734" s="448"/>
      <c r="AK734" s="448"/>
      <c r="AL734" s="448"/>
      <c r="AM734" s="448"/>
      <c r="AN734" s="448"/>
      <c r="AO734" s="448"/>
      <c r="AP734" s="448"/>
      <c r="AQ734" s="448"/>
    </row>
    <row r="735" spans="1:43" s="446" customFormat="1" ht="17.399999999999999" x14ac:dyDescent="0.3">
      <c r="D735" s="442"/>
      <c r="E735" s="442"/>
      <c r="F735" s="442"/>
      <c r="G735" s="442"/>
      <c r="H735" s="442"/>
      <c r="I735" s="447" t="s">
        <v>3376</v>
      </c>
      <c r="J735" s="470">
        <f t="shared" ref="J735:P735" si="4">J734*4.9%+J734</f>
        <v>261819962.7567575</v>
      </c>
      <c r="K735" s="470">
        <f t="shared" si="4"/>
        <v>19544537.104382001</v>
      </c>
      <c r="L735" s="470">
        <f t="shared" si="4"/>
        <v>8767280.2960321158</v>
      </c>
      <c r="M735" s="470">
        <f t="shared" si="4"/>
        <v>753393.8280990083</v>
      </c>
      <c r="N735" s="470">
        <f t="shared" si="4"/>
        <v>93586.35761775155</v>
      </c>
      <c r="O735" s="470">
        <f t="shared" si="4"/>
        <v>19022157.746779304</v>
      </c>
      <c r="P735" s="470">
        <f t="shared" si="4"/>
        <v>19832457.31706623</v>
      </c>
      <c r="Q735" s="470">
        <f t="shared" ref="Q735:S735" si="5">Q734*4.9%+Q734</f>
        <v>43387108.621548861</v>
      </c>
      <c r="R735" s="470">
        <f t="shared" si="5"/>
        <v>44185602.197596751</v>
      </c>
      <c r="S735" s="470">
        <f t="shared" si="5"/>
        <v>1534796.2211001739</v>
      </c>
      <c r="T735" s="470">
        <f>SUM(J735:S735)</f>
        <v>418940882.44697964</v>
      </c>
      <c r="AG735" s="448"/>
      <c r="AH735" s="448"/>
      <c r="AI735" s="448"/>
      <c r="AJ735" s="448"/>
      <c r="AK735" s="448"/>
      <c r="AL735" s="448"/>
      <c r="AM735" s="448"/>
      <c r="AN735" s="448"/>
      <c r="AO735" s="448"/>
      <c r="AP735" s="448"/>
      <c r="AQ735" s="448"/>
    </row>
    <row r="736" spans="1:43" s="446" customFormat="1" ht="17.399999999999999" x14ac:dyDescent="0.3">
      <c r="D736" s="442"/>
      <c r="E736" s="442"/>
      <c r="F736" s="442"/>
      <c r="G736" s="442"/>
      <c r="H736" s="442"/>
      <c r="I736" s="447" t="s">
        <v>3495</v>
      </c>
      <c r="J736" s="470">
        <f t="shared" ref="J736:O736" si="6">J735*4.7%+J735</f>
        <v>274125501.00632513</v>
      </c>
      <c r="K736" s="470">
        <f t="shared" si="6"/>
        <v>20463130.348287955</v>
      </c>
      <c r="L736" s="470">
        <f t="shared" si="6"/>
        <v>9179342.4699456245</v>
      </c>
      <c r="M736" s="470">
        <f t="shared" si="6"/>
        <v>788803.33801966172</v>
      </c>
      <c r="N736" s="470">
        <f t="shared" si="6"/>
        <v>97984.916425785879</v>
      </c>
      <c r="O736" s="470">
        <f t="shared" si="6"/>
        <v>19916199.160877932</v>
      </c>
      <c r="P736" s="470">
        <f>P735*4.7%+P735</f>
        <v>20764582.810968343</v>
      </c>
      <c r="Q736" s="470">
        <f>Q735*4.7%+Q735+453000</f>
        <v>45879302.726761654</v>
      </c>
      <c r="R736" s="470">
        <f>R735*4.7%+R735</f>
        <v>46262325.500883795</v>
      </c>
      <c r="S736" s="470">
        <f>S735*4.7%+S735</f>
        <v>1606931.6434918821</v>
      </c>
      <c r="T736" s="470">
        <f>SUM(J736:S736)</f>
        <v>439084103.92198771</v>
      </c>
      <c r="AG736" s="448"/>
      <c r="AH736" s="448"/>
      <c r="AI736" s="448"/>
      <c r="AJ736" s="448"/>
      <c r="AK736" s="448"/>
      <c r="AL736" s="448"/>
      <c r="AM736" s="448"/>
      <c r="AN736" s="448"/>
      <c r="AO736" s="448"/>
      <c r="AP736" s="448"/>
      <c r="AQ736" s="448"/>
    </row>
    <row r="737" spans="1:43" s="446" customFormat="1" ht="17.399999999999999" x14ac:dyDescent="0.3">
      <c r="D737" s="442"/>
      <c r="E737" s="442"/>
      <c r="F737" s="442"/>
      <c r="G737" s="442"/>
      <c r="H737" s="442"/>
      <c r="I737" s="442"/>
      <c r="J737" s="471"/>
      <c r="K737" s="472"/>
      <c r="L737" s="472"/>
      <c r="M737" s="471"/>
      <c r="N737" s="472"/>
      <c r="O737" s="471"/>
      <c r="P737" s="472"/>
      <c r="Q737" s="471"/>
      <c r="R737" s="472"/>
      <c r="S737" s="472"/>
      <c r="T737" s="472"/>
      <c r="AG737" s="448"/>
      <c r="AH737" s="448"/>
      <c r="AI737" s="448"/>
      <c r="AJ737" s="448"/>
      <c r="AK737" s="448"/>
      <c r="AL737" s="448"/>
      <c r="AM737" s="448"/>
      <c r="AN737" s="448"/>
      <c r="AO737" s="448"/>
      <c r="AP737" s="448"/>
      <c r="AQ737" s="448"/>
    </row>
    <row r="738" spans="1:43" s="446" customFormat="1" ht="17.399999999999999" x14ac:dyDescent="0.3">
      <c r="D738" s="442"/>
      <c r="E738" s="442"/>
      <c r="F738" s="442"/>
      <c r="G738" s="442"/>
      <c r="H738" s="442"/>
      <c r="I738" s="450" t="s">
        <v>3377</v>
      </c>
      <c r="J738" s="473" t="s">
        <v>3378</v>
      </c>
      <c r="K738" s="474" t="s">
        <v>3379</v>
      </c>
      <c r="L738" s="474"/>
      <c r="M738" s="475" t="s">
        <v>3374</v>
      </c>
      <c r="N738" s="475" t="s">
        <v>3375</v>
      </c>
      <c r="O738" s="475" t="s">
        <v>3376</v>
      </c>
      <c r="P738" s="475" t="s">
        <v>3495</v>
      </c>
      <c r="Q738" s="471"/>
      <c r="R738" s="472"/>
      <c r="S738" s="472"/>
      <c r="T738" s="472"/>
      <c r="AG738" s="448"/>
      <c r="AH738" s="448"/>
      <c r="AI738" s="448"/>
      <c r="AJ738" s="448"/>
      <c r="AK738" s="448"/>
      <c r="AL738" s="448"/>
      <c r="AM738" s="448"/>
      <c r="AN738" s="448"/>
      <c r="AO738" s="448"/>
      <c r="AP738" s="448"/>
      <c r="AQ738" s="448"/>
    </row>
    <row r="739" spans="1:43" s="446" customFormat="1" ht="17.399999999999999" x14ac:dyDescent="0.3">
      <c r="D739" s="442"/>
      <c r="E739" s="442"/>
      <c r="F739" s="442"/>
      <c r="G739" s="442"/>
      <c r="H739" s="442"/>
      <c r="I739" s="442"/>
      <c r="J739" s="476">
        <v>102</v>
      </c>
      <c r="K739" s="476" t="s">
        <v>3380</v>
      </c>
      <c r="L739" s="476"/>
      <c r="M739" s="476">
        <f>J733+K733</f>
        <v>254721405.05645001</v>
      </c>
      <c r="N739" s="476">
        <f>J734+K734</f>
        <v>268221639.52444184</v>
      </c>
      <c r="O739" s="476">
        <f>J735+K735</f>
        <v>281364499.86113948</v>
      </c>
      <c r="P739" s="476">
        <f>J736+K736</f>
        <v>294588631.35461307</v>
      </c>
      <c r="Q739" s="471"/>
      <c r="R739" s="472"/>
      <c r="S739" s="472"/>
      <c r="T739" s="472"/>
      <c r="AG739" s="448"/>
      <c r="AH739" s="448"/>
      <c r="AI739" s="448"/>
      <c r="AJ739" s="448"/>
      <c r="AK739" s="448"/>
      <c r="AL739" s="448"/>
      <c r="AM739" s="448"/>
      <c r="AN739" s="448"/>
      <c r="AO739" s="448"/>
      <c r="AP739" s="448"/>
      <c r="AQ739" s="448"/>
    </row>
    <row r="740" spans="1:43" s="449" customFormat="1" ht="17.399999999999999" x14ac:dyDescent="0.3">
      <c r="A740" s="446"/>
      <c r="B740" s="446"/>
      <c r="C740" s="446"/>
      <c r="D740" s="442"/>
      <c r="E740" s="442"/>
      <c r="F740" s="442"/>
      <c r="G740" s="442"/>
      <c r="H740" s="442"/>
      <c r="I740" s="442"/>
      <c r="J740" s="476">
        <v>104</v>
      </c>
      <c r="K740" s="476" t="s">
        <v>3381</v>
      </c>
      <c r="L740" s="476"/>
      <c r="M740" s="476">
        <f>SUM(L733:S733)</f>
        <v>124548937.38244826</v>
      </c>
      <c r="N740" s="477">
        <f>SUM(L734:S734)</f>
        <v>131150031.06371801</v>
      </c>
      <c r="O740" s="476">
        <f>SUM(L735:S735)</f>
        <v>137576382.5858402</v>
      </c>
      <c r="P740" s="476">
        <f>SUM(L736:S736)</f>
        <v>144495472.56737468</v>
      </c>
      <c r="Q740" s="471"/>
      <c r="R740" s="472"/>
      <c r="S740" s="472"/>
      <c r="T740" s="472"/>
      <c r="U740" s="446"/>
      <c r="AG740" s="451"/>
      <c r="AH740" s="451"/>
      <c r="AI740" s="451"/>
      <c r="AJ740" s="451"/>
      <c r="AK740" s="451"/>
      <c r="AL740" s="451"/>
      <c r="AM740" s="451"/>
      <c r="AN740" s="451"/>
      <c r="AO740" s="451"/>
      <c r="AP740" s="451"/>
      <c r="AQ740" s="451"/>
    </row>
    <row r="741" spans="1:43" s="449" customFormat="1" ht="17.399999999999999" x14ac:dyDescent="0.3">
      <c r="A741" s="446"/>
      <c r="B741" s="446"/>
      <c r="C741" s="446"/>
      <c r="D741" s="442"/>
      <c r="E741" s="442"/>
      <c r="F741" s="442"/>
      <c r="G741" s="442"/>
      <c r="H741" s="442"/>
      <c r="I741" s="442"/>
      <c r="J741" s="478" t="s">
        <v>3382</v>
      </c>
      <c r="K741" s="479"/>
      <c r="L741" s="480"/>
      <c r="M741" s="476">
        <f>SUM(M739:M740)</f>
        <v>379270342.43889827</v>
      </c>
      <c r="N741" s="477">
        <f>SUM(N739:N740)</f>
        <v>399371670.58815986</v>
      </c>
      <c r="O741" s="476">
        <f>SUM(O739:O740)</f>
        <v>418940882.44697964</v>
      </c>
      <c r="P741" s="476">
        <f>SUM(P739:P740)</f>
        <v>439084103.92198777</v>
      </c>
      <c r="Q741" s="471"/>
      <c r="R741" s="472"/>
      <c r="S741" s="472"/>
      <c r="T741" s="472"/>
      <c r="U741" s="446"/>
      <c r="AG741" s="451"/>
      <c r="AH741" s="451"/>
      <c r="AI741" s="451"/>
      <c r="AJ741" s="451"/>
      <c r="AK741" s="451"/>
      <c r="AL741" s="451"/>
      <c r="AM741" s="451"/>
      <c r="AN741" s="451"/>
      <c r="AO741" s="451"/>
      <c r="AP741" s="451"/>
      <c r="AQ741" s="451"/>
    </row>
    <row r="742" spans="1:43" s="449" customFormat="1" ht="17.399999999999999" x14ac:dyDescent="0.3">
      <c r="A742" s="446"/>
      <c r="B742" s="446"/>
      <c r="C742" s="446"/>
      <c r="D742" s="442"/>
      <c r="E742" s="442"/>
      <c r="F742" s="442"/>
      <c r="G742" s="442"/>
      <c r="H742" s="442"/>
      <c r="I742" s="442"/>
      <c r="J742" s="471"/>
      <c r="K742" s="472"/>
      <c r="L742" s="472"/>
      <c r="M742" s="471">
        <f>M741-T733</f>
        <v>0</v>
      </c>
      <c r="N742" s="472">
        <f>N741-T734</f>
        <v>0</v>
      </c>
      <c r="O742" s="471">
        <f>O741-T735</f>
        <v>0</v>
      </c>
      <c r="P742" s="472">
        <f>P741-T736</f>
        <v>0</v>
      </c>
      <c r="Q742" s="471"/>
      <c r="R742" s="472"/>
      <c r="S742" s="472"/>
      <c r="T742" s="472"/>
      <c r="U742" s="446"/>
      <c r="AG742" s="451"/>
      <c r="AH742" s="451"/>
      <c r="AI742" s="451"/>
      <c r="AJ742" s="451"/>
      <c r="AK742" s="451"/>
      <c r="AL742" s="451"/>
      <c r="AM742" s="451"/>
      <c r="AN742" s="451"/>
      <c r="AO742" s="451"/>
      <c r="AP742" s="451"/>
      <c r="AQ742" s="451"/>
    </row>
    <row r="743" spans="1:43" s="448" customFormat="1" ht="17.399999999999999" x14ac:dyDescent="0.3">
      <c r="D743" s="445"/>
      <c r="E743" s="445"/>
      <c r="F743" s="445"/>
      <c r="G743" s="445"/>
      <c r="H743" s="445"/>
      <c r="I743" s="445"/>
      <c r="J743" s="472"/>
      <c r="K743" s="472"/>
      <c r="L743" s="472"/>
      <c r="M743" s="472"/>
      <c r="N743" s="472"/>
      <c r="O743" s="472"/>
      <c r="P743" s="472"/>
      <c r="Q743" s="472"/>
      <c r="R743" s="472"/>
      <c r="S743" s="472"/>
      <c r="T743" s="472"/>
    </row>
    <row r="744" spans="1:43" s="448" customFormat="1" ht="17.399999999999999" x14ac:dyDescent="0.3">
      <c r="D744" s="445"/>
      <c r="E744" s="445"/>
      <c r="F744" s="445"/>
      <c r="G744" s="445"/>
      <c r="H744" s="445"/>
      <c r="I744" s="445"/>
      <c r="J744" s="472"/>
      <c r="K744" s="472"/>
      <c r="L744" s="472"/>
      <c r="M744" s="472"/>
      <c r="N744" s="472"/>
      <c r="O744" s="472"/>
      <c r="P744" s="472"/>
      <c r="Q744" s="472"/>
      <c r="R744" s="472"/>
      <c r="S744" s="472"/>
      <c r="T744" s="472"/>
    </row>
    <row r="745" spans="1:43" s="449" customFormat="1" ht="17.399999999999999" x14ac:dyDescent="0.3">
      <c r="A745" s="446"/>
      <c r="B745" s="446"/>
      <c r="C745" s="446"/>
      <c r="D745" s="442"/>
      <c r="E745" s="442"/>
      <c r="F745" s="442"/>
      <c r="G745" s="442"/>
      <c r="H745" s="442"/>
      <c r="I745" s="442"/>
      <c r="J745" s="481"/>
      <c r="K745" s="481"/>
      <c r="L745" s="481"/>
      <c r="M745" s="481"/>
      <c r="N745" s="481"/>
      <c r="O745" s="481"/>
      <c r="P745" s="481"/>
      <c r="Q745" s="471"/>
      <c r="R745" s="472"/>
      <c r="S745" s="472"/>
      <c r="T745" s="472"/>
      <c r="U745" s="446"/>
      <c r="AG745" s="451"/>
      <c r="AH745" s="451"/>
      <c r="AI745" s="451"/>
      <c r="AJ745" s="451"/>
      <c r="AK745" s="451"/>
      <c r="AL745" s="451"/>
      <c r="AM745" s="451"/>
      <c r="AN745" s="451"/>
      <c r="AO745" s="451"/>
      <c r="AP745" s="451"/>
      <c r="AQ745" s="451"/>
    </row>
    <row r="746" spans="1:43" s="449" customFormat="1" ht="18" thickBot="1" x14ac:dyDescent="0.35">
      <c r="A746" s="446"/>
      <c r="B746" s="446"/>
      <c r="C746" s="446"/>
      <c r="D746" s="442"/>
      <c r="E746" s="442"/>
      <c r="F746" s="442"/>
      <c r="G746" s="442"/>
      <c r="H746" s="442"/>
      <c r="I746" s="442"/>
      <c r="J746" s="481"/>
      <c r="K746" s="482" t="s">
        <v>3497</v>
      </c>
      <c r="L746" s="482" t="s">
        <v>3490</v>
      </c>
      <c r="M746" s="483" t="s">
        <v>3491</v>
      </c>
      <c r="N746" s="483" t="s">
        <v>3507</v>
      </c>
      <c r="Q746" s="471"/>
      <c r="R746" s="472"/>
      <c r="S746" s="472"/>
      <c r="T746" s="472"/>
      <c r="U746" s="446"/>
      <c r="AG746" s="451"/>
      <c r="AH746" s="451"/>
      <c r="AI746" s="451"/>
      <c r="AJ746" s="451"/>
      <c r="AK746" s="451"/>
      <c r="AL746" s="451"/>
      <c r="AM746" s="451"/>
      <c r="AN746" s="451"/>
      <c r="AO746" s="451"/>
      <c r="AP746" s="451"/>
      <c r="AQ746" s="451"/>
    </row>
    <row r="747" spans="1:43" s="449" customFormat="1" ht="18" thickBot="1" x14ac:dyDescent="0.35">
      <c r="A747" s="446"/>
      <c r="B747" s="446"/>
      <c r="C747" s="446"/>
      <c r="D747" s="442"/>
      <c r="E747" s="442"/>
      <c r="F747" s="442"/>
      <c r="G747" s="442"/>
      <c r="H747" s="442"/>
      <c r="I747" s="442"/>
      <c r="J747" s="484" t="s">
        <v>3498</v>
      </c>
      <c r="K747" s="485">
        <v>46839212</v>
      </c>
      <c r="L747" s="484">
        <f>SUM(L748:L752)</f>
        <v>36660485.991000004</v>
      </c>
      <c r="M747" s="484">
        <f>SUM(M748:M752)</f>
        <v>38456849.804559007</v>
      </c>
      <c r="N747" s="484">
        <f>SUM(N748:N752)</f>
        <v>40264321.745373271</v>
      </c>
      <c r="Q747" s="471"/>
      <c r="R747" s="472"/>
      <c r="S747" s="472"/>
      <c r="T747" s="472"/>
      <c r="U747" s="446"/>
      <c r="AG747" s="451"/>
      <c r="AH747" s="451"/>
      <c r="AI747" s="451"/>
      <c r="AJ747" s="451"/>
      <c r="AK747" s="451"/>
      <c r="AL747" s="451"/>
      <c r="AM747" s="451"/>
      <c r="AN747" s="451"/>
      <c r="AO747" s="451"/>
      <c r="AP747" s="451"/>
      <c r="AQ747" s="451"/>
    </row>
    <row r="748" spans="1:43" s="449" customFormat="1" ht="17.399999999999999" x14ac:dyDescent="0.3">
      <c r="A748" s="446"/>
      <c r="B748" s="446"/>
      <c r="C748" s="446"/>
      <c r="D748" s="442"/>
      <c r="E748" s="442"/>
      <c r="F748" s="442"/>
      <c r="G748" s="442"/>
      <c r="H748" s="442"/>
      <c r="I748" s="442"/>
      <c r="J748" s="486" t="s">
        <v>3499</v>
      </c>
      <c r="K748" s="488">
        <v>7995337</v>
      </c>
      <c r="L748" s="489">
        <f>K748*105.3%</f>
        <v>8419089.8609999996</v>
      </c>
      <c r="M748" s="490">
        <f>L748*104.9%</f>
        <v>8831625.2641890012</v>
      </c>
      <c r="N748" s="488">
        <f>M748*104.7%</f>
        <v>9246711.6516058836</v>
      </c>
      <c r="Q748" s="471"/>
      <c r="R748" s="472"/>
      <c r="S748" s="472"/>
      <c r="T748" s="472"/>
      <c r="U748" s="446"/>
      <c r="AG748" s="451"/>
      <c r="AH748" s="451"/>
      <c r="AI748" s="451"/>
      <c r="AJ748" s="451"/>
      <c r="AK748" s="451"/>
      <c r="AL748" s="451"/>
      <c r="AM748" s="451"/>
      <c r="AN748" s="451"/>
      <c r="AO748" s="451"/>
      <c r="AP748" s="451"/>
      <c r="AQ748" s="451"/>
    </row>
    <row r="749" spans="1:43" s="449" customFormat="1" ht="17.399999999999999" x14ac:dyDescent="0.3">
      <c r="A749" s="446"/>
      <c r="B749" s="446"/>
      <c r="C749" s="446"/>
      <c r="D749" s="442"/>
      <c r="E749" s="442"/>
      <c r="F749" s="442"/>
      <c r="G749" s="442"/>
      <c r="H749" s="442"/>
      <c r="I749" s="442"/>
      <c r="J749" s="486" t="s">
        <v>59</v>
      </c>
      <c r="K749" s="488">
        <v>5025827</v>
      </c>
      <c r="L749" s="489">
        <f>K749*105.3%</f>
        <v>5292195.8309999993</v>
      </c>
      <c r="M749" s="490">
        <f>L749*104.9%</f>
        <v>5551513.4267189996</v>
      </c>
      <c r="N749" s="488">
        <f>M749*104.7%</f>
        <v>5812434.5577747924</v>
      </c>
      <c r="Q749" s="471"/>
      <c r="R749" s="472"/>
      <c r="S749" s="472"/>
      <c r="T749" s="472"/>
      <c r="U749" s="446"/>
      <c r="AG749" s="451"/>
      <c r="AH749" s="451"/>
      <c r="AI749" s="451"/>
      <c r="AJ749" s="451"/>
      <c r="AK749" s="451"/>
      <c r="AL749" s="451"/>
      <c r="AM749" s="451"/>
      <c r="AN749" s="451"/>
      <c r="AO749" s="451"/>
      <c r="AP749" s="451"/>
      <c r="AQ749" s="451"/>
    </row>
    <row r="750" spans="1:43" s="449" customFormat="1" ht="17.399999999999999" x14ac:dyDescent="0.3">
      <c r="A750" s="446"/>
      <c r="B750" s="446"/>
      <c r="C750" s="446"/>
      <c r="D750" s="442"/>
      <c r="E750" s="442"/>
      <c r="F750" s="442"/>
      <c r="G750" s="442"/>
      <c r="H750" s="442"/>
      <c r="I750" s="442"/>
      <c r="J750" s="486" t="s">
        <v>57</v>
      </c>
      <c r="K750" s="488">
        <v>26365974</v>
      </c>
      <c r="L750" s="489">
        <f>K750*80%</f>
        <v>21092779.200000003</v>
      </c>
      <c r="M750" s="490">
        <f>L750*104.9%</f>
        <v>22126325.380800005</v>
      </c>
      <c r="N750" s="488">
        <f>M750*104.7%</f>
        <v>23166262.673697602</v>
      </c>
      <c r="Q750" s="471"/>
      <c r="R750" s="472"/>
      <c r="S750" s="472"/>
      <c r="T750" s="472"/>
      <c r="U750" s="446"/>
      <c r="AG750" s="451"/>
      <c r="AH750" s="451"/>
      <c r="AI750" s="451"/>
      <c r="AJ750" s="451"/>
      <c r="AK750" s="451"/>
      <c r="AL750" s="451"/>
      <c r="AM750" s="451"/>
      <c r="AN750" s="451"/>
      <c r="AO750" s="451"/>
      <c r="AP750" s="451"/>
      <c r="AQ750" s="451"/>
    </row>
    <row r="751" spans="1:43" s="449" customFormat="1" ht="17.399999999999999" x14ac:dyDescent="0.3">
      <c r="A751" s="446"/>
      <c r="B751" s="446"/>
      <c r="C751" s="446"/>
      <c r="D751" s="442"/>
      <c r="E751" s="442"/>
      <c r="F751" s="442"/>
      <c r="G751" s="442"/>
      <c r="H751" s="442"/>
      <c r="I751" s="442"/>
      <c r="J751" s="486" t="s">
        <v>60</v>
      </c>
      <c r="K751" s="488">
        <v>1762983</v>
      </c>
      <c r="L751" s="489">
        <f>K751*105.3%</f>
        <v>1856421.0989999999</v>
      </c>
      <c r="M751" s="490">
        <f>L751*104.9%</f>
        <v>1947385.7328510003</v>
      </c>
      <c r="N751" s="488">
        <f>M751*104.7%</f>
        <v>2038912.8622949971</v>
      </c>
      <c r="Q751" s="471"/>
      <c r="R751" s="472"/>
      <c r="S751" s="472"/>
      <c r="T751" s="472"/>
      <c r="U751" s="446"/>
      <c r="AG751" s="451"/>
      <c r="AH751" s="451"/>
      <c r="AI751" s="451"/>
      <c r="AJ751" s="451"/>
      <c r="AK751" s="451"/>
      <c r="AL751" s="451"/>
      <c r="AM751" s="451"/>
      <c r="AN751" s="451"/>
      <c r="AO751" s="451"/>
      <c r="AP751" s="451"/>
      <c r="AQ751" s="451"/>
    </row>
    <row r="752" spans="1:43" s="449" customFormat="1" ht="18" thickBot="1" x14ac:dyDescent="0.35">
      <c r="A752" s="446"/>
      <c r="B752" s="446"/>
      <c r="C752" s="446"/>
      <c r="D752" s="442"/>
      <c r="E752" s="442"/>
      <c r="F752" s="442"/>
      <c r="G752" s="442"/>
      <c r="H752" s="442"/>
      <c r="I752" s="442"/>
      <c r="J752" s="491" t="s">
        <v>58</v>
      </c>
      <c r="K752" s="492">
        <v>0</v>
      </c>
      <c r="L752" s="493">
        <v>0</v>
      </c>
      <c r="M752" s="494">
        <v>0</v>
      </c>
      <c r="N752" s="495">
        <v>0</v>
      </c>
      <c r="Q752" s="471"/>
      <c r="R752" s="472"/>
      <c r="S752" s="472"/>
      <c r="T752" s="472"/>
      <c r="U752" s="446"/>
      <c r="AG752" s="451"/>
      <c r="AH752" s="451"/>
      <c r="AI752" s="451"/>
      <c r="AJ752" s="451"/>
      <c r="AK752" s="451"/>
      <c r="AL752" s="451"/>
      <c r="AM752" s="451"/>
      <c r="AN752" s="451"/>
      <c r="AO752" s="451"/>
      <c r="AP752" s="451"/>
      <c r="AQ752" s="451"/>
    </row>
    <row r="753" spans="1:43" s="449" customFormat="1" ht="17.399999999999999" x14ac:dyDescent="0.3">
      <c r="A753" s="446"/>
      <c r="B753" s="446"/>
      <c r="C753" s="446"/>
      <c r="D753" s="442"/>
      <c r="E753" s="442"/>
      <c r="F753" s="442"/>
      <c r="G753" s="442"/>
      <c r="H753" s="442"/>
      <c r="I753" s="442"/>
      <c r="J753" s="487"/>
      <c r="K753" s="487"/>
      <c r="L753" s="496"/>
      <c r="M753" s="496"/>
      <c r="N753" s="497"/>
      <c r="Q753" s="471"/>
      <c r="R753" s="472"/>
      <c r="S753" s="472"/>
      <c r="T753" s="472"/>
      <c r="U753" s="446"/>
      <c r="AG753" s="451"/>
      <c r="AH753" s="451"/>
      <c r="AI753" s="451"/>
      <c r="AJ753" s="451"/>
      <c r="AK753" s="451"/>
      <c r="AL753" s="451"/>
      <c r="AM753" s="451"/>
      <c r="AN753" s="451"/>
      <c r="AO753" s="451"/>
      <c r="AP753" s="451"/>
      <c r="AQ753" s="451"/>
    </row>
    <row r="754" spans="1:43" s="449" customFormat="1" ht="18" thickBot="1" x14ac:dyDescent="0.35">
      <c r="A754" s="446"/>
      <c r="B754" s="446"/>
      <c r="C754" s="446"/>
      <c r="D754" s="442"/>
      <c r="E754" s="442"/>
      <c r="F754" s="442"/>
      <c r="G754" s="442"/>
      <c r="H754" s="442"/>
      <c r="I754" s="442"/>
      <c r="J754" s="481"/>
      <c r="K754" s="481"/>
      <c r="L754" s="483" t="s">
        <v>3490</v>
      </c>
      <c r="M754" s="482" t="s">
        <v>3491</v>
      </c>
      <c r="N754" s="483" t="s">
        <v>3507</v>
      </c>
      <c r="Q754" s="471"/>
      <c r="R754" s="472"/>
      <c r="S754" s="472"/>
      <c r="T754" s="472"/>
      <c r="U754" s="446"/>
      <c r="AG754" s="451"/>
      <c r="AH754" s="451"/>
      <c r="AI754" s="451"/>
      <c r="AJ754" s="451"/>
      <c r="AK754" s="451"/>
      <c r="AL754" s="451"/>
      <c r="AM754" s="451"/>
      <c r="AN754" s="451"/>
      <c r="AO754" s="451"/>
      <c r="AP754" s="451"/>
      <c r="AQ754" s="451"/>
    </row>
    <row r="755" spans="1:43" s="449" customFormat="1" ht="18" thickBot="1" x14ac:dyDescent="0.35">
      <c r="A755" s="446"/>
      <c r="B755" s="446"/>
      <c r="C755" s="446"/>
      <c r="D755" s="442"/>
      <c r="E755" s="442"/>
      <c r="F755" s="442"/>
      <c r="G755" s="442"/>
      <c r="H755" s="442"/>
      <c r="I755" s="442"/>
      <c r="J755" s="484" t="s">
        <v>3500</v>
      </c>
      <c r="K755" s="498"/>
      <c r="L755" s="484">
        <f>SUM(L756:L757)</f>
        <v>399371670.58815986</v>
      </c>
      <c r="M755" s="485">
        <f>SUM(M756:M757)</f>
        <v>418940882.44697964</v>
      </c>
      <c r="N755" s="485">
        <f>SUM(N756:N757)</f>
        <v>439084103.92198777</v>
      </c>
      <c r="Q755" s="471"/>
      <c r="R755" s="472"/>
      <c r="S755" s="472"/>
      <c r="T755" s="472"/>
      <c r="U755" s="446"/>
      <c r="AG755" s="451"/>
      <c r="AH755" s="451"/>
      <c r="AI755" s="451"/>
      <c r="AJ755" s="451"/>
      <c r="AK755" s="451"/>
      <c r="AL755" s="451"/>
      <c r="AM755" s="451"/>
      <c r="AN755" s="451"/>
      <c r="AO755" s="451"/>
      <c r="AP755" s="451"/>
      <c r="AQ755" s="451"/>
    </row>
    <row r="756" spans="1:43" s="449" customFormat="1" ht="17.399999999999999" x14ac:dyDescent="0.3">
      <c r="A756" s="446"/>
      <c r="B756" s="446"/>
      <c r="C756" s="446"/>
      <c r="D756" s="442"/>
      <c r="E756" s="442"/>
      <c r="F756" s="442"/>
      <c r="G756" s="442"/>
      <c r="H756" s="442"/>
      <c r="I756" s="442"/>
      <c r="J756" s="499" t="s">
        <v>3380</v>
      </c>
      <c r="K756" s="500"/>
      <c r="L756" s="501">
        <f>N739</f>
        <v>268221639.52444184</v>
      </c>
      <c r="M756" s="501">
        <f>O739</f>
        <v>281364499.86113948</v>
      </c>
      <c r="N756" s="501">
        <f>P739</f>
        <v>294588631.35461307</v>
      </c>
      <c r="Q756" s="471"/>
      <c r="R756" s="472"/>
      <c r="S756" s="472"/>
      <c r="T756" s="472"/>
      <c r="U756" s="446"/>
      <c r="AG756" s="451"/>
      <c r="AH756" s="451"/>
      <c r="AI756" s="451"/>
      <c r="AJ756" s="451"/>
      <c r="AK756" s="451"/>
      <c r="AL756" s="451"/>
      <c r="AM756" s="451"/>
      <c r="AN756" s="451"/>
      <c r="AO756" s="451"/>
      <c r="AP756" s="451"/>
      <c r="AQ756" s="451"/>
    </row>
    <row r="757" spans="1:43" s="449" customFormat="1" ht="18" thickBot="1" x14ac:dyDescent="0.35">
      <c r="A757" s="446"/>
      <c r="B757" s="446"/>
      <c r="C757" s="446"/>
      <c r="D757" s="442"/>
      <c r="E757" s="442"/>
      <c r="F757" s="442"/>
      <c r="G757" s="442"/>
      <c r="H757" s="442"/>
      <c r="I757" s="442"/>
      <c r="J757" s="491" t="s">
        <v>3381</v>
      </c>
      <c r="K757" s="502"/>
      <c r="L757" s="503">
        <f>N740</f>
        <v>131150031.06371801</v>
      </c>
      <c r="M757" s="503">
        <f>O740</f>
        <v>137576382.5858402</v>
      </c>
      <c r="N757" s="503">
        <f>P740</f>
        <v>144495472.56737468</v>
      </c>
      <c r="Q757" s="471"/>
      <c r="R757" s="472"/>
      <c r="S757" s="472"/>
      <c r="T757" s="472"/>
      <c r="U757" s="446"/>
      <c r="AG757" s="451"/>
      <c r="AH757" s="451"/>
      <c r="AI757" s="451"/>
      <c r="AJ757" s="451"/>
      <c r="AK757" s="451"/>
      <c r="AL757" s="451"/>
      <c r="AM757" s="451"/>
      <c r="AN757" s="451"/>
      <c r="AO757" s="451"/>
      <c r="AP757" s="451"/>
      <c r="AQ757" s="451"/>
    </row>
    <row r="758" spans="1:43" s="449" customFormat="1" ht="17.399999999999999" x14ac:dyDescent="0.3">
      <c r="A758" s="446"/>
      <c r="B758" s="446"/>
      <c r="C758" s="446"/>
      <c r="D758" s="442"/>
      <c r="E758" s="442"/>
      <c r="F758" s="442"/>
      <c r="G758" s="442"/>
      <c r="H758" s="442"/>
      <c r="I758" s="442"/>
      <c r="J758" s="481"/>
      <c r="K758" s="481"/>
      <c r="L758" s="466"/>
      <c r="M758" s="466"/>
      <c r="N758" s="481"/>
      <c r="Q758" s="471"/>
      <c r="R758" s="472"/>
      <c r="S758" s="472"/>
      <c r="T758" s="472"/>
      <c r="U758" s="446"/>
      <c r="AG758" s="451"/>
      <c r="AH758" s="451"/>
      <c r="AI758" s="451"/>
      <c r="AJ758" s="451"/>
      <c r="AK758" s="451"/>
      <c r="AL758" s="451"/>
      <c r="AM758" s="451"/>
      <c r="AN758" s="451"/>
      <c r="AO758" s="451"/>
      <c r="AP758" s="451"/>
      <c r="AQ758" s="451"/>
    </row>
    <row r="759" spans="1:43" s="449" customFormat="1" ht="17.399999999999999" x14ac:dyDescent="0.3">
      <c r="A759" s="446"/>
      <c r="B759" s="446"/>
      <c r="C759" s="446"/>
      <c r="D759" s="442"/>
      <c r="E759" s="442"/>
      <c r="F759" s="442"/>
      <c r="G759" s="442"/>
      <c r="H759" s="442"/>
      <c r="I759" s="442"/>
      <c r="J759" s="481"/>
      <c r="K759" s="481"/>
      <c r="L759" s="466"/>
      <c r="M759" s="466"/>
      <c r="N759" s="481"/>
      <c r="Q759" s="471"/>
      <c r="R759" s="472"/>
      <c r="S759" s="472"/>
      <c r="T759" s="472"/>
      <c r="U759" s="446"/>
      <c r="AG759" s="451"/>
      <c r="AH759" s="451"/>
      <c r="AI759" s="451"/>
      <c r="AJ759" s="451"/>
      <c r="AK759" s="451"/>
      <c r="AL759" s="451"/>
      <c r="AM759" s="451"/>
      <c r="AN759" s="451"/>
      <c r="AO759" s="451"/>
      <c r="AP759" s="451"/>
      <c r="AQ759" s="451"/>
    </row>
    <row r="760" spans="1:43" s="449" customFormat="1" ht="18" thickBot="1" x14ac:dyDescent="0.35">
      <c r="A760" s="446"/>
      <c r="B760" s="446"/>
      <c r="C760" s="446"/>
      <c r="D760" s="442"/>
      <c r="E760" s="442"/>
      <c r="F760" s="442"/>
      <c r="G760" s="442"/>
      <c r="H760" s="442"/>
      <c r="I760" s="442"/>
      <c r="J760" s="504" t="s">
        <v>3501</v>
      </c>
      <c r="K760" s="481"/>
      <c r="L760" s="505">
        <f>L755+L747</f>
        <v>436032156.57915986</v>
      </c>
      <c r="M760" s="505">
        <f>M755+M747</f>
        <v>457397732.25153863</v>
      </c>
      <c r="N760" s="505">
        <f>N755+N747</f>
        <v>479348425.66736102</v>
      </c>
      <c r="Q760" s="471"/>
      <c r="R760" s="472"/>
      <c r="S760" s="472"/>
      <c r="T760" s="472"/>
      <c r="U760" s="446"/>
      <c r="AG760" s="451"/>
      <c r="AH760" s="451"/>
      <c r="AI760" s="451"/>
      <c r="AJ760" s="451"/>
      <c r="AK760" s="451"/>
      <c r="AL760" s="451"/>
      <c r="AM760" s="451"/>
      <c r="AN760" s="451"/>
      <c r="AO760" s="451"/>
      <c r="AP760" s="451"/>
      <c r="AQ760" s="451"/>
    </row>
    <row r="761" spans="1:43" s="449" customFormat="1" ht="18" thickTop="1" x14ac:dyDescent="0.3">
      <c r="A761" s="446"/>
      <c r="B761" s="446"/>
      <c r="C761" s="446"/>
      <c r="D761" s="442"/>
      <c r="E761" s="442"/>
      <c r="F761" s="442"/>
      <c r="G761" s="442"/>
      <c r="H761" s="442"/>
      <c r="I761" s="442"/>
      <c r="J761" s="481"/>
      <c r="K761" s="481"/>
      <c r="L761" s="481"/>
      <c r="M761" s="481"/>
      <c r="N761" s="466"/>
      <c r="O761" s="466"/>
      <c r="P761" s="481"/>
      <c r="Q761" s="471"/>
      <c r="R761" s="472"/>
      <c r="S761" s="472"/>
      <c r="T761" s="472"/>
      <c r="U761" s="446"/>
      <c r="AG761" s="451"/>
      <c r="AH761" s="451"/>
      <c r="AI761" s="451"/>
      <c r="AJ761" s="451"/>
      <c r="AK761" s="451"/>
      <c r="AL761" s="451"/>
      <c r="AM761" s="451"/>
      <c r="AN761" s="451"/>
      <c r="AO761" s="451"/>
      <c r="AP761" s="451"/>
      <c r="AQ761" s="451"/>
    </row>
    <row r="762" spans="1:43" s="280" customFormat="1" ht="14.4" x14ac:dyDescent="0.3">
      <c r="A762" s="277"/>
      <c r="B762" s="277"/>
      <c r="C762" s="277"/>
      <c r="D762" s="275"/>
      <c r="E762" s="275"/>
      <c r="F762" s="275"/>
      <c r="G762" s="275"/>
      <c r="H762" s="275"/>
      <c r="I762" s="275"/>
      <c r="J762" s="452"/>
      <c r="K762" s="452"/>
      <c r="L762" s="452"/>
      <c r="M762" s="452"/>
      <c r="N762" s="452"/>
      <c r="O762" s="452"/>
      <c r="P762" s="506"/>
      <c r="Q762" s="452"/>
      <c r="R762" s="453"/>
      <c r="S762" s="453"/>
      <c r="T762" s="453"/>
      <c r="U762" s="405" t="s">
        <v>3502</v>
      </c>
      <c r="V762" s="405" t="s">
        <v>3503</v>
      </c>
      <c r="W762" s="405" t="s">
        <v>3504</v>
      </c>
      <c r="X762" s="405" t="s">
        <v>3505</v>
      </c>
      <c r="Y762" s="406" t="s">
        <v>3506</v>
      </c>
      <c r="Z762"/>
      <c r="AG762" s="281"/>
      <c r="AH762" s="281"/>
      <c r="AI762" s="281"/>
      <c r="AJ762" s="281"/>
      <c r="AK762" s="281"/>
      <c r="AL762" s="281"/>
      <c r="AM762" s="281"/>
      <c r="AN762" s="281"/>
      <c r="AO762" s="281"/>
      <c r="AP762" s="281"/>
      <c r="AQ762" s="281"/>
    </row>
    <row r="763" spans="1:43" s="280" customFormat="1" ht="14.4" x14ac:dyDescent="0.3">
      <c r="A763" s="277"/>
      <c r="B763" s="277"/>
      <c r="C763" s="277"/>
      <c r="D763" s="275"/>
      <c r="E763" s="275"/>
      <c r="F763" s="275"/>
      <c r="G763" s="275"/>
      <c r="H763" s="275"/>
      <c r="I763" s="275"/>
      <c r="J763" s="452"/>
      <c r="K763" s="452"/>
      <c r="L763" s="452"/>
      <c r="M763" s="452"/>
      <c r="N763" s="452"/>
      <c r="O763" s="452"/>
      <c r="P763" s="506"/>
      <c r="Q763" s="452"/>
      <c r="R763" s="453"/>
      <c r="S763" s="453"/>
      <c r="T763" s="453"/>
      <c r="U763" s="40" t="s">
        <v>50</v>
      </c>
      <c r="V763" s="407">
        <f ca="1">'MTREF BUDGET 2023-24  Summary'!G52</f>
        <v>249590050.29243028</v>
      </c>
      <c r="W763" s="375">
        <f>J734</f>
        <v>249590050.29242849</v>
      </c>
      <c r="X763" s="375">
        <f ca="1">SUMIF(DETAILED!R:AL,U763,DETAILED!AL:AL)</f>
        <v>249590050.29243028</v>
      </c>
      <c r="Y763" s="376">
        <f t="shared" ref="Y763:Y772" ca="1" si="7">W763-X763</f>
        <v>-1.7881393432617188E-6</v>
      </c>
      <c r="Z763" s="376">
        <f t="shared" ref="Z763:Z772" ca="1" si="8">V763-W763</f>
        <v>1.7881393432617188E-6</v>
      </c>
      <c r="AG763" s="281"/>
      <c r="AH763" s="281"/>
      <c r="AI763" s="281"/>
      <c r="AJ763" s="281"/>
      <c r="AK763" s="281"/>
      <c r="AL763" s="281"/>
      <c r="AM763" s="281"/>
      <c r="AN763" s="281"/>
      <c r="AO763" s="281"/>
      <c r="AP763" s="281"/>
      <c r="AQ763" s="281"/>
    </row>
    <row r="764" spans="1:43" s="280" customFormat="1" ht="14.4" x14ac:dyDescent="0.3">
      <c r="A764" s="277"/>
      <c r="B764" s="277"/>
      <c r="C764" s="277"/>
      <c r="D764" s="275"/>
      <c r="E764" s="275"/>
      <c r="F764" s="275"/>
      <c r="G764" s="275"/>
      <c r="H764" s="275"/>
      <c r="I764" s="275"/>
      <c r="J764" s="452"/>
      <c r="K764" s="452"/>
      <c r="L764" s="452"/>
      <c r="M764" s="452"/>
      <c r="N764" s="452"/>
      <c r="O764" s="452"/>
      <c r="P764" s="506"/>
      <c r="Q764" s="452"/>
      <c r="R764" s="453"/>
      <c r="S764" s="453"/>
      <c r="T764" s="453"/>
      <c r="U764" s="16" t="s">
        <v>52</v>
      </c>
      <c r="V764" s="407">
        <f ca="1">'MTREF BUDGET 2023-24  Summary'!G54</f>
        <v>718201.93336416362</v>
      </c>
      <c r="W764" s="375">
        <f>M734</f>
        <v>718201.9333641642</v>
      </c>
      <c r="X764" s="375">
        <f ca="1">SUMIF(DETAILED!R:AL,U764,DETAILED!AL:AL)</f>
        <v>718201.93336416362</v>
      </c>
      <c r="Y764" s="376">
        <f t="shared" ca="1" si="7"/>
        <v>0</v>
      </c>
      <c r="Z764" s="376">
        <f t="shared" ca="1" si="8"/>
        <v>0</v>
      </c>
      <c r="AG764" s="281"/>
      <c r="AH764" s="281"/>
      <c r="AI764" s="281"/>
      <c r="AJ764" s="281"/>
      <c r="AK764" s="281"/>
      <c r="AL764" s="281"/>
      <c r="AM764" s="281"/>
      <c r="AN764" s="281"/>
      <c r="AO764" s="281"/>
      <c r="AP764" s="281"/>
      <c r="AQ764" s="281"/>
    </row>
    <row r="765" spans="1:43" s="280" customFormat="1" ht="14.4" x14ac:dyDescent="0.3">
      <c r="A765" s="277"/>
      <c r="B765" s="277"/>
      <c r="C765" s="277"/>
      <c r="D765" s="275"/>
      <c r="E765" s="275"/>
      <c r="F765" s="275"/>
      <c r="G765" s="275"/>
      <c r="H765" s="275"/>
      <c r="I765" s="275"/>
      <c r="J765" s="452"/>
      <c r="K765" s="452"/>
      <c r="L765" s="452"/>
      <c r="M765" s="452"/>
      <c r="N765" s="452"/>
      <c r="O765" s="452"/>
      <c r="P765" s="460"/>
      <c r="Q765" s="452"/>
      <c r="R765" s="453"/>
      <c r="S765" s="453"/>
      <c r="T765" s="453"/>
      <c r="U765" s="16" t="s">
        <v>54</v>
      </c>
      <c r="V765" s="373">
        <f ca="1">'MTREF BUDGET 2023-24  Summary'!G56</f>
        <v>8357750.5205262406</v>
      </c>
      <c r="W765" s="373">
        <f>L734</f>
        <v>8357750.5205263263</v>
      </c>
      <c r="X765" s="375">
        <f ca="1">SUMIF(DETAILED!R:AL,U765,DETAILED!AL:AL)</f>
        <v>8357750.5205262406</v>
      </c>
      <c r="Y765" s="376">
        <f t="shared" ca="1" si="7"/>
        <v>8.5681676864624023E-8</v>
      </c>
      <c r="Z765" s="376">
        <f t="shared" ca="1" si="8"/>
        <v>-8.5681676864624023E-8</v>
      </c>
      <c r="AG765" s="281"/>
      <c r="AH765" s="281"/>
      <c r="AI765" s="281"/>
      <c r="AJ765" s="281"/>
      <c r="AK765" s="281"/>
      <c r="AL765" s="281"/>
      <c r="AM765" s="281"/>
      <c r="AN765" s="281"/>
      <c r="AO765" s="281"/>
      <c r="AP765" s="281"/>
      <c r="AQ765" s="281"/>
    </row>
    <row r="766" spans="1:43" s="280" customFormat="1" ht="14.4" x14ac:dyDescent="0.3">
      <c r="A766" s="277"/>
      <c r="B766" s="277"/>
      <c r="C766" s="277"/>
      <c r="D766" s="275"/>
      <c r="E766" s="275"/>
      <c r="F766" s="275"/>
      <c r="G766" s="275"/>
      <c r="H766" s="275"/>
      <c r="I766" s="275"/>
      <c r="J766" s="452"/>
      <c r="K766" s="452"/>
      <c r="L766" s="452"/>
      <c r="M766" s="452"/>
      <c r="N766" s="452"/>
      <c r="O766" s="452"/>
      <c r="P766" s="460"/>
      <c r="Q766" s="452"/>
      <c r="R766" s="453"/>
      <c r="S766" s="453"/>
      <c r="T766" s="453"/>
      <c r="U766" s="16" t="s">
        <v>56</v>
      </c>
      <c r="V766" s="373">
        <f ca="1">'MTREF BUDGET 2023-24  Summary'!G58</f>
        <v>18133610.81675813</v>
      </c>
      <c r="W766" s="373">
        <f>O734</f>
        <v>18133610.816758156</v>
      </c>
      <c r="X766" s="375">
        <f ca="1">SUMIF(DETAILED!R:AL,U766,DETAILED!AL:AL)</f>
        <v>18133610.81675813</v>
      </c>
      <c r="Y766" s="376">
        <f t="shared" ca="1" si="7"/>
        <v>0</v>
      </c>
      <c r="Z766" s="376">
        <f t="shared" ca="1" si="8"/>
        <v>0</v>
      </c>
      <c r="AG766" s="281"/>
      <c r="AH766" s="281"/>
      <c r="AI766" s="281"/>
      <c r="AJ766" s="281"/>
      <c r="AK766" s="281"/>
      <c r="AL766" s="281"/>
      <c r="AM766" s="281"/>
      <c r="AN766" s="281"/>
      <c r="AO766" s="281"/>
      <c r="AP766" s="281"/>
      <c r="AQ766" s="281"/>
    </row>
    <row r="767" spans="1:43" s="280" customFormat="1" ht="14.4" x14ac:dyDescent="0.3">
      <c r="A767" s="277"/>
      <c r="B767" s="277"/>
      <c r="C767" s="277"/>
      <c r="D767" s="275"/>
      <c r="E767" s="275"/>
      <c r="F767" s="275"/>
      <c r="G767" s="275"/>
      <c r="H767" s="275"/>
      <c r="I767" s="275"/>
      <c r="J767" s="452"/>
      <c r="K767" s="452"/>
      <c r="L767" s="452"/>
      <c r="M767" s="452"/>
      <c r="N767" s="452"/>
      <c r="O767" s="452"/>
      <c r="P767" s="460"/>
      <c r="Q767" s="452"/>
      <c r="R767" s="453"/>
      <c r="S767" s="453"/>
      <c r="T767" s="453"/>
      <c r="U767" s="16" t="s">
        <v>62</v>
      </c>
      <c r="V767" s="373">
        <f ca="1">'MTREF BUDGET 2023-24  Summary'!G64</f>
        <v>18631589.232013401</v>
      </c>
      <c r="W767" s="373">
        <f>K734</f>
        <v>18631589.232013348</v>
      </c>
      <c r="X767" s="375">
        <f ca="1">SUMIF(DETAILED!R:AL,U767,DETAILED!AL:AL)</f>
        <v>18631589.232013401</v>
      </c>
      <c r="Y767" s="376">
        <f t="shared" ca="1" si="7"/>
        <v>-5.2154064178466797E-8</v>
      </c>
      <c r="Z767" s="376">
        <f t="shared" ca="1" si="8"/>
        <v>5.2154064178466797E-8</v>
      </c>
      <c r="AG767" s="281"/>
      <c r="AH767" s="281"/>
      <c r="AI767" s="281"/>
      <c r="AJ767" s="281"/>
      <c r="AK767" s="281"/>
      <c r="AL767" s="281"/>
      <c r="AM767" s="281"/>
      <c r="AN767" s="281"/>
      <c r="AO767" s="281"/>
      <c r="AP767" s="281"/>
      <c r="AQ767" s="281"/>
    </row>
    <row r="768" spans="1:43" s="280" customFormat="1" ht="14.4" x14ac:dyDescent="0.3">
      <c r="A768" s="277"/>
      <c r="B768" s="277"/>
      <c r="C768" s="277"/>
      <c r="D768" s="275"/>
      <c r="E768" s="275"/>
      <c r="F768" s="275"/>
      <c r="G768" s="275"/>
      <c r="H768" s="275"/>
      <c r="I768" s="275"/>
      <c r="J768" s="452"/>
      <c r="K768" s="452"/>
      <c r="L768" s="452"/>
      <c r="M768" s="452"/>
      <c r="N768" s="452"/>
      <c r="O768" s="452"/>
      <c r="P768" s="506"/>
      <c r="Q768" s="452"/>
      <c r="R768" s="453"/>
      <c r="S768" s="453"/>
      <c r="T768" s="453"/>
      <c r="U768" s="16" t="s">
        <v>73</v>
      </c>
      <c r="V768" s="407">
        <f ca="1">'MTREF BUDGET 2023-24  Summary'!G74</f>
        <v>1463104.1192566212</v>
      </c>
      <c r="W768" s="375">
        <f>S734</f>
        <v>1463104.1192566005</v>
      </c>
      <c r="X768" s="375">
        <f ca="1">SUMIF(DETAILED!R:AL,U768,DETAILED!AL:AL)</f>
        <v>1463104.1192566212</v>
      </c>
      <c r="Y768" s="376">
        <f t="shared" ca="1" si="7"/>
        <v>-2.0721927285194397E-8</v>
      </c>
      <c r="Z768" s="376">
        <f t="shared" ca="1" si="8"/>
        <v>2.0721927285194397E-8</v>
      </c>
      <c r="AG768" s="281"/>
      <c r="AH768" s="281"/>
      <c r="AI768" s="281"/>
      <c r="AJ768" s="281"/>
      <c r="AK768" s="281"/>
      <c r="AL768" s="281"/>
      <c r="AM768" s="281"/>
      <c r="AN768" s="281"/>
      <c r="AO768" s="281"/>
      <c r="AP768" s="281"/>
      <c r="AQ768" s="281"/>
    </row>
    <row r="769" spans="1:43" s="280" customFormat="1" ht="14.4" x14ac:dyDescent="0.3">
      <c r="A769" s="277"/>
      <c r="B769" s="277"/>
      <c r="C769" s="277"/>
      <c r="D769" s="275"/>
      <c r="E769" s="275"/>
      <c r="F769" s="275"/>
      <c r="G769" s="275"/>
      <c r="H769" s="275"/>
      <c r="I769" s="275"/>
      <c r="J769" s="452"/>
      <c r="K769" s="452"/>
      <c r="L769" s="452"/>
      <c r="M769" s="452"/>
      <c r="N769" s="452"/>
      <c r="O769" s="452"/>
      <c r="P769" s="460"/>
      <c r="Q769" s="452"/>
      <c r="R769" s="453"/>
      <c r="S769" s="453"/>
      <c r="T769" s="453"/>
      <c r="U769" s="16" t="s">
        <v>69</v>
      </c>
      <c r="V769" s="373">
        <f ca="1">'MTREF BUDGET 2023-24  Summary'!G70</f>
        <v>89214.830903480222</v>
      </c>
      <c r="W769" s="373">
        <f>N734</f>
        <v>89214.830903480979</v>
      </c>
      <c r="X769" s="375">
        <f ca="1">SUMIF(DETAILED!R:AL,U769,DETAILED!AL:AL)</f>
        <v>89214.830903480222</v>
      </c>
      <c r="Y769" s="376">
        <f t="shared" ca="1" si="7"/>
        <v>7.5669959187507629E-10</v>
      </c>
      <c r="Z769" s="376">
        <f t="shared" ca="1" si="8"/>
        <v>-7.5669959187507629E-10</v>
      </c>
      <c r="AG769" s="281"/>
      <c r="AH769" s="281"/>
      <c r="AI769" s="281"/>
      <c r="AJ769" s="281"/>
      <c r="AK769" s="281"/>
      <c r="AL769" s="281"/>
      <c r="AM769" s="281"/>
      <c r="AN769" s="281"/>
      <c r="AO769" s="281"/>
      <c r="AP769" s="281"/>
      <c r="AQ769" s="281"/>
    </row>
    <row r="770" spans="1:43" s="280" customFormat="1" ht="14.4" x14ac:dyDescent="0.3">
      <c r="A770" s="277"/>
      <c r="B770" s="277"/>
      <c r="C770" s="277"/>
      <c r="D770" s="275"/>
      <c r="E770" s="275"/>
      <c r="F770" s="275"/>
      <c r="G770" s="275"/>
      <c r="H770" s="275"/>
      <c r="I770" s="275"/>
      <c r="J770" s="452"/>
      <c r="K770" s="452"/>
      <c r="L770" s="452"/>
      <c r="M770" s="452"/>
      <c r="N770" s="452"/>
      <c r="O770" s="452"/>
      <c r="P770" s="460"/>
      <c r="Q770" s="452"/>
      <c r="R770" s="453"/>
      <c r="S770" s="453"/>
      <c r="T770" s="453"/>
      <c r="U770" s="16" t="s">
        <v>70</v>
      </c>
      <c r="V770" s="373">
        <f ca="1">'MTREF BUDGET 2023-24  Summary'!G71</f>
        <v>18906060.359453052</v>
      </c>
      <c r="W770" s="373">
        <f>P734</f>
        <v>18906060.35945303</v>
      </c>
      <c r="X770" s="375">
        <f ca="1">SUMIF(DETAILED!R:AL,U770,DETAILED!AL:AL)</f>
        <v>18906060.359453052</v>
      </c>
      <c r="Y770" s="376">
        <f t="shared" ca="1" si="7"/>
        <v>0</v>
      </c>
      <c r="Z770" s="376">
        <f t="shared" ca="1" si="8"/>
        <v>0</v>
      </c>
      <c r="AG770" s="281"/>
      <c r="AH770" s="281"/>
      <c r="AI770" s="281"/>
      <c r="AJ770" s="281"/>
      <c r="AK770" s="281"/>
      <c r="AL770" s="281"/>
      <c r="AM770" s="281"/>
      <c r="AN770" s="281"/>
      <c r="AO770" s="281"/>
      <c r="AP770" s="281"/>
      <c r="AQ770" s="281"/>
    </row>
    <row r="771" spans="1:43" s="280" customFormat="1" ht="14.4" x14ac:dyDescent="0.3">
      <c r="A771" s="277"/>
      <c r="B771" s="277"/>
      <c r="C771" s="277"/>
      <c r="D771" s="275"/>
      <c r="E771" s="275"/>
      <c r="F771" s="275"/>
      <c r="G771" s="275"/>
      <c r="H771" s="275"/>
      <c r="I771" s="275"/>
      <c r="J771" s="452"/>
      <c r="K771" s="452"/>
      <c r="L771" s="452"/>
      <c r="M771" s="452"/>
      <c r="N771" s="452"/>
      <c r="O771" s="452"/>
      <c r="P771" s="460"/>
      <c r="Q771" s="452"/>
      <c r="R771" s="453"/>
      <c r="S771" s="453"/>
      <c r="T771" s="453"/>
      <c r="U771" s="16" t="s">
        <v>71</v>
      </c>
      <c r="V771" s="373">
        <f ca="1">'MTREF BUDGET 2023-24  Summary'!G72</f>
        <v>41360446.731695443</v>
      </c>
      <c r="W771" s="373">
        <f>Q734</f>
        <v>41360446.731695771</v>
      </c>
      <c r="X771" s="375">
        <f ca="1">SUMIF(DETAILED!R:AL,U771,DETAILED!AL:AL)</f>
        <v>41360446.731695443</v>
      </c>
      <c r="Y771" s="376">
        <f t="shared" ca="1" si="7"/>
        <v>3.2782554626464844E-7</v>
      </c>
      <c r="Z771" s="376">
        <f t="shared" ca="1" si="8"/>
        <v>-3.2782554626464844E-7</v>
      </c>
      <c r="AG771" s="281"/>
      <c r="AH771" s="281"/>
      <c r="AI771" s="281"/>
      <c r="AJ771" s="281"/>
      <c r="AK771" s="281"/>
      <c r="AL771" s="281"/>
      <c r="AM771" s="281"/>
      <c r="AN771" s="281"/>
      <c r="AO771" s="281"/>
      <c r="AP771" s="281"/>
      <c r="AQ771" s="281"/>
    </row>
    <row r="772" spans="1:43" s="280" customFormat="1" ht="14.4" x14ac:dyDescent="0.3">
      <c r="A772" s="277"/>
      <c r="B772" s="277"/>
      <c r="C772" s="277"/>
      <c r="D772" s="275"/>
      <c r="E772" s="275"/>
      <c r="F772" s="275"/>
      <c r="G772" s="275"/>
      <c r="H772" s="275"/>
      <c r="I772" s="275"/>
      <c r="J772" s="452"/>
      <c r="K772" s="452"/>
      <c r="L772" s="452"/>
      <c r="M772" s="452"/>
      <c r="N772" s="452"/>
      <c r="O772" s="452"/>
      <c r="P772" s="460"/>
      <c r="Q772" s="452"/>
      <c r="R772" s="453"/>
      <c r="S772" s="453"/>
      <c r="T772" s="453"/>
      <c r="U772" s="16" t="s">
        <v>72</v>
      </c>
      <c r="V772" s="373">
        <f ca="1">'MTREF BUDGET 2023-24  Summary'!G73</f>
        <v>42121641.751760252</v>
      </c>
      <c r="W772" s="373">
        <f>R734</f>
        <v>42121641.75176049</v>
      </c>
      <c r="X772" s="375">
        <f ca="1">SUMIF(DETAILED!R:AL,U772,DETAILED!AL:AL)</f>
        <v>42121641.751760252</v>
      </c>
      <c r="Y772" s="376">
        <f t="shared" ca="1" si="7"/>
        <v>2.384185791015625E-7</v>
      </c>
      <c r="Z772" s="376">
        <f t="shared" ca="1" si="8"/>
        <v>-2.384185791015625E-7</v>
      </c>
      <c r="AG772" s="281"/>
      <c r="AH772" s="281"/>
      <c r="AI772" s="281"/>
      <c r="AJ772" s="281"/>
      <c r="AK772" s="281"/>
      <c r="AL772" s="281"/>
      <c r="AM772" s="281"/>
      <c r="AN772" s="281"/>
      <c r="AO772" s="281"/>
      <c r="AP772" s="281"/>
      <c r="AQ772" s="281"/>
    </row>
    <row r="773" spans="1:43" s="280" customFormat="1" ht="15" thickBot="1" x14ac:dyDescent="0.35">
      <c r="A773" s="277"/>
      <c r="B773" s="277"/>
      <c r="C773" s="277"/>
      <c r="D773" s="275"/>
      <c r="E773" s="275"/>
      <c r="F773" s="275"/>
      <c r="G773" s="275"/>
      <c r="H773" s="275"/>
      <c r="I773" s="275"/>
      <c r="J773" s="452"/>
      <c r="K773" s="452"/>
      <c r="L773" s="452"/>
      <c r="M773" s="452"/>
      <c r="N773" s="452"/>
      <c r="O773" s="452"/>
      <c r="P773" s="460"/>
      <c r="Q773" s="452"/>
      <c r="R773" s="453"/>
      <c r="S773" s="453"/>
      <c r="T773" s="453"/>
      <c r="V773" s="371">
        <f ca="1">SUM(V763:V772)</f>
        <v>399371670.58816099</v>
      </c>
      <c r="W773" s="371">
        <f>SUM(W763:W772)</f>
        <v>399371670.5881598</v>
      </c>
      <c r="X773" s="371">
        <f ca="1">SUM(X763:X772)</f>
        <v>399371670.58816099</v>
      </c>
      <c r="Y773" s="371">
        <f ca="1">SUM(Y763:Y772)</f>
        <v>-1.2083328329026699E-6</v>
      </c>
      <c r="Z773"/>
      <c r="AG773" s="281"/>
      <c r="AH773" s="281"/>
      <c r="AI773" s="281"/>
      <c r="AJ773" s="281"/>
      <c r="AK773" s="281"/>
      <c r="AL773" s="281"/>
      <c r="AM773" s="281"/>
      <c r="AN773" s="281"/>
      <c r="AO773" s="281"/>
      <c r="AP773" s="281"/>
      <c r="AQ773" s="281"/>
    </row>
    <row r="774" spans="1:43" s="280" customFormat="1" ht="15" thickTop="1" x14ac:dyDescent="0.3">
      <c r="A774" s="277"/>
      <c r="B774" s="277"/>
      <c r="C774" s="277"/>
      <c r="D774" s="275"/>
      <c r="E774" s="275"/>
      <c r="F774" s="275"/>
      <c r="G774" s="275"/>
      <c r="H774" s="275"/>
      <c r="I774" s="275"/>
      <c r="J774" s="452"/>
      <c r="K774" s="453"/>
      <c r="L774" s="460"/>
      <c r="M774" s="460"/>
      <c r="N774" s="460"/>
      <c r="O774" s="460"/>
      <c r="P774" s="460"/>
      <c r="Q774" s="452"/>
      <c r="R774" s="453"/>
      <c r="S774" s="453"/>
      <c r="T774" s="453"/>
      <c r="U774" s="277"/>
      <c r="AG774" s="281"/>
      <c r="AH774" s="281"/>
      <c r="AI774" s="281"/>
      <c r="AJ774" s="281"/>
      <c r="AK774" s="281"/>
      <c r="AL774" s="281"/>
      <c r="AM774" s="281"/>
      <c r="AN774" s="281"/>
      <c r="AO774" s="281"/>
      <c r="AP774" s="281"/>
      <c r="AQ774" s="281"/>
    </row>
    <row r="775" spans="1:43" s="280" customFormat="1" x14ac:dyDescent="0.25">
      <c r="A775" s="277"/>
      <c r="B775" s="277"/>
      <c r="C775" s="277"/>
      <c r="D775" s="275"/>
      <c r="E775" s="275"/>
      <c r="F775" s="275"/>
      <c r="G775" s="275"/>
      <c r="H775" s="275"/>
      <c r="I775" s="275"/>
      <c r="J775" s="452"/>
      <c r="K775" s="453"/>
      <c r="L775" s="453">
        <f>W773-N741</f>
        <v>0</v>
      </c>
      <c r="M775" s="452"/>
      <c r="N775" s="453"/>
      <c r="O775" s="452"/>
      <c r="P775" s="453"/>
      <c r="Q775" s="452"/>
      <c r="R775" s="453"/>
      <c r="S775" s="453"/>
      <c r="T775" s="453"/>
      <c r="U775" s="277"/>
      <c r="AG775" s="281"/>
      <c r="AH775" s="281"/>
      <c r="AI775" s="281"/>
      <c r="AJ775" s="281"/>
      <c r="AK775" s="281"/>
      <c r="AL775" s="281"/>
      <c r="AM775" s="281"/>
      <c r="AN775" s="281"/>
      <c r="AO775" s="281"/>
      <c r="AP775" s="281"/>
      <c r="AQ775" s="281"/>
    </row>
  </sheetData>
  <autoFilter ref="A2:U730" xr:uid="{59D9BD15-250B-4359-BF82-081C73F5068F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393C7-7F27-4C96-B8EA-60E19D1B71E3}">
  <sheetPr>
    <tabColor rgb="FF00B0F0"/>
  </sheetPr>
  <dimension ref="A1:U20"/>
  <sheetViews>
    <sheetView topLeftCell="I1" workbookViewId="0">
      <selection activeCell="S17" sqref="S17"/>
    </sheetView>
  </sheetViews>
  <sheetFormatPr defaultColWidth="9.109375" defaultRowHeight="12" x14ac:dyDescent="0.25"/>
  <cols>
    <col min="1" max="1" width="6.88671875" style="290" bestFit="1" customWidth="1"/>
    <col min="2" max="2" width="4.6640625" style="290" bestFit="1" customWidth="1"/>
    <col min="3" max="3" width="6.5546875" style="290" bestFit="1" customWidth="1"/>
    <col min="4" max="4" width="5.109375" style="290" bestFit="1" customWidth="1"/>
    <col min="5" max="5" width="7.5546875" style="290" bestFit="1" customWidth="1"/>
    <col min="6" max="6" width="7.33203125" style="290" bestFit="1" customWidth="1"/>
    <col min="7" max="7" width="13.109375" style="290" customWidth="1"/>
    <col min="8" max="8" width="0" style="290" hidden="1" customWidth="1"/>
    <col min="9" max="9" width="25.33203125" style="290" bestFit="1" customWidth="1"/>
    <col min="10" max="10" width="12.6640625" style="290" customWidth="1"/>
    <col min="11" max="11" width="16.88671875" style="290" customWidth="1"/>
    <col min="12" max="12" width="10.6640625" style="290" customWidth="1"/>
    <col min="13" max="13" width="12.44140625" style="290" bestFit="1" customWidth="1"/>
    <col min="14" max="14" width="14" style="290" customWidth="1"/>
    <col min="15" max="15" width="10.88671875" style="290" customWidth="1"/>
    <col min="16" max="16" width="10" style="290" bestFit="1" customWidth="1"/>
    <col min="17" max="17" width="9.88671875" style="290" bestFit="1" customWidth="1"/>
    <col min="18" max="18" width="12" style="290" bestFit="1" customWidth="1"/>
    <col min="19" max="21" width="9.88671875" style="290" bestFit="1" customWidth="1"/>
    <col min="22" max="16384" width="9.109375" style="290"/>
  </cols>
  <sheetData>
    <row r="1" spans="1:21" s="296" customFormat="1" ht="25.5" customHeight="1" x14ac:dyDescent="0.3">
      <c r="A1" s="296" t="s">
        <v>2170</v>
      </c>
      <c r="B1" s="296" t="s">
        <v>2171</v>
      </c>
      <c r="C1" s="296" t="s">
        <v>2172</v>
      </c>
      <c r="D1" s="297" t="s">
        <v>2173</v>
      </c>
      <c r="E1" s="297" t="s">
        <v>2174</v>
      </c>
      <c r="F1" s="297" t="s">
        <v>2175</v>
      </c>
      <c r="G1" s="297" t="s">
        <v>2177</v>
      </c>
      <c r="H1" s="297" t="s">
        <v>2176</v>
      </c>
      <c r="I1" s="297" t="s">
        <v>2178</v>
      </c>
      <c r="J1" s="297" t="s">
        <v>2179</v>
      </c>
      <c r="K1" s="347" t="s">
        <v>3383</v>
      </c>
      <c r="L1" s="264" t="s">
        <v>2180</v>
      </c>
      <c r="M1" s="264" t="s">
        <v>2181</v>
      </c>
      <c r="N1" s="264" t="s">
        <v>2182</v>
      </c>
      <c r="O1" s="264" t="s">
        <v>2183</v>
      </c>
      <c r="P1" s="264" t="s">
        <v>2184</v>
      </c>
      <c r="Q1" s="264" t="s">
        <v>2185</v>
      </c>
      <c r="R1" s="264" t="s">
        <v>2186</v>
      </c>
      <c r="S1" s="264" t="s">
        <v>2187</v>
      </c>
      <c r="T1" s="264" t="s">
        <v>3384</v>
      </c>
    </row>
    <row r="2" spans="1:21" s="275" customFormat="1" x14ac:dyDescent="0.25">
      <c r="A2" s="411">
        <v>501101</v>
      </c>
      <c r="B2" s="268">
        <v>1101</v>
      </c>
      <c r="C2" s="268">
        <v>27067</v>
      </c>
      <c r="D2" s="268" t="s">
        <v>894</v>
      </c>
      <c r="E2" s="268" t="s">
        <v>1290</v>
      </c>
      <c r="F2" s="268" t="s">
        <v>2243</v>
      </c>
      <c r="G2" s="268" t="s">
        <v>3385</v>
      </c>
      <c r="H2" s="268" t="s">
        <v>3386</v>
      </c>
      <c r="I2" s="268" t="s">
        <v>3387</v>
      </c>
      <c r="J2" s="348">
        <v>2345220</v>
      </c>
      <c r="K2" s="271">
        <f t="shared" ref="K2:K8" si="0">J2*4.6%+J2</f>
        <v>2453100.12</v>
      </c>
      <c r="L2" s="268">
        <v>0</v>
      </c>
      <c r="M2" s="268">
        <v>0</v>
      </c>
      <c r="N2" s="268">
        <f>2000*12</f>
        <v>24000</v>
      </c>
      <c r="O2" s="268">
        <f t="shared" ref="O2:O3" si="1">10.8*12</f>
        <v>129.60000000000002</v>
      </c>
      <c r="P2" s="268">
        <f>10000*12</f>
        <v>120000</v>
      </c>
      <c r="Q2" s="268">
        <v>0</v>
      </c>
      <c r="R2" s="268">
        <v>0</v>
      </c>
      <c r="S2" s="268">
        <v>0</v>
      </c>
      <c r="T2" s="268">
        <f t="shared" ref="T2:T3" si="2">177.12*12</f>
        <v>2125.44</v>
      </c>
    </row>
    <row r="3" spans="1:21" s="275" customFormat="1" x14ac:dyDescent="0.25">
      <c r="A3" s="411">
        <v>501441</v>
      </c>
      <c r="B3" s="268">
        <v>1441</v>
      </c>
      <c r="C3" s="268">
        <v>200482</v>
      </c>
      <c r="D3" s="268" t="s">
        <v>894</v>
      </c>
      <c r="E3" s="268" t="s">
        <v>1290</v>
      </c>
      <c r="F3" s="268" t="s">
        <v>2976</v>
      </c>
      <c r="G3" s="268" t="s">
        <v>3388</v>
      </c>
      <c r="H3" s="268" t="s">
        <v>3386</v>
      </c>
      <c r="I3" s="268" t="s">
        <v>3389</v>
      </c>
      <c r="J3" s="268">
        <v>1596747</v>
      </c>
      <c r="K3" s="271">
        <f t="shared" si="0"/>
        <v>1670197.362</v>
      </c>
      <c r="L3" s="268">
        <v>0</v>
      </c>
      <c r="M3" s="268">
        <v>0</v>
      </c>
      <c r="N3" s="298">
        <f>1200*12</f>
        <v>14400</v>
      </c>
      <c r="O3" s="298">
        <f t="shared" si="1"/>
        <v>129.60000000000002</v>
      </c>
      <c r="P3" s="298">
        <f>12000*12</f>
        <v>144000</v>
      </c>
      <c r="Q3" s="298">
        <v>0</v>
      </c>
      <c r="R3" s="298">
        <v>0</v>
      </c>
      <c r="S3" s="298">
        <v>0</v>
      </c>
      <c r="T3" s="298">
        <f t="shared" si="2"/>
        <v>2125.44</v>
      </c>
    </row>
    <row r="4" spans="1:21" s="275" customFormat="1" ht="14.4" x14ac:dyDescent="0.3">
      <c r="A4" s="411">
        <v>501302</v>
      </c>
      <c r="B4" s="268">
        <v>1302</v>
      </c>
      <c r="C4" s="268">
        <v>200500</v>
      </c>
      <c r="D4" s="268" t="s">
        <v>894</v>
      </c>
      <c r="E4" s="268" t="s">
        <v>1278</v>
      </c>
      <c r="F4" s="268" t="s">
        <v>3390</v>
      </c>
      <c r="G4" s="268" t="s">
        <v>3391</v>
      </c>
      <c r="H4" s="268" t="s">
        <v>3386</v>
      </c>
      <c r="I4" s="268" t="s">
        <v>3392</v>
      </c>
      <c r="J4" s="268">
        <v>1596747</v>
      </c>
      <c r="K4" s="271">
        <f t="shared" si="0"/>
        <v>1670197.362</v>
      </c>
      <c r="L4" s="268">
        <v>0</v>
      </c>
      <c r="M4" s="268">
        <v>0</v>
      </c>
      <c r="N4" s="268">
        <f>1200*12</f>
        <v>14400</v>
      </c>
      <c r="O4" s="268">
        <f>10.8*12</f>
        <v>129.60000000000002</v>
      </c>
      <c r="P4" s="268">
        <f>12000*12</f>
        <v>144000</v>
      </c>
      <c r="Q4" s="268">
        <v>0</v>
      </c>
      <c r="R4" s="268">
        <v>0</v>
      </c>
      <c r="S4" s="268">
        <v>0</v>
      </c>
      <c r="T4" s="268">
        <f>177.12*12</f>
        <v>2125.44</v>
      </c>
      <c r="U4"/>
    </row>
    <row r="5" spans="1:21" s="275" customFormat="1" x14ac:dyDescent="0.25">
      <c r="A5" s="411">
        <v>501002</v>
      </c>
      <c r="B5" s="268">
        <v>1002</v>
      </c>
      <c r="C5" s="268">
        <v>200438</v>
      </c>
      <c r="D5" s="268" t="s">
        <v>894</v>
      </c>
      <c r="E5" s="268" t="s">
        <v>1290</v>
      </c>
      <c r="F5" s="268" t="s">
        <v>2273</v>
      </c>
      <c r="G5" s="268" t="s">
        <v>3393</v>
      </c>
      <c r="H5" s="268" t="s">
        <v>3386</v>
      </c>
      <c r="I5" s="268" t="s">
        <v>3394</v>
      </c>
      <c r="J5" s="268">
        <v>1479002</v>
      </c>
      <c r="K5" s="271">
        <f t="shared" si="0"/>
        <v>1547036.0919999999</v>
      </c>
      <c r="L5" s="268">
        <v>0</v>
      </c>
      <c r="M5" s="268">
        <v>0</v>
      </c>
      <c r="N5" s="268">
        <f>1200*12</f>
        <v>14400</v>
      </c>
      <c r="O5" s="268">
        <f t="shared" ref="O5:O8" si="3">10.8*12</f>
        <v>129.60000000000002</v>
      </c>
      <c r="P5" s="268">
        <f>11500*12</f>
        <v>138000</v>
      </c>
      <c r="Q5" s="268">
        <v>0</v>
      </c>
      <c r="R5" s="268">
        <v>0</v>
      </c>
      <c r="S5" s="268">
        <v>0</v>
      </c>
      <c r="T5" s="268">
        <f t="shared" ref="T5:T8" si="4">177.12*12</f>
        <v>2125.44</v>
      </c>
    </row>
    <row r="6" spans="1:21" s="275" customFormat="1" x14ac:dyDescent="0.25">
      <c r="A6" s="411">
        <v>501405</v>
      </c>
      <c r="B6" s="268">
        <v>1405</v>
      </c>
      <c r="C6" s="268">
        <v>200405</v>
      </c>
      <c r="D6" s="268" t="s">
        <v>894</v>
      </c>
      <c r="E6" s="268" t="s">
        <v>1290</v>
      </c>
      <c r="F6" s="268" t="s">
        <v>2984</v>
      </c>
      <c r="G6" s="268" t="s">
        <v>2821</v>
      </c>
      <c r="H6" s="268" t="s">
        <v>3386</v>
      </c>
      <c r="I6" s="268" t="s">
        <v>3395</v>
      </c>
      <c r="J6" s="268">
        <v>1223327</v>
      </c>
      <c r="K6" s="271">
        <f t="shared" si="0"/>
        <v>1279600.0419999999</v>
      </c>
      <c r="L6" s="268">
        <v>0</v>
      </c>
      <c r="M6" s="268">
        <v>0</v>
      </c>
      <c r="N6" s="268">
        <f>1200*12</f>
        <v>14400</v>
      </c>
      <c r="O6" s="298">
        <f t="shared" si="3"/>
        <v>129.60000000000002</v>
      </c>
      <c r="P6" s="268">
        <f>26400*12</f>
        <v>316800</v>
      </c>
      <c r="Q6" s="298">
        <v>0</v>
      </c>
      <c r="R6" s="298">
        <v>0</v>
      </c>
      <c r="S6" s="298">
        <v>0</v>
      </c>
      <c r="T6" s="298">
        <f t="shared" si="4"/>
        <v>2125.44</v>
      </c>
    </row>
    <row r="7" spans="1:21" s="275" customFormat="1" x14ac:dyDescent="0.25">
      <c r="A7" s="411">
        <v>501202</v>
      </c>
      <c r="B7" s="268"/>
      <c r="C7" s="268"/>
      <c r="D7" s="268"/>
      <c r="E7" s="268"/>
      <c r="F7" s="268"/>
      <c r="G7" s="317" t="s">
        <v>3404</v>
      </c>
      <c r="H7" s="268"/>
      <c r="I7" s="298" t="s">
        <v>3403</v>
      </c>
      <c r="J7" s="298">
        <v>1596747</v>
      </c>
      <c r="K7" s="271">
        <f t="shared" si="0"/>
        <v>1670197.362</v>
      </c>
      <c r="L7" s="268">
        <v>0</v>
      </c>
      <c r="M7" s="268">
        <v>0</v>
      </c>
      <c r="N7" s="268">
        <v>14400</v>
      </c>
      <c r="O7" s="298">
        <f t="shared" si="3"/>
        <v>129.60000000000002</v>
      </c>
      <c r="P7" s="268">
        <f>P4</f>
        <v>144000</v>
      </c>
      <c r="Q7" s="298">
        <v>0</v>
      </c>
      <c r="R7" s="298">
        <v>0</v>
      </c>
      <c r="S7" s="298">
        <v>0</v>
      </c>
      <c r="T7" s="298">
        <f>T6</f>
        <v>2125.44</v>
      </c>
    </row>
    <row r="8" spans="1:21" s="275" customFormat="1" x14ac:dyDescent="0.25">
      <c r="A8" s="411">
        <v>501501</v>
      </c>
      <c r="B8" s="268">
        <v>1501</v>
      </c>
      <c r="C8" s="268">
        <v>200404</v>
      </c>
      <c r="D8" s="268" t="s">
        <v>894</v>
      </c>
      <c r="E8" s="268" t="s">
        <v>1278</v>
      </c>
      <c r="F8" s="268" t="s">
        <v>2336</v>
      </c>
      <c r="G8" s="268" t="s">
        <v>3396</v>
      </c>
      <c r="H8" s="268" t="s">
        <v>3386</v>
      </c>
      <c r="I8" s="268" t="s">
        <v>3397</v>
      </c>
      <c r="J8" s="268">
        <v>1223327</v>
      </c>
      <c r="K8" s="271">
        <f t="shared" si="0"/>
        <v>1279600.0419999999</v>
      </c>
      <c r="L8" s="268">
        <v>0</v>
      </c>
      <c r="M8" s="268">
        <v>0</v>
      </c>
      <c r="N8" s="268">
        <f>1200*12</f>
        <v>14400</v>
      </c>
      <c r="O8" s="268">
        <f t="shared" si="3"/>
        <v>129.60000000000002</v>
      </c>
      <c r="P8" s="268">
        <f>20000*12</f>
        <v>240000</v>
      </c>
      <c r="Q8" s="268">
        <v>0</v>
      </c>
      <c r="R8" s="268">
        <v>0</v>
      </c>
      <c r="S8" s="268">
        <v>0</v>
      </c>
      <c r="T8" s="268">
        <f t="shared" si="4"/>
        <v>2125.44</v>
      </c>
    </row>
    <row r="9" spans="1:21" s="275" customFormat="1" x14ac:dyDescent="0.25"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</row>
    <row r="10" spans="1:21" s="275" customFormat="1" ht="17.399999999999999" x14ac:dyDescent="0.3">
      <c r="G10" s="285" t="s">
        <v>3374</v>
      </c>
      <c r="H10" s="285"/>
      <c r="I10" s="447" t="s">
        <v>3374</v>
      </c>
      <c r="J10" s="300">
        <f t="shared" ref="J10:S10" si="5">SUM(J2:J8)</f>
        <v>11061117</v>
      </c>
      <c r="K10" s="300">
        <f t="shared" si="5"/>
        <v>11569928.381999999</v>
      </c>
      <c r="L10" s="301">
        <f t="shared" si="5"/>
        <v>0</v>
      </c>
      <c r="M10" s="301">
        <f t="shared" si="5"/>
        <v>0</v>
      </c>
      <c r="N10" s="301">
        <f t="shared" si="5"/>
        <v>110400</v>
      </c>
      <c r="O10" s="301">
        <f t="shared" si="5"/>
        <v>907.20000000000016</v>
      </c>
      <c r="P10" s="301">
        <f t="shared" si="5"/>
        <v>1246800</v>
      </c>
      <c r="Q10" s="301">
        <f t="shared" si="5"/>
        <v>0</v>
      </c>
      <c r="R10" s="301">
        <f t="shared" si="5"/>
        <v>0</v>
      </c>
      <c r="S10" s="301">
        <f t="shared" si="5"/>
        <v>0</v>
      </c>
      <c r="T10" s="301">
        <f>SUM(T2:T9)</f>
        <v>14878.080000000002</v>
      </c>
    </row>
    <row r="11" spans="1:21" s="275" customFormat="1" ht="17.399999999999999" x14ac:dyDescent="0.3">
      <c r="G11" s="285" t="s">
        <v>3375</v>
      </c>
      <c r="H11" s="285"/>
      <c r="I11" s="447" t="s">
        <v>3375</v>
      </c>
      <c r="J11" s="300">
        <f>J10*5.3%+J10</f>
        <v>11647356.200999999</v>
      </c>
      <c r="K11" s="300">
        <f>K10*5.3%+K10</f>
        <v>12183134.586245999</v>
      </c>
      <c r="L11" s="300">
        <f t="shared" ref="L11:P11" si="6">L10*5.3%+L10</f>
        <v>0</v>
      </c>
      <c r="M11" s="300">
        <f t="shared" si="6"/>
        <v>0</v>
      </c>
      <c r="N11" s="300">
        <f t="shared" si="6"/>
        <v>116251.2</v>
      </c>
      <c r="O11" s="300">
        <f t="shared" si="6"/>
        <v>955.28160000000014</v>
      </c>
      <c r="P11" s="300">
        <f t="shared" si="6"/>
        <v>1312880.3999999999</v>
      </c>
      <c r="Q11" s="300">
        <f t="shared" ref="Q11:S11" si="7">Q10*4.7%+Q10</f>
        <v>0</v>
      </c>
      <c r="R11" s="300">
        <f t="shared" si="7"/>
        <v>0</v>
      </c>
      <c r="S11" s="300">
        <f t="shared" si="7"/>
        <v>0</v>
      </c>
      <c r="T11" s="300">
        <f>T10*5.3%+T10</f>
        <v>15666.618240000002</v>
      </c>
    </row>
    <row r="12" spans="1:21" s="275" customFormat="1" ht="17.399999999999999" x14ac:dyDescent="0.3">
      <c r="G12" s="285" t="s">
        <v>3376</v>
      </c>
      <c r="H12" s="285"/>
      <c r="I12" s="447" t="s">
        <v>3376</v>
      </c>
      <c r="J12" s="300">
        <f>J11*4.9%+J11</f>
        <v>12218076.654849</v>
      </c>
      <c r="K12" s="300">
        <f>K11*4.9%+K11</f>
        <v>12780108.180972053</v>
      </c>
      <c r="L12" s="300">
        <f t="shared" ref="L12:P12" si="8">L11*4.9%+L11</f>
        <v>0</v>
      </c>
      <c r="M12" s="300">
        <f t="shared" si="8"/>
        <v>0</v>
      </c>
      <c r="N12" s="300">
        <f t="shared" si="8"/>
        <v>121947.5088</v>
      </c>
      <c r="O12" s="300">
        <f t="shared" si="8"/>
        <v>1002.0903984000001</v>
      </c>
      <c r="P12" s="300">
        <f t="shared" si="8"/>
        <v>1377211.5395999998</v>
      </c>
      <c r="Q12" s="300">
        <f t="shared" ref="Q12:S13" si="9">Q11*4.6%+Q11</f>
        <v>0</v>
      </c>
      <c r="R12" s="300">
        <f t="shared" si="9"/>
        <v>0</v>
      </c>
      <c r="S12" s="300">
        <f t="shared" si="9"/>
        <v>0</v>
      </c>
      <c r="T12" s="300">
        <f>T11*4.9%+T11</f>
        <v>16434.282533760001</v>
      </c>
    </row>
    <row r="13" spans="1:21" s="275" customFormat="1" ht="17.399999999999999" x14ac:dyDescent="0.3">
      <c r="G13" s="285" t="s">
        <v>3486</v>
      </c>
      <c r="H13" s="285"/>
      <c r="I13" s="447" t="s">
        <v>3495</v>
      </c>
      <c r="J13" s="300">
        <f>J12*4.7%+J12</f>
        <v>12792326.257626902</v>
      </c>
      <c r="K13" s="300">
        <f>K12*4.7%+K12</f>
        <v>13380773.265477739</v>
      </c>
      <c r="L13" s="300">
        <f t="shared" ref="L13:P13" si="10">L12*4.7%+L12</f>
        <v>0</v>
      </c>
      <c r="M13" s="300">
        <f t="shared" si="10"/>
        <v>0</v>
      </c>
      <c r="N13" s="300">
        <f t="shared" si="10"/>
        <v>127679.04171359999</v>
      </c>
      <c r="O13" s="300">
        <f t="shared" si="10"/>
        <v>1049.1886471248001</v>
      </c>
      <c r="P13" s="300">
        <f t="shared" si="10"/>
        <v>1441940.4819611998</v>
      </c>
      <c r="Q13" s="300">
        <f t="shared" si="9"/>
        <v>0</v>
      </c>
      <c r="R13" s="300">
        <f t="shared" si="9"/>
        <v>0</v>
      </c>
      <c r="S13" s="300">
        <f t="shared" si="9"/>
        <v>0</v>
      </c>
      <c r="T13" s="300">
        <f>T12*4.7%+T12</f>
        <v>17206.693812846719</v>
      </c>
    </row>
    <row r="14" spans="1:21" s="275" customFormat="1" x14ac:dyDescent="0.25">
      <c r="G14" s="290" t="s">
        <v>3377</v>
      </c>
      <c r="J14" s="302" t="s">
        <v>3378</v>
      </c>
      <c r="K14" s="364" t="s">
        <v>3379</v>
      </c>
      <c r="L14" s="364"/>
      <c r="M14" s="303" t="s">
        <v>3374</v>
      </c>
      <c r="N14" s="303" t="s">
        <v>3375</v>
      </c>
      <c r="O14" s="303" t="s">
        <v>3376</v>
      </c>
      <c r="P14" s="303" t="s">
        <v>3486</v>
      </c>
    </row>
    <row r="15" spans="1:21" s="275" customFormat="1" x14ac:dyDescent="0.25">
      <c r="G15" s="290"/>
      <c r="J15" s="304">
        <v>102</v>
      </c>
      <c r="K15" s="304" t="s">
        <v>3380</v>
      </c>
      <c r="L15" s="304"/>
      <c r="M15" s="305">
        <f>J10</f>
        <v>11061117</v>
      </c>
      <c r="N15" s="305">
        <f>M15*5.3%+M15</f>
        <v>11647356.200999999</v>
      </c>
      <c r="O15" s="305">
        <f>N15*4.9%+N15</f>
        <v>12218076.654849</v>
      </c>
      <c r="P15" s="305">
        <f>O15*4.7%+O15</f>
        <v>12792326.257626902</v>
      </c>
    </row>
    <row r="16" spans="1:21" s="275" customFormat="1" x14ac:dyDescent="0.25">
      <c r="G16" s="290"/>
      <c r="J16" s="304">
        <v>104</v>
      </c>
      <c r="K16" s="304" t="s">
        <v>3381</v>
      </c>
      <c r="L16" s="304"/>
      <c r="M16" s="305">
        <f>SUM(L10:T10)</f>
        <v>1372985.28</v>
      </c>
      <c r="N16" s="305">
        <f>M16*5.3%+M16</f>
        <v>1445753.4998399999</v>
      </c>
      <c r="O16" s="305">
        <f>N16*4.9%+N16</f>
        <v>1516595.42133216</v>
      </c>
      <c r="P16" s="305">
        <f>O16*4.7%+O16</f>
        <v>1587875.4061347716</v>
      </c>
    </row>
    <row r="17" spans="10:16" s="275" customFormat="1" x14ac:dyDescent="0.25">
      <c r="J17" s="367" t="s">
        <v>3382</v>
      </c>
      <c r="K17" s="365"/>
      <c r="L17" s="361"/>
      <c r="M17" s="305">
        <f>SUM(M15:M16)</f>
        <v>12434102.279999999</v>
      </c>
      <c r="N17" s="306">
        <f>SUM(N15:N16)</f>
        <v>13093109.70084</v>
      </c>
      <c r="O17" s="305">
        <f>SUM(O15:O16)</f>
        <v>13734672.07618116</v>
      </c>
      <c r="P17" s="305">
        <f>SUM(P15:P16)</f>
        <v>14380201.663761673</v>
      </c>
    </row>
    <row r="18" spans="10:16" x14ac:dyDescent="0.25">
      <c r="M18" s="409">
        <f>M17-SUM(J10:T10)+K10</f>
        <v>0</v>
      </c>
      <c r="N18" s="409">
        <f>N17-SUM(J11:T11)+K11</f>
        <v>0</v>
      </c>
      <c r="O18" s="409">
        <f>O17-SUM(J12:T12)+K12</f>
        <v>0</v>
      </c>
      <c r="P18" s="409">
        <f>P17-SUM(J13:T13)+K13</f>
        <v>0</v>
      </c>
    </row>
    <row r="20" spans="10:16" x14ac:dyDescent="0.25">
      <c r="N20" s="353">
        <v>5.2999999999999999E-2</v>
      </c>
      <c r="O20" s="353">
        <v>4.9000000000000002E-2</v>
      </c>
      <c r="P20" s="353">
        <v>4.7E-2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AF148-7780-4112-B0F3-0493620029F3}">
  <sheetPr>
    <tabColor rgb="FF00B0F0"/>
  </sheetPr>
  <dimension ref="A1:T48"/>
  <sheetViews>
    <sheetView topLeftCell="E26" workbookViewId="0">
      <selection activeCell="Q48" sqref="Q48"/>
    </sheetView>
  </sheetViews>
  <sheetFormatPr defaultColWidth="9.109375" defaultRowHeight="12" x14ac:dyDescent="0.25"/>
  <cols>
    <col min="1" max="4" width="9.109375" style="275"/>
    <col min="5" max="5" width="7" style="275" customWidth="1"/>
    <col min="6" max="6" width="14" style="275" bestFit="1" customWidth="1"/>
    <col min="7" max="7" width="15.6640625" style="275" customWidth="1"/>
    <col min="8" max="8" width="24.44140625" style="275" customWidth="1"/>
    <col min="9" max="9" width="16.109375" style="275" customWidth="1"/>
    <col min="10" max="10" width="13.109375" style="275" customWidth="1"/>
    <col min="11" max="11" width="13.44140625" style="275" customWidth="1"/>
    <col min="12" max="12" width="12.88671875" style="275" customWidth="1"/>
    <col min="13" max="15" width="12" style="275" bestFit="1" customWidth="1"/>
    <col min="16" max="16" width="10.77734375" style="275" bestFit="1" customWidth="1"/>
    <col min="17" max="17" width="10.88671875" style="275" customWidth="1"/>
    <col min="18" max="18" width="10" style="275" bestFit="1" customWidth="1"/>
    <col min="19" max="16384" width="9.109375" style="275"/>
  </cols>
  <sheetData>
    <row r="1" spans="1:19" s="266" customFormat="1" ht="18" customHeight="1" x14ac:dyDescent="0.3">
      <c r="A1" s="263" t="s">
        <v>2170</v>
      </c>
      <c r="B1" s="263" t="s">
        <v>2171</v>
      </c>
      <c r="C1" s="263" t="s">
        <v>2172</v>
      </c>
      <c r="D1" s="264" t="s">
        <v>2173</v>
      </c>
      <c r="E1" s="264" t="s">
        <v>2174</v>
      </c>
      <c r="F1" s="264" t="s">
        <v>2175</v>
      </c>
      <c r="G1" s="264" t="s">
        <v>2176</v>
      </c>
      <c r="H1" s="264" t="s">
        <v>2177</v>
      </c>
      <c r="I1" s="264" t="s">
        <v>2178</v>
      </c>
      <c r="J1" s="263" t="s">
        <v>2179</v>
      </c>
      <c r="K1" s="263" t="s">
        <v>2180</v>
      </c>
      <c r="L1" s="263" t="s">
        <v>2181</v>
      </c>
      <c r="M1" s="263" t="s">
        <v>2182</v>
      </c>
      <c r="N1" s="263" t="s">
        <v>2183</v>
      </c>
      <c r="O1" s="263" t="s">
        <v>2184</v>
      </c>
      <c r="P1" s="263" t="s">
        <v>2185</v>
      </c>
      <c r="Q1" s="263" t="s">
        <v>2186</v>
      </c>
      <c r="R1" s="263" t="s">
        <v>2187</v>
      </c>
      <c r="S1" s="263" t="s">
        <v>2188</v>
      </c>
    </row>
    <row r="3" spans="1:19" s="308" customFormat="1" ht="25.5" customHeight="1" x14ac:dyDescent="0.3">
      <c r="A3" s="264" t="s">
        <v>2170</v>
      </c>
      <c r="B3" s="264" t="s">
        <v>2171</v>
      </c>
      <c r="C3" s="264" t="s">
        <v>2172</v>
      </c>
      <c r="D3" s="264" t="s">
        <v>2173</v>
      </c>
      <c r="E3" s="264" t="s">
        <v>2174</v>
      </c>
      <c r="F3" s="264" t="s">
        <v>3400</v>
      </c>
      <c r="G3" s="264" t="s">
        <v>3398</v>
      </c>
      <c r="H3" s="264" t="s">
        <v>3399</v>
      </c>
      <c r="I3" s="264" t="s">
        <v>2178</v>
      </c>
      <c r="J3" s="264" t="s">
        <v>3401</v>
      </c>
      <c r="L3" s="264" t="s">
        <v>2181</v>
      </c>
      <c r="M3" s="264" t="s">
        <v>2182</v>
      </c>
      <c r="N3" s="264" t="s">
        <v>2183</v>
      </c>
      <c r="O3" s="264" t="s">
        <v>2184</v>
      </c>
      <c r="P3" s="264" t="s">
        <v>2185</v>
      </c>
      <c r="Q3" s="264" t="s">
        <v>2186</v>
      </c>
      <c r="R3" s="264" t="s">
        <v>2187</v>
      </c>
      <c r="S3" s="264" t="s">
        <v>2188</v>
      </c>
    </row>
    <row r="4" spans="1:19" x14ac:dyDescent="0.25">
      <c r="A4" s="268">
        <v>501102</v>
      </c>
      <c r="B4" s="268"/>
      <c r="C4" s="268"/>
      <c r="D4" s="268"/>
      <c r="E4" s="268"/>
      <c r="F4" s="309" t="s">
        <v>3404</v>
      </c>
      <c r="G4" s="268"/>
      <c r="H4" s="298" t="s">
        <v>3402</v>
      </c>
      <c r="I4" s="298" t="s">
        <v>3403</v>
      </c>
      <c r="J4" s="298">
        <v>1670197.362</v>
      </c>
      <c r="L4" s="310">
        <v>0</v>
      </c>
      <c r="M4" s="298">
        <v>14400</v>
      </c>
      <c r="N4" s="310">
        <f t="shared" ref="N4:N26" si="0">10.8*12</f>
        <v>129.60000000000002</v>
      </c>
      <c r="O4" s="298">
        <f>'SM &amp; Vacancies'!P4</f>
        <v>144000</v>
      </c>
      <c r="P4" s="298">
        <v>0</v>
      </c>
      <c r="Q4" s="298">
        <v>0</v>
      </c>
      <c r="R4" s="298">
        <v>0</v>
      </c>
      <c r="S4" s="298">
        <v>0</v>
      </c>
    </row>
    <row r="5" spans="1:19" x14ac:dyDescent="0.25">
      <c r="A5" s="268">
        <v>501406</v>
      </c>
      <c r="B5" s="268">
        <v>1406</v>
      </c>
      <c r="C5" s="268">
        <v>34568</v>
      </c>
      <c r="D5" s="268" t="s">
        <v>1290</v>
      </c>
      <c r="E5" s="268" t="s">
        <v>894</v>
      </c>
      <c r="F5" s="309" t="s">
        <v>3404</v>
      </c>
      <c r="G5" s="268">
        <v>8</v>
      </c>
      <c r="H5" s="312" t="s">
        <v>3405</v>
      </c>
      <c r="I5" s="268" t="s">
        <v>2712</v>
      </c>
      <c r="J5" s="313">
        <v>378144</v>
      </c>
      <c r="L5" s="310">
        <f t="shared" ref="L5:L26" si="1">1011.77*12</f>
        <v>12141.24</v>
      </c>
      <c r="M5" s="298">
        <v>0</v>
      </c>
      <c r="N5" s="310">
        <f t="shared" si="0"/>
        <v>129.60000000000002</v>
      </c>
      <c r="O5" s="310">
        <v>0</v>
      </c>
      <c r="P5" s="298">
        <f t="shared" ref="P5:P17" si="2">J5*1.75</f>
        <v>661752</v>
      </c>
      <c r="Q5" s="314">
        <f t="shared" ref="Q5:Q30" si="3">5007*12</f>
        <v>60084</v>
      </c>
      <c r="R5" s="310">
        <f t="shared" ref="R5:R17" si="4">18.07%*J5</f>
        <v>68330.620800000004</v>
      </c>
      <c r="S5" s="310">
        <f>177.12*12</f>
        <v>2125.44</v>
      </c>
    </row>
    <row r="6" spans="1:19" x14ac:dyDescent="0.25">
      <c r="A6" s="268">
        <v>501105</v>
      </c>
      <c r="B6" s="268">
        <v>1105</v>
      </c>
      <c r="C6" s="268">
        <v>35664</v>
      </c>
      <c r="D6" s="268" t="s">
        <v>1290</v>
      </c>
      <c r="E6" s="268" t="s">
        <v>894</v>
      </c>
      <c r="F6" s="309" t="s">
        <v>3404</v>
      </c>
      <c r="G6" s="268">
        <v>8</v>
      </c>
      <c r="H6" s="312" t="s">
        <v>3406</v>
      </c>
      <c r="I6" s="268" t="s">
        <v>3373</v>
      </c>
      <c r="J6" s="313">
        <v>378144</v>
      </c>
      <c r="L6" s="310">
        <f t="shared" si="1"/>
        <v>12141.24</v>
      </c>
      <c r="M6" s="298">
        <v>0</v>
      </c>
      <c r="N6" s="310">
        <f t="shared" si="0"/>
        <v>129.60000000000002</v>
      </c>
      <c r="O6" s="310">
        <v>0</v>
      </c>
      <c r="P6" s="298">
        <f t="shared" si="2"/>
        <v>661752</v>
      </c>
      <c r="Q6" s="314">
        <f t="shared" si="3"/>
        <v>60084</v>
      </c>
      <c r="R6" s="310">
        <f t="shared" si="4"/>
        <v>68330.620800000004</v>
      </c>
      <c r="S6" s="310">
        <f t="shared" ref="S6:S26" si="5">177.12*12</f>
        <v>2125.44</v>
      </c>
    </row>
    <row r="7" spans="1:19" x14ac:dyDescent="0.25">
      <c r="A7" s="268">
        <v>501444</v>
      </c>
      <c r="B7" s="268">
        <v>1444</v>
      </c>
      <c r="C7" s="268">
        <v>40086</v>
      </c>
      <c r="D7" s="268" t="s">
        <v>1290</v>
      </c>
      <c r="E7" s="268" t="s">
        <v>894</v>
      </c>
      <c r="F7" s="309" t="s">
        <v>3404</v>
      </c>
      <c r="G7" s="268">
        <v>8</v>
      </c>
      <c r="H7" s="312" t="s">
        <v>3407</v>
      </c>
      <c r="I7" s="268" t="s">
        <v>2717</v>
      </c>
      <c r="J7" s="315">
        <v>361056</v>
      </c>
      <c r="L7" s="271">
        <f t="shared" si="1"/>
        <v>12141.24</v>
      </c>
      <c r="M7" s="268">
        <v>0</v>
      </c>
      <c r="N7" s="271">
        <f t="shared" si="0"/>
        <v>129.60000000000002</v>
      </c>
      <c r="O7" s="310">
        <v>0</v>
      </c>
      <c r="P7" s="268">
        <f t="shared" si="2"/>
        <v>631848</v>
      </c>
      <c r="Q7" s="274">
        <f t="shared" si="3"/>
        <v>60084</v>
      </c>
      <c r="R7" s="271">
        <f t="shared" si="4"/>
        <v>65242.819199999998</v>
      </c>
      <c r="S7" s="271">
        <f t="shared" si="5"/>
        <v>2125.44</v>
      </c>
    </row>
    <row r="8" spans="1:19" x14ac:dyDescent="0.25">
      <c r="A8" s="268">
        <v>501444</v>
      </c>
      <c r="B8" s="268">
        <v>1444</v>
      </c>
      <c r="C8" s="268">
        <v>42628</v>
      </c>
      <c r="D8" s="268" t="s">
        <v>1290</v>
      </c>
      <c r="E8" s="268" t="s">
        <v>894</v>
      </c>
      <c r="F8" s="309" t="s">
        <v>3404</v>
      </c>
      <c r="G8" s="268">
        <v>13</v>
      </c>
      <c r="H8" s="312" t="s">
        <v>3408</v>
      </c>
      <c r="I8" s="268" t="s">
        <v>2978</v>
      </c>
      <c r="J8" s="315">
        <v>194520</v>
      </c>
      <c r="L8" s="271">
        <f t="shared" si="1"/>
        <v>12141.24</v>
      </c>
      <c r="M8" s="268">
        <v>0</v>
      </c>
      <c r="N8" s="271">
        <f t="shared" si="0"/>
        <v>129.60000000000002</v>
      </c>
      <c r="O8" s="310">
        <v>0</v>
      </c>
      <c r="P8" s="268">
        <f t="shared" si="2"/>
        <v>340410</v>
      </c>
      <c r="Q8" s="274">
        <f t="shared" si="3"/>
        <v>60084</v>
      </c>
      <c r="R8" s="271">
        <f t="shared" si="4"/>
        <v>35149.764000000003</v>
      </c>
      <c r="S8" s="271">
        <f t="shared" si="5"/>
        <v>2125.44</v>
      </c>
    </row>
    <row r="9" spans="1:19" x14ac:dyDescent="0.25">
      <c r="A9" s="268">
        <v>501406</v>
      </c>
      <c r="B9" s="268">
        <v>1406</v>
      </c>
      <c r="C9" s="268">
        <v>42657</v>
      </c>
      <c r="D9" s="268" t="s">
        <v>1290</v>
      </c>
      <c r="E9" s="268" t="s">
        <v>894</v>
      </c>
      <c r="F9" s="309" t="s">
        <v>3404</v>
      </c>
      <c r="G9" s="268">
        <v>8</v>
      </c>
      <c r="H9" s="312" t="s">
        <v>3409</v>
      </c>
      <c r="I9" s="268" t="s">
        <v>2689</v>
      </c>
      <c r="J9" s="315">
        <v>361056</v>
      </c>
      <c r="L9" s="271">
        <f t="shared" si="1"/>
        <v>12141.24</v>
      </c>
      <c r="M9" s="268">
        <f>750*12</f>
        <v>9000</v>
      </c>
      <c r="N9" s="271">
        <f t="shared" si="0"/>
        <v>129.60000000000002</v>
      </c>
      <c r="O9" s="310">
        <v>0</v>
      </c>
      <c r="P9" s="268">
        <f t="shared" si="2"/>
        <v>631848</v>
      </c>
      <c r="Q9" s="274">
        <f t="shared" si="3"/>
        <v>60084</v>
      </c>
      <c r="R9" s="271">
        <f t="shared" si="4"/>
        <v>65242.819199999998</v>
      </c>
      <c r="S9" s="271">
        <f t="shared" si="5"/>
        <v>2125.44</v>
      </c>
    </row>
    <row r="10" spans="1:19" x14ac:dyDescent="0.25">
      <c r="A10" s="268">
        <v>501105</v>
      </c>
      <c r="B10" s="268">
        <v>1105</v>
      </c>
      <c r="C10" s="268">
        <v>54124</v>
      </c>
      <c r="D10" s="268" t="s">
        <v>1278</v>
      </c>
      <c r="E10" s="268" t="s">
        <v>894</v>
      </c>
      <c r="F10" s="309" t="s">
        <v>3404</v>
      </c>
      <c r="G10" s="268">
        <v>5</v>
      </c>
      <c r="H10" s="312" t="s">
        <v>3410</v>
      </c>
      <c r="I10" s="268" t="s">
        <v>3411</v>
      </c>
      <c r="J10" s="315">
        <v>584616</v>
      </c>
      <c r="L10" s="271">
        <f t="shared" si="1"/>
        <v>12141.24</v>
      </c>
      <c r="M10" s="268">
        <f>750*12</f>
        <v>9000</v>
      </c>
      <c r="N10" s="271">
        <f t="shared" si="0"/>
        <v>129.60000000000002</v>
      </c>
      <c r="O10" s="310">
        <v>0</v>
      </c>
      <c r="P10" s="268">
        <f t="shared" si="2"/>
        <v>1023078</v>
      </c>
      <c r="Q10" s="274">
        <f t="shared" si="3"/>
        <v>60084</v>
      </c>
      <c r="R10" s="271">
        <f t="shared" si="4"/>
        <v>105640.1112</v>
      </c>
      <c r="S10" s="271">
        <f t="shared" si="5"/>
        <v>2125.44</v>
      </c>
    </row>
    <row r="11" spans="1:19" x14ac:dyDescent="0.25">
      <c r="A11" s="268">
        <v>501444</v>
      </c>
      <c r="B11" s="268">
        <v>1444</v>
      </c>
      <c r="C11" s="268">
        <v>57406</v>
      </c>
      <c r="D11" s="268" t="s">
        <v>1290</v>
      </c>
      <c r="E11" s="268" t="s">
        <v>894</v>
      </c>
      <c r="F11" s="309" t="s">
        <v>3404</v>
      </c>
      <c r="G11" s="268">
        <v>15</v>
      </c>
      <c r="H11" s="312" t="s">
        <v>3412</v>
      </c>
      <c r="I11" s="268" t="s">
        <v>3133</v>
      </c>
      <c r="J11" s="315">
        <v>172320</v>
      </c>
      <c r="L11" s="271">
        <f t="shared" si="1"/>
        <v>12141.24</v>
      </c>
      <c r="M11" s="268">
        <v>0</v>
      </c>
      <c r="N11" s="271">
        <f t="shared" si="0"/>
        <v>129.60000000000002</v>
      </c>
      <c r="O11" s="310">
        <v>0</v>
      </c>
      <c r="P11" s="268">
        <f t="shared" si="2"/>
        <v>301560</v>
      </c>
      <c r="Q11" s="274">
        <f t="shared" si="3"/>
        <v>60084</v>
      </c>
      <c r="R11" s="271">
        <f t="shared" si="4"/>
        <v>31138.223999999998</v>
      </c>
      <c r="S11" s="271">
        <f t="shared" si="5"/>
        <v>2125.44</v>
      </c>
    </row>
    <row r="12" spans="1:19" x14ac:dyDescent="0.25">
      <c r="A12" s="268">
        <v>501443</v>
      </c>
      <c r="B12" s="268">
        <v>1443</v>
      </c>
      <c r="C12" s="268">
        <v>87890</v>
      </c>
      <c r="D12" s="268" t="s">
        <v>1290</v>
      </c>
      <c r="E12" s="268" t="s">
        <v>894</v>
      </c>
      <c r="F12" s="309" t="s">
        <v>3404</v>
      </c>
      <c r="G12" s="268">
        <v>8</v>
      </c>
      <c r="H12" s="312" t="s">
        <v>3413</v>
      </c>
      <c r="I12" s="268" t="s">
        <v>2739</v>
      </c>
      <c r="J12" s="315">
        <v>343920</v>
      </c>
      <c r="L12" s="271">
        <f t="shared" si="1"/>
        <v>12141.24</v>
      </c>
      <c r="M12" s="268">
        <v>0</v>
      </c>
      <c r="N12" s="271">
        <f t="shared" si="0"/>
        <v>129.60000000000002</v>
      </c>
      <c r="O12" s="310">
        <v>0</v>
      </c>
      <c r="P12" s="268">
        <f t="shared" si="2"/>
        <v>601860</v>
      </c>
      <c r="Q12" s="274">
        <f t="shared" si="3"/>
        <v>60084</v>
      </c>
      <c r="R12" s="271">
        <f t="shared" si="4"/>
        <v>62146.343999999997</v>
      </c>
      <c r="S12" s="271">
        <f t="shared" si="5"/>
        <v>2125.44</v>
      </c>
    </row>
    <row r="13" spans="1:19" x14ac:dyDescent="0.25">
      <c r="A13" s="268">
        <v>501443</v>
      </c>
      <c r="B13" s="268">
        <v>1443</v>
      </c>
      <c r="C13" s="268">
        <v>90515</v>
      </c>
      <c r="D13" s="268" t="s">
        <v>1290</v>
      </c>
      <c r="E13" s="268" t="s">
        <v>876</v>
      </c>
      <c r="F13" s="309" t="s">
        <v>3404</v>
      </c>
      <c r="G13" s="268">
        <v>6</v>
      </c>
      <c r="H13" s="312" t="s">
        <v>3414</v>
      </c>
      <c r="I13" s="268" t="s">
        <v>2481</v>
      </c>
      <c r="J13" s="315">
        <v>519312</v>
      </c>
      <c r="L13" s="271">
        <f t="shared" si="1"/>
        <v>12141.24</v>
      </c>
      <c r="M13" s="268">
        <v>0</v>
      </c>
      <c r="N13" s="271">
        <f t="shared" si="0"/>
        <v>129.60000000000002</v>
      </c>
      <c r="O13" s="310">
        <v>0</v>
      </c>
      <c r="P13" s="268">
        <f t="shared" si="2"/>
        <v>908796</v>
      </c>
      <c r="Q13" s="274">
        <f t="shared" si="3"/>
        <v>60084</v>
      </c>
      <c r="R13" s="271">
        <f t="shared" si="4"/>
        <v>93839.678400000004</v>
      </c>
      <c r="S13" s="271">
        <f t="shared" si="5"/>
        <v>2125.44</v>
      </c>
    </row>
    <row r="14" spans="1:19" x14ac:dyDescent="0.25">
      <c r="A14" s="268">
        <v>501444</v>
      </c>
      <c r="B14" s="268">
        <v>1444</v>
      </c>
      <c r="C14" s="268">
        <v>120883</v>
      </c>
      <c r="D14" s="268" t="s">
        <v>1290</v>
      </c>
      <c r="E14" s="268" t="s">
        <v>894</v>
      </c>
      <c r="F14" s="309" t="s">
        <v>3404</v>
      </c>
      <c r="G14" s="268">
        <v>15</v>
      </c>
      <c r="H14" s="312" t="s">
        <v>3415</v>
      </c>
      <c r="I14" s="268" t="s">
        <v>3133</v>
      </c>
      <c r="J14" s="315">
        <v>172320</v>
      </c>
      <c r="L14" s="271">
        <f t="shared" si="1"/>
        <v>12141.24</v>
      </c>
      <c r="M14" s="268">
        <v>0</v>
      </c>
      <c r="N14" s="271">
        <f t="shared" si="0"/>
        <v>129.60000000000002</v>
      </c>
      <c r="O14" s="310">
        <v>0</v>
      </c>
      <c r="P14" s="268">
        <f t="shared" si="2"/>
        <v>301560</v>
      </c>
      <c r="Q14" s="274">
        <f t="shared" si="3"/>
        <v>60084</v>
      </c>
      <c r="R14" s="271">
        <f t="shared" si="4"/>
        <v>31138.223999999998</v>
      </c>
      <c r="S14" s="271">
        <f t="shared" si="5"/>
        <v>2125.44</v>
      </c>
    </row>
    <row r="15" spans="1:19" x14ac:dyDescent="0.25">
      <c r="A15" s="268">
        <v>501443</v>
      </c>
      <c r="B15" s="268">
        <v>1443</v>
      </c>
      <c r="C15" s="268">
        <v>200025</v>
      </c>
      <c r="D15" s="268" t="s">
        <v>1290</v>
      </c>
      <c r="E15" s="268" t="s">
        <v>894</v>
      </c>
      <c r="F15" s="309" t="s">
        <v>3404</v>
      </c>
      <c r="G15" s="268">
        <v>6</v>
      </c>
      <c r="H15" s="312" t="s">
        <v>3416</v>
      </c>
      <c r="I15" s="268" t="s">
        <v>2483</v>
      </c>
      <c r="J15" s="315">
        <v>464856</v>
      </c>
      <c r="L15" s="271">
        <f t="shared" si="1"/>
        <v>12141.24</v>
      </c>
      <c r="M15" s="268">
        <v>0</v>
      </c>
      <c r="N15" s="271">
        <f t="shared" si="0"/>
        <v>129.60000000000002</v>
      </c>
      <c r="O15" s="310">
        <v>0</v>
      </c>
      <c r="P15" s="268">
        <f t="shared" si="2"/>
        <v>813498</v>
      </c>
      <c r="Q15" s="274">
        <f t="shared" si="3"/>
        <v>60084</v>
      </c>
      <c r="R15" s="271">
        <f t="shared" si="4"/>
        <v>83999.479200000002</v>
      </c>
      <c r="S15" s="271">
        <f t="shared" si="5"/>
        <v>2125.44</v>
      </c>
    </row>
    <row r="16" spans="1:19" x14ac:dyDescent="0.25">
      <c r="A16" s="268">
        <v>501406</v>
      </c>
      <c r="B16" s="268">
        <v>1406</v>
      </c>
      <c r="C16" s="268">
        <v>200056</v>
      </c>
      <c r="D16" s="268" t="s">
        <v>1290</v>
      </c>
      <c r="E16" s="268" t="s">
        <v>894</v>
      </c>
      <c r="F16" s="309" t="s">
        <v>3404</v>
      </c>
      <c r="G16" s="268">
        <v>1110</v>
      </c>
      <c r="H16" s="312" t="s">
        <v>3417</v>
      </c>
      <c r="I16" s="268" t="s">
        <v>2879</v>
      </c>
      <c r="J16" s="315">
        <v>240852</v>
      </c>
      <c r="L16" s="271">
        <f t="shared" si="1"/>
        <v>12141.24</v>
      </c>
      <c r="M16" s="268">
        <v>0</v>
      </c>
      <c r="N16" s="271">
        <f t="shared" si="0"/>
        <v>129.60000000000002</v>
      </c>
      <c r="O16" s="310">
        <v>0</v>
      </c>
      <c r="P16" s="268">
        <f t="shared" si="2"/>
        <v>421491</v>
      </c>
      <c r="Q16" s="274">
        <f t="shared" si="3"/>
        <v>60084</v>
      </c>
      <c r="R16" s="271">
        <f t="shared" si="4"/>
        <v>43521.956400000003</v>
      </c>
      <c r="S16" s="271">
        <f t="shared" si="5"/>
        <v>2125.44</v>
      </c>
    </row>
    <row r="17" spans="1:19" x14ac:dyDescent="0.25">
      <c r="A17" s="268"/>
      <c r="B17" s="268">
        <v>1506</v>
      </c>
      <c r="C17" s="268">
        <v>200114</v>
      </c>
      <c r="D17" s="268" t="s">
        <v>1278</v>
      </c>
      <c r="E17" s="268" t="s">
        <v>894</v>
      </c>
      <c r="F17" s="309" t="s">
        <v>3404</v>
      </c>
      <c r="G17" s="268">
        <v>1110</v>
      </c>
      <c r="H17" s="312" t="s">
        <v>3418</v>
      </c>
      <c r="I17" s="268" t="s">
        <v>2929</v>
      </c>
      <c r="J17" s="315">
        <v>240852</v>
      </c>
      <c r="L17" s="271">
        <f t="shared" si="1"/>
        <v>12141.24</v>
      </c>
      <c r="M17" s="268">
        <v>0</v>
      </c>
      <c r="N17" s="271">
        <f t="shared" si="0"/>
        <v>129.60000000000002</v>
      </c>
      <c r="O17" s="310">
        <v>0</v>
      </c>
      <c r="P17" s="268">
        <f t="shared" si="2"/>
        <v>421491</v>
      </c>
      <c r="Q17" s="274">
        <f t="shared" si="3"/>
        <v>60084</v>
      </c>
      <c r="R17" s="271">
        <f t="shared" si="4"/>
        <v>43521.956400000003</v>
      </c>
      <c r="S17" s="271">
        <f t="shared" si="5"/>
        <v>2125.44</v>
      </c>
    </row>
    <row r="18" spans="1:19" x14ac:dyDescent="0.25">
      <c r="A18" s="268">
        <v>501443</v>
      </c>
      <c r="B18" s="268">
        <v>1443</v>
      </c>
      <c r="C18" s="268">
        <v>200164</v>
      </c>
      <c r="D18" s="268" t="s">
        <v>1278</v>
      </c>
      <c r="E18" s="268" t="s">
        <v>894</v>
      </c>
      <c r="F18" s="309" t="s">
        <v>3404</v>
      </c>
      <c r="G18" s="268">
        <v>16</v>
      </c>
      <c r="H18" s="312" t="s">
        <v>3419</v>
      </c>
      <c r="I18" s="268" t="s">
        <v>3201</v>
      </c>
      <c r="J18" s="271">
        <v>179112</v>
      </c>
      <c r="L18" s="271">
        <f t="shared" si="1"/>
        <v>12141.24</v>
      </c>
      <c r="M18" s="268">
        <v>0</v>
      </c>
      <c r="N18" s="271">
        <f t="shared" si="0"/>
        <v>129.60000000000002</v>
      </c>
      <c r="O18" s="310">
        <v>0</v>
      </c>
      <c r="P18" s="268">
        <f>J29*1.75</f>
        <v>312123</v>
      </c>
      <c r="Q18" s="274">
        <f t="shared" si="3"/>
        <v>60084</v>
      </c>
      <c r="R18" s="271">
        <f>18.07%*J29</f>
        <v>32228.929199999999</v>
      </c>
      <c r="S18" s="271">
        <f t="shared" si="5"/>
        <v>2125.44</v>
      </c>
    </row>
    <row r="19" spans="1:19" x14ac:dyDescent="0.25">
      <c r="A19" s="268">
        <v>501205</v>
      </c>
      <c r="B19" s="268">
        <v>1205</v>
      </c>
      <c r="C19" s="268">
        <v>200186</v>
      </c>
      <c r="D19" s="268" t="s">
        <v>1290</v>
      </c>
      <c r="E19" s="268" t="s">
        <v>894</v>
      </c>
      <c r="F19" s="309" t="s">
        <v>3404</v>
      </c>
      <c r="G19" s="268">
        <v>5</v>
      </c>
      <c r="H19" s="312" t="s">
        <v>3420</v>
      </c>
      <c r="I19" s="268" t="s">
        <v>3421</v>
      </c>
      <c r="J19" s="315">
        <v>584616</v>
      </c>
      <c r="L19" s="271">
        <f t="shared" si="1"/>
        <v>12141.24</v>
      </c>
      <c r="M19" s="268">
        <v>0</v>
      </c>
      <c r="N19" s="271">
        <f t="shared" si="0"/>
        <v>129.60000000000002</v>
      </c>
      <c r="O19" s="310">
        <v>0</v>
      </c>
      <c r="P19" s="268">
        <f t="shared" ref="P19:P28" si="6">J19*1.75</f>
        <v>1023078</v>
      </c>
      <c r="Q19" s="274">
        <f t="shared" si="3"/>
        <v>60084</v>
      </c>
      <c r="R19" s="271">
        <f t="shared" ref="R19:R30" si="7">18.07%*J19</f>
        <v>105640.1112</v>
      </c>
      <c r="S19" s="271">
        <f t="shared" si="5"/>
        <v>2125.44</v>
      </c>
    </row>
    <row r="20" spans="1:19" x14ac:dyDescent="0.25">
      <c r="A20" s="268"/>
      <c r="B20" s="268">
        <v>1443</v>
      </c>
      <c r="C20" s="268">
        <v>200215</v>
      </c>
      <c r="D20" s="268" t="s">
        <v>1278</v>
      </c>
      <c r="E20" s="268" t="s">
        <v>894</v>
      </c>
      <c r="F20" s="309" t="s">
        <v>3404</v>
      </c>
      <c r="G20" s="268"/>
      <c r="H20" s="312" t="s">
        <v>3422</v>
      </c>
      <c r="I20" s="268" t="s">
        <v>3423</v>
      </c>
      <c r="J20" s="315">
        <v>296640</v>
      </c>
      <c r="L20" s="271">
        <f t="shared" si="1"/>
        <v>12141.24</v>
      </c>
      <c r="M20" s="268">
        <v>0</v>
      </c>
      <c r="N20" s="271">
        <f t="shared" si="0"/>
        <v>129.60000000000002</v>
      </c>
      <c r="O20" s="310">
        <v>0</v>
      </c>
      <c r="P20" s="268">
        <f t="shared" si="6"/>
        <v>519120</v>
      </c>
      <c r="Q20" s="274">
        <f t="shared" si="3"/>
        <v>60084</v>
      </c>
      <c r="R20" s="271">
        <f t="shared" si="7"/>
        <v>53602.847999999998</v>
      </c>
      <c r="S20" s="271">
        <f t="shared" si="5"/>
        <v>2125.44</v>
      </c>
    </row>
    <row r="21" spans="1:19" x14ac:dyDescent="0.25">
      <c r="A21" s="268"/>
      <c r="B21" s="268">
        <v>1406</v>
      </c>
      <c r="C21" s="268">
        <v>200228</v>
      </c>
      <c r="D21" s="268" t="s">
        <v>1278</v>
      </c>
      <c r="E21" s="268" t="s">
        <v>894</v>
      </c>
      <c r="F21" s="309" t="s">
        <v>3404</v>
      </c>
      <c r="G21" s="268"/>
      <c r="H21" s="312" t="s">
        <v>3424</v>
      </c>
      <c r="I21" s="268" t="s">
        <v>2801</v>
      </c>
      <c r="J21" s="315">
        <v>296640</v>
      </c>
      <c r="L21" s="271">
        <f t="shared" si="1"/>
        <v>12141.24</v>
      </c>
      <c r="M21" s="268">
        <v>0</v>
      </c>
      <c r="N21" s="271">
        <f t="shared" si="0"/>
        <v>129.60000000000002</v>
      </c>
      <c r="O21" s="310">
        <v>0</v>
      </c>
      <c r="P21" s="268">
        <f t="shared" si="6"/>
        <v>519120</v>
      </c>
      <c r="Q21" s="274">
        <f t="shared" si="3"/>
        <v>60084</v>
      </c>
      <c r="R21" s="271">
        <f t="shared" si="7"/>
        <v>53602.847999999998</v>
      </c>
      <c r="S21" s="271">
        <f t="shared" si="5"/>
        <v>2125.44</v>
      </c>
    </row>
    <row r="22" spans="1:19" x14ac:dyDescent="0.25">
      <c r="A22" s="268"/>
      <c r="B22" s="268">
        <v>1406</v>
      </c>
      <c r="C22" s="268">
        <v>200233</v>
      </c>
      <c r="D22" s="268" t="s">
        <v>1290</v>
      </c>
      <c r="E22" s="268" t="s">
        <v>894</v>
      </c>
      <c r="F22" s="309" t="s">
        <v>3404</v>
      </c>
      <c r="G22" s="268"/>
      <c r="H22" s="312" t="s">
        <v>3425</v>
      </c>
      <c r="I22" s="268" t="s">
        <v>2801</v>
      </c>
      <c r="J22" s="315">
        <v>296640</v>
      </c>
      <c r="L22" s="271">
        <f t="shared" si="1"/>
        <v>12141.24</v>
      </c>
      <c r="M22" s="268">
        <v>0</v>
      </c>
      <c r="N22" s="271">
        <f t="shared" si="0"/>
        <v>129.60000000000002</v>
      </c>
      <c r="O22" s="310">
        <v>0</v>
      </c>
      <c r="P22" s="268">
        <f t="shared" si="6"/>
        <v>519120</v>
      </c>
      <c r="Q22" s="274">
        <f t="shared" si="3"/>
        <v>60084</v>
      </c>
      <c r="R22" s="271">
        <f t="shared" si="7"/>
        <v>53602.847999999998</v>
      </c>
      <c r="S22" s="271">
        <f t="shared" si="5"/>
        <v>2125.44</v>
      </c>
    </row>
    <row r="23" spans="1:19" x14ac:dyDescent="0.25">
      <c r="A23" s="268"/>
      <c r="B23" s="268">
        <v>1206</v>
      </c>
      <c r="C23" s="268">
        <v>200244</v>
      </c>
      <c r="D23" s="268" t="s">
        <v>1278</v>
      </c>
      <c r="E23" s="268" t="s">
        <v>1698</v>
      </c>
      <c r="F23" s="309" t="s">
        <v>3404</v>
      </c>
      <c r="G23" s="268">
        <v>6</v>
      </c>
      <c r="H23" s="312" t="s">
        <v>3426</v>
      </c>
      <c r="I23" s="268" t="s">
        <v>3427</v>
      </c>
      <c r="J23" s="315">
        <v>439560</v>
      </c>
      <c r="L23" s="271">
        <f t="shared" si="1"/>
        <v>12141.24</v>
      </c>
      <c r="M23" s="268">
        <v>0</v>
      </c>
      <c r="N23" s="271">
        <f t="shared" si="0"/>
        <v>129.60000000000002</v>
      </c>
      <c r="O23" s="310">
        <v>0</v>
      </c>
      <c r="P23" s="268">
        <f t="shared" si="6"/>
        <v>769230</v>
      </c>
      <c r="Q23" s="274">
        <f t="shared" si="3"/>
        <v>60084</v>
      </c>
      <c r="R23" s="271">
        <f t="shared" si="7"/>
        <v>79428.491999999998</v>
      </c>
      <c r="S23" s="271">
        <f t="shared" si="5"/>
        <v>2125.44</v>
      </c>
    </row>
    <row r="24" spans="1:19" x14ac:dyDescent="0.25">
      <c r="A24" s="268">
        <v>501506</v>
      </c>
      <c r="B24" s="268">
        <v>1506</v>
      </c>
      <c r="C24" s="268">
        <v>200263</v>
      </c>
      <c r="D24" s="268" t="s">
        <v>1278</v>
      </c>
      <c r="E24" s="268" t="s">
        <v>894</v>
      </c>
      <c r="F24" s="309" t="s">
        <v>3404</v>
      </c>
      <c r="G24" s="268">
        <v>16</v>
      </c>
      <c r="H24" s="312" t="s">
        <v>3428</v>
      </c>
      <c r="I24" s="268" t="s">
        <v>3201</v>
      </c>
      <c r="J24" s="315">
        <v>164952</v>
      </c>
      <c r="L24" s="271">
        <f t="shared" si="1"/>
        <v>12141.24</v>
      </c>
      <c r="M24" s="268">
        <v>0</v>
      </c>
      <c r="N24" s="271">
        <f t="shared" si="0"/>
        <v>129.60000000000002</v>
      </c>
      <c r="O24" s="310">
        <v>0</v>
      </c>
      <c r="P24" s="268">
        <f t="shared" si="6"/>
        <v>288666</v>
      </c>
      <c r="Q24" s="274">
        <f t="shared" si="3"/>
        <v>60084</v>
      </c>
      <c r="R24" s="271">
        <f t="shared" si="7"/>
        <v>29806.826399999998</v>
      </c>
      <c r="S24" s="271">
        <f t="shared" si="5"/>
        <v>2125.44</v>
      </c>
    </row>
    <row r="25" spans="1:19" x14ac:dyDescent="0.25">
      <c r="A25" s="268">
        <v>501445</v>
      </c>
      <c r="B25" s="268">
        <v>1445</v>
      </c>
      <c r="C25" s="268">
        <v>200294</v>
      </c>
      <c r="D25" s="268" t="s">
        <v>1290</v>
      </c>
      <c r="E25" s="268" t="s">
        <v>894</v>
      </c>
      <c r="F25" s="309" t="s">
        <v>3404</v>
      </c>
      <c r="G25" s="268">
        <v>16</v>
      </c>
      <c r="H25" s="312" t="s">
        <v>3429</v>
      </c>
      <c r="I25" s="268" t="s">
        <v>3201</v>
      </c>
      <c r="J25" s="315">
        <v>164952</v>
      </c>
      <c r="L25" s="271">
        <f t="shared" si="1"/>
        <v>12141.24</v>
      </c>
      <c r="M25" s="268">
        <v>0</v>
      </c>
      <c r="N25" s="271">
        <f t="shared" si="0"/>
        <v>129.60000000000002</v>
      </c>
      <c r="O25" s="310">
        <v>0</v>
      </c>
      <c r="P25" s="268">
        <f t="shared" si="6"/>
        <v>288666</v>
      </c>
      <c r="Q25" s="274">
        <f t="shared" si="3"/>
        <v>60084</v>
      </c>
      <c r="R25" s="316">
        <f t="shared" si="7"/>
        <v>29806.826399999998</v>
      </c>
      <c r="S25" s="271">
        <f t="shared" si="5"/>
        <v>2125.44</v>
      </c>
    </row>
    <row r="26" spans="1:19" x14ac:dyDescent="0.25">
      <c r="A26" s="268">
        <v>501444</v>
      </c>
      <c r="B26" s="268">
        <v>1444</v>
      </c>
      <c r="C26" s="268">
        <v>200314</v>
      </c>
      <c r="D26" s="268" t="s">
        <v>1290</v>
      </c>
      <c r="E26" s="268" t="s">
        <v>894</v>
      </c>
      <c r="F26" s="309" t="s">
        <v>3404</v>
      </c>
      <c r="G26" s="268">
        <v>8</v>
      </c>
      <c r="H26" s="312" t="s">
        <v>3430</v>
      </c>
      <c r="I26" s="268" t="s">
        <v>2689</v>
      </c>
      <c r="J26" s="315">
        <v>343920</v>
      </c>
      <c r="L26" s="271">
        <f t="shared" si="1"/>
        <v>12141.24</v>
      </c>
      <c r="M26" s="268">
        <v>0</v>
      </c>
      <c r="N26" s="271">
        <f t="shared" si="0"/>
        <v>129.60000000000002</v>
      </c>
      <c r="O26" s="310">
        <v>0</v>
      </c>
      <c r="P26" s="268">
        <f t="shared" si="6"/>
        <v>601860</v>
      </c>
      <c r="Q26" s="274">
        <f t="shared" si="3"/>
        <v>60084</v>
      </c>
      <c r="R26" s="316">
        <f t="shared" si="7"/>
        <v>62146.343999999997</v>
      </c>
      <c r="S26" s="271">
        <f t="shared" si="5"/>
        <v>2125.44</v>
      </c>
    </row>
    <row r="27" spans="1:19" s="270" customFormat="1" x14ac:dyDescent="0.25">
      <c r="A27" s="267">
        <v>501101</v>
      </c>
      <c r="B27" s="267">
        <v>1101</v>
      </c>
      <c r="C27" s="267">
        <v>51680</v>
      </c>
      <c r="D27" s="268" t="s">
        <v>1290</v>
      </c>
      <c r="E27" s="268" t="s">
        <v>894</v>
      </c>
      <c r="F27" s="309" t="s">
        <v>3404</v>
      </c>
      <c r="G27" s="268">
        <v>5</v>
      </c>
      <c r="H27" s="268" t="s">
        <v>3431</v>
      </c>
      <c r="I27" s="268" t="s">
        <v>2301</v>
      </c>
      <c r="J27" s="267">
        <v>634740</v>
      </c>
      <c r="L27" s="271">
        <f>1011.77*12</f>
        <v>12141.24</v>
      </c>
      <c r="M27" s="267">
        <f>350*12</f>
        <v>4200</v>
      </c>
      <c r="N27" s="267">
        <f>10.8*12</f>
        <v>129.60000000000002</v>
      </c>
      <c r="O27" s="267">
        <f>15179*12</f>
        <v>182148</v>
      </c>
      <c r="P27" s="268">
        <f t="shared" si="6"/>
        <v>1110795</v>
      </c>
      <c r="Q27" s="274">
        <f t="shared" si="3"/>
        <v>60084</v>
      </c>
      <c r="R27" s="316">
        <f t="shared" si="7"/>
        <v>114697.518</v>
      </c>
      <c r="S27" s="267">
        <f>177.12*12</f>
        <v>2125.44</v>
      </c>
    </row>
    <row r="28" spans="1:19" s="270" customFormat="1" x14ac:dyDescent="0.25">
      <c r="A28" s="271">
        <v>501206</v>
      </c>
      <c r="B28" s="271">
        <v>1206</v>
      </c>
      <c r="C28" s="271">
        <v>200448</v>
      </c>
      <c r="D28" s="268" t="s">
        <v>1290</v>
      </c>
      <c r="E28" s="268" t="s">
        <v>894</v>
      </c>
      <c r="F28" s="309" t="s">
        <v>3404</v>
      </c>
      <c r="G28" s="268">
        <v>3</v>
      </c>
      <c r="H28" s="268" t="s">
        <v>3432</v>
      </c>
      <c r="I28" s="268" t="s">
        <v>3433</v>
      </c>
      <c r="J28" s="271">
        <v>822240</v>
      </c>
      <c r="L28" s="271">
        <f>1011.77*12</f>
        <v>12141.24</v>
      </c>
      <c r="M28" s="267">
        <f>750*12</f>
        <v>9000</v>
      </c>
      <c r="N28" s="271">
        <f>10.8*12</f>
        <v>129.60000000000002</v>
      </c>
      <c r="O28" s="271">
        <f>19524*12</f>
        <v>234288</v>
      </c>
      <c r="P28" s="268">
        <f t="shared" si="6"/>
        <v>1438920</v>
      </c>
      <c r="Q28" s="274">
        <f t="shared" si="3"/>
        <v>60084</v>
      </c>
      <c r="R28" s="271">
        <f t="shared" si="7"/>
        <v>148578.76800000001</v>
      </c>
      <c r="S28" s="267">
        <f>177.12*12</f>
        <v>2125.44</v>
      </c>
    </row>
    <row r="29" spans="1:19" s="270" customFormat="1" x14ac:dyDescent="0.25">
      <c r="B29" s="271"/>
      <c r="C29" s="271">
        <v>200062</v>
      </c>
      <c r="D29" s="268" t="s">
        <v>1290</v>
      </c>
      <c r="E29" s="268" t="s">
        <v>894</v>
      </c>
      <c r="F29" s="317" t="s">
        <v>3404</v>
      </c>
      <c r="G29" s="268"/>
      <c r="H29" s="268" t="s">
        <v>3434</v>
      </c>
      <c r="I29" s="268" t="s">
        <v>3435</v>
      </c>
      <c r="J29" s="315">
        <v>178356</v>
      </c>
      <c r="L29" s="271">
        <f>1011.77*12</f>
        <v>12141.24</v>
      </c>
      <c r="M29" s="267">
        <v>0</v>
      </c>
      <c r="N29" s="271">
        <f>10.8*12</f>
        <v>129.60000000000002</v>
      </c>
      <c r="O29" s="271">
        <v>0</v>
      </c>
      <c r="P29" s="268"/>
      <c r="Q29" s="274">
        <f t="shared" si="3"/>
        <v>60084</v>
      </c>
      <c r="R29" s="271">
        <f t="shared" si="7"/>
        <v>32228.929199999999</v>
      </c>
      <c r="S29" s="267">
        <f>177.12*12</f>
        <v>2125.44</v>
      </c>
    </row>
    <row r="30" spans="1:19" s="270" customFormat="1" x14ac:dyDescent="0.25">
      <c r="A30" s="271">
        <v>501445</v>
      </c>
      <c r="B30" s="271">
        <v>1445</v>
      </c>
      <c r="C30" s="271">
        <v>200294</v>
      </c>
      <c r="D30" s="268" t="s">
        <v>1290</v>
      </c>
      <c r="E30" s="268" t="s">
        <v>894</v>
      </c>
      <c r="F30" s="309" t="s">
        <v>3404</v>
      </c>
      <c r="G30" s="268" t="s">
        <v>894</v>
      </c>
      <c r="H30" s="268" t="s">
        <v>3436</v>
      </c>
      <c r="I30" s="268" t="s">
        <v>3201</v>
      </c>
      <c r="J30" s="271">
        <v>179112</v>
      </c>
      <c r="L30" s="271">
        <f>1011.77*12</f>
        <v>12141.24</v>
      </c>
      <c r="M30" s="271">
        <v>0</v>
      </c>
      <c r="N30" s="267">
        <v>130</v>
      </c>
      <c r="O30" s="271">
        <v>0</v>
      </c>
      <c r="P30" s="268">
        <f>J30*1.75</f>
        <v>313446</v>
      </c>
      <c r="Q30" s="274">
        <f t="shared" si="3"/>
        <v>60084</v>
      </c>
      <c r="R30" s="271">
        <f t="shared" si="7"/>
        <v>32365.538400000001</v>
      </c>
      <c r="S30" s="267">
        <f t="shared" ref="S30" si="8">177.12*12</f>
        <v>2125.44</v>
      </c>
    </row>
    <row r="31" spans="1:19" s="270" customFormat="1" x14ac:dyDescent="0.25">
      <c r="A31" s="271">
        <v>110721</v>
      </c>
      <c r="B31" s="271">
        <v>1107</v>
      </c>
      <c r="C31" s="271">
        <v>200499</v>
      </c>
      <c r="D31" s="268" t="s">
        <v>2674</v>
      </c>
      <c r="E31" s="268" t="s">
        <v>1278</v>
      </c>
      <c r="F31" s="309" t="s">
        <v>3404</v>
      </c>
      <c r="G31" s="268" t="s">
        <v>894</v>
      </c>
      <c r="H31" s="268" t="s">
        <v>3437</v>
      </c>
      <c r="I31" s="268" t="s">
        <v>3438</v>
      </c>
      <c r="J31" s="271">
        <v>94410</v>
      </c>
      <c r="L31" s="271">
        <v>0</v>
      </c>
      <c r="M31" s="267">
        <v>0</v>
      </c>
      <c r="N31" s="267">
        <v>0</v>
      </c>
      <c r="O31" s="271">
        <v>0</v>
      </c>
      <c r="P31" s="267">
        <v>0</v>
      </c>
      <c r="Q31" s="267">
        <v>0</v>
      </c>
      <c r="R31" s="267">
        <v>0</v>
      </c>
      <c r="S31" s="271">
        <v>0</v>
      </c>
    </row>
    <row r="32" spans="1:19" s="270" customFormat="1" x14ac:dyDescent="0.25">
      <c r="A32" s="271">
        <v>110721</v>
      </c>
      <c r="B32" s="271">
        <v>1107</v>
      </c>
      <c r="C32" s="271">
        <v>200505</v>
      </c>
      <c r="D32" s="268" t="s">
        <v>776</v>
      </c>
      <c r="E32" s="268" t="s">
        <v>1278</v>
      </c>
      <c r="F32" s="309" t="s">
        <v>3404</v>
      </c>
      <c r="G32" s="268" t="s">
        <v>894</v>
      </c>
      <c r="H32" s="268" t="s">
        <v>3439</v>
      </c>
      <c r="I32" s="268" t="s">
        <v>3438</v>
      </c>
      <c r="J32" s="271">
        <v>94410</v>
      </c>
      <c r="L32" s="271">
        <v>0</v>
      </c>
      <c r="M32" s="267">
        <v>0</v>
      </c>
      <c r="N32" s="267">
        <v>0</v>
      </c>
      <c r="O32" s="271">
        <v>0</v>
      </c>
      <c r="P32" s="267">
        <v>0</v>
      </c>
      <c r="Q32" s="267">
        <v>0</v>
      </c>
      <c r="R32" s="267">
        <v>0</v>
      </c>
      <c r="S32" s="271">
        <v>0</v>
      </c>
    </row>
    <row r="33" spans="1:20" s="280" customFormat="1" x14ac:dyDescent="0.25">
      <c r="A33" s="271">
        <v>110721</v>
      </c>
      <c r="B33" s="271">
        <v>1107</v>
      </c>
      <c r="C33" s="271">
        <v>200511</v>
      </c>
      <c r="D33" s="268" t="s">
        <v>3440</v>
      </c>
      <c r="E33" s="268" t="s">
        <v>1278</v>
      </c>
      <c r="F33" s="309" t="s">
        <v>3404</v>
      </c>
      <c r="G33" s="268" t="s">
        <v>894</v>
      </c>
      <c r="H33" s="268" t="s">
        <v>3441</v>
      </c>
      <c r="I33" s="268" t="s">
        <v>3438</v>
      </c>
      <c r="J33" s="271">
        <v>94410</v>
      </c>
      <c r="L33" s="271">
        <v>0</v>
      </c>
      <c r="M33" s="267">
        <v>0</v>
      </c>
      <c r="N33" s="267">
        <v>0</v>
      </c>
      <c r="O33" s="271">
        <v>0</v>
      </c>
      <c r="P33" s="267">
        <v>0</v>
      </c>
      <c r="Q33" s="267">
        <v>0</v>
      </c>
      <c r="R33" s="267">
        <v>0</v>
      </c>
      <c r="S33" s="271">
        <v>0</v>
      </c>
    </row>
    <row r="34" spans="1:20" s="270" customFormat="1" x14ac:dyDescent="0.25">
      <c r="A34" s="318">
        <v>110721</v>
      </c>
      <c r="B34" s="271">
        <v>1107</v>
      </c>
      <c r="C34" s="271">
        <v>200529</v>
      </c>
      <c r="D34" s="268" t="s">
        <v>2854</v>
      </c>
      <c r="E34" s="268" t="s">
        <v>1290</v>
      </c>
      <c r="F34" s="309" t="s">
        <v>3404</v>
      </c>
      <c r="G34" s="268" t="s">
        <v>894</v>
      </c>
      <c r="H34" s="268" t="s">
        <v>3273</v>
      </c>
      <c r="I34" s="268" t="s">
        <v>3438</v>
      </c>
      <c r="J34" s="271">
        <v>94410</v>
      </c>
      <c r="L34" s="271">
        <v>0</v>
      </c>
      <c r="M34" s="267">
        <v>0</v>
      </c>
      <c r="N34" s="267">
        <v>0</v>
      </c>
      <c r="O34" s="271">
        <v>0</v>
      </c>
      <c r="P34" s="267">
        <v>0</v>
      </c>
      <c r="Q34" s="267">
        <v>0</v>
      </c>
      <c r="R34" s="267">
        <v>0</v>
      </c>
      <c r="S34" s="271">
        <v>0</v>
      </c>
    </row>
    <row r="35" spans="1:20" s="270" customFormat="1" x14ac:dyDescent="0.25">
      <c r="A35" s="271">
        <v>110721</v>
      </c>
      <c r="B35" s="271">
        <v>1107</v>
      </c>
      <c r="C35" s="271">
        <v>200524</v>
      </c>
      <c r="D35" s="268" t="s">
        <v>2747</v>
      </c>
      <c r="E35" s="268" t="s">
        <v>1290</v>
      </c>
      <c r="F35" s="309" t="s">
        <v>3404</v>
      </c>
      <c r="G35" s="268" t="s">
        <v>894</v>
      </c>
      <c r="H35" s="268" t="s">
        <v>3442</v>
      </c>
      <c r="I35" s="268" t="s">
        <v>3438</v>
      </c>
      <c r="J35" s="271">
        <v>94410</v>
      </c>
      <c r="L35" s="271">
        <v>0</v>
      </c>
      <c r="M35" s="267">
        <v>0</v>
      </c>
      <c r="N35" s="267">
        <v>0</v>
      </c>
      <c r="O35" s="271">
        <v>0</v>
      </c>
      <c r="P35" s="267">
        <v>0</v>
      </c>
      <c r="Q35" s="267">
        <v>0</v>
      </c>
      <c r="R35" s="267">
        <v>0</v>
      </c>
      <c r="S35" s="271">
        <v>0</v>
      </c>
    </row>
    <row r="36" spans="1:20" s="270" customFormat="1" x14ac:dyDescent="0.25">
      <c r="A36" s="271">
        <v>110721</v>
      </c>
      <c r="B36" s="271">
        <v>1107</v>
      </c>
      <c r="C36" s="271">
        <v>200523</v>
      </c>
      <c r="D36" s="268" t="s">
        <v>3443</v>
      </c>
      <c r="E36" s="268" t="s">
        <v>1278</v>
      </c>
      <c r="F36" s="309" t="s">
        <v>3404</v>
      </c>
      <c r="G36" s="268" t="s">
        <v>894</v>
      </c>
      <c r="H36" s="268" t="s">
        <v>3444</v>
      </c>
      <c r="I36" s="268" t="s">
        <v>3438</v>
      </c>
      <c r="J36" s="271">
        <v>94410</v>
      </c>
      <c r="L36" s="271">
        <v>0</v>
      </c>
      <c r="M36" s="267">
        <v>0</v>
      </c>
      <c r="N36" s="267">
        <v>0</v>
      </c>
      <c r="O36" s="271">
        <v>0</v>
      </c>
      <c r="P36" s="267">
        <v>0</v>
      </c>
      <c r="Q36" s="267">
        <v>0</v>
      </c>
      <c r="R36" s="267">
        <v>0</v>
      </c>
      <c r="S36" s="271">
        <v>0</v>
      </c>
    </row>
    <row r="37" spans="1:20" s="270" customFormat="1" x14ac:dyDescent="0.25">
      <c r="A37" s="271">
        <v>501305</v>
      </c>
      <c r="B37" s="271">
        <v>1305</v>
      </c>
      <c r="C37" s="271">
        <v>8510</v>
      </c>
      <c r="D37" s="268" t="s">
        <v>3445</v>
      </c>
      <c r="E37" s="268" t="s">
        <v>1290</v>
      </c>
      <c r="F37" s="309" t="s">
        <v>3404</v>
      </c>
      <c r="G37" s="268" t="s">
        <v>1698</v>
      </c>
      <c r="H37" s="268" t="s">
        <v>3446</v>
      </c>
      <c r="I37" s="268" t="s">
        <v>3446</v>
      </c>
      <c r="J37" s="271">
        <v>822240</v>
      </c>
      <c r="L37" s="271">
        <v>12141</v>
      </c>
      <c r="M37" s="271">
        <v>9000</v>
      </c>
      <c r="N37" s="267">
        <v>130</v>
      </c>
      <c r="O37" s="271">
        <f>19524*12</f>
        <v>234288</v>
      </c>
      <c r="P37" s="271">
        <f>J37*1.75%</f>
        <v>14389.2</v>
      </c>
      <c r="Q37" s="319">
        <f>5007*12</f>
        <v>60084</v>
      </c>
      <c r="R37" s="271">
        <f>18.07%*J37</f>
        <v>148578.76800000001</v>
      </c>
      <c r="S37" s="271">
        <f>177.12*12</f>
        <v>2125.44</v>
      </c>
    </row>
    <row r="38" spans="1:20" s="270" customFormat="1" x14ac:dyDescent="0.25">
      <c r="A38" s="271">
        <v>501442</v>
      </c>
      <c r="B38" s="271">
        <v>1442</v>
      </c>
      <c r="C38" s="271">
        <v>200545</v>
      </c>
      <c r="D38" s="268" t="s">
        <v>3447</v>
      </c>
      <c r="E38" s="268" t="s">
        <v>1278</v>
      </c>
      <c r="F38" s="309" t="s">
        <v>3404</v>
      </c>
      <c r="G38" s="268" t="s">
        <v>894</v>
      </c>
      <c r="H38" s="268" t="s">
        <v>3315</v>
      </c>
      <c r="I38" s="268" t="s">
        <v>3448</v>
      </c>
      <c r="J38" s="271">
        <v>179112</v>
      </c>
      <c r="L38" s="271">
        <v>12141</v>
      </c>
      <c r="M38" s="267">
        <v>0</v>
      </c>
      <c r="N38" s="267">
        <v>130</v>
      </c>
      <c r="O38" s="271">
        <v>0</v>
      </c>
      <c r="P38" s="271">
        <f>J38*1.75%</f>
        <v>3134.4600000000005</v>
      </c>
      <c r="Q38" s="320">
        <f>5007*12</f>
        <v>60084</v>
      </c>
      <c r="R38" s="271">
        <f>18.07%*J38</f>
        <v>32365.538400000001</v>
      </c>
      <c r="S38" s="271">
        <f>177.12*12</f>
        <v>2125.44</v>
      </c>
    </row>
    <row r="39" spans="1:20" s="270" customFormat="1" x14ac:dyDescent="0.25">
      <c r="G39" s="275"/>
      <c r="H39" s="275"/>
      <c r="I39" s="275"/>
      <c r="N39" s="322"/>
      <c r="P39" s="275"/>
      <c r="Q39" s="323"/>
      <c r="S39" s="322"/>
    </row>
    <row r="40" spans="1:20" x14ac:dyDescent="0.25">
      <c r="I40" s="324"/>
      <c r="J40" s="324"/>
      <c r="L40" s="325"/>
      <c r="M40" s="325"/>
      <c r="N40" s="324"/>
      <c r="O40" s="325"/>
      <c r="P40" s="325"/>
      <c r="Q40" s="324"/>
      <c r="R40" s="325"/>
      <c r="S40" s="325"/>
    </row>
    <row r="41" spans="1:20" x14ac:dyDescent="0.25">
      <c r="I41" s="326" t="s">
        <v>3449</v>
      </c>
      <c r="J41" s="352">
        <f t="shared" ref="J41" si="9">SUM(J5:J40)</f>
        <v>10561260</v>
      </c>
      <c r="L41" s="352">
        <f t="shared" ref="L41:S41" si="10">SUM(L5:L40)</f>
        <v>339954.23999999987</v>
      </c>
      <c r="M41" s="352">
        <f t="shared" si="10"/>
        <v>40200</v>
      </c>
      <c r="N41" s="352">
        <f t="shared" si="10"/>
        <v>3629.9999999999986</v>
      </c>
      <c r="O41" s="352">
        <f t="shared" si="10"/>
        <v>650724</v>
      </c>
      <c r="P41" s="352">
        <f t="shared" si="10"/>
        <v>15442611.66</v>
      </c>
      <c r="Q41" s="352">
        <f t="shared" si="10"/>
        <v>1682352</v>
      </c>
      <c r="R41" s="352">
        <f t="shared" si="10"/>
        <v>1805923.7507999996</v>
      </c>
      <c r="S41" s="352">
        <f t="shared" si="10"/>
        <v>59512.320000000022</v>
      </c>
    </row>
    <row r="42" spans="1:20" x14ac:dyDescent="0.25">
      <c r="I42" s="326" t="s">
        <v>3375</v>
      </c>
      <c r="J42" s="352">
        <f>J41*5.3%+J41</f>
        <v>11121006.779999999</v>
      </c>
      <c r="L42" s="352">
        <f t="shared" ref="L42:R42" si="11">L41*5.3%+L41</f>
        <v>357971.81471999985</v>
      </c>
      <c r="M42" s="352">
        <f t="shared" si="11"/>
        <v>42330.6</v>
      </c>
      <c r="N42" s="352">
        <f t="shared" si="11"/>
        <v>3822.3899999999985</v>
      </c>
      <c r="O42" s="352">
        <f t="shared" si="11"/>
        <v>685212.37199999997</v>
      </c>
      <c r="P42" s="352">
        <f t="shared" si="11"/>
        <v>16261070.077980001</v>
      </c>
      <c r="Q42" s="352">
        <f t="shared" si="11"/>
        <v>1771516.656</v>
      </c>
      <c r="R42" s="352">
        <f t="shared" si="11"/>
        <v>1901637.7095923997</v>
      </c>
      <c r="S42" s="352">
        <f>S41*5.3%+S41</f>
        <v>62666.472960000021</v>
      </c>
    </row>
    <row r="43" spans="1:20" x14ac:dyDescent="0.25">
      <c r="I43" s="326" t="s">
        <v>3376</v>
      </c>
      <c r="J43" s="352">
        <f>J42*4.9%+J42</f>
        <v>11665936.112219999</v>
      </c>
      <c r="L43" s="352">
        <f t="shared" ref="L43:R43" si="12">L42*4.9%+L42</f>
        <v>375512.43364127981</v>
      </c>
      <c r="M43" s="352">
        <f t="shared" si="12"/>
        <v>44404.799399999996</v>
      </c>
      <c r="N43" s="352">
        <f t="shared" si="12"/>
        <v>4009.6871099999985</v>
      </c>
      <c r="O43" s="352">
        <f t="shared" si="12"/>
        <v>718787.77822799992</v>
      </c>
      <c r="P43" s="352">
        <f t="shared" si="12"/>
        <v>17057862.511801019</v>
      </c>
      <c r="Q43" s="352">
        <f t="shared" si="12"/>
        <v>1858320.972144</v>
      </c>
      <c r="R43" s="352">
        <f t="shared" si="12"/>
        <v>1994817.9573624271</v>
      </c>
      <c r="S43" s="352">
        <f>S42*4.9%+S42</f>
        <v>65737.130135040017</v>
      </c>
    </row>
    <row r="44" spans="1:20" x14ac:dyDescent="0.25">
      <c r="I44" s="328" t="s">
        <v>3377</v>
      </c>
      <c r="J44" s="302" t="s">
        <v>3378</v>
      </c>
      <c r="L44" s="364" t="s">
        <v>3379</v>
      </c>
      <c r="M44" s="364"/>
      <c r="N44" s="303" t="s">
        <v>3374</v>
      </c>
      <c r="O44" s="303" t="s">
        <v>3375</v>
      </c>
      <c r="P44" s="303" t="s">
        <v>3376</v>
      </c>
      <c r="Q44" s="270"/>
      <c r="R44" s="280"/>
    </row>
    <row r="45" spans="1:20" x14ac:dyDescent="0.25">
      <c r="J45" s="304">
        <v>102</v>
      </c>
      <c r="L45" s="304" t="s">
        <v>3380</v>
      </c>
      <c r="M45" s="304"/>
      <c r="N45" s="294">
        <f>J41</f>
        <v>10561260</v>
      </c>
      <c r="O45" s="294">
        <f>J42</f>
        <v>11121006.779999999</v>
      </c>
      <c r="P45" s="294">
        <f>J43</f>
        <v>11665936.112219999</v>
      </c>
      <c r="Q45" s="270"/>
      <c r="R45" s="280"/>
    </row>
    <row r="46" spans="1:20" x14ac:dyDescent="0.25">
      <c r="J46" s="304">
        <v>104</v>
      </c>
      <c r="L46" s="304" t="s">
        <v>3381</v>
      </c>
      <c r="M46" s="304"/>
      <c r="N46" s="294">
        <f>SUM(L41:S41)</f>
        <v>20024907.970799997</v>
      </c>
      <c r="O46" s="295">
        <f>SUM(L42:S42)</f>
        <v>21086228.093252398</v>
      </c>
      <c r="P46" s="294">
        <f>SUM(L43:S43)</f>
        <v>22119453.269821767</v>
      </c>
      <c r="Q46" s="270"/>
      <c r="R46" s="280"/>
    </row>
    <row r="47" spans="1:20" x14ac:dyDescent="0.25">
      <c r="J47" s="367" t="s">
        <v>3382</v>
      </c>
      <c r="L47" s="365"/>
      <c r="M47" s="361"/>
      <c r="N47" s="294">
        <f>SUM(N45:N46)</f>
        <v>30586167.970799997</v>
      </c>
      <c r="O47" s="295">
        <f>SUM(O45:O46)</f>
        <v>32207234.873252399</v>
      </c>
      <c r="P47" s="294">
        <f>SUM(P45:P46)</f>
        <v>33785389.382041767</v>
      </c>
      <c r="Q47" s="270"/>
      <c r="R47" s="280"/>
    </row>
    <row r="48" spans="1:20" x14ac:dyDescent="0.25">
      <c r="L48" s="280"/>
      <c r="M48" s="277"/>
      <c r="N48" s="277"/>
      <c r="O48" s="280"/>
      <c r="P48" s="332"/>
      <c r="Q48" s="280"/>
      <c r="R48" s="277"/>
      <c r="S48" s="270"/>
      <c r="T48" s="28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49224-C15F-4D53-AA01-BDC03AE85AEC}">
  <sheetPr>
    <tabColor rgb="FF00B0F0"/>
  </sheetPr>
  <dimension ref="A1:U740"/>
  <sheetViews>
    <sheetView topLeftCell="I1" workbookViewId="0">
      <pane ySplit="1" topLeftCell="A695" activePane="bottomLeft" state="frozen"/>
      <selection activeCell="Q48" sqref="Q48"/>
      <selection pane="bottomLeft" activeCell="Q48" sqref="Q48"/>
    </sheetView>
  </sheetViews>
  <sheetFormatPr defaultColWidth="9.109375" defaultRowHeight="12" x14ac:dyDescent="0.25"/>
  <cols>
    <col min="1" max="1" width="6.88671875" style="277" bestFit="1" customWidth="1"/>
    <col min="2" max="2" width="4.6640625" style="277" bestFit="1" customWidth="1"/>
    <col min="3" max="3" width="6.5546875" style="277" bestFit="1" customWidth="1"/>
    <col min="4" max="4" width="5.109375" style="275" bestFit="1" customWidth="1"/>
    <col min="5" max="5" width="7.5546875" style="275" bestFit="1" customWidth="1"/>
    <col min="6" max="6" width="7.33203125" style="275" bestFit="1" customWidth="1"/>
    <col min="7" max="7" width="9.109375" style="275" bestFit="1" customWidth="1"/>
    <col min="8" max="8" width="16.33203125" style="275" customWidth="1"/>
    <col min="9" max="9" width="20.88671875" style="275" customWidth="1"/>
    <col min="10" max="10" width="25.21875" style="280" customWidth="1"/>
    <col min="11" max="11" width="14.33203125" style="277" customWidth="1"/>
    <col min="12" max="12" width="15.6640625" style="277" customWidth="1"/>
    <col min="13" max="13" width="15.44140625" style="280" customWidth="1"/>
    <col min="14" max="14" width="14.77734375" style="277" customWidth="1"/>
    <col min="15" max="15" width="14.88671875" style="280" customWidth="1"/>
    <col min="16" max="16" width="15.109375" style="277" customWidth="1"/>
    <col min="17" max="17" width="10.77734375" style="280" bestFit="1" customWidth="1"/>
    <col min="18" max="18" width="11.6640625" style="277" customWidth="1"/>
    <col min="19" max="19" width="10" style="277" bestFit="1" customWidth="1"/>
    <col min="20" max="20" width="11.5546875" style="277" bestFit="1" customWidth="1"/>
    <col min="21" max="16384" width="9.109375" style="277"/>
  </cols>
  <sheetData>
    <row r="1" spans="1:21" s="266" customFormat="1" ht="18" customHeight="1" x14ac:dyDescent="0.3">
      <c r="A1" s="263" t="s">
        <v>2170</v>
      </c>
      <c r="B1" s="263" t="s">
        <v>2171</v>
      </c>
      <c r="C1" s="263" t="s">
        <v>2172</v>
      </c>
      <c r="D1" s="264" t="s">
        <v>2173</v>
      </c>
      <c r="E1" s="264" t="s">
        <v>2174</v>
      </c>
      <c r="F1" s="264" t="s">
        <v>2175</v>
      </c>
      <c r="G1" s="264" t="s">
        <v>2176</v>
      </c>
      <c r="H1" s="264" t="s">
        <v>2177</v>
      </c>
      <c r="I1" s="264" t="s">
        <v>2178</v>
      </c>
      <c r="J1" s="263" t="s">
        <v>2179</v>
      </c>
      <c r="K1" s="263" t="s">
        <v>2180</v>
      </c>
      <c r="L1" s="263" t="s">
        <v>2181</v>
      </c>
      <c r="M1" s="263" t="s">
        <v>2182</v>
      </c>
      <c r="N1" s="263" t="s">
        <v>2183</v>
      </c>
      <c r="O1" s="263" t="s">
        <v>2184</v>
      </c>
      <c r="P1" s="263" t="s">
        <v>2185</v>
      </c>
      <c r="Q1" s="263" t="s">
        <v>2186</v>
      </c>
      <c r="R1" s="263" t="s">
        <v>2187</v>
      </c>
      <c r="S1" s="263" t="s">
        <v>2188</v>
      </c>
    </row>
    <row r="2" spans="1:21" s="270" customFormat="1" x14ac:dyDescent="0.25">
      <c r="A2" s="267">
        <v>501443</v>
      </c>
      <c r="B2" s="267">
        <v>1443</v>
      </c>
      <c r="C2" s="267">
        <v>53798</v>
      </c>
      <c r="D2" s="268" t="s">
        <v>894</v>
      </c>
      <c r="E2" s="268" t="s">
        <v>1290</v>
      </c>
      <c r="F2" s="268" t="s">
        <v>2189</v>
      </c>
      <c r="G2" s="268" t="s">
        <v>2190</v>
      </c>
      <c r="H2" s="268" t="s">
        <v>2191</v>
      </c>
      <c r="I2" s="268" t="s">
        <v>2192</v>
      </c>
      <c r="J2" s="267">
        <v>1575711</v>
      </c>
      <c r="K2" s="267">
        <v>0</v>
      </c>
      <c r="L2" s="267">
        <v>0</v>
      </c>
      <c r="M2" s="267">
        <f t="shared" ref="M2:M10" si="0">1000*12</f>
        <v>12000</v>
      </c>
      <c r="N2" s="267">
        <v>0</v>
      </c>
      <c r="O2" s="267">
        <v>0</v>
      </c>
      <c r="P2" s="267">
        <v>0</v>
      </c>
      <c r="Q2" s="267">
        <v>0</v>
      </c>
      <c r="R2" s="267">
        <v>0</v>
      </c>
      <c r="S2" s="267">
        <v>0</v>
      </c>
    </row>
    <row r="3" spans="1:21" s="270" customFormat="1" x14ac:dyDescent="0.25">
      <c r="A3" s="267">
        <v>501442</v>
      </c>
      <c r="B3" s="267">
        <v>1442</v>
      </c>
      <c r="C3" s="267">
        <v>26505</v>
      </c>
      <c r="D3" s="268" t="s">
        <v>894</v>
      </c>
      <c r="E3" s="268" t="s">
        <v>1290</v>
      </c>
      <c r="F3" s="268" t="s">
        <v>2193</v>
      </c>
      <c r="G3" s="268" t="s">
        <v>2190</v>
      </c>
      <c r="H3" s="268" t="s">
        <v>2194</v>
      </c>
      <c r="I3" s="268" t="s">
        <v>2195</v>
      </c>
      <c r="J3" s="267">
        <v>1575703</v>
      </c>
      <c r="K3" s="267">
        <v>0</v>
      </c>
      <c r="L3" s="267">
        <v>0</v>
      </c>
      <c r="M3" s="267">
        <f t="shared" si="0"/>
        <v>12000</v>
      </c>
      <c r="N3" s="267">
        <v>0</v>
      </c>
      <c r="O3" s="267">
        <v>0</v>
      </c>
      <c r="P3" s="267">
        <v>0</v>
      </c>
      <c r="Q3" s="267">
        <v>0</v>
      </c>
      <c r="R3" s="267">
        <v>0</v>
      </c>
      <c r="S3" s="267">
        <v>0</v>
      </c>
    </row>
    <row r="4" spans="1:21" s="270" customFormat="1" x14ac:dyDescent="0.25">
      <c r="A4" s="267">
        <v>501445</v>
      </c>
      <c r="B4" s="267">
        <v>1445</v>
      </c>
      <c r="C4" s="267">
        <v>54098</v>
      </c>
      <c r="D4" s="268" t="s">
        <v>894</v>
      </c>
      <c r="E4" s="268" t="s">
        <v>1290</v>
      </c>
      <c r="F4" s="268" t="s">
        <v>1298</v>
      </c>
      <c r="G4" s="268" t="s">
        <v>2190</v>
      </c>
      <c r="H4" s="268" t="s">
        <v>2196</v>
      </c>
      <c r="I4" s="268" t="s">
        <v>2197</v>
      </c>
      <c r="J4" s="267">
        <v>1575703</v>
      </c>
      <c r="K4" s="267">
        <v>0</v>
      </c>
      <c r="L4" s="267">
        <v>0</v>
      </c>
      <c r="M4" s="267">
        <f t="shared" si="0"/>
        <v>12000</v>
      </c>
      <c r="N4" s="267">
        <v>0</v>
      </c>
      <c r="O4" s="267">
        <v>0</v>
      </c>
      <c r="P4" s="267">
        <v>0</v>
      </c>
      <c r="Q4" s="267">
        <v>0</v>
      </c>
      <c r="R4" s="267">
        <v>0</v>
      </c>
      <c r="S4" s="267">
        <v>0</v>
      </c>
    </row>
    <row r="5" spans="1:21" s="270" customFormat="1" x14ac:dyDescent="0.25">
      <c r="A5" s="267">
        <v>501204</v>
      </c>
      <c r="B5" s="267">
        <v>1204</v>
      </c>
      <c r="C5" s="267">
        <v>200001</v>
      </c>
      <c r="D5" s="268" t="s">
        <v>894</v>
      </c>
      <c r="E5" s="268" t="s">
        <v>1278</v>
      </c>
      <c r="F5" s="268" t="s">
        <v>2193</v>
      </c>
      <c r="G5" s="268" t="s">
        <v>2190</v>
      </c>
      <c r="H5" s="268" t="s">
        <v>2198</v>
      </c>
      <c r="I5" s="268" t="s">
        <v>2199</v>
      </c>
      <c r="J5" s="267">
        <v>1575703</v>
      </c>
      <c r="K5" s="267">
        <v>0</v>
      </c>
      <c r="L5" s="267">
        <v>0</v>
      </c>
      <c r="M5" s="267">
        <f t="shared" si="0"/>
        <v>12000</v>
      </c>
      <c r="N5" s="267">
        <v>0</v>
      </c>
      <c r="O5" s="267">
        <v>0</v>
      </c>
      <c r="P5" s="267">
        <v>0</v>
      </c>
      <c r="Q5" s="267">
        <v>0</v>
      </c>
      <c r="R5" s="267">
        <v>0</v>
      </c>
      <c r="S5" s="267">
        <v>0</v>
      </c>
    </row>
    <row r="6" spans="1:21" s="270" customFormat="1" x14ac:dyDescent="0.25">
      <c r="A6" s="267">
        <v>501205</v>
      </c>
      <c r="B6" s="267">
        <v>1205</v>
      </c>
      <c r="C6" s="267">
        <v>200052</v>
      </c>
      <c r="D6" s="268" t="s">
        <v>894</v>
      </c>
      <c r="E6" s="268" t="s">
        <v>1290</v>
      </c>
      <c r="F6" s="268" t="s">
        <v>2200</v>
      </c>
      <c r="G6" s="268" t="s">
        <v>2190</v>
      </c>
      <c r="H6" s="268" t="s">
        <v>2201</v>
      </c>
      <c r="I6" s="268" t="s">
        <v>2202</v>
      </c>
      <c r="J6" s="267">
        <v>1575703</v>
      </c>
      <c r="K6" s="267">
        <v>0</v>
      </c>
      <c r="L6" s="267">
        <v>0</v>
      </c>
      <c r="M6" s="267">
        <f t="shared" si="0"/>
        <v>12000</v>
      </c>
      <c r="N6" s="267">
        <v>0</v>
      </c>
      <c r="O6" s="267">
        <v>0</v>
      </c>
      <c r="P6" s="267">
        <v>0</v>
      </c>
      <c r="Q6" s="267">
        <v>0</v>
      </c>
      <c r="R6" s="267">
        <v>0</v>
      </c>
      <c r="S6" s="267">
        <v>0</v>
      </c>
    </row>
    <row r="7" spans="1:21" s="270" customFormat="1" x14ac:dyDescent="0.25">
      <c r="A7" s="267">
        <v>501506</v>
      </c>
      <c r="B7" s="267">
        <v>1101</v>
      </c>
      <c r="C7" s="267">
        <v>3829</v>
      </c>
      <c r="D7" s="268" t="s">
        <v>894</v>
      </c>
      <c r="E7" s="268" t="s">
        <v>1290</v>
      </c>
      <c r="F7" s="268" t="s">
        <v>2203</v>
      </c>
      <c r="G7" s="268" t="s">
        <v>2190</v>
      </c>
      <c r="H7" s="268" t="s">
        <v>2204</v>
      </c>
      <c r="I7" s="268" t="s">
        <v>2205</v>
      </c>
      <c r="J7" s="267">
        <v>1454412</v>
      </c>
      <c r="K7" s="267">
        <v>0</v>
      </c>
      <c r="L7" s="267">
        <v>0</v>
      </c>
      <c r="M7" s="267">
        <f t="shared" si="0"/>
        <v>12000</v>
      </c>
      <c r="N7" s="267">
        <v>0</v>
      </c>
      <c r="O7" s="267">
        <v>0</v>
      </c>
      <c r="P7" s="267">
        <v>0</v>
      </c>
      <c r="Q7" s="267">
        <v>0</v>
      </c>
      <c r="R7" s="267">
        <v>0</v>
      </c>
      <c r="S7" s="267">
        <v>0</v>
      </c>
    </row>
    <row r="8" spans="1:21" s="270" customFormat="1" x14ac:dyDescent="0.25">
      <c r="A8" s="267">
        <v>501303</v>
      </c>
      <c r="B8" s="267">
        <v>1303</v>
      </c>
      <c r="C8" s="267">
        <v>45609</v>
      </c>
      <c r="D8" s="268" t="s">
        <v>894</v>
      </c>
      <c r="E8" s="268" t="s">
        <v>1278</v>
      </c>
      <c r="F8" s="268" t="s">
        <v>1290</v>
      </c>
      <c r="G8" s="268" t="s">
        <v>2190</v>
      </c>
      <c r="H8" s="268" t="s">
        <v>2206</v>
      </c>
      <c r="I8" s="268" t="s">
        <v>2207</v>
      </c>
      <c r="J8" s="267">
        <v>1454412</v>
      </c>
      <c r="K8" s="267">
        <v>0</v>
      </c>
      <c r="L8" s="267">
        <v>0</v>
      </c>
      <c r="M8" s="267">
        <f t="shared" si="0"/>
        <v>12000</v>
      </c>
      <c r="N8" s="267">
        <v>0</v>
      </c>
      <c r="O8" s="267">
        <v>0</v>
      </c>
      <c r="P8" s="267">
        <v>0</v>
      </c>
      <c r="Q8" s="267">
        <v>0</v>
      </c>
      <c r="R8" s="267">
        <v>0</v>
      </c>
      <c r="S8" s="267">
        <v>0</v>
      </c>
    </row>
    <row r="9" spans="1:21" s="270" customFormat="1" x14ac:dyDescent="0.25">
      <c r="A9" s="267">
        <v>501406</v>
      </c>
      <c r="B9" s="267">
        <v>1406</v>
      </c>
      <c r="C9" s="267">
        <v>54917</v>
      </c>
      <c r="D9" s="268" t="s">
        <v>894</v>
      </c>
      <c r="E9" s="268" t="s">
        <v>1278</v>
      </c>
      <c r="F9" s="268" t="s">
        <v>2208</v>
      </c>
      <c r="G9" s="268" t="s">
        <v>2190</v>
      </c>
      <c r="H9" s="268" t="s">
        <v>2209</v>
      </c>
      <c r="I9" s="268" t="s">
        <v>2210</v>
      </c>
      <c r="J9" s="267">
        <v>1454412</v>
      </c>
      <c r="K9" s="267">
        <v>0</v>
      </c>
      <c r="L9" s="267">
        <v>0</v>
      </c>
      <c r="M9" s="267">
        <f t="shared" si="0"/>
        <v>12000</v>
      </c>
      <c r="N9" s="267">
        <v>0</v>
      </c>
      <c r="O9" s="267">
        <v>0</v>
      </c>
      <c r="P9" s="267">
        <v>0</v>
      </c>
      <c r="Q9" s="267">
        <v>0</v>
      </c>
      <c r="R9" s="267">
        <v>0</v>
      </c>
      <c r="S9" s="267">
        <v>0</v>
      </c>
    </row>
    <row r="10" spans="1:21" s="270" customFormat="1" x14ac:dyDescent="0.25">
      <c r="A10" s="267">
        <v>110721</v>
      </c>
      <c r="B10" s="267">
        <v>1107</v>
      </c>
      <c r="C10" s="267">
        <v>200390</v>
      </c>
      <c r="D10" s="268" t="s">
        <v>894</v>
      </c>
      <c r="E10" s="268" t="s">
        <v>1278</v>
      </c>
      <c r="F10" s="268" t="s">
        <v>2211</v>
      </c>
      <c r="G10" s="268" t="s">
        <v>2190</v>
      </c>
      <c r="H10" s="268" t="s">
        <v>2212</v>
      </c>
      <c r="I10" s="268" t="s">
        <v>2213</v>
      </c>
      <c r="J10" s="267">
        <v>1454412</v>
      </c>
      <c r="K10" s="267">
        <v>0</v>
      </c>
      <c r="L10" s="267">
        <v>0</v>
      </c>
      <c r="M10" s="267">
        <f t="shared" si="0"/>
        <v>12000</v>
      </c>
      <c r="N10" s="267">
        <v>0</v>
      </c>
      <c r="O10" s="267">
        <v>0</v>
      </c>
      <c r="P10" s="267">
        <v>0</v>
      </c>
      <c r="Q10" s="267">
        <v>0</v>
      </c>
      <c r="R10" s="267">
        <v>0</v>
      </c>
      <c r="S10" s="267">
        <v>0</v>
      </c>
    </row>
    <row r="11" spans="1:21" s="270" customFormat="1" x14ac:dyDescent="0.25">
      <c r="A11" s="267">
        <v>501502</v>
      </c>
      <c r="B11" s="267">
        <v>1502</v>
      </c>
      <c r="C11" s="267">
        <v>59624</v>
      </c>
      <c r="D11" s="268" t="s">
        <v>894</v>
      </c>
      <c r="E11" s="268" t="s">
        <v>1290</v>
      </c>
      <c r="F11" s="268" t="s">
        <v>2214</v>
      </c>
      <c r="G11" s="268" t="s">
        <v>2190</v>
      </c>
      <c r="H11" s="268" t="s">
        <v>2215</v>
      </c>
      <c r="I11" s="268" t="s">
        <v>2216</v>
      </c>
      <c r="J11" s="267">
        <v>1334968</v>
      </c>
      <c r="K11" s="267">
        <v>0</v>
      </c>
      <c r="L11" s="267">
        <v>0</v>
      </c>
      <c r="M11" s="267">
        <f>750*12</f>
        <v>9000</v>
      </c>
      <c r="N11" s="267">
        <v>0</v>
      </c>
      <c r="O11" s="267">
        <v>0</v>
      </c>
      <c r="P11" s="267">
        <v>0</v>
      </c>
      <c r="Q11" s="267">
        <v>0</v>
      </c>
      <c r="R11" s="267">
        <v>0</v>
      </c>
      <c r="S11" s="267">
        <v>0</v>
      </c>
    </row>
    <row r="12" spans="1:21" s="270" customFormat="1" x14ac:dyDescent="0.25">
      <c r="A12" s="271">
        <v>501304</v>
      </c>
      <c r="B12" s="271">
        <v>1304</v>
      </c>
      <c r="C12" s="271">
        <v>2134</v>
      </c>
      <c r="D12" s="268" t="s">
        <v>894</v>
      </c>
      <c r="E12" s="268" t="s">
        <v>1278</v>
      </c>
      <c r="F12" s="268" t="s">
        <v>2217</v>
      </c>
      <c r="G12" s="268">
        <v>3</v>
      </c>
      <c r="H12" s="268" t="s">
        <v>2218</v>
      </c>
      <c r="I12" s="268" t="s">
        <v>2219</v>
      </c>
      <c r="J12" s="271">
        <v>822240</v>
      </c>
      <c r="K12" s="271">
        <f t="shared" ref="K12:K59" si="1">J12/12</f>
        <v>68520</v>
      </c>
      <c r="L12" s="271">
        <f t="shared" ref="L12:L59" si="2">1011.77*12</f>
        <v>12141.24</v>
      </c>
      <c r="M12" s="267">
        <f>750*12</f>
        <v>9000</v>
      </c>
      <c r="N12" s="271">
        <f t="shared" ref="N12:N59" si="3">10.8*12</f>
        <v>129.60000000000002</v>
      </c>
      <c r="O12" s="271">
        <f t="shared" ref="O12:O18" si="4">19524*12</f>
        <v>234288</v>
      </c>
      <c r="P12" s="276">
        <f t="shared" ref="P12:P59" si="5">J12*1.75%</f>
        <v>14389.2</v>
      </c>
      <c r="Q12" s="271">
        <f t="shared" ref="Q12:Q59" si="6">5007*12</f>
        <v>60084</v>
      </c>
      <c r="R12" s="271">
        <f>18.07%*J12</f>
        <v>148578.76800000001</v>
      </c>
      <c r="S12" s="271">
        <f t="shared" ref="S12:S59" si="7">177.12*12</f>
        <v>2125.44</v>
      </c>
    </row>
    <row r="13" spans="1:21" s="275" customFormat="1" ht="14.4" x14ac:dyDescent="0.3">
      <c r="A13" s="268">
        <v>501203</v>
      </c>
      <c r="B13" s="268">
        <v>1203</v>
      </c>
      <c r="C13" s="268">
        <v>200047</v>
      </c>
      <c r="D13" s="268" t="s">
        <v>876</v>
      </c>
      <c r="E13" s="268" t="s">
        <v>1278</v>
      </c>
      <c r="F13" s="268" t="s">
        <v>2220</v>
      </c>
      <c r="G13" s="268">
        <v>3</v>
      </c>
      <c r="H13" s="268" t="s">
        <v>2221</v>
      </c>
      <c r="I13" s="268" t="s">
        <v>2222</v>
      </c>
      <c r="J13" s="268">
        <v>822240</v>
      </c>
      <c r="K13" s="271">
        <f t="shared" si="1"/>
        <v>68520</v>
      </c>
      <c r="L13" s="271">
        <f t="shared" si="2"/>
        <v>12141.24</v>
      </c>
      <c r="M13" s="268">
        <f>750*12</f>
        <v>9000</v>
      </c>
      <c r="N13" s="271">
        <f t="shared" si="3"/>
        <v>129.60000000000002</v>
      </c>
      <c r="O13" s="271">
        <f t="shared" si="4"/>
        <v>234288</v>
      </c>
      <c r="P13" s="267">
        <f t="shared" si="5"/>
        <v>14389.2</v>
      </c>
      <c r="Q13" s="267">
        <f t="shared" si="6"/>
        <v>60084</v>
      </c>
      <c r="R13" s="271">
        <f>J13*18%</f>
        <v>148003.19999999998</v>
      </c>
      <c r="S13" s="267">
        <f t="shared" si="7"/>
        <v>2125.44</v>
      </c>
      <c r="T13"/>
      <c r="U13"/>
    </row>
    <row r="14" spans="1:21" x14ac:dyDescent="0.25">
      <c r="A14" s="276">
        <v>501445</v>
      </c>
      <c r="B14" s="276">
        <v>1445</v>
      </c>
      <c r="C14" s="276">
        <v>3586</v>
      </c>
      <c r="D14" s="268" t="s">
        <v>894</v>
      </c>
      <c r="E14" s="268" t="s">
        <v>1290</v>
      </c>
      <c r="F14" s="268" t="s">
        <v>2223</v>
      </c>
      <c r="G14" s="268">
        <v>3</v>
      </c>
      <c r="H14" s="268" t="s">
        <v>2224</v>
      </c>
      <c r="I14" s="268" t="s">
        <v>2225</v>
      </c>
      <c r="J14" s="267">
        <v>822240</v>
      </c>
      <c r="K14" s="276">
        <f t="shared" si="1"/>
        <v>68520</v>
      </c>
      <c r="L14" s="271">
        <f t="shared" si="2"/>
        <v>12141.24</v>
      </c>
      <c r="M14" s="267">
        <f>750*12</f>
        <v>9000</v>
      </c>
      <c r="N14" s="276">
        <f t="shared" si="3"/>
        <v>129.60000000000002</v>
      </c>
      <c r="O14" s="267">
        <f t="shared" si="4"/>
        <v>234288</v>
      </c>
      <c r="P14" s="276">
        <f t="shared" si="5"/>
        <v>14389.2</v>
      </c>
      <c r="Q14" s="271">
        <f t="shared" si="6"/>
        <v>60084</v>
      </c>
      <c r="R14" s="276">
        <f t="shared" ref="R14:R59" si="8">18.07%*J14</f>
        <v>148578.76800000001</v>
      </c>
      <c r="S14" s="276">
        <f t="shared" si="7"/>
        <v>2125.44</v>
      </c>
      <c r="T14" s="270"/>
      <c r="U14" s="270"/>
    </row>
    <row r="15" spans="1:21" s="270" customFormat="1" x14ac:dyDescent="0.25">
      <c r="A15" s="271">
        <v>501443</v>
      </c>
      <c r="B15" s="271">
        <v>1443</v>
      </c>
      <c r="C15" s="271">
        <v>7689</v>
      </c>
      <c r="D15" s="268" t="s">
        <v>1698</v>
      </c>
      <c r="E15" s="268" t="s">
        <v>1290</v>
      </c>
      <c r="F15" s="268" t="s">
        <v>2226</v>
      </c>
      <c r="G15" s="268">
        <v>3</v>
      </c>
      <c r="H15" s="268" t="s">
        <v>2227</v>
      </c>
      <c r="I15" s="268" t="s">
        <v>2228</v>
      </c>
      <c r="J15" s="271">
        <v>822240</v>
      </c>
      <c r="K15" s="271">
        <f t="shared" si="1"/>
        <v>68520</v>
      </c>
      <c r="L15" s="271">
        <f t="shared" si="2"/>
        <v>12141.24</v>
      </c>
      <c r="M15" s="267">
        <f>750*12</f>
        <v>9000</v>
      </c>
      <c r="N15" s="271">
        <f t="shared" si="3"/>
        <v>129.60000000000002</v>
      </c>
      <c r="O15" s="271">
        <f t="shared" si="4"/>
        <v>234288</v>
      </c>
      <c r="P15" s="276">
        <f t="shared" si="5"/>
        <v>14389.2</v>
      </c>
      <c r="Q15" s="271">
        <f t="shared" si="6"/>
        <v>60084</v>
      </c>
      <c r="R15" s="271">
        <f t="shared" si="8"/>
        <v>148578.76800000001</v>
      </c>
      <c r="S15" s="271">
        <f t="shared" si="7"/>
        <v>2125.44</v>
      </c>
    </row>
    <row r="16" spans="1:21" s="270" customFormat="1" x14ac:dyDescent="0.25">
      <c r="A16" s="271">
        <v>501445</v>
      </c>
      <c r="B16" s="271">
        <v>1445</v>
      </c>
      <c r="C16" s="271">
        <v>11882</v>
      </c>
      <c r="D16" s="268" t="s">
        <v>1698</v>
      </c>
      <c r="E16" s="268" t="s">
        <v>1290</v>
      </c>
      <c r="F16" s="268" t="s">
        <v>2229</v>
      </c>
      <c r="G16" s="268">
        <v>3</v>
      </c>
      <c r="H16" s="268" t="s">
        <v>2230</v>
      </c>
      <c r="I16" s="268" t="s">
        <v>2231</v>
      </c>
      <c r="J16" s="271">
        <v>822240</v>
      </c>
      <c r="K16" s="271">
        <f t="shared" si="1"/>
        <v>68520</v>
      </c>
      <c r="L16" s="271">
        <f t="shared" si="2"/>
        <v>12141.24</v>
      </c>
      <c r="M16" s="267">
        <v>750</v>
      </c>
      <c r="N16" s="271">
        <f t="shared" si="3"/>
        <v>129.60000000000002</v>
      </c>
      <c r="O16" s="271">
        <f t="shared" si="4"/>
        <v>234288</v>
      </c>
      <c r="P16" s="276">
        <f t="shared" si="5"/>
        <v>14389.2</v>
      </c>
      <c r="Q16" s="271">
        <f t="shared" si="6"/>
        <v>60084</v>
      </c>
      <c r="R16" s="271">
        <f t="shared" si="8"/>
        <v>148578.76800000001</v>
      </c>
      <c r="S16" s="271">
        <f t="shared" si="7"/>
        <v>2125.44</v>
      </c>
    </row>
    <row r="17" spans="1:21" s="270" customFormat="1" x14ac:dyDescent="0.25">
      <c r="A17" s="271">
        <v>501444</v>
      </c>
      <c r="B17" s="271">
        <v>1444</v>
      </c>
      <c r="C17" s="271">
        <v>19981</v>
      </c>
      <c r="D17" s="268" t="s">
        <v>1698</v>
      </c>
      <c r="E17" s="268" t="s">
        <v>1290</v>
      </c>
      <c r="F17" s="268" t="s">
        <v>2232</v>
      </c>
      <c r="G17" s="268">
        <v>3</v>
      </c>
      <c r="H17" s="268" t="s">
        <v>2233</v>
      </c>
      <c r="I17" s="268" t="s">
        <v>2234</v>
      </c>
      <c r="J17" s="271">
        <v>822240</v>
      </c>
      <c r="K17" s="271">
        <f t="shared" si="1"/>
        <v>68520</v>
      </c>
      <c r="L17" s="271">
        <f t="shared" si="2"/>
        <v>12141.24</v>
      </c>
      <c r="M17" s="267">
        <f>750*12</f>
        <v>9000</v>
      </c>
      <c r="N17" s="271">
        <f t="shared" si="3"/>
        <v>129.60000000000002</v>
      </c>
      <c r="O17" s="271">
        <f t="shared" si="4"/>
        <v>234288</v>
      </c>
      <c r="P17" s="276">
        <f t="shared" si="5"/>
        <v>14389.2</v>
      </c>
      <c r="Q17" s="271">
        <f t="shared" si="6"/>
        <v>60084</v>
      </c>
      <c r="R17" s="271">
        <f t="shared" si="8"/>
        <v>148578.76800000001</v>
      </c>
      <c r="S17" s="271">
        <f t="shared" si="7"/>
        <v>2125.44</v>
      </c>
    </row>
    <row r="18" spans="1:21" s="270" customFormat="1" x14ac:dyDescent="0.25">
      <c r="A18" s="271">
        <v>501443</v>
      </c>
      <c r="B18" s="271">
        <v>1443</v>
      </c>
      <c r="C18" s="271">
        <v>26521</v>
      </c>
      <c r="D18" s="268" t="s">
        <v>894</v>
      </c>
      <c r="E18" s="268" t="s">
        <v>1290</v>
      </c>
      <c r="F18" s="268" t="s">
        <v>2193</v>
      </c>
      <c r="G18" s="268">
        <v>3</v>
      </c>
      <c r="H18" s="268" t="s">
        <v>2235</v>
      </c>
      <c r="I18" s="268" t="s">
        <v>2236</v>
      </c>
      <c r="J18" s="271">
        <v>822240</v>
      </c>
      <c r="K18" s="271">
        <f t="shared" si="1"/>
        <v>68520</v>
      </c>
      <c r="L18" s="271">
        <f t="shared" si="2"/>
        <v>12141.24</v>
      </c>
      <c r="M18" s="267">
        <f>750*12</f>
        <v>9000</v>
      </c>
      <c r="N18" s="271">
        <f t="shared" si="3"/>
        <v>129.60000000000002</v>
      </c>
      <c r="O18" s="271">
        <f t="shared" si="4"/>
        <v>234288</v>
      </c>
      <c r="P18" s="276">
        <f t="shared" si="5"/>
        <v>14389.2</v>
      </c>
      <c r="Q18" s="271">
        <f t="shared" si="6"/>
        <v>60084</v>
      </c>
      <c r="R18" s="271">
        <f t="shared" si="8"/>
        <v>148578.76800000001</v>
      </c>
      <c r="S18" s="271">
        <f t="shared" si="7"/>
        <v>2125.44</v>
      </c>
    </row>
    <row r="19" spans="1:21" s="270" customFormat="1" x14ac:dyDescent="0.25">
      <c r="A19" s="271">
        <v>501412</v>
      </c>
      <c r="B19" s="271">
        <v>1412</v>
      </c>
      <c r="C19" s="271">
        <v>45269</v>
      </c>
      <c r="D19" s="268" t="s">
        <v>894</v>
      </c>
      <c r="E19" s="268" t="s">
        <v>1290</v>
      </c>
      <c r="F19" s="268" t="s">
        <v>2237</v>
      </c>
      <c r="G19" s="268">
        <v>3</v>
      </c>
      <c r="H19" s="268" t="s">
        <v>2238</v>
      </c>
      <c r="I19" s="268" t="s">
        <v>2239</v>
      </c>
      <c r="J19" s="271">
        <v>822240</v>
      </c>
      <c r="K19" s="271">
        <f t="shared" si="1"/>
        <v>68520</v>
      </c>
      <c r="L19" s="271">
        <f t="shared" si="2"/>
        <v>12141.24</v>
      </c>
      <c r="M19" s="267">
        <v>0</v>
      </c>
      <c r="N19" s="271">
        <f t="shared" si="3"/>
        <v>129.60000000000002</v>
      </c>
      <c r="O19" s="271">
        <v>19524</v>
      </c>
      <c r="P19" s="276">
        <f t="shared" si="5"/>
        <v>14389.2</v>
      </c>
      <c r="Q19" s="271">
        <f t="shared" si="6"/>
        <v>60084</v>
      </c>
      <c r="R19" s="271">
        <f t="shared" si="8"/>
        <v>148578.76800000001</v>
      </c>
      <c r="S19" s="271">
        <f t="shared" si="7"/>
        <v>2125.44</v>
      </c>
    </row>
    <row r="20" spans="1:21" x14ac:dyDescent="0.25">
      <c r="A20" s="276">
        <v>110821</v>
      </c>
      <c r="B20" s="276">
        <v>1108</v>
      </c>
      <c r="C20" s="276">
        <v>50270</v>
      </c>
      <c r="D20" s="268" t="s">
        <v>894</v>
      </c>
      <c r="E20" s="268" t="s">
        <v>1290</v>
      </c>
      <c r="F20" s="268" t="s">
        <v>2240</v>
      </c>
      <c r="G20" s="268">
        <v>3</v>
      </c>
      <c r="H20" s="268" t="s">
        <v>2241</v>
      </c>
      <c r="I20" s="268" t="s">
        <v>2242</v>
      </c>
      <c r="J20" s="267">
        <v>822240</v>
      </c>
      <c r="K20" s="276">
        <f t="shared" si="1"/>
        <v>68520</v>
      </c>
      <c r="L20" s="271">
        <f t="shared" si="2"/>
        <v>12141.24</v>
      </c>
      <c r="M20" s="267">
        <f t="shared" ref="M20:M26" si="9">750*12</f>
        <v>9000</v>
      </c>
      <c r="N20" s="276">
        <f t="shared" si="3"/>
        <v>129.60000000000002</v>
      </c>
      <c r="O20" s="267">
        <f t="shared" ref="O20:O30" si="10">19524*12</f>
        <v>234288</v>
      </c>
      <c r="P20" s="276">
        <f t="shared" si="5"/>
        <v>14389.2</v>
      </c>
      <c r="Q20" s="271">
        <f t="shared" si="6"/>
        <v>60084</v>
      </c>
      <c r="R20" s="276">
        <f t="shared" si="8"/>
        <v>148578.76800000001</v>
      </c>
      <c r="S20" s="276">
        <f t="shared" si="7"/>
        <v>2125.44</v>
      </c>
      <c r="T20" s="270"/>
      <c r="U20" s="270"/>
    </row>
    <row r="21" spans="1:21" s="270" customFormat="1" x14ac:dyDescent="0.25">
      <c r="A21" s="271">
        <v>501443</v>
      </c>
      <c r="B21" s="271">
        <v>1443</v>
      </c>
      <c r="C21" s="271">
        <v>50445</v>
      </c>
      <c r="D21" s="268" t="s">
        <v>894</v>
      </c>
      <c r="E21" s="268" t="s">
        <v>1290</v>
      </c>
      <c r="F21" s="268" t="s">
        <v>2243</v>
      </c>
      <c r="G21" s="268">
        <v>3</v>
      </c>
      <c r="H21" s="268" t="s">
        <v>2244</v>
      </c>
      <c r="I21" s="268" t="s">
        <v>2245</v>
      </c>
      <c r="J21" s="271">
        <v>822240</v>
      </c>
      <c r="K21" s="271">
        <f t="shared" si="1"/>
        <v>68520</v>
      </c>
      <c r="L21" s="271">
        <f t="shared" si="2"/>
        <v>12141.24</v>
      </c>
      <c r="M21" s="267">
        <f t="shared" si="9"/>
        <v>9000</v>
      </c>
      <c r="N21" s="271">
        <f t="shared" si="3"/>
        <v>129.60000000000002</v>
      </c>
      <c r="O21" s="271">
        <f t="shared" si="10"/>
        <v>234288</v>
      </c>
      <c r="P21" s="276">
        <f t="shared" si="5"/>
        <v>14389.2</v>
      </c>
      <c r="Q21" s="271">
        <f t="shared" si="6"/>
        <v>60084</v>
      </c>
      <c r="R21" s="271">
        <f t="shared" si="8"/>
        <v>148578.76800000001</v>
      </c>
      <c r="S21" s="271">
        <f t="shared" si="7"/>
        <v>2125.44</v>
      </c>
    </row>
    <row r="22" spans="1:21" s="270" customFormat="1" x14ac:dyDescent="0.25">
      <c r="A22" s="271">
        <v>501443</v>
      </c>
      <c r="B22" s="271">
        <v>1457</v>
      </c>
      <c r="C22" s="271">
        <v>54195</v>
      </c>
      <c r="D22" s="268" t="s">
        <v>894</v>
      </c>
      <c r="E22" s="268" t="s">
        <v>1278</v>
      </c>
      <c r="F22" s="268" t="s">
        <v>2246</v>
      </c>
      <c r="G22" s="268">
        <v>3</v>
      </c>
      <c r="H22" s="268" t="s">
        <v>2247</v>
      </c>
      <c r="I22" s="268" t="s">
        <v>2228</v>
      </c>
      <c r="J22" s="271">
        <v>822240</v>
      </c>
      <c r="K22" s="271">
        <f t="shared" si="1"/>
        <v>68520</v>
      </c>
      <c r="L22" s="271">
        <f t="shared" si="2"/>
        <v>12141.24</v>
      </c>
      <c r="M22" s="267">
        <f t="shared" si="9"/>
        <v>9000</v>
      </c>
      <c r="N22" s="271">
        <f t="shared" si="3"/>
        <v>129.60000000000002</v>
      </c>
      <c r="O22" s="271">
        <f t="shared" si="10"/>
        <v>234288</v>
      </c>
      <c r="P22" s="276">
        <f t="shared" si="5"/>
        <v>14389.2</v>
      </c>
      <c r="Q22" s="271">
        <f t="shared" si="6"/>
        <v>60084</v>
      </c>
      <c r="R22" s="271">
        <f t="shared" si="8"/>
        <v>148578.76800000001</v>
      </c>
      <c r="S22" s="271">
        <f t="shared" si="7"/>
        <v>2125.44</v>
      </c>
    </row>
    <row r="23" spans="1:21" s="270" customFormat="1" x14ac:dyDescent="0.25">
      <c r="A23" s="271">
        <v>501406</v>
      </c>
      <c r="B23" s="271">
        <v>1406</v>
      </c>
      <c r="C23" s="271">
        <v>56672</v>
      </c>
      <c r="D23" s="268" t="s">
        <v>894</v>
      </c>
      <c r="E23" s="268" t="s">
        <v>1290</v>
      </c>
      <c r="F23" s="268" t="s">
        <v>2248</v>
      </c>
      <c r="G23" s="268">
        <v>3</v>
      </c>
      <c r="H23" s="268" t="s">
        <v>2249</v>
      </c>
      <c r="I23" s="268" t="s">
        <v>2250</v>
      </c>
      <c r="J23" s="271">
        <v>822240</v>
      </c>
      <c r="K23" s="271">
        <f t="shared" si="1"/>
        <v>68520</v>
      </c>
      <c r="L23" s="271">
        <f t="shared" si="2"/>
        <v>12141.24</v>
      </c>
      <c r="M23" s="267">
        <f t="shared" si="9"/>
        <v>9000</v>
      </c>
      <c r="N23" s="271">
        <f t="shared" si="3"/>
        <v>129.60000000000002</v>
      </c>
      <c r="O23" s="271">
        <f t="shared" si="10"/>
        <v>234288</v>
      </c>
      <c r="P23" s="276">
        <f t="shared" si="5"/>
        <v>14389.2</v>
      </c>
      <c r="Q23" s="271">
        <f t="shared" si="6"/>
        <v>60084</v>
      </c>
      <c r="R23" s="271">
        <f t="shared" si="8"/>
        <v>148578.76800000001</v>
      </c>
      <c r="S23" s="271">
        <f t="shared" si="7"/>
        <v>2125.44</v>
      </c>
    </row>
    <row r="24" spans="1:21" s="270" customFormat="1" x14ac:dyDescent="0.25">
      <c r="A24" s="271">
        <v>501304</v>
      </c>
      <c r="B24" s="271">
        <v>1304</v>
      </c>
      <c r="C24" s="271">
        <v>57639</v>
      </c>
      <c r="D24" s="268" t="s">
        <v>894</v>
      </c>
      <c r="E24" s="268" t="s">
        <v>1278</v>
      </c>
      <c r="F24" s="268" t="s">
        <v>2251</v>
      </c>
      <c r="G24" s="268">
        <v>3</v>
      </c>
      <c r="H24" s="268" t="s">
        <v>2252</v>
      </c>
      <c r="I24" s="268" t="s">
        <v>2253</v>
      </c>
      <c r="J24" s="271">
        <v>822240</v>
      </c>
      <c r="K24" s="271">
        <f t="shared" si="1"/>
        <v>68520</v>
      </c>
      <c r="L24" s="271">
        <f t="shared" si="2"/>
        <v>12141.24</v>
      </c>
      <c r="M24" s="267">
        <f t="shared" si="9"/>
        <v>9000</v>
      </c>
      <c r="N24" s="271">
        <f t="shared" si="3"/>
        <v>129.60000000000002</v>
      </c>
      <c r="O24" s="271">
        <f t="shared" si="10"/>
        <v>234288</v>
      </c>
      <c r="P24" s="276">
        <f t="shared" si="5"/>
        <v>14389.2</v>
      </c>
      <c r="Q24" s="271">
        <f t="shared" si="6"/>
        <v>60084</v>
      </c>
      <c r="R24" s="271">
        <f t="shared" si="8"/>
        <v>148578.76800000001</v>
      </c>
      <c r="S24" s="271">
        <f t="shared" si="7"/>
        <v>2125.44</v>
      </c>
    </row>
    <row r="25" spans="1:21" x14ac:dyDescent="0.25">
      <c r="A25" s="271">
        <v>501443</v>
      </c>
      <c r="B25" s="271">
        <v>1443</v>
      </c>
      <c r="C25" s="271">
        <v>90405</v>
      </c>
      <c r="D25" s="268" t="s">
        <v>876</v>
      </c>
      <c r="E25" s="268" t="s">
        <v>1290</v>
      </c>
      <c r="F25" s="268" t="s">
        <v>2254</v>
      </c>
      <c r="G25" s="268">
        <v>3</v>
      </c>
      <c r="H25" s="268" t="s">
        <v>2255</v>
      </c>
      <c r="I25" s="268" t="s">
        <v>2228</v>
      </c>
      <c r="J25" s="271">
        <v>822240</v>
      </c>
      <c r="K25" s="271">
        <f t="shared" si="1"/>
        <v>68520</v>
      </c>
      <c r="L25" s="271">
        <f t="shared" si="2"/>
        <v>12141.24</v>
      </c>
      <c r="M25" s="267">
        <f t="shared" si="9"/>
        <v>9000</v>
      </c>
      <c r="N25" s="271">
        <f t="shared" si="3"/>
        <v>129.60000000000002</v>
      </c>
      <c r="O25" s="271">
        <f t="shared" si="10"/>
        <v>234288</v>
      </c>
      <c r="P25" s="276">
        <f t="shared" si="5"/>
        <v>14389.2</v>
      </c>
      <c r="Q25" s="271">
        <f t="shared" si="6"/>
        <v>60084</v>
      </c>
      <c r="R25" s="271">
        <f t="shared" si="8"/>
        <v>148578.76800000001</v>
      </c>
      <c r="S25" s="271">
        <f t="shared" si="7"/>
        <v>2125.44</v>
      </c>
      <c r="T25" s="270"/>
      <c r="U25" s="270"/>
    </row>
    <row r="26" spans="1:21" x14ac:dyDescent="0.25">
      <c r="A26" s="271">
        <v>501503</v>
      </c>
      <c r="B26" s="271">
        <v>1503</v>
      </c>
      <c r="C26" s="271">
        <v>200008</v>
      </c>
      <c r="D26" s="268" t="s">
        <v>894</v>
      </c>
      <c r="E26" s="268" t="s">
        <v>1290</v>
      </c>
      <c r="F26" s="268" t="s">
        <v>2256</v>
      </c>
      <c r="G26" s="268">
        <v>3</v>
      </c>
      <c r="H26" s="268" t="s">
        <v>2257</v>
      </c>
      <c r="I26" s="268" t="s">
        <v>2258</v>
      </c>
      <c r="J26" s="271">
        <v>822240</v>
      </c>
      <c r="K26" s="271">
        <f t="shared" si="1"/>
        <v>68520</v>
      </c>
      <c r="L26" s="271">
        <f t="shared" si="2"/>
        <v>12141.24</v>
      </c>
      <c r="M26" s="267">
        <f t="shared" si="9"/>
        <v>9000</v>
      </c>
      <c r="N26" s="271">
        <f t="shared" si="3"/>
        <v>129.60000000000002</v>
      </c>
      <c r="O26" s="271">
        <f t="shared" si="10"/>
        <v>234288</v>
      </c>
      <c r="P26" s="276">
        <f t="shared" si="5"/>
        <v>14389.2</v>
      </c>
      <c r="Q26" s="271">
        <f t="shared" si="6"/>
        <v>60084</v>
      </c>
      <c r="R26" s="271">
        <f t="shared" si="8"/>
        <v>148578.76800000001</v>
      </c>
      <c r="S26" s="271">
        <f t="shared" si="7"/>
        <v>2125.44</v>
      </c>
      <c r="T26" s="270"/>
      <c r="U26" s="270"/>
    </row>
    <row r="27" spans="1:21" s="270" customFormat="1" x14ac:dyDescent="0.25">
      <c r="A27" s="271">
        <v>110721</v>
      </c>
      <c r="B27" s="271">
        <v>1203</v>
      </c>
      <c r="C27" s="271">
        <v>200048</v>
      </c>
      <c r="D27" s="268" t="s">
        <v>1698</v>
      </c>
      <c r="E27" s="268" t="s">
        <v>1290</v>
      </c>
      <c r="F27" s="268" t="s">
        <v>898</v>
      </c>
      <c r="G27" s="268">
        <v>3</v>
      </c>
      <c r="H27" s="268" t="s">
        <v>2259</v>
      </c>
      <c r="I27" s="268" t="s">
        <v>2260</v>
      </c>
      <c r="J27" s="271">
        <v>822240</v>
      </c>
      <c r="K27" s="271">
        <f t="shared" si="1"/>
        <v>68520</v>
      </c>
      <c r="L27" s="271">
        <f t="shared" si="2"/>
        <v>12141.24</v>
      </c>
      <c r="M27" s="267">
        <f>1000*12</f>
        <v>12000</v>
      </c>
      <c r="N27" s="271">
        <f t="shared" si="3"/>
        <v>129.60000000000002</v>
      </c>
      <c r="O27" s="271">
        <f t="shared" si="10"/>
        <v>234288</v>
      </c>
      <c r="P27" s="276">
        <f t="shared" si="5"/>
        <v>14389.2</v>
      </c>
      <c r="Q27" s="271">
        <f t="shared" si="6"/>
        <v>60084</v>
      </c>
      <c r="R27" s="271">
        <f t="shared" si="8"/>
        <v>148578.76800000001</v>
      </c>
      <c r="S27" s="271">
        <f t="shared" si="7"/>
        <v>2125.44</v>
      </c>
    </row>
    <row r="28" spans="1:21" s="270" customFormat="1" x14ac:dyDescent="0.25">
      <c r="A28" s="271">
        <v>501205</v>
      </c>
      <c r="B28" s="271">
        <v>1305</v>
      </c>
      <c r="C28" s="271">
        <v>200142</v>
      </c>
      <c r="D28" s="268" t="s">
        <v>894</v>
      </c>
      <c r="E28" s="268" t="s">
        <v>1290</v>
      </c>
      <c r="F28" s="268" t="s">
        <v>2261</v>
      </c>
      <c r="G28" s="268">
        <v>3</v>
      </c>
      <c r="H28" s="268" t="s">
        <v>2262</v>
      </c>
      <c r="I28" s="268" t="s">
        <v>2263</v>
      </c>
      <c r="J28" s="271">
        <v>822240</v>
      </c>
      <c r="K28" s="271">
        <f t="shared" si="1"/>
        <v>68520</v>
      </c>
      <c r="L28" s="271">
        <f t="shared" si="2"/>
        <v>12141.24</v>
      </c>
      <c r="M28" s="267">
        <f>750*12</f>
        <v>9000</v>
      </c>
      <c r="N28" s="271">
        <f t="shared" si="3"/>
        <v>129.60000000000002</v>
      </c>
      <c r="O28" s="271">
        <f t="shared" si="10"/>
        <v>234288</v>
      </c>
      <c r="P28" s="276">
        <f t="shared" si="5"/>
        <v>14389.2</v>
      </c>
      <c r="Q28" s="271">
        <f t="shared" si="6"/>
        <v>60084</v>
      </c>
      <c r="R28" s="271">
        <f t="shared" si="8"/>
        <v>148578.76800000001</v>
      </c>
      <c r="S28" s="271">
        <f t="shared" si="7"/>
        <v>2125.44</v>
      </c>
    </row>
    <row r="29" spans="1:21" s="270" customFormat="1" x14ac:dyDescent="0.25">
      <c r="A29" s="271">
        <v>501205</v>
      </c>
      <c r="B29" s="271">
        <v>1205</v>
      </c>
      <c r="C29" s="271">
        <v>200185</v>
      </c>
      <c r="D29" s="268" t="s">
        <v>894</v>
      </c>
      <c r="E29" s="268" t="s">
        <v>1290</v>
      </c>
      <c r="F29" s="268" t="s">
        <v>731</v>
      </c>
      <c r="G29" s="268">
        <v>3</v>
      </c>
      <c r="H29" s="268" t="s">
        <v>2264</v>
      </c>
      <c r="I29" s="268" t="s">
        <v>2265</v>
      </c>
      <c r="J29" s="271">
        <v>822240</v>
      </c>
      <c r="K29" s="271">
        <f t="shared" si="1"/>
        <v>68520</v>
      </c>
      <c r="L29" s="271">
        <f t="shared" si="2"/>
        <v>12141.24</v>
      </c>
      <c r="M29" s="267">
        <f>750*12</f>
        <v>9000</v>
      </c>
      <c r="N29" s="271">
        <f t="shared" si="3"/>
        <v>129.60000000000002</v>
      </c>
      <c r="O29" s="271">
        <f t="shared" si="10"/>
        <v>234288</v>
      </c>
      <c r="P29" s="276">
        <f t="shared" si="5"/>
        <v>14389.2</v>
      </c>
      <c r="Q29" s="271">
        <f t="shared" si="6"/>
        <v>60084</v>
      </c>
      <c r="R29" s="271">
        <f t="shared" si="8"/>
        <v>148578.76800000001</v>
      </c>
      <c r="S29" s="271">
        <f t="shared" si="7"/>
        <v>2125.44</v>
      </c>
    </row>
    <row r="30" spans="1:21" s="270" customFormat="1" x14ac:dyDescent="0.25">
      <c r="A30" s="276"/>
      <c r="B30" s="276">
        <v>1502</v>
      </c>
      <c r="C30" s="276">
        <v>200407</v>
      </c>
      <c r="D30" s="268" t="s">
        <v>894</v>
      </c>
      <c r="E30" s="268" t="s">
        <v>1278</v>
      </c>
      <c r="F30" s="268" t="s">
        <v>2266</v>
      </c>
      <c r="G30" s="268">
        <v>3</v>
      </c>
      <c r="H30" s="268" t="s">
        <v>2267</v>
      </c>
      <c r="I30" s="268" t="s">
        <v>2268</v>
      </c>
      <c r="J30" s="267">
        <v>822240</v>
      </c>
      <c r="K30" s="276">
        <f t="shared" si="1"/>
        <v>68520</v>
      </c>
      <c r="L30" s="271">
        <f t="shared" si="2"/>
        <v>12141.24</v>
      </c>
      <c r="M30" s="267">
        <f>750*12</f>
        <v>9000</v>
      </c>
      <c r="N30" s="276">
        <f t="shared" si="3"/>
        <v>129.60000000000002</v>
      </c>
      <c r="O30" s="267">
        <f t="shared" si="10"/>
        <v>234288</v>
      </c>
      <c r="P30" s="276">
        <f t="shared" si="5"/>
        <v>14389.2</v>
      </c>
      <c r="Q30" s="271">
        <f t="shared" si="6"/>
        <v>60084</v>
      </c>
      <c r="R30" s="276">
        <f t="shared" si="8"/>
        <v>148578.76800000001</v>
      </c>
      <c r="S30" s="276">
        <f t="shared" si="7"/>
        <v>2125.44</v>
      </c>
    </row>
    <row r="31" spans="1:21" s="270" customFormat="1" x14ac:dyDescent="0.25">
      <c r="A31" s="271">
        <v>501412</v>
      </c>
      <c r="B31" s="271">
        <v>1412</v>
      </c>
      <c r="C31" s="271">
        <v>52087</v>
      </c>
      <c r="D31" s="268" t="s">
        <v>894</v>
      </c>
      <c r="E31" s="268" t="s">
        <v>1278</v>
      </c>
      <c r="F31" s="268" t="s">
        <v>2193</v>
      </c>
      <c r="G31" s="268">
        <v>3</v>
      </c>
      <c r="H31" s="268" t="s">
        <v>2269</v>
      </c>
      <c r="I31" s="268" t="s">
        <v>2270</v>
      </c>
      <c r="J31" s="271">
        <v>772776</v>
      </c>
      <c r="K31" s="271">
        <f t="shared" si="1"/>
        <v>64398</v>
      </c>
      <c r="L31" s="271">
        <f t="shared" si="2"/>
        <v>12141.24</v>
      </c>
      <c r="M31" s="267">
        <v>0</v>
      </c>
      <c r="N31" s="271">
        <f t="shared" si="3"/>
        <v>129.60000000000002</v>
      </c>
      <c r="O31" s="271">
        <f>18380*12</f>
        <v>220560</v>
      </c>
      <c r="P31" s="276">
        <f t="shared" si="5"/>
        <v>13523.580000000002</v>
      </c>
      <c r="Q31" s="271">
        <f t="shared" si="6"/>
        <v>60084</v>
      </c>
      <c r="R31" s="271">
        <f t="shared" si="8"/>
        <v>139640.6232</v>
      </c>
      <c r="S31" s="271">
        <f t="shared" si="7"/>
        <v>2125.44</v>
      </c>
    </row>
    <row r="32" spans="1:21" s="270" customFormat="1" x14ac:dyDescent="0.25">
      <c r="A32" s="271">
        <v>501205</v>
      </c>
      <c r="B32" s="271">
        <v>1205</v>
      </c>
      <c r="C32" s="271">
        <v>86121</v>
      </c>
      <c r="D32" s="268" t="s">
        <v>894</v>
      </c>
      <c r="E32" s="268" t="s">
        <v>1278</v>
      </c>
      <c r="F32" s="268" t="s">
        <v>1304</v>
      </c>
      <c r="G32" s="268">
        <v>3</v>
      </c>
      <c r="H32" s="268" t="s">
        <v>2271</v>
      </c>
      <c r="I32" s="268" t="s">
        <v>2272</v>
      </c>
      <c r="J32" s="271">
        <v>748056</v>
      </c>
      <c r="K32" s="271">
        <f t="shared" si="1"/>
        <v>62338</v>
      </c>
      <c r="L32" s="271">
        <f t="shared" si="2"/>
        <v>12141.24</v>
      </c>
      <c r="M32" s="267">
        <f>750*12</f>
        <v>9000</v>
      </c>
      <c r="N32" s="271">
        <f t="shared" si="3"/>
        <v>129.60000000000002</v>
      </c>
      <c r="O32" s="271">
        <f>17694*12</f>
        <v>212328</v>
      </c>
      <c r="P32" s="276">
        <f t="shared" si="5"/>
        <v>13090.980000000001</v>
      </c>
      <c r="Q32" s="271">
        <f t="shared" si="6"/>
        <v>60084</v>
      </c>
      <c r="R32" s="271">
        <f t="shared" si="8"/>
        <v>135173.71919999999</v>
      </c>
      <c r="S32" s="271">
        <f t="shared" si="7"/>
        <v>2125.44</v>
      </c>
    </row>
    <row r="33" spans="1:21" s="270" customFormat="1" x14ac:dyDescent="0.25">
      <c r="A33" s="276">
        <v>501304</v>
      </c>
      <c r="B33" s="276">
        <v>1304</v>
      </c>
      <c r="C33" s="276">
        <v>200035</v>
      </c>
      <c r="D33" s="268" t="s">
        <v>894</v>
      </c>
      <c r="E33" s="268" t="s">
        <v>1290</v>
      </c>
      <c r="F33" s="268" t="s">
        <v>2273</v>
      </c>
      <c r="G33" s="268">
        <v>3</v>
      </c>
      <c r="H33" s="268" t="s">
        <v>2274</v>
      </c>
      <c r="I33" s="268" t="s">
        <v>2275</v>
      </c>
      <c r="J33" s="267">
        <v>748056</v>
      </c>
      <c r="K33" s="276">
        <f t="shared" si="1"/>
        <v>62338</v>
      </c>
      <c r="L33" s="271">
        <f t="shared" si="2"/>
        <v>12141.24</v>
      </c>
      <c r="M33" s="267">
        <f>750*12</f>
        <v>9000</v>
      </c>
      <c r="N33" s="276">
        <f t="shared" si="3"/>
        <v>129.60000000000002</v>
      </c>
      <c r="O33" s="267">
        <f>17694*12</f>
        <v>212328</v>
      </c>
      <c r="P33" s="276">
        <f t="shared" si="5"/>
        <v>13090.980000000001</v>
      </c>
      <c r="Q33" s="271">
        <f t="shared" si="6"/>
        <v>60084</v>
      </c>
      <c r="R33" s="276">
        <f t="shared" si="8"/>
        <v>135173.71919999999</v>
      </c>
      <c r="S33" s="276">
        <f t="shared" si="7"/>
        <v>2125.44</v>
      </c>
    </row>
    <row r="34" spans="1:21" s="270" customFormat="1" x14ac:dyDescent="0.25">
      <c r="A34" s="271">
        <v>501442</v>
      </c>
      <c r="B34" s="271">
        <v>1442</v>
      </c>
      <c r="C34" s="271">
        <v>8345</v>
      </c>
      <c r="D34" s="268" t="s">
        <v>1698</v>
      </c>
      <c r="E34" s="268" t="s">
        <v>1290</v>
      </c>
      <c r="F34" s="268" t="s">
        <v>1698</v>
      </c>
      <c r="G34" s="268">
        <v>5</v>
      </c>
      <c r="H34" s="268" t="s">
        <v>2276</v>
      </c>
      <c r="I34" s="268" t="s">
        <v>2277</v>
      </c>
      <c r="J34" s="271">
        <v>634740</v>
      </c>
      <c r="K34" s="271">
        <f t="shared" si="1"/>
        <v>52895</v>
      </c>
      <c r="L34" s="271">
        <f t="shared" si="2"/>
        <v>12141.24</v>
      </c>
      <c r="M34" s="267">
        <f>500*12</f>
        <v>6000</v>
      </c>
      <c r="N34" s="271">
        <f t="shared" si="3"/>
        <v>129.60000000000002</v>
      </c>
      <c r="O34" s="271">
        <f>17694*12</f>
        <v>212328</v>
      </c>
      <c r="P34" s="276">
        <f t="shared" si="5"/>
        <v>11107.95</v>
      </c>
      <c r="Q34" s="271">
        <f t="shared" si="6"/>
        <v>60084</v>
      </c>
      <c r="R34" s="271">
        <f t="shared" si="8"/>
        <v>114697.518</v>
      </c>
      <c r="S34" s="271">
        <f t="shared" si="7"/>
        <v>2125.44</v>
      </c>
    </row>
    <row r="35" spans="1:21" x14ac:dyDescent="0.25">
      <c r="A35" s="271">
        <v>501204</v>
      </c>
      <c r="B35" s="271">
        <v>1204</v>
      </c>
      <c r="C35" s="271">
        <v>12632</v>
      </c>
      <c r="D35" s="268" t="s">
        <v>1698</v>
      </c>
      <c r="E35" s="268" t="s">
        <v>1290</v>
      </c>
      <c r="F35" s="268" t="s">
        <v>2278</v>
      </c>
      <c r="G35" s="268">
        <v>5</v>
      </c>
      <c r="H35" s="268" t="s">
        <v>2279</v>
      </c>
      <c r="I35" s="268" t="s">
        <v>2280</v>
      </c>
      <c r="J35" s="271">
        <v>634740</v>
      </c>
      <c r="K35" s="271">
        <f t="shared" si="1"/>
        <v>52895</v>
      </c>
      <c r="L35" s="271">
        <f t="shared" si="2"/>
        <v>12141.24</v>
      </c>
      <c r="M35" s="267">
        <v>0</v>
      </c>
      <c r="N35" s="271">
        <f t="shared" si="3"/>
        <v>129.60000000000002</v>
      </c>
      <c r="O35" s="271">
        <f>15179*12</f>
        <v>182148</v>
      </c>
      <c r="P35" s="276">
        <f t="shared" si="5"/>
        <v>11107.95</v>
      </c>
      <c r="Q35" s="271">
        <f t="shared" si="6"/>
        <v>60084</v>
      </c>
      <c r="R35" s="271">
        <f t="shared" si="8"/>
        <v>114697.518</v>
      </c>
      <c r="S35" s="271">
        <f t="shared" si="7"/>
        <v>2125.44</v>
      </c>
      <c r="T35" s="270"/>
      <c r="U35" s="270"/>
    </row>
    <row r="36" spans="1:21" s="270" customFormat="1" x14ac:dyDescent="0.25">
      <c r="A36" s="271">
        <v>501445</v>
      </c>
      <c r="B36" s="271">
        <v>1445</v>
      </c>
      <c r="C36" s="271">
        <v>17996</v>
      </c>
      <c r="D36" s="268" t="s">
        <v>1698</v>
      </c>
      <c r="E36" s="268" t="s">
        <v>1290</v>
      </c>
      <c r="F36" s="268" t="s">
        <v>2281</v>
      </c>
      <c r="G36" s="268">
        <v>5</v>
      </c>
      <c r="H36" s="268" t="s">
        <v>2282</v>
      </c>
      <c r="I36" s="268" t="s">
        <v>2283</v>
      </c>
      <c r="J36" s="271">
        <v>634740</v>
      </c>
      <c r="K36" s="271">
        <f t="shared" si="1"/>
        <v>52895</v>
      </c>
      <c r="L36" s="271">
        <f t="shared" si="2"/>
        <v>12141.24</v>
      </c>
      <c r="M36" s="267">
        <v>0</v>
      </c>
      <c r="N36" s="271">
        <f t="shared" si="3"/>
        <v>129.60000000000002</v>
      </c>
      <c r="O36" s="271">
        <f>15179*12</f>
        <v>182148</v>
      </c>
      <c r="P36" s="276">
        <f t="shared" si="5"/>
        <v>11107.95</v>
      </c>
      <c r="Q36" s="271">
        <f t="shared" si="6"/>
        <v>60084</v>
      </c>
      <c r="R36" s="271">
        <f t="shared" si="8"/>
        <v>114697.518</v>
      </c>
      <c r="S36" s="271">
        <f t="shared" si="7"/>
        <v>2125.44</v>
      </c>
    </row>
    <row r="37" spans="1:21" s="270" customFormat="1" x14ac:dyDescent="0.25">
      <c r="A37" s="276">
        <v>501502</v>
      </c>
      <c r="B37" s="276">
        <v>1502</v>
      </c>
      <c r="C37" s="276">
        <v>23126</v>
      </c>
      <c r="D37" s="268" t="s">
        <v>1698</v>
      </c>
      <c r="E37" s="268" t="s">
        <v>1278</v>
      </c>
      <c r="F37" s="268" t="s">
        <v>876</v>
      </c>
      <c r="G37" s="268">
        <v>5</v>
      </c>
      <c r="H37" s="268" t="s">
        <v>2284</v>
      </c>
      <c r="I37" s="268" t="s">
        <v>2285</v>
      </c>
      <c r="J37" s="267">
        <v>634740</v>
      </c>
      <c r="K37" s="276">
        <f t="shared" si="1"/>
        <v>52895</v>
      </c>
      <c r="L37" s="271">
        <f t="shared" si="2"/>
        <v>12141.24</v>
      </c>
      <c r="M37" s="267">
        <f>450*12</f>
        <v>5400</v>
      </c>
      <c r="N37" s="276">
        <f t="shared" si="3"/>
        <v>129.60000000000002</v>
      </c>
      <c r="O37" s="267">
        <f>15179*12</f>
        <v>182148</v>
      </c>
      <c r="P37" s="276">
        <f t="shared" si="5"/>
        <v>11107.95</v>
      </c>
      <c r="Q37" s="271">
        <f t="shared" si="6"/>
        <v>60084</v>
      </c>
      <c r="R37" s="276">
        <f t="shared" si="8"/>
        <v>114697.518</v>
      </c>
      <c r="S37" s="276">
        <f t="shared" si="7"/>
        <v>2125.44</v>
      </c>
    </row>
    <row r="38" spans="1:21" s="270" customFormat="1" x14ac:dyDescent="0.25">
      <c r="A38" s="271">
        <v>501407</v>
      </c>
      <c r="B38" s="271">
        <v>1407</v>
      </c>
      <c r="C38" s="271">
        <v>29078</v>
      </c>
      <c r="D38" s="268" t="s">
        <v>894</v>
      </c>
      <c r="E38" s="268" t="s">
        <v>1278</v>
      </c>
      <c r="F38" s="268" t="s">
        <v>2286</v>
      </c>
      <c r="G38" s="268">
        <v>5</v>
      </c>
      <c r="H38" s="268" t="s">
        <v>2287</v>
      </c>
      <c r="I38" s="268" t="s">
        <v>2288</v>
      </c>
      <c r="J38" s="271">
        <v>634740</v>
      </c>
      <c r="K38" s="271">
        <f t="shared" si="1"/>
        <v>52895</v>
      </c>
      <c r="L38" s="271">
        <f t="shared" si="2"/>
        <v>12141.24</v>
      </c>
      <c r="M38" s="267">
        <f>750*12</f>
        <v>9000</v>
      </c>
      <c r="N38" s="271">
        <f t="shared" si="3"/>
        <v>129.60000000000002</v>
      </c>
      <c r="O38" s="271">
        <f>14974*12</f>
        <v>179688</v>
      </c>
      <c r="P38" s="276">
        <f t="shared" si="5"/>
        <v>11107.95</v>
      </c>
      <c r="Q38" s="271">
        <f t="shared" si="6"/>
        <v>60084</v>
      </c>
      <c r="R38" s="271">
        <f t="shared" si="8"/>
        <v>114697.518</v>
      </c>
      <c r="S38" s="271">
        <f t="shared" si="7"/>
        <v>2125.44</v>
      </c>
    </row>
    <row r="39" spans="1:21" s="270" customFormat="1" x14ac:dyDescent="0.25">
      <c r="A39" s="271">
        <v>501203</v>
      </c>
      <c r="B39" s="271">
        <v>1203</v>
      </c>
      <c r="C39" s="271">
        <v>29528</v>
      </c>
      <c r="D39" s="268" t="s">
        <v>894</v>
      </c>
      <c r="E39" s="268" t="s">
        <v>1278</v>
      </c>
      <c r="F39" s="268" t="s">
        <v>2289</v>
      </c>
      <c r="G39" s="268">
        <v>5</v>
      </c>
      <c r="H39" s="268" t="s">
        <v>2290</v>
      </c>
      <c r="I39" s="268" t="s">
        <v>2291</v>
      </c>
      <c r="J39" s="271">
        <v>634740</v>
      </c>
      <c r="K39" s="271">
        <f t="shared" si="1"/>
        <v>52895</v>
      </c>
      <c r="L39" s="271">
        <f t="shared" si="2"/>
        <v>12141.24</v>
      </c>
      <c r="M39" s="267">
        <v>0</v>
      </c>
      <c r="N39" s="271">
        <f t="shared" si="3"/>
        <v>129.60000000000002</v>
      </c>
      <c r="O39" s="276">
        <v>0</v>
      </c>
      <c r="P39" s="276">
        <f t="shared" si="5"/>
        <v>11107.95</v>
      </c>
      <c r="Q39" s="271">
        <f t="shared" si="6"/>
        <v>60084</v>
      </c>
      <c r="R39" s="271">
        <f t="shared" si="8"/>
        <v>114697.518</v>
      </c>
      <c r="S39" s="271">
        <f t="shared" si="7"/>
        <v>2125.44</v>
      </c>
    </row>
    <row r="40" spans="1:21" s="270" customFormat="1" x14ac:dyDescent="0.25">
      <c r="A40" s="276">
        <v>501206</v>
      </c>
      <c r="B40" s="276">
        <v>1206</v>
      </c>
      <c r="C40" s="276">
        <v>38593</v>
      </c>
      <c r="D40" s="268" t="s">
        <v>876</v>
      </c>
      <c r="E40" s="268" t="s">
        <v>1290</v>
      </c>
      <c r="F40" s="268" t="s">
        <v>2292</v>
      </c>
      <c r="G40" s="268">
        <v>5</v>
      </c>
      <c r="H40" s="268" t="s">
        <v>2293</v>
      </c>
      <c r="I40" s="268" t="s">
        <v>2294</v>
      </c>
      <c r="J40" s="267">
        <v>634740</v>
      </c>
      <c r="K40" s="276">
        <f t="shared" si="1"/>
        <v>52895</v>
      </c>
      <c r="L40" s="271">
        <f t="shared" si="2"/>
        <v>12141.24</v>
      </c>
      <c r="M40" s="267">
        <f>750*12</f>
        <v>9000</v>
      </c>
      <c r="N40" s="276">
        <f t="shared" si="3"/>
        <v>129.60000000000002</v>
      </c>
      <c r="O40" s="267">
        <f>17694*12</f>
        <v>212328</v>
      </c>
      <c r="P40" s="276">
        <f t="shared" si="5"/>
        <v>11107.95</v>
      </c>
      <c r="Q40" s="271">
        <f t="shared" si="6"/>
        <v>60084</v>
      </c>
      <c r="R40" s="276">
        <f t="shared" si="8"/>
        <v>114697.518</v>
      </c>
      <c r="S40" s="276">
        <f t="shared" si="7"/>
        <v>2125.44</v>
      </c>
    </row>
    <row r="41" spans="1:21" s="270" customFormat="1" x14ac:dyDescent="0.25">
      <c r="A41" s="276">
        <v>501502</v>
      </c>
      <c r="B41" s="276">
        <v>1502</v>
      </c>
      <c r="C41" s="276">
        <v>43643</v>
      </c>
      <c r="D41" s="268" t="s">
        <v>894</v>
      </c>
      <c r="E41" s="268" t="s">
        <v>1278</v>
      </c>
      <c r="F41" s="268" t="s">
        <v>2266</v>
      </c>
      <c r="G41" s="268">
        <v>5</v>
      </c>
      <c r="H41" s="268" t="s">
        <v>2295</v>
      </c>
      <c r="I41" s="268" t="s">
        <v>2296</v>
      </c>
      <c r="J41" s="267">
        <v>634740</v>
      </c>
      <c r="K41" s="276">
        <f t="shared" si="1"/>
        <v>52895</v>
      </c>
      <c r="L41" s="271">
        <f t="shared" si="2"/>
        <v>12141.24</v>
      </c>
      <c r="M41" s="267">
        <f>350*12</f>
        <v>4200</v>
      </c>
      <c r="N41" s="276">
        <f t="shared" si="3"/>
        <v>129.60000000000002</v>
      </c>
      <c r="O41" s="267">
        <f t="shared" ref="O41:O59" si="11">15179*12</f>
        <v>182148</v>
      </c>
      <c r="P41" s="276">
        <f t="shared" si="5"/>
        <v>11107.95</v>
      </c>
      <c r="Q41" s="271">
        <f t="shared" si="6"/>
        <v>60084</v>
      </c>
      <c r="R41" s="276">
        <f t="shared" si="8"/>
        <v>114697.518</v>
      </c>
      <c r="S41" s="276">
        <f t="shared" si="7"/>
        <v>2125.44</v>
      </c>
    </row>
    <row r="42" spans="1:21" s="270" customFormat="1" x14ac:dyDescent="0.25">
      <c r="A42" s="271">
        <v>501442</v>
      </c>
      <c r="B42" s="271">
        <v>1442</v>
      </c>
      <c r="C42" s="271">
        <v>50322</v>
      </c>
      <c r="D42" s="268" t="s">
        <v>894</v>
      </c>
      <c r="E42" s="268" t="s">
        <v>1278</v>
      </c>
      <c r="F42" s="268" t="s">
        <v>2297</v>
      </c>
      <c r="G42" s="268">
        <v>5</v>
      </c>
      <c r="H42" s="268" t="s">
        <v>2298</v>
      </c>
      <c r="I42" s="268" t="s">
        <v>2277</v>
      </c>
      <c r="J42" s="271">
        <v>634740</v>
      </c>
      <c r="K42" s="271">
        <f t="shared" si="1"/>
        <v>52895</v>
      </c>
      <c r="L42" s="271">
        <f t="shared" si="2"/>
        <v>12141.24</v>
      </c>
      <c r="M42" s="267">
        <v>0</v>
      </c>
      <c r="N42" s="271">
        <f t="shared" si="3"/>
        <v>129.60000000000002</v>
      </c>
      <c r="O42" s="271">
        <f t="shared" si="11"/>
        <v>182148</v>
      </c>
      <c r="P42" s="276">
        <f t="shared" si="5"/>
        <v>11107.95</v>
      </c>
      <c r="Q42" s="271">
        <f t="shared" si="6"/>
        <v>60084</v>
      </c>
      <c r="R42" s="271">
        <f t="shared" si="8"/>
        <v>114697.518</v>
      </c>
      <c r="S42" s="271">
        <f t="shared" si="7"/>
        <v>2125.44</v>
      </c>
    </row>
    <row r="43" spans="1:21" s="270" customFormat="1" x14ac:dyDescent="0.25">
      <c r="A43" s="276">
        <v>501101</v>
      </c>
      <c r="B43" s="276">
        <v>1101</v>
      </c>
      <c r="C43" s="276">
        <v>51677</v>
      </c>
      <c r="D43" s="268" t="s">
        <v>894</v>
      </c>
      <c r="E43" s="268" t="s">
        <v>1290</v>
      </c>
      <c r="F43" s="268" t="s">
        <v>2299</v>
      </c>
      <c r="G43" s="268">
        <v>5</v>
      </c>
      <c r="H43" s="268" t="s">
        <v>2300</v>
      </c>
      <c r="I43" s="268" t="s">
        <v>2301</v>
      </c>
      <c r="J43" s="267">
        <v>634740</v>
      </c>
      <c r="K43" s="276">
        <f t="shared" si="1"/>
        <v>52895</v>
      </c>
      <c r="L43" s="271">
        <f t="shared" si="2"/>
        <v>12141.24</v>
      </c>
      <c r="M43" s="267">
        <f>350*12</f>
        <v>4200</v>
      </c>
      <c r="N43" s="276">
        <f t="shared" si="3"/>
        <v>129.60000000000002</v>
      </c>
      <c r="O43" s="267">
        <f t="shared" si="11"/>
        <v>182148</v>
      </c>
      <c r="P43" s="276">
        <f t="shared" si="5"/>
        <v>11107.95</v>
      </c>
      <c r="Q43" s="271">
        <f t="shared" si="6"/>
        <v>60084</v>
      </c>
      <c r="R43" s="276">
        <f t="shared" si="8"/>
        <v>114697.518</v>
      </c>
      <c r="S43" s="276">
        <f t="shared" si="7"/>
        <v>2125.44</v>
      </c>
    </row>
    <row r="44" spans="1:21" s="270" customFormat="1" x14ac:dyDescent="0.25">
      <c r="A44" s="276">
        <v>501101</v>
      </c>
      <c r="B44" s="276">
        <v>1101</v>
      </c>
      <c r="C44" s="276">
        <v>51761</v>
      </c>
      <c r="D44" s="268" t="s">
        <v>894</v>
      </c>
      <c r="E44" s="268" t="s">
        <v>1290</v>
      </c>
      <c r="F44" s="268" t="s">
        <v>2302</v>
      </c>
      <c r="G44" s="268">
        <v>5</v>
      </c>
      <c r="H44" s="268" t="s">
        <v>2303</v>
      </c>
      <c r="I44" s="268" t="s">
        <v>2301</v>
      </c>
      <c r="J44" s="267">
        <v>634740</v>
      </c>
      <c r="K44" s="276">
        <f t="shared" si="1"/>
        <v>52895</v>
      </c>
      <c r="L44" s="271">
        <f t="shared" si="2"/>
        <v>12141.24</v>
      </c>
      <c r="M44" s="267">
        <f>350*12</f>
        <v>4200</v>
      </c>
      <c r="N44" s="276">
        <f t="shared" si="3"/>
        <v>129.60000000000002</v>
      </c>
      <c r="O44" s="267">
        <f t="shared" si="11"/>
        <v>182148</v>
      </c>
      <c r="P44" s="276">
        <f t="shared" si="5"/>
        <v>11107.95</v>
      </c>
      <c r="Q44" s="271">
        <f t="shared" si="6"/>
        <v>60084</v>
      </c>
      <c r="R44" s="276">
        <f t="shared" si="8"/>
        <v>114697.518</v>
      </c>
      <c r="S44" s="276">
        <f t="shared" si="7"/>
        <v>2125.44</v>
      </c>
    </row>
    <row r="45" spans="1:21" x14ac:dyDescent="0.25">
      <c r="A45" s="271">
        <v>501442</v>
      </c>
      <c r="B45" s="271">
        <v>1442</v>
      </c>
      <c r="C45" s="271">
        <v>54563</v>
      </c>
      <c r="D45" s="268" t="s">
        <v>894</v>
      </c>
      <c r="E45" s="268" t="s">
        <v>1290</v>
      </c>
      <c r="F45" s="268" t="s">
        <v>2304</v>
      </c>
      <c r="G45" s="268">
        <v>5</v>
      </c>
      <c r="H45" s="268" t="s">
        <v>2305</v>
      </c>
      <c r="I45" s="268" t="s">
        <v>2277</v>
      </c>
      <c r="J45" s="271">
        <v>634740</v>
      </c>
      <c r="K45" s="271">
        <f t="shared" si="1"/>
        <v>52895</v>
      </c>
      <c r="L45" s="271">
        <f t="shared" si="2"/>
        <v>12141.24</v>
      </c>
      <c r="M45" s="267">
        <v>0</v>
      </c>
      <c r="N45" s="271">
        <f t="shared" si="3"/>
        <v>129.60000000000002</v>
      </c>
      <c r="O45" s="271">
        <f t="shared" si="11"/>
        <v>182148</v>
      </c>
      <c r="P45" s="276">
        <f t="shared" si="5"/>
        <v>11107.95</v>
      </c>
      <c r="Q45" s="271">
        <f t="shared" si="6"/>
        <v>60084</v>
      </c>
      <c r="R45" s="271">
        <f t="shared" si="8"/>
        <v>114697.518</v>
      </c>
      <c r="S45" s="271">
        <f t="shared" si="7"/>
        <v>2125.44</v>
      </c>
      <c r="T45" s="270"/>
      <c r="U45" s="270"/>
    </row>
    <row r="46" spans="1:21" s="270" customFormat="1" x14ac:dyDescent="0.25">
      <c r="A46" s="271">
        <v>501304</v>
      </c>
      <c r="B46" s="271">
        <v>1304</v>
      </c>
      <c r="C46" s="271">
        <v>59190</v>
      </c>
      <c r="D46" s="268" t="s">
        <v>894</v>
      </c>
      <c r="E46" s="268" t="s">
        <v>1278</v>
      </c>
      <c r="F46" s="268" t="s">
        <v>2306</v>
      </c>
      <c r="G46" s="268">
        <v>5</v>
      </c>
      <c r="H46" s="268" t="s">
        <v>2307</v>
      </c>
      <c r="I46" s="268" t="s">
        <v>2308</v>
      </c>
      <c r="J46" s="271">
        <v>634740</v>
      </c>
      <c r="K46" s="271">
        <f t="shared" si="1"/>
        <v>52895</v>
      </c>
      <c r="L46" s="271">
        <f t="shared" si="2"/>
        <v>12141.24</v>
      </c>
      <c r="M46" s="267">
        <v>0</v>
      </c>
      <c r="N46" s="271">
        <f t="shared" si="3"/>
        <v>129.60000000000002</v>
      </c>
      <c r="O46" s="271">
        <f t="shared" si="11"/>
        <v>182148</v>
      </c>
      <c r="P46" s="276">
        <f t="shared" si="5"/>
        <v>11107.95</v>
      </c>
      <c r="Q46" s="271">
        <f t="shared" si="6"/>
        <v>60084</v>
      </c>
      <c r="R46" s="271">
        <f t="shared" si="8"/>
        <v>114697.518</v>
      </c>
      <c r="S46" s="271">
        <f t="shared" si="7"/>
        <v>2125.44</v>
      </c>
    </row>
    <row r="47" spans="1:21" s="270" customFormat="1" x14ac:dyDescent="0.25">
      <c r="A47" s="271">
        <v>501202</v>
      </c>
      <c r="B47" s="271">
        <v>1202</v>
      </c>
      <c r="C47" s="271">
        <v>59323</v>
      </c>
      <c r="D47" s="268" t="s">
        <v>894</v>
      </c>
      <c r="E47" s="268" t="s">
        <v>1278</v>
      </c>
      <c r="F47" s="268" t="s">
        <v>2243</v>
      </c>
      <c r="G47" s="268">
        <v>5</v>
      </c>
      <c r="H47" s="268" t="s">
        <v>2309</v>
      </c>
      <c r="I47" s="268" t="s">
        <v>2310</v>
      </c>
      <c r="J47" s="271">
        <v>634740</v>
      </c>
      <c r="K47" s="271">
        <f t="shared" si="1"/>
        <v>52895</v>
      </c>
      <c r="L47" s="271">
        <f t="shared" si="2"/>
        <v>12141.24</v>
      </c>
      <c r="M47" s="267">
        <f>750*12</f>
        <v>9000</v>
      </c>
      <c r="N47" s="271">
        <f t="shared" si="3"/>
        <v>129.60000000000002</v>
      </c>
      <c r="O47" s="271">
        <f t="shared" si="11"/>
        <v>182148</v>
      </c>
      <c r="P47" s="276">
        <f t="shared" si="5"/>
        <v>11107.95</v>
      </c>
      <c r="Q47" s="271">
        <f t="shared" si="6"/>
        <v>60084</v>
      </c>
      <c r="R47" s="271">
        <f t="shared" si="8"/>
        <v>114697.518</v>
      </c>
      <c r="S47" s="271">
        <f t="shared" si="7"/>
        <v>2125.44</v>
      </c>
    </row>
    <row r="48" spans="1:21" s="270" customFormat="1" x14ac:dyDescent="0.25">
      <c r="A48" s="271">
        <v>501204</v>
      </c>
      <c r="B48" s="271">
        <v>1204</v>
      </c>
      <c r="C48" s="271">
        <v>59860</v>
      </c>
      <c r="D48" s="268" t="s">
        <v>894</v>
      </c>
      <c r="E48" s="268" t="s">
        <v>1290</v>
      </c>
      <c r="F48" s="268" t="s">
        <v>2311</v>
      </c>
      <c r="G48" s="268">
        <v>5</v>
      </c>
      <c r="H48" s="268" t="s">
        <v>2312</v>
      </c>
      <c r="I48" s="268" t="s">
        <v>2313</v>
      </c>
      <c r="J48" s="271">
        <v>634740</v>
      </c>
      <c r="K48" s="271">
        <f t="shared" si="1"/>
        <v>52895</v>
      </c>
      <c r="L48" s="271">
        <f t="shared" si="2"/>
        <v>12141.24</v>
      </c>
      <c r="M48" s="267">
        <v>0</v>
      </c>
      <c r="N48" s="271">
        <f t="shared" si="3"/>
        <v>129.60000000000002</v>
      </c>
      <c r="O48" s="271">
        <f t="shared" si="11"/>
        <v>182148</v>
      </c>
      <c r="P48" s="276">
        <f t="shared" si="5"/>
        <v>11107.95</v>
      </c>
      <c r="Q48" s="271">
        <f t="shared" si="6"/>
        <v>60084</v>
      </c>
      <c r="R48" s="271">
        <f t="shared" si="8"/>
        <v>114697.518</v>
      </c>
      <c r="S48" s="271">
        <f t="shared" si="7"/>
        <v>2125.44</v>
      </c>
    </row>
    <row r="49" spans="1:19" s="270" customFormat="1" x14ac:dyDescent="0.25">
      <c r="A49" s="271">
        <v>501407</v>
      </c>
      <c r="B49" s="271">
        <v>1407</v>
      </c>
      <c r="C49" s="271">
        <v>84547</v>
      </c>
      <c r="D49" s="268" t="s">
        <v>894</v>
      </c>
      <c r="E49" s="268" t="s">
        <v>1290</v>
      </c>
      <c r="F49" s="268" t="s">
        <v>2314</v>
      </c>
      <c r="G49" s="268">
        <v>5</v>
      </c>
      <c r="H49" s="268" t="s">
        <v>2315</v>
      </c>
      <c r="I49" s="268" t="s">
        <v>2277</v>
      </c>
      <c r="J49" s="271">
        <v>634740</v>
      </c>
      <c r="K49" s="271">
        <f t="shared" si="1"/>
        <v>52895</v>
      </c>
      <c r="L49" s="271">
        <f t="shared" si="2"/>
        <v>12141.24</v>
      </c>
      <c r="M49" s="267">
        <v>0</v>
      </c>
      <c r="N49" s="271">
        <f t="shared" si="3"/>
        <v>129.60000000000002</v>
      </c>
      <c r="O49" s="271">
        <f t="shared" si="11"/>
        <v>182148</v>
      </c>
      <c r="P49" s="276">
        <f t="shared" si="5"/>
        <v>11107.95</v>
      </c>
      <c r="Q49" s="271">
        <f t="shared" si="6"/>
        <v>60084</v>
      </c>
      <c r="R49" s="271">
        <f t="shared" si="8"/>
        <v>114697.518</v>
      </c>
      <c r="S49" s="271">
        <f t="shared" si="7"/>
        <v>2125.44</v>
      </c>
    </row>
    <row r="50" spans="1:19" s="270" customFormat="1" x14ac:dyDescent="0.25">
      <c r="A50" s="271">
        <v>501204</v>
      </c>
      <c r="B50" s="271">
        <v>1204</v>
      </c>
      <c r="C50" s="271">
        <v>200002</v>
      </c>
      <c r="D50" s="268" t="s">
        <v>894</v>
      </c>
      <c r="E50" s="268" t="s">
        <v>1290</v>
      </c>
      <c r="F50" s="268" t="s">
        <v>2217</v>
      </c>
      <c r="G50" s="268">
        <v>5</v>
      </c>
      <c r="H50" s="268" t="s">
        <v>2316</v>
      </c>
      <c r="I50" s="268" t="s">
        <v>2317</v>
      </c>
      <c r="J50" s="271">
        <v>634740</v>
      </c>
      <c r="K50" s="271">
        <f t="shared" si="1"/>
        <v>52895</v>
      </c>
      <c r="L50" s="271">
        <f t="shared" si="2"/>
        <v>12141.24</v>
      </c>
      <c r="M50" s="267">
        <v>0</v>
      </c>
      <c r="N50" s="271">
        <f t="shared" si="3"/>
        <v>129.60000000000002</v>
      </c>
      <c r="O50" s="271">
        <f t="shared" si="11"/>
        <v>182148</v>
      </c>
      <c r="P50" s="276">
        <f t="shared" si="5"/>
        <v>11107.95</v>
      </c>
      <c r="Q50" s="271">
        <f t="shared" si="6"/>
        <v>60084</v>
      </c>
      <c r="R50" s="271">
        <f t="shared" si="8"/>
        <v>114697.518</v>
      </c>
      <c r="S50" s="271">
        <f t="shared" si="7"/>
        <v>2125.44</v>
      </c>
    </row>
    <row r="51" spans="1:19" s="270" customFormat="1" x14ac:dyDescent="0.25">
      <c r="A51" s="271">
        <v>501205</v>
      </c>
      <c r="B51" s="271">
        <v>1205</v>
      </c>
      <c r="C51" s="271">
        <v>200003</v>
      </c>
      <c r="D51" s="268" t="s">
        <v>894</v>
      </c>
      <c r="E51" s="268" t="s">
        <v>1290</v>
      </c>
      <c r="F51" s="268" t="s">
        <v>2318</v>
      </c>
      <c r="G51" s="268">
        <v>5</v>
      </c>
      <c r="H51" s="268" t="s">
        <v>2319</v>
      </c>
      <c r="I51" s="268" t="s">
        <v>2320</v>
      </c>
      <c r="J51" s="271">
        <v>634740</v>
      </c>
      <c r="K51" s="271">
        <f t="shared" si="1"/>
        <v>52895</v>
      </c>
      <c r="L51" s="271">
        <f t="shared" si="2"/>
        <v>12141.24</v>
      </c>
      <c r="M51" s="267">
        <v>0</v>
      </c>
      <c r="N51" s="271">
        <f t="shared" si="3"/>
        <v>129.60000000000002</v>
      </c>
      <c r="O51" s="271">
        <f t="shared" si="11"/>
        <v>182148</v>
      </c>
      <c r="P51" s="276">
        <f t="shared" si="5"/>
        <v>11107.95</v>
      </c>
      <c r="Q51" s="271">
        <f t="shared" si="6"/>
        <v>60084</v>
      </c>
      <c r="R51" s="271">
        <f t="shared" si="8"/>
        <v>114697.518</v>
      </c>
      <c r="S51" s="271">
        <f t="shared" si="7"/>
        <v>2125.44</v>
      </c>
    </row>
    <row r="52" spans="1:19" s="270" customFormat="1" x14ac:dyDescent="0.25">
      <c r="A52" s="271">
        <v>501205</v>
      </c>
      <c r="B52" s="271">
        <v>1205</v>
      </c>
      <c r="C52" s="271">
        <v>200004</v>
      </c>
      <c r="D52" s="268" t="s">
        <v>894</v>
      </c>
      <c r="E52" s="268" t="s">
        <v>1290</v>
      </c>
      <c r="F52" s="268" t="s">
        <v>2321</v>
      </c>
      <c r="G52" s="268">
        <v>5</v>
      </c>
      <c r="H52" s="268" t="s">
        <v>2322</v>
      </c>
      <c r="I52" s="268" t="s">
        <v>2323</v>
      </c>
      <c r="J52" s="271">
        <v>634740</v>
      </c>
      <c r="K52" s="271">
        <f t="shared" si="1"/>
        <v>52895</v>
      </c>
      <c r="L52" s="271">
        <f t="shared" si="2"/>
        <v>12141.24</v>
      </c>
      <c r="M52" s="267">
        <v>0</v>
      </c>
      <c r="N52" s="271">
        <f t="shared" si="3"/>
        <v>129.60000000000002</v>
      </c>
      <c r="O52" s="271">
        <f t="shared" si="11"/>
        <v>182148</v>
      </c>
      <c r="P52" s="276">
        <f t="shared" si="5"/>
        <v>11107.95</v>
      </c>
      <c r="Q52" s="271">
        <f t="shared" si="6"/>
        <v>60084</v>
      </c>
      <c r="R52" s="271">
        <f t="shared" si="8"/>
        <v>114697.518</v>
      </c>
      <c r="S52" s="271">
        <f t="shared" si="7"/>
        <v>2125.44</v>
      </c>
    </row>
    <row r="53" spans="1:19" s="270" customFormat="1" x14ac:dyDescent="0.25">
      <c r="A53" s="271">
        <v>501203</v>
      </c>
      <c r="B53" s="271">
        <v>1203</v>
      </c>
      <c r="C53" s="271">
        <v>200005</v>
      </c>
      <c r="D53" s="268" t="s">
        <v>894</v>
      </c>
      <c r="E53" s="268" t="s">
        <v>1290</v>
      </c>
      <c r="F53" s="268" t="s">
        <v>2324</v>
      </c>
      <c r="G53" s="268">
        <v>5</v>
      </c>
      <c r="H53" s="268" t="s">
        <v>2325</v>
      </c>
      <c r="I53" s="268" t="s">
        <v>2326</v>
      </c>
      <c r="J53" s="271">
        <v>634740</v>
      </c>
      <c r="K53" s="271">
        <f t="shared" si="1"/>
        <v>52895</v>
      </c>
      <c r="L53" s="271">
        <f t="shared" si="2"/>
        <v>12141.24</v>
      </c>
      <c r="M53" s="267">
        <v>0</v>
      </c>
      <c r="N53" s="271">
        <f t="shared" si="3"/>
        <v>129.60000000000002</v>
      </c>
      <c r="O53" s="271">
        <f t="shared" si="11"/>
        <v>182148</v>
      </c>
      <c r="P53" s="276">
        <f t="shared" si="5"/>
        <v>11107.95</v>
      </c>
      <c r="Q53" s="271">
        <f t="shared" si="6"/>
        <v>60084</v>
      </c>
      <c r="R53" s="271">
        <f t="shared" si="8"/>
        <v>114697.518</v>
      </c>
      <c r="S53" s="271">
        <f t="shared" si="7"/>
        <v>2125.44</v>
      </c>
    </row>
    <row r="54" spans="1:19" s="270" customFormat="1" x14ac:dyDescent="0.25">
      <c r="A54" s="271">
        <v>501204</v>
      </c>
      <c r="B54" s="271">
        <v>1204</v>
      </c>
      <c r="C54" s="271">
        <v>200006</v>
      </c>
      <c r="D54" s="268" t="s">
        <v>894</v>
      </c>
      <c r="E54" s="268" t="s">
        <v>1290</v>
      </c>
      <c r="F54" s="268" t="s">
        <v>2327</v>
      </c>
      <c r="G54" s="268">
        <v>5</v>
      </c>
      <c r="H54" s="268" t="s">
        <v>2328</v>
      </c>
      <c r="I54" s="268" t="s">
        <v>2329</v>
      </c>
      <c r="J54" s="271">
        <v>634740</v>
      </c>
      <c r="K54" s="271">
        <f t="shared" si="1"/>
        <v>52895</v>
      </c>
      <c r="L54" s="271">
        <f t="shared" si="2"/>
        <v>12141.24</v>
      </c>
      <c r="M54" s="267">
        <v>0</v>
      </c>
      <c r="N54" s="271">
        <f t="shared" si="3"/>
        <v>129.60000000000002</v>
      </c>
      <c r="O54" s="271">
        <f t="shared" si="11"/>
        <v>182148</v>
      </c>
      <c r="P54" s="276">
        <f t="shared" si="5"/>
        <v>11107.95</v>
      </c>
      <c r="Q54" s="271">
        <f t="shared" si="6"/>
        <v>60084</v>
      </c>
      <c r="R54" s="271">
        <f t="shared" si="8"/>
        <v>114697.518</v>
      </c>
      <c r="S54" s="271">
        <f t="shared" si="7"/>
        <v>2125.44</v>
      </c>
    </row>
    <row r="55" spans="1:19" s="270" customFormat="1" x14ac:dyDescent="0.25">
      <c r="A55" s="271">
        <v>501407</v>
      </c>
      <c r="B55" s="271">
        <v>1407</v>
      </c>
      <c r="C55" s="271">
        <v>200024</v>
      </c>
      <c r="D55" s="268" t="s">
        <v>894</v>
      </c>
      <c r="E55" s="268" t="s">
        <v>1290</v>
      </c>
      <c r="F55" s="268" t="s">
        <v>2330</v>
      </c>
      <c r="G55" s="268">
        <v>5</v>
      </c>
      <c r="H55" s="268" t="s">
        <v>2331</v>
      </c>
      <c r="I55" s="268" t="s">
        <v>2332</v>
      </c>
      <c r="J55" s="271">
        <v>634740</v>
      </c>
      <c r="K55" s="271">
        <f t="shared" si="1"/>
        <v>52895</v>
      </c>
      <c r="L55" s="271">
        <f t="shared" si="2"/>
        <v>12141.24</v>
      </c>
      <c r="M55" s="267">
        <v>0</v>
      </c>
      <c r="N55" s="271">
        <f t="shared" si="3"/>
        <v>129.60000000000002</v>
      </c>
      <c r="O55" s="271">
        <f t="shared" si="11"/>
        <v>182148</v>
      </c>
      <c r="P55" s="276">
        <f t="shared" si="5"/>
        <v>11107.95</v>
      </c>
      <c r="Q55" s="271">
        <f t="shared" si="6"/>
        <v>60084</v>
      </c>
      <c r="R55" s="271">
        <f t="shared" si="8"/>
        <v>114697.518</v>
      </c>
      <c r="S55" s="271">
        <f t="shared" si="7"/>
        <v>2125.44</v>
      </c>
    </row>
    <row r="56" spans="1:19" s="270" customFormat="1" x14ac:dyDescent="0.25">
      <c r="A56" s="271">
        <v>501204</v>
      </c>
      <c r="B56" s="271">
        <v>1204</v>
      </c>
      <c r="C56" s="271">
        <v>200180</v>
      </c>
      <c r="D56" s="268" t="s">
        <v>894</v>
      </c>
      <c r="E56" s="268" t="s">
        <v>1278</v>
      </c>
      <c r="F56" s="268" t="s">
        <v>2333</v>
      </c>
      <c r="G56" s="268">
        <v>5</v>
      </c>
      <c r="H56" s="268" t="s">
        <v>2334</v>
      </c>
      <c r="I56" s="268" t="s">
        <v>2335</v>
      </c>
      <c r="J56" s="271">
        <v>634740</v>
      </c>
      <c r="K56" s="271">
        <f t="shared" si="1"/>
        <v>52895</v>
      </c>
      <c r="L56" s="271">
        <f t="shared" si="2"/>
        <v>12141.24</v>
      </c>
      <c r="M56" s="267">
        <v>0</v>
      </c>
      <c r="N56" s="271">
        <f t="shared" si="3"/>
        <v>129.60000000000002</v>
      </c>
      <c r="O56" s="271">
        <f t="shared" si="11"/>
        <v>182148</v>
      </c>
      <c r="P56" s="276">
        <f t="shared" si="5"/>
        <v>11107.95</v>
      </c>
      <c r="Q56" s="271">
        <f t="shared" si="6"/>
        <v>60084</v>
      </c>
      <c r="R56" s="271">
        <f t="shared" si="8"/>
        <v>114697.518</v>
      </c>
      <c r="S56" s="271">
        <f t="shared" si="7"/>
        <v>2125.44</v>
      </c>
    </row>
    <row r="57" spans="1:19" s="270" customFormat="1" x14ac:dyDescent="0.25">
      <c r="A57" s="271"/>
      <c r="B57" s="271">
        <v>1408</v>
      </c>
      <c r="C57" s="271">
        <v>200387</v>
      </c>
      <c r="D57" s="268" t="s">
        <v>894</v>
      </c>
      <c r="E57" s="268" t="s">
        <v>1290</v>
      </c>
      <c r="F57" s="268" t="s">
        <v>2336</v>
      </c>
      <c r="G57" s="268">
        <v>5</v>
      </c>
      <c r="H57" s="268" t="s">
        <v>2337</v>
      </c>
      <c r="I57" s="268" t="s">
        <v>2338</v>
      </c>
      <c r="J57" s="271">
        <v>634740</v>
      </c>
      <c r="K57" s="271">
        <f t="shared" si="1"/>
        <v>52895</v>
      </c>
      <c r="L57" s="271">
        <f t="shared" si="2"/>
        <v>12141.24</v>
      </c>
      <c r="M57" s="267">
        <v>0</v>
      </c>
      <c r="N57" s="271">
        <f t="shared" si="3"/>
        <v>129.60000000000002</v>
      </c>
      <c r="O57" s="271">
        <f t="shared" si="11"/>
        <v>182148</v>
      </c>
      <c r="P57" s="276">
        <f t="shared" si="5"/>
        <v>11107.95</v>
      </c>
      <c r="Q57" s="271">
        <f t="shared" si="6"/>
        <v>60084</v>
      </c>
      <c r="R57" s="271">
        <f t="shared" si="8"/>
        <v>114697.518</v>
      </c>
      <c r="S57" s="271">
        <f t="shared" si="7"/>
        <v>2125.44</v>
      </c>
    </row>
    <row r="58" spans="1:19" s="270" customFormat="1" x14ac:dyDescent="0.25">
      <c r="A58" s="271">
        <v>110721</v>
      </c>
      <c r="B58" s="271">
        <v>1107</v>
      </c>
      <c r="C58" s="271">
        <v>200392</v>
      </c>
      <c r="D58" s="268" t="s">
        <v>894</v>
      </c>
      <c r="E58" s="268" t="s">
        <v>1290</v>
      </c>
      <c r="F58" s="268" t="s">
        <v>2339</v>
      </c>
      <c r="G58" s="268">
        <v>5</v>
      </c>
      <c r="H58" s="268" t="s">
        <v>2340</v>
      </c>
      <c r="I58" s="268" t="s">
        <v>2341</v>
      </c>
      <c r="J58" s="271">
        <v>634740</v>
      </c>
      <c r="K58" s="271">
        <f t="shared" si="1"/>
        <v>52895</v>
      </c>
      <c r="L58" s="271">
        <f t="shared" si="2"/>
        <v>12141.24</v>
      </c>
      <c r="M58" s="267">
        <v>0</v>
      </c>
      <c r="N58" s="271">
        <f t="shared" si="3"/>
        <v>129.60000000000002</v>
      </c>
      <c r="O58" s="271">
        <f t="shared" si="11"/>
        <v>182148</v>
      </c>
      <c r="P58" s="276">
        <f t="shared" si="5"/>
        <v>11107.95</v>
      </c>
      <c r="Q58" s="271">
        <f t="shared" si="6"/>
        <v>60084</v>
      </c>
      <c r="R58" s="271">
        <f t="shared" si="8"/>
        <v>114697.518</v>
      </c>
      <c r="S58" s="271">
        <f t="shared" si="7"/>
        <v>2125.44</v>
      </c>
    </row>
    <row r="59" spans="1:19" s="270" customFormat="1" x14ac:dyDescent="0.25">
      <c r="A59" s="271">
        <v>501407</v>
      </c>
      <c r="B59" s="271">
        <v>1407</v>
      </c>
      <c r="C59" s="271">
        <v>59705</v>
      </c>
      <c r="D59" s="268" t="s">
        <v>894</v>
      </c>
      <c r="E59" s="268" t="s">
        <v>1290</v>
      </c>
      <c r="F59" s="268" t="s">
        <v>2342</v>
      </c>
      <c r="G59" s="268">
        <v>6</v>
      </c>
      <c r="H59" s="268" t="s">
        <v>2343</v>
      </c>
      <c r="I59" s="268" t="s">
        <v>2344</v>
      </c>
      <c r="J59" s="271">
        <v>634740</v>
      </c>
      <c r="K59" s="271">
        <f t="shared" si="1"/>
        <v>52895</v>
      </c>
      <c r="L59" s="271">
        <f t="shared" si="2"/>
        <v>12141.24</v>
      </c>
      <c r="M59" s="267">
        <v>0</v>
      </c>
      <c r="N59" s="271">
        <f t="shared" si="3"/>
        <v>129.60000000000002</v>
      </c>
      <c r="O59" s="271">
        <f t="shared" si="11"/>
        <v>182148</v>
      </c>
      <c r="P59" s="276">
        <f t="shared" si="5"/>
        <v>11107.95</v>
      </c>
      <c r="Q59" s="271">
        <f t="shared" si="6"/>
        <v>60084</v>
      </c>
      <c r="R59" s="271">
        <f t="shared" si="8"/>
        <v>114697.518</v>
      </c>
      <c r="S59" s="271">
        <f t="shared" si="7"/>
        <v>2125.44</v>
      </c>
    </row>
    <row r="60" spans="1:19" s="270" customFormat="1" x14ac:dyDescent="0.25">
      <c r="A60" s="276">
        <v>501457</v>
      </c>
      <c r="B60" s="276">
        <v>1501</v>
      </c>
      <c r="C60" s="276">
        <v>2781</v>
      </c>
      <c r="D60" s="268" t="s">
        <v>876</v>
      </c>
      <c r="E60" s="268" t="s">
        <v>1278</v>
      </c>
      <c r="F60" s="268" t="s">
        <v>2345</v>
      </c>
      <c r="G60" s="268" t="s">
        <v>2190</v>
      </c>
      <c r="H60" s="268" t="s">
        <v>2346</v>
      </c>
      <c r="I60" s="268" t="s">
        <v>2347</v>
      </c>
      <c r="J60" s="267">
        <v>609136</v>
      </c>
      <c r="K60" s="276">
        <v>0</v>
      </c>
      <c r="L60" s="271">
        <v>0</v>
      </c>
      <c r="M60" s="267">
        <f>320.7*12</f>
        <v>3848.3999999999996</v>
      </c>
      <c r="N60" s="271">
        <v>0</v>
      </c>
      <c r="O60" s="276">
        <v>0</v>
      </c>
      <c r="P60" s="276">
        <v>0</v>
      </c>
      <c r="Q60" s="271">
        <v>0</v>
      </c>
      <c r="R60" s="276">
        <v>0</v>
      </c>
      <c r="S60" s="276">
        <v>0</v>
      </c>
    </row>
    <row r="61" spans="1:19" s="270" customFormat="1" x14ac:dyDescent="0.25">
      <c r="A61" s="271">
        <v>501406</v>
      </c>
      <c r="B61" s="271">
        <v>1406</v>
      </c>
      <c r="C61" s="271">
        <v>33433</v>
      </c>
      <c r="D61" s="268" t="s">
        <v>894</v>
      </c>
      <c r="E61" s="268" t="s">
        <v>1278</v>
      </c>
      <c r="F61" s="268" t="s">
        <v>2348</v>
      </c>
      <c r="G61" s="268">
        <v>5</v>
      </c>
      <c r="H61" s="268" t="s">
        <v>2349</v>
      </c>
      <c r="I61" s="268" t="s">
        <v>2350</v>
      </c>
      <c r="J61" s="271">
        <v>599340</v>
      </c>
      <c r="K61" s="271">
        <f>J61/12</f>
        <v>49945</v>
      </c>
      <c r="L61" s="271">
        <f>1011.77*12</f>
        <v>12141.24</v>
      </c>
      <c r="M61" s="267">
        <v>0</v>
      </c>
      <c r="N61" s="271">
        <f>10.8*12</f>
        <v>129.60000000000002</v>
      </c>
      <c r="O61" s="271">
        <f>14264*12</f>
        <v>171168</v>
      </c>
      <c r="P61" s="276">
        <f>J61*1.75%</f>
        <v>10488.45</v>
      </c>
      <c r="Q61" s="271">
        <f>5007*12</f>
        <v>60084</v>
      </c>
      <c r="R61" s="271">
        <f>18.07%*J61</f>
        <v>108300.738</v>
      </c>
      <c r="S61" s="271">
        <f>177.12*12</f>
        <v>2125.44</v>
      </c>
    </row>
    <row r="62" spans="1:19" s="270" customFormat="1" x14ac:dyDescent="0.25">
      <c r="A62" s="271">
        <v>501406</v>
      </c>
      <c r="B62" s="271">
        <v>1406</v>
      </c>
      <c r="C62" s="271">
        <v>200442</v>
      </c>
      <c r="D62" s="268" t="s">
        <v>1698</v>
      </c>
      <c r="E62" s="268" t="s">
        <v>1278</v>
      </c>
      <c r="F62" s="268" t="s">
        <v>2351</v>
      </c>
      <c r="G62" s="268">
        <v>5</v>
      </c>
      <c r="H62" s="268" t="s">
        <v>2352</v>
      </c>
      <c r="I62" s="268" t="s">
        <v>2350</v>
      </c>
      <c r="J62" s="271">
        <v>599340</v>
      </c>
      <c r="K62" s="271">
        <f>J62/12</f>
        <v>49945</v>
      </c>
      <c r="L62" s="271">
        <f>1011.77*12</f>
        <v>12141.24</v>
      </c>
      <c r="M62" s="267">
        <v>0</v>
      </c>
      <c r="N62" s="271">
        <f>10.8*12</f>
        <v>129.60000000000002</v>
      </c>
      <c r="O62" s="271">
        <f>14264*12</f>
        <v>171168</v>
      </c>
      <c r="P62" s="276">
        <f>J62*1.75%</f>
        <v>10488.45</v>
      </c>
      <c r="Q62" s="271">
        <f>5007*12</f>
        <v>60084</v>
      </c>
      <c r="R62" s="271">
        <f>18.07%*J62</f>
        <v>108300.738</v>
      </c>
      <c r="S62" s="271">
        <f>177.12*12</f>
        <v>2125.44</v>
      </c>
    </row>
    <row r="63" spans="1:19" s="270" customFormat="1" x14ac:dyDescent="0.25">
      <c r="A63" s="271">
        <v>501101</v>
      </c>
      <c r="B63" s="271">
        <v>1101</v>
      </c>
      <c r="C63" s="271">
        <v>19790</v>
      </c>
      <c r="D63" s="268" t="s">
        <v>1698</v>
      </c>
      <c r="E63" s="268" t="s">
        <v>1278</v>
      </c>
      <c r="F63" s="268" t="s">
        <v>1286</v>
      </c>
      <c r="G63" s="268" t="s">
        <v>2190</v>
      </c>
      <c r="H63" s="268" t="s">
        <v>2353</v>
      </c>
      <c r="I63" s="268" t="s">
        <v>2354</v>
      </c>
      <c r="J63" s="271">
        <v>588798</v>
      </c>
      <c r="K63" s="271">
        <v>0</v>
      </c>
      <c r="L63" s="271">
        <v>0</v>
      </c>
      <c r="M63" s="267">
        <v>0</v>
      </c>
      <c r="N63" s="271">
        <v>0</v>
      </c>
      <c r="O63" s="276">
        <v>0</v>
      </c>
      <c r="P63" s="276">
        <v>0</v>
      </c>
      <c r="Q63" s="271">
        <v>0</v>
      </c>
      <c r="R63" s="271">
        <v>0</v>
      </c>
      <c r="S63" s="271">
        <v>0</v>
      </c>
    </row>
    <row r="64" spans="1:19" s="270" customFormat="1" x14ac:dyDescent="0.25">
      <c r="A64" s="271">
        <v>501445</v>
      </c>
      <c r="B64" s="271">
        <v>1445</v>
      </c>
      <c r="C64" s="271">
        <v>16379</v>
      </c>
      <c r="D64" s="268" t="s">
        <v>1698</v>
      </c>
      <c r="E64" s="268" t="s">
        <v>1290</v>
      </c>
      <c r="F64" s="268" t="s">
        <v>2355</v>
      </c>
      <c r="G64" s="268">
        <v>5</v>
      </c>
      <c r="H64" s="268" t="s">
        <v>2356</v>
      </c>
      <c r="I64" s="268" t="s">
        <v>2357</v>
      </c>
      <c r="J64" s="271">
        <v>581580</v>
      </c>
      <c r="K64" s="271">
        <f t="shared" ref="K64:K127" si="12">J64/12</f>
        <v>48465</v>
      </c>
      <c r="L64" s="271">
        <f t="shared" ref="L64:L127" si="13">1011.77*12</f>
        <v>12141.24</v>
      </c>
      <c r="M64" s="267">
        <f>450*12</f>
        <v>5400</v>
      </c>
      <c r="N64" s="271">
        <f>10.8*12</f>
        <v>129.60000000000002</v>
      </c>
      <c r="O64" s="271">
        <f>13921*12</f>
        <v>167052</v>
      </c>
      <c r="P64" s="276">
        <f t="shared" ref="P64:P127" si="14">J64*1.75%</f>
        <v>10177.650000000001</v>
      </c>
      <c r="Q64" s="271">
        <f t="shared" ref="Q64:Q127" si="15">5007*12</f>
        <v>60084</v>
      </c>
      <c r="R64" s="271">
        <f t="shared" ref="R64:R127" si="16">18.07%*J64</f>
        <v>105091.50599999999</v>
      </c>
      <c r="S64" s="271">
        <f>177.12*12</f>
        <v>2125.44</v>
      </c>
    </row>
    <row r="65" spans="1:21" s="270" customFormat="1" x14ac:dyDescent="0.25">
      <c r="A65" s="271">
        <v>501442</v>
      </c>
      <c r="B65" s="271">
        <v>1442</v>
      </c>
      <c r="C65" s="271">
        <v>35172</v>
      </c>
      <c r="D65" s="268" t="s">
        <v>894</v>
      </c>
      <c r="E65" s="268" t="s">
        <v>1290</v>
      </c>
      <c r="F65" s="268" t="s">
        <v>2358</v>
      </c>
      <c r="G65" s="268">
        <v>5</v>
      </c>
      <c r="H65" s="268" t="s">
        <v>2359</v>
      </c>
      <c r="I65" s="268" t="s">
        <v>2357</v>
      </c>
      <c r="J65" s="271">
        <v>581580</v>
      </c>
      <c r="K65" s="271">
        <f t="shared" si="12"/>
        <v>48465</v>
      </c>
      <c r="L65" s="271">
        <f t="shared" si="13"/>
        <v>12141.24</v>
      </c>
      <c r="M65" s="267">
        <f>500*12</f>
        <v>6000</v>
      </c>
      <c r="N65" s="271">
        <f>10.8*12</f>
        <v>129.60000000000002</v>
      </c>
      <c r="O65" s="271">
        <f>13921*12</f>
        <v>167052</v>
      </c>
      <c r="P65" s="276">
        <f t="shared" si="14"/>
        <v>10177.650000000001</v>
      </c>
      <c r="Q65" s="271">
        <f t="shared" si="15"/>
        <v>60084</v>
      </c>
      <c r="R65" s="271">
        <f t="shared" si="16"/>
        <v>105091.50599999999</v>
      </c>
      <c r="S65" s="271">
        <f t="shared" ref="S65:S128" si="17">177.12*12</f>
        <v>2125.44</v>
      </c>
    </row>
    <row r="66" spans="1:21" s="270" customFormat="1" x14ac:dyDescent="0.25">
      <c r="A66" s="271">
        <v>501445</v>
      </c>
      <c r="B66" s="271">
        <v>1445</v>
      </c>
      <c r="C66" s="271">
        <v>58793</v>
      </c>
      <c r="D66" s="268" t="s">
        <v>894</v>
      </c>
      <c r="E66" s="268" t="s">
        <v>1290</v>
      </c>
      <c r="F66" s="268" t="s">
        <v>2360</v>
      </c>
      <c r="G66" s="268">
        <v>5</v>
      </c>
      <c r="H66" s="268" t="s">
        <v>2361</v>
      </c>
      <c r="I66" s="268" t="s">
        <v>2357</v>
      </c>
      <c r="J66" s="271">
        <v>581580</v>
      </c>
      <c r="K66" s="271">
        <f t="shared" si="12"/>
        <v>48465</v>
      </c>
      <c r="L66" s="271">
        <f t="shared" si="13"/>
        <v>12141.24</v>
      </c>
      <c r="M66" s="267">
        <f>450*12</f>
        <v>5400</v>
      </c>
      <c r="N66" s="271">
        <f>10.8*12</f>
        <v>129.60000000000002</v>
      </c>
      <c r="O66" s="271">
        <f>13921*12</f>
        <v>167052</v>
      </c>
      <c r="P66" s="276">
        <f t="shared" si="14"/>
        <v>10177.650000000001</v>
      </c>
      <c r="Q66" s="271">
        <f t="shared" si="15"/>
        <v>60084</v>
      </c>
      <c r="R66" s="271">
        <f t="shared" si="16"/>
        <v>105091.50599999999</v>
      </c>
      <c r="S66" s="271">
        <f t="shared" si="17"/>
        <v>2125.44</v>
      </c>
    </row>
    <row r="67" spans="1:21" x14ac:dyDescent="0.25">
      <c r="A67" s="271">
        <v>501101</v>
      </c>
      <c r="B67" s="271">
        <v>1101</v>
      </c>
      <c r="C67" s="271">
        <v>83768</v>
      </c>
      <c r="D67" s="268" t="s">
        <v>894</v>
      </c>
      <c r="E67" s="268" t="s">
        <v>1290</v>
      </c>
      <c r="F67" s="268" t="s">
        <v>2362</v>
      </c>
      <c r="G67" s="268">
        <v>5</v>
      </c>
      <c r="H67" s="268" t="s">
        <v>2363</v>
      </c>
      <c r="I67" s="268" t="s">
        <v>2301</v>
      </c>
      <c r="J67" s="271">
        <v>581580</v>
      </c>
      <c r="K67" s="271">
        <f t="shared" si="12"/>
        <v>48465</v>
      </c>
      <c r="L67" s="271">
        <f t="shared" si="13"/>
        <v>12141.24</v>
      </c>
      <c r="M67" s="267">
        <v>0</v>
      </c>
      <c r="N67" s="271">
        <f>10.8*12</f>
        <v>129.60000000000002</v>
      </c>
      <c r="O67" s="271">
        <f>13921*12</f>
        <v>167052</v>
      </c>
      <c r="P67" s="276">
        <f t="shared" si="14"/>
        <v>10177.650000000001</v>
      </c>
      <c r="Q67" s="271">
        <f t="shared" si="15"/>
        <v>60084</v>
      </c>
      <c r="R67" s="271">
        <f t="shared" si="16"/>
        <v>105091.50599999999</v>
      </c>
      <c r="S67" s="271">
        <f t="shared" si="17"/>
        <v>2125.44</v>
      </c>
      <c r="T67" s="270"/>
      <c r="U67" s="270"/>
    </row>
    <row r="68" spans="1:21" s="270" customFormat="1" x14ac:dyDescent="0.25">
      <c r="A68" s="271">
        <v>501445</v>
      </c>
      <c r="B68" s="271">
        <v>1445</v>
      </c>
      <c r="C68" s="271">
        <v>84107</v>
      </c>
      <c r="D68" s="268" t="s">
        <v>894</v>
      </c>
      <c r="E68" s="268" t="s">
        <v>1290</v>
      </c>
      <c r="F68" s="268" t="s">
        <v>2364</v>
      </c>
      <c r="G68" s="268">
        <v>5</v>
      </c>
      <c r="H68" s="268" t="s">
        <v>2365</v>
      </c>
      <c r="I68" s="268" t="s">
        <v>2366</v>
      </c>
      <c r="J68" s="271">
        <v>581580</v>
      </c>
      <c r="K68" s="271">
        <f t="shared" si="12"/>
        <v>48465</v>
      </c>
      <c r="L68" s="271">
        <f t="shared" si="13"/>
        <v>12141.24</v>
      </c>
      <c r="M68" s="267">
        <v>0</v>
      </c>
      <c r="N68" s="271">
        <f>10.8*12</f>
        <v>129.60000000000002</v>
      </c>
      <c r="O68" s="271">
        <f>13921*12</f>
        <v>167052</v>
      </c>
      <c r="P68" s="276">
        <f t="shared" si="14"/>
        <v>10177.650000000001</v>
      </c>
      <c r="Q68" s="271">
        <f t="shared" si="15"/>
        <v>60084</v>
      </c>
      <c r="R68" s="271">
        <f t="shared" si="16"/>
        <v>105091.50599999999</v>
      </c>
      <c r="S68" s="271">
        <f t="shared" si="17"/>
        <v>2125.44</v>
      </c>
    </row>
    <row r="69" spans="1:21" s="270" customFormat="1" x14ac:dyDescent="0.25">
      <c r="A69" s="271">
        <v>501406</v>
      </c>
      <c r="B69" s="271">
        <v>1406</v>
      </c>
      <c r="C69" s="271">
        <v>200124</v>
      </c>
      <c r="D69" s="268" t="s">
        <v>894</v>
      </c>
      <c r="E69" s="268" t="s">
        <v>1278</v>
      </c>
      <c r="F69" s="268" t="s">
        <v>2367</v>
      </c>
      <c r="G69" s="268">
        <v>5</v>
      </c>
      <c r="H69" s="268" t="s">
        <v>2368</v>
      </c>
      <c r="I69" s="268" t="s">
        <v>2369</v>
      </c>
      <c r="J69" s="271">
        <v>581580</v>
      </c>
      <c r="K69" s="271">
        <f t="shared" si="12"/>
        <v>48465</v>
      </c>
      <c r="L69" s="271">
        <f t="shared" si="13"/>
        <v>12141.24</v>
      </c>
      <c r="M69" s="267">
        <v>0</v>
      </c>
      <c r="N69" s="271">
        <f t="shared" ref="N69:N132" si="18">10.8*12</f>
        <v>129.60000000000002</v>
      </c>
      <c r="O69" s="276">
        <v>0</v>
      </c>
      <c r="P69" s="276">
        <f t="shared" si="14"/>
        <v>10177.650000000001</v>
      </c>
      <c r="Q69" s="271">
        <f t="shared" si="15"/>
        <v>60084</v>
      </c>
      <c r="R69" s="271">
        <f t="shared" si="16"/>
        <v>105091.50599999999</v>
      </c>
      <c r="S69" s="271">
        <f t="shared" si="17"/>
        <v>2125.44</v>
      </c>
    </row>
    <row r="70" spans="1:21" x14ac:dyDescent="0.25">
      <c r="A70" s="271">
        <v>501406</v>
      </c>
      <c r="B70" s="271">
        <v>1406</v>
      </c>
      <c r="C70" s="271">
        <v>200157</v>
      </c>
      <c r="D70" s="268" t="s">
        <v>894</v>
      </c>
      <c r="E70" s="268" t="s">
        <v>1278</v>
      </c>
      <c r="F70" s="268" t="s">
        <v>2370</v>
      </c>
      <c r="G70" s="268">
        <v>5</v>
      </c>
      <c r="H70" s="268" t="s">
        <v>2371</v>
      </c>
      <c r="I70" s="268" t="s">
        <v>2369</v>
      </c>
      <c r="J70" s="271">
        <v>581580</v>
      </c>
      <c r="K70" s="271">
        <f t="shared" si="12"/>
        <v>48465</v>
      </c>
      <c r="L70" s="271">
        <f t="shared" si="13"/>
        <v>12141.24</v>
      </c>
      <c r="M70" s="267">
        <v>0</v>
      </c>
      <c r="N70" s="271">
        <f t="shared" si="18"/>
        <v>129.60000000000002</v>
      </c>
      <c r="O70" s="276">
        <v>0</v>
      </c>
      <c r="P70" s="276">
        <f t="shared" si="14"/>
        <v>10177.650000000001</v>
      </c>
      <c r="Q70" s="271">
        <f t="shared" si="15"/>
        <v>60084</v>
      </c>
      <c r="R70" s="271">
        <f t="shared" si="16"/>
        <v>105091.50599999999</v>
      </c>
      <c r="S70" s="271">
        <f t="shared" si="17"/>
        <v>2125.44</v>
      </c>
      <c r="T70" s="270"/>
      <c r="U70" s="270"/>
    </row>
    <row r="71" spans="1:21" s="270" customFormat="1" x14ac:dyDescent="0.25">
      <c r="A71" s="271"/>
      <c r="B71" s="271">
        <v>1445</v>
      </c>
      <c r="C71" s="271">
        <v>200386</v>
      </c>
      <c r="D71" s="268" t="s">
        <v>894</v>
      </c>
      <c r="E71" s="268" t="s">
        <v>1290</v>
      </c>
      <c r="F71" s="268" t="s">
        <v>1304</v>
      </c>
      <c r="G71" s="268">
        <v>5</v>
      </c>
      <c r="H71" s="268" t="s">
        <v>2293</v>
      </c>
      <c r="I71" s="268" t="s">
        <v>2372</v>
      </c>
      <c r="J71" s="271">
        <v>581580</v>
      </c>
      <c r="K71" s="271">
        <f t="shared" si="12"/>
        <v>48465</v>
      </c>
      <c r="L71" s="271">
        <f t="shared" si="13"/>
        <v>12141.24</v>
      </c>
      <c r="M71" s="267">
        <v>0</v>
      </c>
      <c r="N71" s="271">
        <f t="shared" si="18"/>
        <v>129.60000000000002</v>
      </c>
      <c r="O71" s="271">
        <f>13921*12</f>
        <v>167052</v>
      </c>
      <c r="P71" s="276">
        <f t="shared" si="14"/>
        <v>10177.650000000001</v>
      </c>
      <c r="Q71" s="271">
        <f t="shared" si="15"/>
        <v>60084</v>
      </c>
      <c r="R71" s="271">
        <f t="shared" si="16"/>
        <v>105091.50599999999</v>
      </c>
      <c r="S71" s="271">
        <f t="shared" si="17"/>
        <v>2125.44</v>
      </c>
    </row>
    <row r="72" spans="1:21" s="270" customFormat="1" x14ac:dyDescent="0.25">
      <c r="A72" s="271">
        <v>501206</v>
      </c>
      <c r="B72" s="271">
        <v>1206</v>
      </c>
      <c r="C72" s="271">
        <v>12360</v>
      </c>
      <c r="D72" s="268" t="s">
        <v>1698</v>
      </c>
      <c r="E72" s="268" t="s">
        <v>1290</v>
      </c>
      <c r="F72" s="268" t="s">
        <v>2373</v>
      </c>
      <c r="G72" s="268">
        <v>6</v>
      </c>
      <c r="H72" s="268" t="s">
        <v>2374</v>
      </c>
      <c r="I72" s="268" t="s">
        <v>2375</v>
      </c>
      <c r="J72" s="271">
        <v>563832</v>
      </c>
      <c r="K72" s="271">
        <f t="shared" si="12"/>
        <v>46986</v>
      </c>
      <c r="L72" s="271">
        <f t="shared" si="13"/>
        <v>12141.24</v>
      </c>
      <c r="M72" s="267">
        <v>0</v>
      </c>
      <c r="N72" s="271">
        <f t="shared" si="18"/>
        <v>129.60000000000002</v>
      </c>
      <c r="O72" s="276">
        <v>0</v>
      </c>
      <c r="P72" s="276">
        <f t="shared" si="14"/>
        <v>9867.0600000000013</v>
      </c>
      <c r="Q72" s="271">
        <f t="shared" si="15"/>
        <v>60084</v>
      </c>
      <c r="R72" s="271">
        <f t="shared" si="16"/>
        <v>101884.4424</v>
      </c>
      <c r="S72" s="271">
        <f t="shared" si="17"/>
        <v>2125.44</v>
      </c>
    </row>
    <row r="73" spans="1:21" s="270" customFormat="1" x14ac:dyDescent="0.25">
      <c r="A73" s="271">
        <v>501445</v>
      </c>
      <c r="B73" s="271">
        <v>1445</v>
      </c>
      <c r="C73" s="271">
        <v>14805</v>
      </c>
      <c r="D73" s="268" t="s">
        <v>1698</v>
      </c>
      <c r="E73" s="268" t="s">
        <v>1290</v>
      </c>
      <c r="F73" s="268" t="s">
        <v>327</v>
      </c>
      <c r="G73" s="268">
        <v>6</v>
      </c>
      <c r="H73" s="268" t="s">
        <v>2376</v>
      </c>
      <c r="I73" s="268" t="s">
        <v>2377</v>
      </c>
      <c r="J73" s="271">
        <v>563832</v>
      </c>
      <c r="K73" s="271">
        <f t="shared" si="12"/>
        <v>46986</v>
      </c>
      <c r="L73" s="271">
        <f t="shared" si="13"/>
        <v>12141.24</v>
      </c>
      <c r="M73" s="267">
        <f>450*12</f>
        <v>5400</v>
      </c>
      <c r="N73" s="271">
        <f t="shared" si="18"/>
        <v>129.60000000000002</v>
      </c>
      <c r="O73" s="271">
        <f>10098*12</f>
        <v>121176</v>
      </c>
      <c r="P73" s="276">
        <f t="shared" si="14"/>
        <v>9867.0600000000013</v>
      </c>
      <c r="Q73" s="271">
        <f t="shared" si="15"/>
        <v>60084</v>
      </c>
      <c r="R73" s="271">
        <f t="shared" si="16"/>
        <v>101884.4424</v>
      </c>
      <c r="S73" s="271">
        <f t="shared" si="17"/>
        <v>2125.44</v>
      </c>
    </row>
    <row r="74" spans="1:21" s="270" customFormat="1" x14ac:dyDescent="0.25">
      <c r="A74" s="271">
        <v>501203</v>
      </c>
      <c r="B74" s="271">
        <v>1203</v>
      </c>
      <c r="C74" s="271">
        <v>23469</v>
      </c>
      <c r="D74" s="268" t="s">
        <v>894</v>
      </c>
      <c r="E74" s="268" t="s">
        <v>1278</v>
      </c>
      <c r="F74" s="268" t="s">
        <v>2378</v>
      </c>
      <c r="G74" s="268">
        <v>6</v>
      </c>
      <c r="H74" s="268" t="s">
        <v>2379</v>
      </c>
      <c r="I74" s="268" t="s">
        <v>2380</v>
      </c>
      <c r="J74" s="271">
        <v>563832</v>
      </c>
      <c r="K74" s="271">
        <f t="shared" si="12"/>
        <v>46986</v>
      </c>
      <c r="L74" s="271">
        <f t="shared" si="13"/>
        <v>12141.24</v>
      </c>
      <c r="M74" s="267">
        <v>0</v>
      </c>
      <c r="N74" s="271">
        <f t="shared" si="18"/>
        <v>129.60000000000002</v>
      </c>
      <c r="O74" s="276">
        <v>0</v>
      </c>
      <c r="P74" s="276">
        <f t="shared" si="14"/>
        <v>9867.0600000000013</v>
      </c>
      <c r="Q74" s="271">
        <f t="shared" si="15"/>
        <v>60084</v>
      </c>
      <c r="R74" s="271">
        <f t="shared" si="16"/>
        <v>101884.4424</v>
      </c>
      <c r="S74" s="271">
        <f t="shared" si="17"/>
        <v>2125.44</v>
      </c>
    </row>
    <row r="75" spans="1:21" s="270" customFormat="1" x14ac:dyDescent="0.25">
      <c r="A75" s="271">
        <v>501442</v>
      </c>
      <c r="B75" s="271">
        <v>1442</v>
      </c>
      <c r="C75" s="271">
        <v>27892</v>
      </c>
      <c r="D75" s="268" t="s">
        <v>894</v>
      </c>
      <c r="E75" s="268" t="s">
        <v>1290</v>
      </c>
      <c r="F75" s="268" t="s">
        <v>2381</v>
      </c>
      <c r="G75" s="268">
        <v>6</v>
      </c>
      <c r="H75" s="268" t="s">
        <v>2382</v>
      </c>
      <c r="I75" s="268" t="s">
        <v>2288</v>
      </c>
      <c r="J75" s="271">
        <v>563832</v>
      </c>
      <c r="K75" s="271">
        <f t="shared" si="12"/>
        <v>46986</v>
      </c>
      <c r="L75" s="271">
        <f t="shared" si="13"/>
        <v>12141.24</v>
      </c>
      <c r="M75" s="267">
        <v>0</v>
      </c>
      <c r="N75" s="271">
        <f t="shared" si="18"/>
        <v>129.60000000000002</v>
      </c>
      <c r="O75" s="271">
        <f>10098*12</f>
        <v>121176</v>
      </c>
      <c r="P75" s="276">
        <f t="shared" si="14"/>
        <v>9867.0600000000013</v>
      </c>
      <c r="Q75" s="271">
        <f t="shared" si="15"/>
        <v>60084</v>
      </c>
      <c r="R75" s="271">
        <f t="shared" si="16"/>
        <v>101884.4424</v>
      </c>
      <c r="S75" s="271">
        <f t="shared" si="17"/>
        <v>2125.44</v>
      </c>
    </row>
    <row r="76" spans="1:21" s="270" customFormat="1" x14ac:dyDescent="0.25">
      <c r="A76" s="276">
        <v>501103</v>
      </c>
      <c r="B76" s="276">
        <v>1103</v>
      </c>
      <c r="C76" s="276">
        <v>29719</v>
      </c>
      <c r="D76" s="268" t="s">
        <v>894</v>
      </c>
      <c r="E76" s="268" t="s">
        <v>1278</v>
      </c>
      <c r="F76" s="268" t="s">
        <v>2383</v>
      </c>
      <c r="G76" s="268">
        <v>6</v>
      </c>
      <c r="H76" s="268" t="s">
        <v>2384</v>
      </c>
      <c r="I76" s="268" t="s">
        <v>2385</v>
      </c>
      <c r="J76" s="267">
        <v>563832</v>
      </c>
      <c r="K76" s="276">
        <f t="shared" si="12"/>
        <v>46986</v>
      </c>
      <c r="L76" s="271">
        <f t="shared" si="13"/>
        <v>12141.24</v>
      </c>
      <c r="M76" s="267">
        <f>450*12</f>
        <v>5400</v>
      </c>
      <c r="N76" s="276">
        <f t="shared" si="18"/>
        <v>129.60000000000002</v>
      </c>
      <c r="O76" s="267">
        <f>10098*12</f>
        <v>121176</v>
      </c>
      <c r="P76" s="276">
        <f t="shared" si="14"/>
        <v>9867.0600000000013</v>
      </c>
      <c r="Q76" s="271">
        <f t="shared" si="15"/>
        <v>60084</v>
      </c>
      <c r="R76" s="276">
        <f t="shared" si="16"/>
        <v>101884.4424</v>
      </c>
      <c r="S76" s="276">
        <f t="shared" si="17"/>
        <v>2125.44</v>
      </c>
    </row>
    <row r="77" spans="1:21" s="270" customFormat="1" x14ac:dyDescent="0.25">
      <c r="A77" s="271">
        <v>501445</v>
      </c>
      <c r="B77" s="271">
        <v>1445</v>
      </c>
      <c r="C77" s="271">
        <v>35473</v>
      </c>
      <c r="D77" s="268" t="s">
        <v>894</v>
      </c>
      <c r="E77" s="268" t="s">
        <v>1290</v>
      </c>
      <c r="F77" s="268" t="s">
        <v>2386</v>
      </c>
      <c r="G77" s="268">
        <v>6</v>
      </c>
      <c r="H77" s="268" t="s">
        <v>2387</v>
      </c>
      <c r="I77" s="268" t="s">
        <v>2288</v>
      </c>
      <c r="J77" s="271">
        <v>563832</v>
      </c>
      <c r="K77" s="271">
        <f t="shared" si="12"/>
        <v>46986</v>
      </c>
      <c r="L77" s="271">
        <f t="shared" si="13"/>
        <v>12141.24</v>
      </c>
      <c r="M77" s="267">
        <f>450*12</f>
        <v>5400</v>
      </c>
      <c r="N77" s="271">
        <f t="shared" si="18"/>
        <v>129.60000000000002</v>
      </c>
      <c r="O77" s="271">
        <f>10098*12</f>
        <v>121176</v>
      </c>
      <c r="P77" s="276">
        <f t="shared" si="14"/>
        <v>9867.0600000000013</v>
      </c>
      <c r="Q77" s="271">
        <f t="shared" si="15"/>
        <v>60084</v>
      </c>
      <c r="R77" s="271">
        <f t="shared" si="16"/>
        <v>101884.4424</v>
      </c>
      <c r="S77" s="271">
        <f t="shared" si="17"/>
        <v>2125.44</v>
      </c>
    </row>
    <row r="78" spans="1:21" s="270" customFormat="1" x14ac:dyDescent="0.25">
      <c r="A78" s="271">
        <v>501103</v>
      </c>
      <c r="B78" s="271">
        <v>1103</v>
      </c>
      <c r="C78" s="271">
        <v>36715</v>
      </c>
      <c r="D78" s="268" t="s">
        <v>894</v>
      </c>
      <c r="E78" s="268" t="s">
        <v>1290</v>
      </c>
      <c r="F78" s="268" t="s">
        <v>2388</v>
      </c>
      <c r="G78" s="268">
        <v>6</v>
      </c>
      <c r="H78" s="268" t="s">
        <v>2389</v>
      </c>
      <c r="I78" s="268" t="s">
        <v>2390</v>
      </c>
      <c r="J78" s="271">
        <v>563832</v>
      </c>
      <c r="K78" s="271">
        <f t="shared" si="12"/>
        <v>46986</v>
      </c>
      <c r="L78" s="271">
        <f t="shared" si="13"/>
        <v>12141.24</v>
      </c>
      <c r="M78" s="267">
        <f>500*12</f>
        <v>6000</v>
      </c>
      <c r="N78" s="271">
        <f t="shared" si="18"/>
        <v>129.60000000000002</v>
      </c>
      <c r="O78" s="271">
        <f>10098*12</f>
        <v>121176</v>
      </c>
      <c r="P78" s="276">
        <f t="shared" si="14"/>
        <v>9867.0600000000013</v>
      </c>
      <c r="Q78" s="271">
        <f t="shared" si="15"/>
        <v>60084</v>
      </c>
      <c r="R78" s="271">
        <f t="shared" si="16"/>
        <v>101884.4424</v>
      </c>
      <c r="S78" s="271">
        <f t="shared" si="17"/>
        <v>2125.44</v>
      </c>
    </row>
    <row r="79" spans="1:21" s="270" customFormat="1" x14ac:dyDescent="0.25">
      <c r="A79" s="271">
        <v>501204</v>
      </c>
      <c r="B79" s="271">
        <v>1204</v>
      </c>
      <c r="C79" s="271">
        <v>38399</v>
      </c>
      <c r="D79" s="268" t="s">
        <v>894</v>
      </c>
      <c r="E79" s="268" t="s">
        <v>1278</v>
      </c>
      <c r="F79" s="268" t="s">
        <v>2391</v>
      </c>
      <c r="G79" s="268">
        <v>6</v>
      </c>
      <c r="H79" s="268" t="s">
        <v>2392</v>
      </c>
      <c r="I79" s="268" t="s">
        <v>2393</v>
      </c>
      <c r="J79" s="271">
        <v>563832</v>
      </c>
      <c r="K79" s="271">
        <f t="shared" si="12"/>
        <v>46986</v>
      </c>
      <c r="L79" s="271">
        <f t="shared" si="13"/>
        <v>12141.24</v>
      </c>
      <c r="M79" s="267">
        <v>0</v>
      </c>
      <c r="N79" s="271">
        <f t="shared" si="18"/>
        <v>129.60000000000002</v>
      </c>
      <c r="O79" s="276">
        <v>0</v>
      </c>
      <c r="P79" s="276">
        <f t="shared" si="14"/>
        <v>9867.0600000000013</v>
      </c>
      <c r="Q79" s="271">
        <f t="shared" si="15"/>
        <v>60084</v>
      </c>
      <c r="R79" s="271">
        <f t="shared" si="16"/>
        <v>101884.4424</v>
      </c>
      <c r="S79" s="271">
        <f t="shared" si="17"/>
        <v>2125.44</v>
      </c>
    </row>
    <row r="80" spans="1:21" x14ac:dyDescent="0.25">
      <c r="A80" s="271">
        <v>501443</v>
      </c>
      <c r="B80" s="271">
        <v>1443</v>
      </c>
      <c r="C80" s="271">
        <v>43889</v>
      </c>
      <c r="D80" s="268" t="s">
        <v>894</v>
      </c>
      <c r="E80" s="268" t="s">
        <v>1290</v>
      </c>
      <c r="F80" s="268" t="s">
        <v>2394</v>
      </c>
      <c r="G80" s="268">
        <v>6</v>
      </c>
      <c r="H80" s="268" t="s">
        <v>2395</v>
      </c>
      <c r="I80" s="268" t="s">
        <v>2396</v>
      </c>
      <c r="J80" s="271">
        <v>563832</v>
      </c>
      <c r="K80" s="271">
        <f t="shared" si="12"/>
        <v>46986</v>
      </c>
      <c r="L80" s="271">
        <f t="shared" si="13"/>
        <v>12141.24</v>
      </c>
      <c r="M80" s="267">
        <f>500*12</f>
        <v>6000</v>
      </c>
      <c r="N80" s="271">
        <f t="shared" si="18"/>
        <v>129.60000000000002</v>
      </c>
      <c r="O80" s="271">
        <f>10098*12</f>
        <v>121176</v>
      </c>
      <c r="P80" s="276">
        <f t="shared" si="14"/>
        <v>9867.0600000000013</v>
      </c>
      <c r="Q80" s="271">
        <f t="shared" si="15"/>
        <v>60084</v>
      </c>
      <c r="R80" s="271">
        <f t="shared" si="16"/>
        <v>101884.4424</v>
      </c>
      <c r="S80" s="271">
        <f t="shared" si="17"/>
        <v>2125.44</v>
      </c>
      <c r="T80" s="270"/>
      <c r="U80" s="270"/>
    </row>
    <row r="81" spans="1:21" s="270" customFormat="1" x14ac:dyDescent="0.25">
      <c r="A81" s="271">
        <v>501442</v>
      </c>
      <c r="B81" s="271">
        <v>1442</v>
      </c>
      <c r="C81" s="271">
        <v>47775</v>
      </c>
      <c r="D81" s="268" t="s">
        <v>894</v>
      </c>
      <c r="E81" s="268" t="s">
        <v>1278</v>
      </c>
      <c r="F81" s="268" t="s">
        <v>2397</v>
      </c>
      <c r="G81" s="268">
        <v>6</v>
      </c>
      <c r="H81" s="268" t="s">
        <v>2398</v>
      </c>
      <c r="I81" s="268" t="s">
        <v>2399</v>
      </c>
      <c r="J81" s="271">
        <v>563832</v>
      </c>
      <c r="K81" s="271">
        <f t="shared" si="12"/>
        <v>46986</v>
      </c>
      <c r="L81" s="271">
        <f t="shared" si="13"/>
        <v>12141.24</v>
      </c>
      <c r="M81" s="267">
        <v>0</v>
      </c>
      <c r="N81" s="271">
        <f t="shared" si="18"/>
        <v>129.60000000000002</v>
      </c>
      <c r="O81" s="271">
        <f>10098*12</f>
        <v>121176</v>
      </c>
      <c r="P81" s="276">
        <f t="shared" si="14"/>
        <v>9867.0600000000013</v>
      </c>
      <c r="Q81" s="271">
        <f t="shared" si="15"/>
        <v>60084</v>
      </c>
      <c r="R81" s="271">
        <f t="shared" si="16"/>
        <v>101884.4424</v>
      </c>
      <c r="S81" s="271">
        <f t="shared" si="17"/>
        <v>2125.44</v>
      </c>
    </row>
    <row r="82" spans="1:21" x14ac:dyDescent="0.25">
      <c r="A82" s="271">
        <v>501445</v>
      </c>
      <c r="B82" s="271">
        <v>1445</v>
      </c>
      <c r="C82" s="271">
        <v>50283</v>
      </c>
      <c r="D82" s="268" t="s">
        <v>894</v>
      </c>
      <c r="E82" s="268" t="s">
        <v>1278</v>
      </c>
      <c r="F82" s="268" t="s">
        <v>426</v>
      </c>
      <c r="G82" s="268">
        <v>6</v>
      </c>
      <c r="H82" s="268" t="s">
        <v>2400</v>
      </c>
      <c r="I82" s="268" t="s">
        <v>2401</v>
      </c>
      <c r="J82" s="271">
        <v>563832</v>
      </c>
      <c r="K82" s="271">
        <f t="shared" si="12"/>
        <v>46986</v>
      </c>
      <c r="L82" s="271">
        <f t="shared" si="13"/>
        <v>12141.24</v>
      </c>
      <c r="M82" s="267">
        <v>0</v>
      </c>
      <c r="N82" s="271">
        <f t="shared" si="18"/>
        <v>129.60000000000002</v>
      </c>
      <c r="O82" s="271">
        <f>10098*12</f>
        <v>121176</v>
      </c>
      <c r="P82" s="276">
        <f t="shared" si="14"/>
        <v>9867.0600000000013</v>
      </c>
      <c r="Q82" s="271">
        <f t="shared" si="15"/>
        <v>60084</v>
      </c>
      <c r="R82" s="271">
        <f t="shared" si="16"/>
        <v>101884.4424</v>
      </c>
      <c r="S82" s="271">
        <f t="shared" si="17"/>
        <v>2125.44</v>
      </c>
      <c r="T82" s="270"/>
      <c r="U82" s="270"/>
    </row>
    <row r="83" spans="1:21" s="270" customFormat="1" x14ac:dyDescent="0.25">
      <c r="A83" s="271">
        <v>501305</v>
      </c>
      <c r="B83" s="271">
        <v>1305</v>
      </c>
      <c r="C83" s="271">
        <v>51994</v>
      </c>
      <c r="D83" s="268" t="s">
        <v>894</v>
      </c>
      <c r="E83" s="268" t="s">
        <v>1290</v>
      </c>
      <c r="F83" s="268" t="s">
        <v>2402</v>
      </c>
      <c r="G83" s="268">
        <v>6</v>
      </c>
      <c r="H83" s="268" t="s">
        <v>2403</v>
      </c>
      <c r="I83" s="268" t="s">
        <v>2404</v>
      </c>
      <c r="J83" s="271">
        <v>563832</v>
      </c>
      <c r="K83" s="271">
        <f t="shared" si="12"/>
        <v>46986</v>
      </c>
      <c r="L83" s="271">
        <f t="shared" si="13"/>
        <v>12141.24</v>
      </c>
      <c r="M83" s="267">
        <v>0</v>
      </c>
      <c r="N83" s="271">
        <f t="shared" si="18"/>
        <v>129.60000000000002</v>
      </c>
      <c r="O83" s="276">
        <v>0</v>
      </c>
      <c r="P83" s="276">
        <f t="shared" si="14"/>
        <v>9867.0600000000013</v>
      </c>
      <c r="Q83" s="271">
        <f t="shared" si="15"/>
        <v>60084</v>
      </c>
      <c r="R83" s="271">
        <f t="shared" si="16"/>
        <v>101884.4424</v>
      </c>
      <c r="S83" s="271">
        <f t="shared" si="17"/>
        <v>2125.44</v>
      </c>
    </row>
    <row r="84" spans="1:21" x14ac:dyDescent="0.25">
      <c r="A84" s="271">
        <v>501304</v>
      </c>
      <c r="B84" s="271">
        <v>1304</v>
      </c>
      <c r="C84" s="271">
        <v>54577</v>
      </c>
      <c r="D84" s="268" t="s">
        <v>894</v>
      </c>
      <c r="E84" s="268" t="s">
        <v>1290</v>
      </c>
      <c r="F84" s="268" t="s">
        <v>2405</v>
      </c>
      <c r="G84" s="268">
        <v>6</v>
      </c>
      <c r="H84" s="268" t="s">
        <v>2406</v>
      </c>
      <c r="I84" s="268" t="s">
        <v>2407</v>
      </c>
      <c r="J84" s="271">
        <v>563832</v>
      </c>
      <c r="K84" s="271">
        <f t="shared" si="12"/>
        <v>46986</v>
      </c>
      <c r="L84" s="271">
        <f t="shared" si="13"/>
        <v>12141.24</v>
      </c>
      <c r="M84" s="267">
        <v>0</v>
      </c>
      <c r="N84" s="271">
        <f t="shared" si="18"/>
        <v>129.60000000000002</v>
      </c>
      <c r="O84" s="271">
        <f>13921*12</f>
        <v>167052</v>
      </c>
      <c r="P84" s="276">
        <f t="shared" si="14"/>
        <v>9867.0600000000013</v>
      </c>
      <c r="Q84" s="271">
        <f t="shared" si="15"/>
        <v>60084</v>
      </c>
      <c r="R84" s="271">
        <f t="shared" si="16"/>
        <v>101884.4424</v>
      </c>
      <c r="S84" s="271">
        <f t="shared" si="17"/>
        <v>2125.44</v>
      </c>
      <c r="T84" s="270"/>
      <c r="U84" s="270"/>
    </row>
    <row r="85" spans="1:21" s="270" customFormat="1" x14ac:dyDescent="0.25">
      <c r="A85" s="271">
        <v>501442</v>
      </c>
      <c r="B85" s="271">
        <v>1442</v>
      </c>
      <c r="C85" s="271">
        <v>84589</v>
      </c>
      <c r="D85" s="268" t="s">
        <v>894</v>
      </c>
      <c r="E85" s="268" t="s">
        <v>1290</v>
      </c>
      <c r="F85" s="268" t="s">
        <v>2408</v>
      </c>
      <c r="G85" s="268">
        <v>6</v>
      </c>
      <c r="H85" s="268" t="s">
        <v>2409</v>
      </c>
      <c r="I85" s="268" t="s">
        <v>2410</v>
      </c>
      <c r="J85" s="271">
        <v>563832</v>
      </c>
      <c r="K85" s="271">
        <f t="shared" si="12"/>
        <v>46986</v>
      </c>
      <c r="L85" s="271">
        <f t="shared" si="13"/>
        <v>12141.24</v>
      </c>
      <c r="M85" s="267">
        <v>0</v>
      </c>
      <c r="N85" s="271">
        <f t="shared" si="18"/>
        <v>129.60000000000002</v>
      </c>
      <c r="O85" s="271">
        <f>10098*12</f>
        <v>121176</v>
      </c>
      <c r="P85" s="276">
        <f t="shared" si="14"/>
        <v>9867.0600000000013</v>
      </c>
      <c r="Q85" s="271">
        <f t="shared" si="15"/>
        <v>60084</v>
      </c>
      <c r="R85" s="271">
        <f t="shared" si="16"/>
        <v>101884.4424</v>
      </c>
      <c r="S85" s="271">
        <f t="shared" si="17"/>
        <v>2125.44</v>
      </c>
    </row>
    <row r="86" spans="1:21" s="270" customFormat="1" x14ac:dyDescent="0.25">
      <c r="A86" s="271">
        <v>501206</v>
      </c>
      <c r="B86" s="271">
        <v>1206</v>
      </c>
      <c r="C86" s="271">
        <v>85672</v>
      </c>
      <c r="D86" s="268" t="s">
        <v>894</v>
      </c>
      <c r="E86" s="268" t="s">
        <v>1278</v>
      </c>
      <c r="F86" s="268" t="s">
        <v>2411</v>
      </c>
      <c r="G86" s="268">
        <v>6</v>
      </c>
      <c r="H86" s="268" t="s">
        <v>2412</v>
      </c>
      <c r="I86" s="268" t="s">
        <v>2375</v>
      </c>
      <c r="J86" s="271">
        <v>563832</v>
      </c>
      <c r="K86" s="271">
        <f t="shared" si="12"/>
        <v>46986</v>
      </c>
      <c r="L86" s="271">
        <f t="shared" si="13"/>
        <v>12141.24</v>
      </c>
      <c r="M86" s="267">
        <v>0</v>
      </c>
      <c r="N86" s="271">
        <f t="shared" si="18"/>
        <v>129.60000000000002</v>
      </c>
      <c r="O86" s="276">
        <v>0</v>
      </c>
      <c r="P86" s="276">
        <f t="shared" si="14"/>
        <v>9867.0600000000013</v>
      </c>
      <c r="Q86" s="271">
        <f t="shared" si="15"/>
        <v>60084</v>
      </c>
      <c r="R86" s="271">
        <f t="shared" si="16"/>
        <v>101884.4424</v>
      </c>
      <c r="S86" s="271">
        <f t="shared" si="17"/>
        <v>2125.44</v>
      </c>
    </row>
    <row r="87" spans="1:21" s="270" customFormat="1" x14ac:dyDescent="0.25">
      <c r="A87" s="271">
        <v>501206</v>
      </c>
      <c r="B87" s="271">
        <v>1206</v>
      </c>
      <c r="C87" s="271">
        <v>87256</v>
      </c>
      <c r="D87" s="268" t="s">
        <v>894</v>
      </c>
      <c r="E87" s="268" t="s">
        <v>1290</v>
      </c>
      <c r="F87" s="268" t="s">
        <v>2413</v>
      </c>
      <c r="G87" s="268">
        <v>6</v>
      </c>
      <c r="H87" s="268" t="s">
        <v>2414</v>
      </c>
      <c r="I87" s="268" t="s">
        <v>2375</v>
      </c>
      <c r="J87" s="271">
        <v>563832</v>
      </c>
      <c r="K87" s="271">
        <f t="shared" si="12"/>
        <v>46986</v>
      </c>
      <c r="L87" s="271">
        <f t="shared" si="13"/>
        <v>12141.24</v>
      </c>
      <c r="M87" s="267">
        <v>0</v>
      </c>
      <c r="N87" s="271">
        <f t="shared" si="18"/>
        <v>129.60000000000002</v>
      </c>
      <c r="O87" s="276">
        <v>0</v>
      </c>
      <c r="P87" s="276">
        <f t="shared" si="14"/>
        <v>9867.0600000000013</v>
      </c>
      <c r="Q87" s="271">
        <f t="shared" si="15"/>
        <v>60084</v>
      </c>
      <c r="R87" s="271">
        <f t="shared" si="16"/>
        <v>101884.4424</v>
      </c>
      <c r="S87" s="271">
        <f t="shared" si="17"/>
        <v>2125.44</v>
      </c>
    </row>
    <row r="88" spans="1:21" s="270" customFormat="1" x14ac:dyDescent="0.25">
      <c r="A88" s="271">
        <v>501105</v>
      </c>
      <c r="B88" s="271">
        <v>1105</v>
      </c>
      <c r="C88" s="271">
        <v>88640</v>
      </c>
      <c r="D88" s="268" t="s">
        <v>894</v>
      </c>
      <c r="E88" s="268" t="s">
        <v>1290</v>
      </c>
      <c r="F88" s="268" t="s">
        <v>2415</v>
      </c>
      <c r="G88" s="268">
        <v>6</v>
      </c>
      <c r="H88" s="268" t="s">
        <v>2416</v>
      </c>
      <c r="I88" s="268" t="s">
        <v>2417</v>
      </c>
      <c r="J88" s="271">
        <v>563832</v>
      </c>
      <c r="K88" s="271">
        <f t="shared" si="12"/>
        <v>46986</v>
      </c>
      <c r="L88" s="271">
        <f t="shared" si="13"/>
        <v>12141.24</v>
      </c>
      <c r="M88" s="267">
        <f>350*12</f>
        <v>4200</v>
      </c>
      <c r="N88" s="271">
        <f t="shared" si="18"/>
        <v>129.60000000000002</v>
      </c>
      <c r="O88" s="271">
        <f>10098*12</f>
        <v>121176</v>
      </c>
      <c r="P88" s="276">
        <f t="shared" si="14"/>
        <v>9867.0600000000013</v>
      </c>
      <c r="Q88" s="271">
        <f t="shared" si="15"/>
        <v>60084</v>
      </c>
      <c r="R88" s="271">
        <f t="shared" si="16"/>
        <v>101884.4424</v>
      </c>
      <c r="S88" s="271">
        <f t="shared" si="17"/>
        <v>2125.44</v>
      </c>
    </row>
    <row r="89" spans="1:21" s="270" customFormat="1" x14ac:dyDescent="0.25">
      <c r="A89" s="271">
        <v>501206</v>
      </c>
      <c r="B89" s="271">
        <v>1206</v>
      </c>
      <c r="C89" s="271">
        <v>92652</v>
      </c>
      <c r="D89" s="268" t="s">
        <v>876</v>
      </c>
      <c r="E89" s="268" t="s">
        <v>1290</v>
      </c>
      <c r="F89" s="268" t="s">
        <v>898</v>
      </c>
      <c r="G89" s="268">
        <v>6</v>
      </c>
      <c r="H89" s="268" t="s">
        <v>2418</v>
      </c>
      <c r="I89" s="268" t="s">
        <v>2375</v>
      </c>
      <c r="J89" s="271">
        <v>563832</v>
      </c>
      <c r="K89" s="271">
        <f t="shared" si="12"/>
        <v>46986</v>
      </c>
      <c r="L89" s="271">
        <f t="shared" si="13"/>
        <v>12141.24</v>
      </c>
      <c r="M89" s="267">
        <v>0</v>
      </c>
      <c r="N89" s="271">
        <f t="shared" si="18"/>
        <v>129.60000000000002</v>
      </c>
      <c r="O89" s="276">
        <v>0</v>
      </c>
      <c r="P89" s="276">
        <f t="shared" si="14"/>
        <v>9867.0600000000013</v>
      </c>
      <c r="Q89" s="271">
        <f t="shared" si="15"/>
        <v>60084</v>
      </c>
      <c r="R89" s="271">
        <f t="shared" si="16"/>
        <v>101884.4424</v>
      </c>
      <c r="S89" s="271">
        <f t="shared" si="17"/>
        <v>2125.44</v>
      </c>
    </row>
    <row r="90" spans="1:21" x14ac:dyDescent="0.25">
      <c r="A90" s="276">
        <v>501002</v>
      </c>
      <c r="B90" s="276">
        <v>1002</v>
      </c>
      <c r="C90" s="276">
        <v>200049</v>
      </c>
      <c r="D90" s="268" t="s">
        <v>894</v>
      </c>
      <c r="E90" s="268" t="s">
        <v>1278</v>
      </c>
      <c r="F90" s="268" t="s">
        <v>2419</v>
      </c>
      <c r="G90" s="268">
        <v>6</v>
      </c>
      <c r="H90" s="268" t="s">
        <v>2420</v>
      </c>
      <c r="I90" s="268" t="s">
        <v>2421</v>
      </c>
      <c r="J90" s="267">
        <v>563832</v>
      </c>
      <c r="K90" s="276">
        <f t="shared" si="12"/>
        <v>46986</v>
      </c>
      <c r="L90" s="271">
        <f t="shared" si="13"/>
        <v>12141.24</v>
      </c>
      <c r="M90" s="267">
        <f>750*12</f>
        <v>9000</v>
      </c>
      <c r="N90" s="276">
        <f t="shared" si="18"/>
        <v>129.60000000000002</v>
      </c>
      <c r="O90" s="276">
        <v>0</v>
      </c>
      <c r="P90" s="276">
        <f t="shared" si="14"/>
        <v>9867.0600000000013</v>
      </c>
      <c r="Q90" s="271">
        <f t="shared" si="15"/>
        <v>60084</v>
      </c>
      <c r="R90" s="276">
        <f t="shared" si="16"/>
        <v>101884.4424</v>
      </c>
      <c r="S90" s="276">
        <f t="shared" si="17"/>
        <v>2125.44</v>
      </c>
      <c r="T90" s="270"/>
      <c r="U90" s="270"/>
    </row>
    <row r="91" spans="1:21" s="270" customFormat="1" x14ac:dyDescent="0.25">
      <c r="A91" s="271">
        <v>501506</v>
      </c>
      <c r="B91" s="271">
        <v>1506</v>
      </c>
      <c r="C91" s="271">
        <v>200053</v>
      </c>
      <c r="D91" s="268" t="s">
        <v>894</v>
      </c>
      <c r="E91" s="268" t="s">
        <v>1278</v>
      </c>
      <c r="F91" s="268" t="s">
        <v>2422</v>
      </c>
      <c r="G91" s="268">
        <v>6</v>
      </c>
      <c r="H91" s="268" t="s">
        <v>2423</v>
      </c>
      <c r="I91" s="268" t="s">
        <v>2424</v>
      </c>
      <c r="J91" s="271">
        <v>563832</v>
      </c>
      <c r="K91" s="271">
        <f t="shared" si="12"/>
        <v>46986</v>
      </c>
      <c r="L91" s="271">
        <f t="shared" si="13"/>
        <v>12141.24</v>
      </c>
      <c r="M91" s="267">
        <v>0</v>
      </c>
      <c r="N91" s="271">
        <f t="shared" si="18"/>
        <v>129.60000000000002</v>
      </c>
      <c r="O91" s="271">
        <f>10098*12</f>
        <v>121176</v>
      </c>
      <c r="P91" s="276">
        <f t="shared" si="14"/>
        <v>9867.0600000000013</v>
      </c>
      <c r="Q91" s="271">
        <f t="shared" si="15"/>
        <v>60084</v>
      </c>
      <c r="R91" s="271">
        <f t="shared" si="16"/>
        <v>101884.4424</v>
      </c>
      <c r="S91" s="271">
        <f t="shared" si="17"/>
        <v>2125.44</v>
      </c>
    </row>
    <row r="92" spans="1:21" s="270" customFormat="1" x14ac:dyDescent="0.25">
      <c r="A92" s="271">
        <v>501442</v>
      </c>
      <c r="B92" s="271">
        <v>1442</v>
      </c>
      <c r="C92" s="271">
        <v>200105</v>
      </c>
      <c r="D92" s="268" t="s">
        <v>894</v>
      </c>
      <c r="E92" s="268" t="s">
        <v>1290</v>
      </c>
      <c r="F92" s="268" t="s">
        <v>2425</v>
      </c>
      <c r="G92" s="268">
        <v>6</v>
      </c>
      <c r="H92" s="268" t="s">
        <v>2426</v>
      </c>
      <c r="I92" s="268" t="s">
        <v>2427</v>
      </c>
      <c r="J92" s="271">
        <v>563832</v>
      </c>
      <c r="K92" s="271">
        <f t="shared" si="12"/>
        <v>46986</v>
      </c>
      <c r="L92" s="271">
        <f t="shared" si="13"/>
        <v>12141.24</v>
      </c>
      <c r="M92" s="267">
        <v>0</v>
      </c>
      <c r="N92" s="271">
        <f t="shared" si="18"/>
        <v>129.60000000000002</v>
      </c>
      <c r="O92" s="271">
        <f>10098*12</f>
        <v>121176</v>
      </c>
      <c r="P92" s="276">
        <f t="shared" si="14"/>
        <v>9867.0600000000013</v>
      </c>
      <c r="Q92" s="271">
        <f t="shared" si="15"/>
        <v>60084</v>
      </c>
      <c r="R92" s="271">
        <f t="shared" si="16"/>
        <v>101884.4424</v>
      </c>
      <c r="S92" s="271">
        <f t="shared" si="17"/>
        <v>2125.44</v>
      </c>
    </row>
    <row r="93" spans="1:21" s="270" customFormat="1" x14ac:dyDescent="0.25">
      <c r="A93" s="271">
        <v>501205</v>
      </c>
      <c r="B93" s="271">
        <v>1205</v>
      </c>
      <c r="C93" s="271">
        <v>200177</v>
      </c>
      <c r="D93" s="268" t="s">
        <v>894</v>
      </c>
      <c r="E93" s="268" t="s">
        <v>1290</v>
      </c>
      <c r="F93" s="268" t="s">
        <v>2428</v>
      </c>
      <c r="G93" s="268">
        <v>6</v>
      </c>
      <c r="H93" s="268" t="s">
        <v>2429</v>
      </c>
      <c r="I93" s="268" t="s">
        <v>2430</v>
      </c>
      <c r="J93" s="271">
        <v>563832</v>
      </c>
      <c r="K93" s="271">
        <f t="shared" si="12"/>
        <v>46986</v>
      </c>
      <c r="L93" s="271">
        <f t="shared" si="13"/>
        <v>12141.24</v>
      </c>
      <c r="M93" s="267">
        <v>0</v>
      </c>
      <c r="N93" s="271">
        <f t="shared" si="18"/>
        <v>129.60000000000002</v>
      </c>
      <c r="O93" s="276">
        <v>0</v>
      </c>
      <c r="P93" s="276">
        <f t="shared" si="14"/>
        <v>9867.0600000000013</v>
      </c>
      <c r="Q93" s="271">
        <f t="shared" si="15"/>
        <v>60084</v>
      </c>
      <c r="R93" s="271">
        <f t="shared" si="16"/>
        <v>101884.4424</v>
      </c>
      <c r="S93" s="271">
        <f t="shared" si="17"/>
        <v>2125.44</v>
      </c>
    </row>
    <row r="94" spans="1:21" s="270" customFormat="1" x14ac:dyDescent="0.25">
      <c r="A94" s="271">
        <v>501204</v>
      </c>
      <c r="B94" s="271">
        <v>1204</v>
      </c>
      <c r="C94" s="271">
        <v>200178</v>
      </c>
      <c r="D94" s="268" t="s">
        <v>894</v>
      </c>
      <c r="E94" s="268" t="s">
        <v>1290</v>
      </c>
      <c r="F94" s="268" t="s">
        <v>2431</v>
      </c>
      <c r="G94" s="268">
        <v>6</v>
      </c>
      <c r="H94" s="268" t="s">
        <v>2432</v>
      </c>
      <c r="I94" s="268" t="s">
        <v>2433</v>
      </c>
      <c r="J94" s="271">
        <v>563832</v>
      </c>
      <c r="K94" s="271">
        <f t="shared" si="12"/>
        <v>46986</v>
      </c>
      <c r="L94" s="271">
        <f t="shared" si="13"/>
        <v>12141.24</v>
      </c>
      <c r="M94" s="267">
        <v>0</v>
      </c>
      <c r="N94" s="271">
        <f t="shared" si="18"/>
        <v>129.60000000000002</v>
      </c>
      <c r="O94" s="276">
        <v>0</v>
      </c>
      <c r="P94" s="276">
        <f t="shared" si="14"/>
        <v>9867.0600000000013</v>
      </c>
      <c r="Q94" s="271">
        <f t="shared" si="15"/>
        <v>60084</v>
      </c>
      <c r="R94" s="271">
        <f t="shared" si="16"/>
        <v>101884.4424</v>
      </c>
      <c r="S94" s="271">
        <f t="shared" si="17"/>
        <v>2125.44</v>
      </c>
    </row>
    <row r="95" spans="1:21" s="270" customFormat="1" x14ac:dyDescent="0.25">
      <c r="A95" s="271">
        <v>501205</v>
      </c>
      <c r="B95" s="271">
        <v>1205</v>
      </c>
      <c r="C95" s="271">
        <v>200184</v>
      </c>
      <c r="D95" s="268" t="s">
        <v>894</v>
      </c>
      <c r="E95" s="268" t="s">
        <v>1278</v>
      </c>
      <c r="F95" s="268" t="s">
        <v>2434</v>
      </c>
      <c r="G95" s="268">
        <v>6</v>
      </c>
      <c r="H95" s="268" t="s">
        <v>2435</v>
      </c>
      <c r="I95" s="268" t="s">
        <v>2436</v>
      </c>
      <c r="J95" s="271">
        <v>563832</v>
      </c>
      <c r="K95" s="271">
        <f t="shared" si="12"/>
        <v>46986</v>
      </c>
      <c r="L95" s="271">
        <f t="shared" si="13"/>
        <v>12141.24</v>
      </c>
      <c r="M95" s="267">
        <v>0</v>
      </c>
      <c r="N95" s="271">
        <f t="shared" si="18"/>
        <v>129.60000000000002</v>
      </c>
      <c r="O95" s="271">
        <f>13921*12</f>
        <v>167052</v>
      </c>
      <c r="P95" s="276">
        <f t="shared" si="14"/>
        <v>9867.0600000000013</v>
      </c>
      <c r="Q95" s="271">
        <f t="shared" si="15"/>
        <v>60084</v>
      </c>
      <c r="R95" s="271">
        <f t="shared" si="16"/>
        <v>101884.4424</v>
      </c>
      <c r="S95" s="271">
        <f t="shared" si="17"/>
        <v>2125.44</v>
      </c>
    </row>
    <row r="96" spans="1:21" x14ac:dyDescent="0.25">
      <c r="A96" s="271">
        <v>501206</v>
      </c>
      <c r="B96" s="271">
        <v>1206</v>
      </c>
      <c r="C96" s="271">
        <v>200195</v>
      </c>
      <c r="D96" s="268" t="s">
        <v>894</v>
      </c>
      <c r="E96" s="268" t="s">
        <v>1278</v>
      </c>
      <c r="F96" s="268" t="s">
        <v>2437</v>
      </c>
      <c r="G96" s="268">
        <v>6</v>
      </c>
      <c r="H96" s="268" t="s">
        <v>2438</v>
      </c>
      <c r="I96" s="268" t="s">
        <v>2375</v>
      </c>
      <c r="J96" s="271">
        <v>563832</v>
      </c>
      <c r="K96" s="271">
        <f t="shared" si="12"/>
        <v>46986</v>
      </c>
      <c r="L96" s="271">
        <f t="shared" si="13"/>
        <v>12141.24</v>
      </c>
      <c r="M96" s="267">
        <v>0</v>
      </c>
      <c r="N96" s="271">
        <f t="shared" si="18"/>
        <v>129.60000000000002</v>
      </c>
      <c r="O96" s="271">
        <f>13921*12</f>
        <v>167052</v>
      </c>
      <c r="P96" s="276">
        <f t="shared" si="14"/>
        <v>9867.0600000000013</v>
      </c>
      <c r="Q96" s="271">
        <f t="shared" si="15"/>
        <v>60084</v>
      </c>
      <c r="R96" s="271">
        <f t="shared" si="16"/>
        <v>101884.4424</v>
      </c>
      <c r="S96" s="271">
        <f t="shared" si="17"/>
        <v>2125.44</v>
      </c>
      <c r="T96" s="270"/>
      <c r="U96" s="270"/>
    </row>
    <row r="97" spans="1:21" x14ac:dyDescent="0.25">
      <c r="A97" s="271">
        <v>501204</v>
      </c>
      <c r="B97" s="271">
        <v>1204</v>
      </c>
      <c r="C97" s="271">
        <v>200197</v>
      </c>
      <c r="D97" s="268" t="s">
        <v>894</v>
      </c>
      <c r="E97" s="268" t="s">
        <v>1278</v>
      </c>
      <c r="F97" s="268" t="s">
        <v>2439</v>
      </c>
      <c r="G97" s="268">
        <v>6</v>
      </c>
      <c r="H97" s="268" t="s">
        <v>2440</v>
      </c>
      <c r="I97" s="268" t="s">
        <v>2441</v>
      </c>
      <c r="J97" s="271">
        <v>563832</v>
      </c>
      <c r="K97" s="271">
        <f t="shared" si="12"/>
        <v>46986</v>
      </c>
      <c r="L97" s="271">
        <f t="shared" si="13"/>
        <v>12141.24</v>
      </c>
      <c r="M97" s="267">
        <v>0</v>
      </c>
      <c r="N97" s="271">
        <f t="shared" si="18"/>
        <v>129.60000000000002</v>
      </c>
      <c r="O97" s="276">
        <v>0</v>
      </c>
      <c r="P97" s="276">
        <f t="shared" si="14"/>
        <v>9867.0600000000013</v>
      </c>
      <c r="Q97" s="271">
        <f t="shared" si="15"/>
        <v>60084</v>
      </c>
      <c r="R97" s="271">
        <f t="shared" si="16"/>
        <v>101884.4424</v>
      </c>
      <c r="S97" s="271">
        <f t="shared" si="17"/>
        <v>2125.44</v>
      </c>
      <c r="T97" s="270"/>
      <c r="U97" s="270"/>
    </row>
    <row r="98" spans="1:21" s="270" customFormat="1" x14ac:dyDescent="0.25">
      <c r="A98" s="271"/>
      <c r="B98" s="271">
        <v>1305</v>
      </c>
      <c r="C98" s="271">
        <v>200238</v>
      </c>
      <c r="D98" s="268" t="s">
        <v>1698</v>
      </c>
      <c r="E98" s="268" t="s">
        <v>1290</v>
      </c>
      <c r="F98" s="268" t="s">
        <v>2442</v>
      </c>
      <c r="G98" s="268">
        <v>6</v>
      </c>
      <c r="H98" s="268" t="s">
        <v>2443</v>
      </c>
      <c r="I98" s="268" t="s">
        <v>2444</v>
      </c>
      <c r="J98" s="271">
        <v>563832</v>
      </c>
      <c r="K98" s="271">
        <f t="shared" si="12"/>
        <v>46986</v>
      </c>
      <c r="L98" s="271">
        <f t="shared" si="13"/>
        <v>12141.24</v>
      </c>
      <c r="M98" s="267">
        <v>0</v>
      </c>
      <c r="N98" s="271">
        <f t="shared" si="18"/>
        <v>129.60000000000002</v>
      </c>
      <c r="O98" s="271">
        <f>13921*12</f>
        <v>167052</v>
      </c>
      <c r="P98" s="276">
        <f t="shared" si="14"/>
        <v>9867.0600000000013</v>
      </c>
      <c r="Q98" s="271">
        <f t="shared" si="15"/>
        <v>60084</v>
      </c>
      <c r="R98" s="271">
        <f t="shared" si="16"/>
        <v>101884.4424</v>
      </c>
      <c r="S98" s="271">
        <f t="shared" si="17"/>
        <v>2125.44</v>
      </c>
    </row>
    <row r="99" spans="1:21" s="270" customFormat="1" x14ac:dyDescent="0.25">
      <c r="A99" s="271"/>
      <c r="B99" s="271">
        <v>1442</v>
      </c>
      <c r="C99" s="271">
        <v>200389</v>
      </c>
      <c r="D99" s="268" t="s">
        <v>894</v>
      </c>
      <c r="E99" s="268" t="s">
        <v>1290</v>
      </c>
      <c r="F99" s="268" t="s">
        <v>2386</v>
      </c>
      <c r="G99" s="268">
        <v>6</v>
      </c>
      <c r="H99" s="268" t="s">
        <v>2445</v>
      </c>
      <c r="I99" s="268" t="s">
        <v>2446</v>
      </c>
      <c r="J99" s="271">
        <v>563832</v>
      </c>
      <c r="K99" s="271">
        <f t="shared" si="12"/>
        <v>46986</v>
      </c>
      <c r="L99" s="271">
        <f t="shared" si="13"/>
        <v>12141.24</v>
      </c>
      <c r="M99" s="267">
        <v>0</v>
      </c>
      <c r="N99" s="271">
        <f t="shared" si="18"/>
        <v>129.60000000000002</v>
      </c>
      <c r="O99" s="271">
        <f>10098*12</f>
        <v>121176</v>
      </c>
      <c r="P99" s="276">
        <f t="shared" si="14"/>
        <v>9867.0600000000013</v>
      </c>
      <c r="Q99" s="271">
        <f t="shared" si="15"/>
        <v>60084</v>
      </c>
      <c r="R99" s="271">
        <f t="shared" si="16"/>
        <v>101884.4424</v>
      </c>
      <c r="S99" s="271">
        <f t="shared" si="17"/>
        <v>2125.44</v>
      </c>
    </row>
    <row r="100" spans="1:21" x14ac:dyDescent="0.25">
      <c r="A100" s="271">
        <v>501304</v>
      </c>
      <c r="B100" s="271">
        <v>1304</v>
      </c>
      <c r="C100" s="271">
        <v>200036</v>
      </c>
      <c r="D100" s="268" t="s">
        <v>894</v>
      </c>
      <c r="E100" s="268" t="s">
        <v>1290</v>
      </c>
      <c r="F100" s="268" t="s">
        <v>2447</v>
      </c>
      <c r="G100" s="268">
        <v>5</v>
      </c>
      <c r="H100" s="268" t="s">
        <v>2448</v>
      </c>
      <c r="I100" s="268" t="s">
        <v>2449</v>
      </c>
      <c r="J100" s="271">
        <v>549120</v>
      </c>
      <c r="K100" s="271">
        <f t="shared" si="12"/>
        <v>45760</v>
      </c>
      <c r="L100" s="271">
        <f t="shared" si="13"/>
        <v>12141.24</v>
      </c>
      <c r="M100" s="267">
        <v>0</v>
      </c>
      <c r="N100" s="271">
        <f t="shared" si="18"/>
        <v>129.60000000000002</v>
      </c>
      <c r="O100" s="276">
        <v>0</v>
      </c>
      <c r="P100" s="276">
        <f t="shared" si="14"/>
        <v>9609.6</v>
      </c>
      <c r="Q100" s="271">
        <f t="shared" si="15"/>
        <v>60084</v>
      </c>
      <c r="R100" s="271">
        <f t="shared" si="16"/>
        <v>99225.983999999997</v>
      </c>
      <c r="S100" s="271">
        <f t="shared" si="17"/>
        <v>2125.44</v>
      </c>
      <c r="T100" s="270"/>
      <c r="U100" s="270"/>
    </row>
    <row r="101" spans="1:21" s="270" customFormat="1" x14ac:dyDescent="0.25">
      <c r="A101" s="271">
        <v>501304</v>
      </c>
      <c r="B101" s="271">
        <v>1304</v>
      </c>
      <c r="C101" s="271">
        <v>88831</v>
      </c>
      <c r="D101" s="268" t="s">
        <v>894</v>
      </c>
      <c r="E101" s="268" t="s">
        <v>1278</v>
      </c>
      <c r="F101" s="268" t="s">
        <v>2450</v>
      </c>
      <c r="G101" s="268">
        <v>6</v>
      </c>
      <c r="H101" s="268" t="s">
        <v>2451</v>
      </c>
      <c r="I101" s="268" t="s">
        <v>2449</v>
      </c>
      <c r="J101" s="271">
        <v>549120</v>
      </c>
      <c r="K101" s="271">
        <f t="shared" si="12"/>
        <v>45760</v>
      </c>
      <c r="L101" s="271">
        <f t="shared" si="13"/>
        <v>12141.24</v>
      </c>
      <c r="M101" s="267">
        <v>0</v>
      </c>
      <c r="N101" s="271">
        <f t="shared" si="18"/>
        <v>129.60000000000002</v>
      </c>
      <c r="O101" s="276">
        <v>0</v>
      </c>
      <c r="P101" s="276">
        <f t="shared" si="14"/>
        <v>9609.6</v>
      </c>
      <c r="Q101" s="271">
        <f t="shared" si="15"/>
        <v>60084</v>
      </c>
      <c r="R101" s="271">
        <f t="shared" si="16"/>
        <v>99225.983999999997</v>
      </c>
      <c r="S101" s="271">
        <f t="shared" si="17"/>
        <v>2125.44</v>
      </c>
    </row>
    <row r="102" spans="1:21" s="270" customFormat="1" x14ac:dyDescent="0.25">
      <c r="A102" s="271">
        <v>501304</v>
      </c>
      <c r="B102" s="271">
        <v>1304</v>
      </c>
      <c r="C102" s="271">
        <v>44749</v>
      </c>
      <c r="D102" s="268" t="s">
        <v>894</v>
      </c>
      <c r="E102" s="268" t="s">
        <v>1290</v>
      </c>
      <c r="F102" s="268" t="s">
        <v>1286</v>
      </c>
      <c r="G102" s="268">
        <v>6</v>
      </c>
      <c r="H102" s="268" t="s">
        <v>2452</v>
      </c>
      <c r="I102" s="268" t="s">
        <v>2449</v>
      </c>
      <c r="J102" s="271">
        <v>549120</v>
      </c>
      <c r="K102" s="271">
        <f t="shared" si="12"/>
        <v>45760</v>
      </c>
      <c r="L102" s="271">
        <f t="shared" si="13"/>
        <v>12141.24</v>
      </c>
      <c r="M102" s="267">
        <v>0</v>
      </c>
      <c r="N102" s="271">
        <f t="shared" si="18"/>
        <v>129.60000000000002</v>
      </c>
      <c r="O102" s="271">
        <f>13921*12</f>
        <v>167052</v>
      </c>
      <c r="P102" s="276">
        <f t="shared" si="14"/>
        <v>9609.6</v>
      </c>
      <c r="Q102" s="271">
        <f t="shared" si="15"/>
        <v>60084</v>
      </c>
      <c r="R102" s="271">
        <f t="shared" si="16"/>
        <v>99225.983999999997</v>
      </c>
      <c r="S102" s="271">
        <f t="shared" si="17"/>
        <v>2125.44</v>
      </c>
    </row>
    <row r="103" spans="1:21" s="270" customFormat="1" x14ac:dyDescent="0.25">
      <c r="A103" s="271">
        <v>501304</v>
      </c>
      <c r="B103" s="271">
        <v>1304</v>
      </c>
      <c r="C103" s="271">
        <v>29861</v>
      </c>
      <c r="D103" s="268" t="s">
        <v>894</v>
      </c>
      <c r="E103" s="268" t="s">
        <v>1278</v>
      </c>
      <c r="F103" s="268" t="s">
        <v>1306</v>
      </c>
      <c r="G103" s="268">
        <v>6</v>
      </c>
      <c r="H103" s="268" t="s">
        <v>2398</v>
      </c>
      <c r="I103" s="268" t="s">
        <v>2449</v>
      </c>
      <c r="J103" s="271">
        <v>549120</v>
      </c>
      <c r="K103" s="271">
        <f t="shared" si="12"/>
        <v>45760</v>
      </c>
      <c r="L103" s="271">
        <f t="shared" si="13"/>
        <v>12141.24</v>
      </c>
      <c r="M103" s="267">
        <v>0</v>
      </c>
      <c r="N103" s="271">
        <f t="shared" si="18"/>
        <v>129.60000000000002</v>
      </c>
      <c r="O103" s="271">
        <f>13921*12</f>
        <v>167052</v>
      </c>
      <c r="P103" s="276">
        <f t="shared" si="14"/>
        <v>9609.6</v>
      </c>
      <c r="Q103" s="271">
        <f t="shared" si="15"/>
        <v>60084</v>
      </c>
      <c r="R103" s="271">
        <f t="shared" si="16"/>
        <v>99225.983999999997</v>
      </c>
      <c r="S103" s="271">
        <f t="shared" si="17"/>
        <v>2125.44</v>
      </c>
    </row>
    <row r="104" spans="1:21" s="270" customFormat="1" x14ac:dyDescent="0.25">
      <c r="A104" s="271">
        <v>501443</v>
      </c>
      <c r="B104" s="271">
        <v>1443</v>
      </c>
      <c r="C104" s="271">
        <v>34076</v>
      </c>
      <c r="D104" s="268" t="s">
        <v>894</v>
      </c>
      <c r="E104" s="268" t="s">
        <v>1290</v>
      </c>
      <c r="F104" s="268" t="s">
        <v>2453</v>
      </c>
      <c r="G104" s="268">
        <v>6</v>
      </c>
      <c r="H104" s="268" t="s">
        <v>2454</v>
      </c>
      <c r="I104" s="268" t="s">
        <v>2396</v>
      </c>
      <c r="J104" s="271">
        <v>534312</v>
      </c>
      <c r="K104" s="271">
        <f t="shared" si="12"/>
        <v>44526</v>
      </c>
      <c r="L104" s="271">
        <f t="shared" si="13"/>
        <v>12141.24</v>
      </c>
      <c r="M104" s="267">
        <f>500*12</f>
        <v>6000</v>
      </c>
      <c r="N104" s="271">
        <f t="shared" si="18"/>
        <v>129.60000000000002</v>
      </c>
      <c r="O104" s="271">
        <f>9583.5*12</f>
        <v>115002</v>
      </c>
      <c r="P104" s="276">
        <f t="shared" si="14"/>
        <v>9350.4600000000009</v>
      </c>
      <c r="Q104" s="271">
        <f t="shared" si="15"/>
        <v>60084</v>
      </c>
      <c r="R104" s="271">
        <f t="shared" si="16"/>
        <v>96550.178400000004</v>
      </c>
      <c r="S104" s="271">
        <f t="shared" si="17"/>
        <v>2125.44</v>
      </c>
    </row>
    <row r="105" spans="1:21" s="270" customFormat="1" x14ac:dyDescent="0.25">
      <c r="A105" s="271">
        <v>501205</v>
      </c>
      <c r="B105" s="271">
        <v>1205</v>
      </c>
      <c r="C105" s="271">
        <v>84039</v>
      </c>
      <c r="D105" s="268" t="s">
        <v>894</v>
      </c>
      <c r="E105" s="268" t="s">
        <v>1290</v>
      </c>
      <c r="F105" s="268" t="s">
        <v>2455</v>
      </c>
      <c r="G105" s="268">
        <v>6</v>
      </c>
      <c r="H105" s="268" t="s">
        <v>2456</v>
      </c>
      <c r="I105" s="268" t="s">
        <v>2457</v>
      </c>
      <c r="J105" s="271">
        <v>534312</v>
      </c>
      <c r="K105" s="271">
        <f t="shared" si="12"/>
        <v>44526</v>
      </c>
      <c r="L105" s="271">
        <f t="shared" si="13"/>
        <v>12141.24</v>
      </c>
      <c r="M105" s="267">
        <v>0</v>
      </c>
      <c r="N105" s="271">
        <f t="shared" si="18"/>
        <v>129.60000000000002</v>
      </c>
      <c r="O105" s="271">
        <f>13921*12</f>
        <v>167052</v>
      </c>
      <c r="P105" s="276">
        <f t="shared" si="14"/>
        <v>9350.4600000000009</v>
      </c>
      <c r="Q105" s="271">
        <f t="shared" si="15"/>
        <v>60084</v>
      </c>
      <c r="R105" s="271">
        <f t="shared" si="16"/>
        <v>96550.178400000004</v>
      </c>
      <c r="S105" s="271">
        <f t="shared" si="17"/>
        <v>2125.44</v>
      </c>
    </row>
    <row r="106" spans="1:21" s="270" customFormat="1" x14ac:dyDescent="0.25">
      <c r="A106" s="271">
        <v>501204</v>
      </c>
      <c r="B106" s="271">
        <v>1204</v>
      </c>
      <c r="C106" s="271">
        <v>200179</v>
      </c>
      <c r="D106" s="268" t="s">
        <v>894</v>
      </c>
      <c r="E106" s="268" t="s">
        <v>1290</v>
      </c>
      <c r="F106" s="268" t="s">
        <v>2458</v>
      </c>
      <c r="G106" s="268">
        <v>6</v>
      </c>
      <c r="H106" s="268" t="s">
        <v>2459</v>
      </c>
      <c r="I106" s="268" t="s">
        <v>2460</v>
      </c>
      <c r="J106" s="271">
        <v>534312</v>
      </c>
      <c r="K106" s="271">
        <f t="shared" si="12"/>
        <v>44526</v>
      </c>
      <c r="L106" s="271">
        <f t="shared" si="13"/>
        <v>12141.24</v>
      </c>
      <c r="M106" s="267">
        <v>0</v>
      </c>
      <c r="N106" s="271">
        <f t="shared" si="18"/>
        <v>129.60000000000002</v>
      </c>
      <c r="O106" s="276">
        <v>0</v>
      </c>
      <c r="P106" s="276">
        <f t="shared" si="14"/>
        <v>9350.4600000000009</v>
      </c>
      <c r="Q106" s="271">
        <f t="shared" si="15"/>
        <v>60084</v>
      </c>
      <c r="R106" s="271">
        <f t="shared" si="16"/>
        <v>96550.178400000004</v>
      </c>
      <c r="S106" s="271">
        <f t="shared" si="17"/>
        <v>2125.44</v>
      </c>
    </row>
    <row r="107" spans="1:21" s="270" customFormat="1" x14ac:dyDescent="0.25">
      <c r="A107" s="271">
        <v>501205</v>
      </c>
      <c r="B107" s="271">
        <v>1205</v>
      </c>
      <c r="C107" s="271">
        <v>200189</v>
      </c>
      <c r="D107" s="268" t="s">
        <v>894</v>
      </c>
      <c r="E107" s="268" t="s">
        <v>1278</v>
      </c>
      <c r="F107" s="268" t="s">
        <v>2461</v>
      </c>
      <c r="G107" s="268">
        <v>6</v>
      </c>
      <c r="H107" s="268" t="s">
        <v>2359</v>
      </c>
      <c r="I107" s="268" t="s">
        <v>2462</v>
      </c>
      <c r="J107" s="271">
        <v>534312</v>
      </c>
      <c r="K107" s="271">
        <f t="shared" si="12"/>
        <v>44526</v>
      </c>
      <c r="L107" s="271">
        <f t="shared" si="13"/>
        <v>12141.24</v>
      </c>
      <c r="M107" s="267">
        <v>0</v>
      </c>
      <c r="N107" s="271">
        <f t="shared" si="18"/>
        <v>129.60000000000002</v>
      </c>
      <c r="O107" s="276">
        <v>0</v>
      </c>
      <c r="P107" s="276">
        <f t="shared" si="14"/>
        <v>9350.4600000000009</v>
      </c>
      <c r="Q107" s="271">
        <f t="shared" si="15"/>
        <v>60084</v>
      </c>
      <c r="R107" s="271">
        <f t="shared" si="16"/>
        <v>96550.178400000004</v>
      </c>
      <c r="S107" s="271">
        <f t="shared" si="17"/>
        <v>2125.44</v>
      </c>
    </row>
    <row r="108" spans="1:21" s="270" customFormat="1" x14ac:dyDescent="0.25">
      <c r="A108" s="271">
        <v>501204</v>
      </c>
      <c r="B108" s="271">
        <v>1204</v>
      </c>
      <c r="C108" s="271">
        <v>200191</v>
      </c>
      <c r="D108" s="268" t="s">
        <v>894</v>
      </c>
      <c r="E108" s="268" t="s">
        <v>1290</v>
      </c>
      <c r="F108" s="268" t="s">
        <v>1306</v>
      </c>
      <c r="G108" s="268">
        <v>6</v>
      </c>
      <c r="H108" s="268" t="s">
        <v>2463</v>
      </c>
      <c r="I108" s="268" t="s">
        <v>2464</v>
      </c>
      <c r="J108" s="271">
        <v>534312</v>
      </c>
      <c r="K108" s="271">
        <f t="shared" si="12"/>
        <v>44526</v>
      </c>
      <c r="L108" s="271">
        <f t="shared" si="13"/>
        <v>12141.24</v>
      </c>
      <c r="M108" s="267">
        <v>0</v>
      </c>
      <c r="N108" s="271">
        <f t="shared" si="18"/>
        <v>129.60000000000002</v>
      </c>
      <c r="O108" s="276">
        <v>0</v>
      </c>
      <c r="P108" s="276">
        <f t="shared" si="14"/>
        <v>9350.4600000000009</v>
      </c>
      <c r="Q108" s="271">
        <f t="shared" si="15"/>
        <v>60084</v>
      </c>
      <c r="R108" s="271">
        <f t="shared" si="16"/>
        <v>96550.178400000004</v>
      </c>
      <c r="S108" s="271">
        <f t="shared" si="17"/>
        <v>2125.44</v>
      </c>
    </row>
    <row r="109" spans="1:21" s="270" customFormat="1" x14ac:dyDescent="0.25">
      <c r="A109" s="271">
        <v>501204</v>
      </c>
      <c r="B109" s="271">
        <v>1204</v>
      </c>
      <c r="C109" s="271">
        <v>200245</v>
      </c>
      <c r="D109" s="268" t="s">
        <v>894</v>
      </c>
      <c r="E109" s="268" t="s">
        <v>1278</v>
      </c>
      <c r="F109" s="268" t="s">
        <v>2465</v>
      </c>
      <c r="G109" s="268">
        <v>6</v>
      </c>
      <c r="H109" s="268" t="s">
        <v>2466</v>
      </c>
      <c r="I109" s="268" t="s">
        <v>2460</v>
      </c>
      <c r="J109" s="271">
        <v>534312</v>
      </c>
      <c r="K109" s="271">
        <f t="shared" si="12"/>
        <v>44526</v>
      </c>
      <c r="L109" s="271">
        <f t="shared" si="13"/>
        <v>12141.24</v>
      </c>
      <c r="M109" s="267">
        <v>0</v>
      </c>
      <c r="N109" s="271">
        <f t="shared" si="18"/>
        <v>129.60000000000002</v>
      </c>
      <c r="O109" s="276">
        <v>0</v>
      </c>
      <c r="P109" s="276">
        <f t="shared" si="14"/>
        <v>9350.4600000000009</v>
      </c>
      <c r="Q109" s="271">
        <f t="shared" si="15"/>
        <v>60084</v>
      </c>
      <c r="R109" s="271">
        <f t="shared" si="16"/>
        <v>96550.178400000004</v>
      </c>
      <c r="S109" s="271">
        <f t="shared" si="17"/>
        <v>2125.44</v>
      </c>
    </row>
    <row r="110" spans="1:21" s="270" customFormat="1" x14ac:dyDescent="0.25">
      <c r="A110" s="271">
        <v>110821</v>
      </c>
      <c r="B110" s="271">
        <v>1108</v>
      </c>
      <c r="C110" s="271">
        <v>200304</v>
      </c>
      <c r="D110" s="268" t="s">
        <v>894</v>
      </c>
      <c r="E110" s="268" t="s">
        <v>1290</v>
      </c>
      <c r="F110" s="268" t="s">
        <v>2450</v>
      </c>
      <c r="G110" s="268">
        <v>6</v>
      </c>
      <c r="H110" s="268" t="s">
        <v>2467</v>
      </c>
      <c r="I110" s="268" t="s">
        <v>2468</v>
      </c>
      <c r="J110" s="271">
        <v>534312</v>
      </c>
      <c r="K110" s="271">
        <f t="shared" si="12"/>
        <v>44526</v>
      </c>
      <c r="L110" s="271">
        <f t="shared" si="13"/>
        <v>12141.24</v>
      </c>
      <c r="M110" s="267">
        <v>0</v>
      </c>
      <c r="N110" s="271">
        <f t="shared" si="18"/>
        <v>129.60000000000002</v>
      </c>
      <c r="O110" s="271">
        <f>9583.5*12</f>
        <v>115002</v>
      </c>
      <c r="P110" s="276">
        <f t="shared" si="14"/>
        <v>9350.4600000000009</v>
      </c>
      <c r="Q110" s="271">
        <f t="shared" si="15"/>
        <v>60084</v>
      </c>
      <c r="R110" s="271">
        <f t="shared" si="16"/>
        <v>96550.178400000004</v>
      </c>
      <c r="S110" s="271">
        <f t="shared" si="17"/>
        <v>2125.44</v>
      </c>
    </row>
    <row r="111" spans="1:21" s="270" customFormat="1" x14ac:dyDescent="0.25">
      <c r="A111" s="271"/>
      <c r="B111" s="271">
        <v>1502</v>
      </c>
      <c r="C111" s="271">
        <v>200311</v>
      </c>
      <c r="D111" s="268" t="s">
        <v>894</v>
      </c>
      <c r="E111" s="268" t="s">
        <v>1278</v>
      </c>
      <c r="F111" s="268" t="s">
        <v>2391</v>
      </c>
      <c r="G111" s="268">
        <v>6</v>
      </c>
      <c r="H111" s="268" t="s">
        <v>2305</v>
      </c>
      <c r="I111" s="268" t="s">
        <v>2469</v>
      </c>
      <c r="J111" s="271">
        <v>534312</v>
      </c>
      <c r="K111" s="271">
        <f t="shared" si="12"/>
        <v>44526</v>
      </c>
      <c r="L111" s="271">
        <f t="shared" si="13"/>
        <v>12141.24</v>
      </c>
      <c r="M111" s="267">
        <v>0</v>
      </c>
      <c r="N111" s="271">
        <f t="shared" si="18"/>
        <v>129.60000000000002</v>
      </c>
      <c r="O111" s="276">
        <v>0</v>
      </c>
      <c r="P111" s="276">
        <f t="shared" si="14"/>
        <v>9350.4600000000009</v>
      </c>
      <c r="Q111" s="271">
        <f t="shared" si="15"/>
        <v>60084</v>
      </c>
      <c r="R111" s="271">
        <f t="shared" si="16"/>
        <v>96550.178400000004</v>
      </c>
      <c r="S111" s="271">
        <f t="shared" si="17"/>
        <v>2125.44</v>
      </c>
    </row>
    <row r="112" spans="1:21" s="270" customFormat="1" x14ac:dyDescent="0.25">
      <c r="A112" s="271">
        <v>501101</v>
      </c>
      <c r="B112" s="271">
        <v>1101</v>
      </c>
      <c r="C112" s="271">
        <v>200396</v>
      </c>
      <c r="D112" s="268" t="s">
        <v>894</v>
      </c>
      <c r="E112" s="268" t="s">
        <v>1278</v>
      </c>
      <c r="F112" s="268" t="s">
        <v>2470</v>
      </c>
      <c r="G112" s="268">
        <v>6</v>
      </c>
      <c r="H112" s="268" t="s">
        <v>2471</v>
      </c>
      <c r="I112" s="268" t="s">
        <v>2472</v>
      </c>
      <c r="J112" s="271">
        <v>534312</v>
      </c>
      <c r="K112" s="271">
        <f t="shared" si="12"/>
        <v>44526</v>
      </c>
      <c r="L112" s="271">
        <f t="shared" si="13"/>
        <v>12141.24</v>
      </c>
      <c r="M112" s="267">
        <f>750*12</f>
        <v>9000</v>
      </c>
      <c r="N112" s="271">
        <f t="shared" si="18"/>
        <v>129.60000000000002</v>
      </c>
      <c r="O112" s="271">
        <f>17694*12</f>
        <v>212328</v>
      </c>
      <c r="P112" s="276">
        <f t="shared" si="14"/>
        <v>9350.4600000000009</v>
      </c>
      <c r="Q112" s="271">
        <f t="shared" si="15"/>
        <v>60084</v>
      </c>
      <c r="R112" s="271">
        <f t="shared" si="16"/>
        <v>96550.178400000004</v>
      </c>
      <c r="S112" s="271">
        <f t="shared" si="17"/>
        <v>2125.44</v>
      </c>
    </row>
    <row r="113" spans="1:21" s="270" customFormat="1" x14ac:dyDescent="0.25">
      <c r="A113" s="271">
        <v>501445</v>
      </c>
      <c r="B113" s="271">
        <v>1445</v>
      </c>
      <c r="C113" s="271">
        <v>3492</v>
      </c>
      <c r="D113" s="268" t="s">
        <v>1698</v>
      </c>
      <c r="E113" s="268" t="s">
        <v>1290</v>
      </c>
      <c r="F113" s="268" t="s">
        <v>2473</v>
      </c>
      <c r="G113" s="268">
        <v>6</v>
      </c>
      <c r="H113" s="268" t="s">
        <v>2474</v>
      </c>
      <c r="I113" s="268" t="s">
        <v>2475</v>
      </c>
      <c r="J113" s="271">
        <v>519108</v>
      </c>
      <c r="K113" s="271">
        <f t="shared" si="12"/>
        <v>43259</v>
      </c>
      <c r="L113" s="271">
        <f t="shared" si="13"/>
        <v>12141.24</v>
      </c>
      <c r="M113" s="267">
        <v>0</v>
      </c>
      <c r="N113" s="271">
        <f t="shared" si="18"/>
        <v>129.60000000000002</v>
      </c>
      <c r="O113" s="271">
        <f t="shared" ref="O113:O119" si="19">9326.25*12</f>
        <v>111915</v>
      </c>
      <c r="P113" s="276">
        <f t="shared" si="14"/>
        <v>9084.3900000000012</v>
      </c>
      <c r="Q113" s="271">
        <f t="shared" si="15"/>
        <v>60084</v>
      </c>
      <c r="R113" s="271">
        <f t="shared" si="16"/>
        <v>93802.815600000002</v>
      </c>
      <c r="S113" s="271">
        <f t="shared" si="17"/>
        <v>2125.44</v>
      </c>
    </row>
    <row r="114" spans="1:21" s="270" customFormat="1" x14ac:dyDescent="0.25">
      <c r="A114" s="271">
        <v>501445</v>
      </c>
      <c r="B114" s="271">
        <v>1445</v>
      </c>
      <c r="C114" s="271">
        <v>4763</v>
      </c>
      <c r="D114" s="268" t="s">
        <v>1698</v>
      </c>
      <c r="E114" s="268" t="s">
        <v>1290</v>
      </c>
      <c r="F114" s="268" t="s">
        <v>2476</v>
      </c>
      <c r="G114" s="268">
        <v>6</v>
      </c>
      <c r="H114" s="268" t="s">
        <v>2477</v>
      </c>
      <c r="I114" s="268" t="s">
        <v>2478</v>
      </c>
      <c r="J114" s="271">
        <v>519108</v>
      </c>
      <c r="K114" s="271">
        <f t="shared" si="12"/>
        <v>43259</v>
      </c>
      <c r="L114" s="271">
        <f t="shared" si="13"/>
        <v>12141.24</v>
      </c>
      <c r="M114" s="267">
        <v>0</v>
      </c>
      <c r="N114" s="271">
        <f t="shared" si="18"/>
        <v>129.60000000000002</v>
      </c>
      <c r="O114" s="271">
        <f t="shared" si="19"/>
        <v>111915</v>
      </c>
      <c r="P114" s="276">
        <f t="shared" si="14"/>
        <v>9084.3900000000012</v>
      </c>
      <c r="Q114" s="271">
        <f t="shared" si="15"/>
        <v>60084</v>
      </c>
      <c r="R114" s="271">
        <f t="shared" si="16"/>
        <v>93802.815600000002</v>
      </c>
      <c r="S114" s="271">
        <f t="shared" si="17"/>
        <v>2125.44</v>
      </c>
    </row>
    <row r="115" spans="1:21" x14ac:dyDescent="0.25">
      <c r="A115" s="271">
        <v>501445</v>
      </c>
      <c r="B115" s="271">
        <v>1445</v>
      </c>
      <c r="C115" s="271">
        <v>12616</v>
      </c>
      <c r="D115" s="268" t="s">
        <v>1698</v>
      </c>
      <c r="E115" s="268" t="s">
        <v>1290</v>
      </c>
      <c r="F115" s="268" t="s">
        <v>2479</v>
      </c>
      <c r="G115" s="268">
        <v>6</v>
      </c>
      <c r="H115" s="268" t="s">
        <v>2480</v>
      </c>
      <c r="I115" s="268" t="s">
        <v>2481</v>
      </c>
      <c r="J115" s="271">
        <v>519108</v>
      </c>
      <c r="K115" s="271">
        <f t="shared" si="12"/>
        <v>43259</v>
      </c>
      <c r="L115" s="271">
        <f t="shared" si="13"/>
        <v>12141.24</v>
      </c>
      <c r="M115" s="267">
        <v>0</v>
      </c>
      <c r="N115" s="271">
        <f t="shared" si="18"/>
        <v>129.60000000000002</v>
      </c>
      <c r="O115" s="271">
        <f t="shared" si="19"/>
        <v>111915</v>
      </c>
      <c r="P115" s="276">
        <f t="shared" si="14"/>
        <v>9084.3900000000012</v>
      </c>
      <c r="Q115" s="271">
        <f t="shared" si="15"/>
        <v>60084</v>
      </c>
      <c r="R115" s="271">
        <f t="shared" si="16"/>
        <v>93802.815600000002</v>
      </c>
      <c r="S115" s="271">
        <f t="shared" si="17"/>
        <v>2125.44</v>
      </c>
      <c r="T115" s="270"/>
      <c r="U115" s="270"/>
    </row>
    <row r="116" spans="1:21" x14ac:dyDescent="0.25">
      <c r="A116" s="271">
        <v>501442</v>
      </c>
      <c r="B116" s="271">
        <v>1442</v>
      </c>
      <c r="C116" s="271">
        <v>16007</v>
      </c>
      <c r="D116" s="268" t="s">
        <v>1698</v>
      </c>
      <c r="E116" s="268" t="s">
        <v>1290</v>
      </c>
      <c r="F116" s="268" t="s">
        <v>538</v>
      </c>
      <c r="G116" s="268">
        <v>6</v>
      </c>
      <c r="H116" s="268" t="s">
        <v>2482</v>
      </c>
      <c r="I116" s="268" t="s">
        <v>2483</v>
      </c>
      <c r="J116" s="271">
        <v>519108</v>
      </c>
      <c r="K116" s="271">
        <f t="shared" si="12"/>
        <v>43259</v>
      </c>
      <c r="L116" s="271">
        <f t="shared" si="13"/>
        <v>12141.24</v>
      </c>
      <c r="M116" s="267">
        <v>0</v>
      </c>
      <c r="N116" s="271">
        <f t="shared" si="18"/>
        <v>129.60000000000002</v>
      </c>
      <c r="O116" s="271">
        <f t="shared" si="19"/>
        <v>111915</v>
      </c>
      <c r="P116" s="276">
        <f t="shared" si="14"/>
        <v>9084.3900000000012</v>
      </c>
      <c r="Q116" s="271">
        <f t="shared" si="15"/>
        <v>60084</v>
      </c>
      <c r="R116" s="271">
        <f t="shared" si="16"/>
        <v>93802.815600000002</v>
      </c>
      <c r="S116" s="271">
        <f t="shared" si="17"/>
        <v>2125.44</v>
      </c>
      <c r="T116" s="270"/>
      <c r="U116" s="270"/>
    </row>
    <row r="117" spans="1:21" s="270" customFormat="1" x14ac:dyDescent="0.25">
      <c r="A117" s="271">
        <v>501443</v>
      </c>
      <c r="B117" s="271">
        <v>1443</v>
      </c>
      <c r="C117" s="271">
        <v>27562</v>
      </c>
      <c r="D117" s="268" t="s">
        <v>894</v>
      </c>
      <c r="E117" s="268" t="s">
        <v>1290</v>
      </c>
      <c r="F117" s="268" t="s">
        <v>2484</v>
      </c>
      <c r="G117" s="268">
        <v>6</v>
      </c>
      <c r="H117" s="268" t="s">
        <v>2485</v>
      </c>
      <c r="I117" s="268" t="s">
        <v>2486</v>
      </c>
      <c r="J117" s="271">
        <v>519108</v>
      </c>
      <c r="K117" s="271">
        <f t="shared" si="12"/>
        <v>43259</v>
      </c>
      <c r="L117" s="271">
        <f t="shared" si="13"/>
        <v>12141.24</v>
      </c>
      <c r="M117" s="267">
        <v>0</v>
      </c>
      <c r="N117" s="271">
        <f t="shared" si="18"/>
        <v>129.60000000000002</v>
      </c>
      <c r="O117" s="271">
        <f t="shared" si="19"/>
        <v>111915</v>
      </c>
      <c r="P117" s="276">
        <f t="shared" si="14"/>
        <v>9084.3900000000012</v>
      </c>
      <c r="Q117" s="271">
        <f t="shared" si="15"/>
        <v>60084</v>
      </c>
      <c r="R117" s="271">
        <f t="shared" si="16"/>
        <v>93802.815600000002</v>
      </c>
      <c r="S117" s="271">
        <f t="shared" si="17"/>
        <v>2125.44</v>
      </c>
    </row>
    <row r="118" spans="1:21" x14ac:dyDescent="0.25">
      <c r="A118" s="271">
        <v>501442</v>
      </c>
      <c r="B118" s="271">
        <v>1442</v>
      </c>
      <c r="C118" s="271">
        <v>50254</v>
      </c>
      <c r="D118" s="268" t="s">
        <v>894</v>
      </c>
      <c r="E118" s="268" t="s">
        <v>1290</v>
      </c>
      <c r="F118" s="268" t="s">
        <v>2487</v>
      </c>
      <c r="G118" s="268">
        <v>6</v>
      </c>
      <c r="H118" s="268" t="s">
        <v>2488</v>
      </c>
      <c r="I118" s="268" t="s">
        <v>2489</v>
      </c>
      <c r="J118" s="271">
        <v>519108</v>
      </c>
      <c r="K118" s="271">
        <f t="shared" si="12"/>
        <v>43259</v>
      </c>
      <c r="L118" s="271">
        <f t="shared" si="13"/>
        <v>12141.24</v>
      </c>
      <c r="M118" s="267">
        <v>0</v>
      </c>
      <c r="N118" s="271">
        <f t="shared" si="18"/>
        <v>129.60000000000002</v>
      </c>
      <c r="O118" s="271">
        <f t="shared" si="19"/>
        <v>111915</v>
      </c>
      <c r="P118" s="276">
        <f t="shared" si="14"/>
        <v>9084.3900000000012</v>
      </c>
      <c r="Q118" s="271">
        <f t="shared" si="15"/>
        <v>60084</v>
      </c>
      <c r="R118" s="271">
        <f t="shared" si="16"/>
        <v>93802.815600000002</v>
      </c>
      <c r="S118" s="271">
        <f t="shared" si="17"/>
        <v>2125.44</v>
      </c>
      <c r="T118" s="270"/>
      <c r="U118" s="270"/>
    </row>
    <row r="119" spans="1:21" s="270" customFormat="1" x14ac:dyDescent="0.25">
      <c r="A119" s="276">
        <v>501445</v>
      </c>
      <c r="B119" s="276">
        <v>1445</v>
      </c>
      <c r="C119" s="276">
        <v>50342</v>
      </c>
      <c r="D119" s="268" t="s">
        <v>894</v>
      </c>
      <c r="E119" s="268" t="s">
        <v>1278</v>
      </c>
      <c r="F119" s="268" t="s">
        <v>2490</v>
      </c>
      <c r="G119" s="268">
        <v>6</v>
      </c>
      <c r="H119" s="268" t="s">
        <v>2491</v>
      </c>
      <c r="I119" s="268" t="s">
        <v>2475</v>
      </c>
      <c r="J119" s="267">
        <v>519108</v>
      </c>
      <c r="K119" s="276">
        <f t="shared" si="12"/>
        <v>43259</v>
      </c>
      <c r="L119" s="271">
        <f t="shared" si="13"/>
        <v>12141.24</v>
      </c>
      <c r="M119" s="267">
        <f>450*12</f>
        <v>5400</v>
      </c>
      <c r="N119" s="276">
        <f t="shared" si="18"/>
        <v>129.60000000000002</v>
      </c>
      <c r="O119" s="267">
        <f t="shared" si="19"/>
        <v>111915</v>
      </c>
      <c r="P119" s="276">
        <f t="shared" si="14"/>
        <v>9084.3900000000012</v>
      </c>
      <c r="Q119" s="271">
        <f t="shared" si="15"/>
        <v>60084</v>
      </c>
      <c r="R119" s="276">
        <f t="shared" si="16"/>
        <v>93802.815600000002</v>
      </c>
      <c r="S119" s="276">
        <f t="shared" si="17"/>
        <v>2125.44</v>
      </c>
    </row>
    <row r="120" spans="1:21" s="270" customFormat="1" x14ac:dyDescent="0.25">
      <c r="A120" s="271">
        <v>501204</v>
      </c>
      <c r="B120" s="271">
        <v>1204</v>
      </c>
      <c r="C120" s="271">
        <v>59284</v>
      </c>
      <c r="D120" s="268" t="s">
        <v>894</v>
      </c>
      <c r="E120" s="268" t="s">
        <v>1278</v>
      </c>
      <c r="F120" s="268" t="s">
        <v>2492</v>
      </c>
      <c r="G120" s="268">
        <v>6</v>
      </c>
      <c r="H120" s="268" t="s">
        <v>2493</v>
      </c>
      <c r="I120" s="268" t="s">
        <v>2494</v>
      </c>
      <c r="J120" s="271">
        <v>519108</v>
      </c>
      <c r="K120" s="271">
        <f t="shared" si="12"/>
        <v>43259</v>
      </c>
      <c r="L120" s="271">
        <f t="shared" si="13"/>
        <v>12141.24</v>
      </c>
      <c r="M120" s="267">
        <v>0</v>
      </c>
      <c r="N120" s="271">
        <f t="shared" si="18"/>
        <v>129.60000000000002</v>
      </c>
      <c r="O120" s="276">
        <v>0</v>
      </c>
      <c r="P120" s="276">
        <f t="shared" si="14"/>
        <v>9084.3900000000012</v>
      </c>
      <c r="Q120" s="271">
        <f t="shared" si="15"/>
        <v>60084</v>
      </c>
      <c r="R120" s="271">
        <f t="shared" si="16"/>
        <v>93802.815600000002</v>
      </c>
      <c r="S120" s="271">
        <f t="shared" si="17"/>
        <v>2125.44</v>
      </c>
    </row>
    <row r="121" spans="1:21" s="270" customFormat="1" x14ac:dyDescent="0.25">
      <c r="A121" s="271">
        <v>501445</v>
      </c>
      <c r="B121" s="271">
        <v>1445</v>
      </c>
      <c r="C121" s="271">
        <v>84550</v>
      </c>
      <c r="D121" s="268" t="s">
        <v>894</v>
      </c>
      <c r="E121" s="268" t="s">
        <v>1290</v>
      </c>
      <c r="F121" s="268" t="s">
        <v>2362</v>
      </c>
      <c r="G121" s="268">
        <v>6</v>
      </c>
      <c r="H121" s="268" t="s">
        <v>2495</v>
      </c>
      <c r="I121" s="268" t="s">
        <v>2481</v>
      </c>
      <c r="J121" s="271">
        <v>519108</v>
      </c>
      <c r="K121" s="271">
        <f t="shared" si="12"/>
        <v>43259</v>
      </c>
      <c r="L121" s="271">
        <f t="shared" si="13"/>
        <v>12141.24</v>
      </c>
      <c r="M121" s="267">
        <v>0</v>
      </c>
      <c r="N121" s="271">
        <f t="shared" si="18"/>
        <v>129.60000000000002</v>
      </c>
      <c r="O121" s="271">
        <f>9326.25*12</f>
        <v>111915</v>
      </c>
      <c r="P121" s="276">
        <f t="shared" si="14"/>
        <v>9084.3900000000012</v>
      </c>
      <c r="Q121" s="271">
        <f t="shared" si="15"/>
        <v>60084</v>
      </c>
      <c r="R121" s="271">
        <f t="shared" si="16"/>
        <v>93802.815600000002</v>
      </c>
      <c r="S121" s="271">
        <f t="shared" si="17"/>
        <v>2125.44</v>
      </c>
    </row>
    <row r="122" spans="1:21" s="270" customFormat="1" x14ac:dyDescent="0.25">
      <c r="A122" s="271">
        <v>501442</v>
      </c>
      <c r="B122" s="271">
        <v>1442</v>
      </c>
      <c r="C122" s="271">
        <v>84576</v>
      </c>
      <c r="D122" s="268" t="s">
        <v>894</v>
      </c>
      <c r="E122" s="268" t="s">
        <v>1278</v>
      </c>
      <c r="F122" s="268" t="s">
        <v>1304</v>
      </c>
      <c r="G122" s="268">
        <v>6</v>
      </c>
      <c r="H122" s="268" t="s">
        <v>2496</v>
      </c>
      <c r="I122" s="268" t="s">
        <v>2475</v>
      </c>
      <c r="J122" s="271">
        <v>519108</v>
      </c>
      <c r="K122" s="271">
        <f t="shared" si="12"/>
        <v>43259</v>
      </c>
      <c r="L122" s="271">
        <f t="shared" si="13"/>
        <v>12141.24</v>
      </c>
      <c r="M122" s="267">
        <v>0</v>
      </c>
      <c r="N122" s="271">
        <f t="shared" si="18"/>
        <v>129.60000000000002</v>
      </c>
      <c r="O122" s="271">
        <f>9326.25*12</f>
        <v>111915</v>
      </c>
      <c r="P122" s="276">
        <f t="shared" si="14"/>
        <v>9084.3900000000012</v>
      </c>
      <c r="Q122" s="271">
        <f t="shared" si="15"/>
        <v>60084</v>
      </c>
      <c r="R122" s="271">
        <f t="shared" si="16"/>
        <v>93802.815600000002</v>
      </c>
      <c r="S122" s="271">
        <f t="shared" si="17"/>
        <v>2125.44</v>
      </c>
    </row>
    <row r="123" spans="1:21" s="270" customFormat="1" x14ac:dyDescent="0.25">
      <c r="A123" s="271">
        <v>110721</v>
      </c>
      <c r="B123" s="271">
        <v>1107</v>
      </c>
      <c r="C123" s="271">
        <v>200398</v>
      </c>
      <c r="D123" s="268" t="s">
        <v>894</v>
      </c>
      <c r="E123" s="268" t="s">
        <v>1278</v>
      </c>
      <c r="F123" s="268" t="s">
        <v>2497</v>
      </c>
      <c r="G123" s="268">
        <v>6</v>
      </c>
      <c r="H123" s="268" t="s">
        <v>2498</v>
      </c>
      <c r="I123" s="268" t="s">
        <v>2499</v>
      </c>
      <c r="J123" s="271">
        <v>519108</v>
      </c>
      <c r="K123" s="271">
        <f t="shared" si="12"/>
        <v>43259</v>
      </c>
      <c r="L123" s="271">
        <f t="shared" si="13"/>
        <v>12141.24</v>
      </c>
      <c r="M123" s="267">
        <v>0</v>
      </c>
      <c r="N123" s="271">
        <f t="shared" si="18"/>
        <v>129.60000000000002</v>
      </c>
      <c r="O123" s="276">
        <v>0</v>
      </c>
      <c r="P123" s="276">
        <f t="shared" si="14"/>
        <v>9084.3900000000012</v>
      </c>
      <c r="Q123" s="271">
        <f t="shared" si="15"/>
        <v>60084</v>
      </c>
      <c r="R123" s="271">
        <f t="shared" si="16"/>
        <v>93802.815600000002</v>
      </c>
      <c r="S123" s="271">
        <f t="shared" si="17"/>
        <v>2125.44</v>
      </c>
    </row>
    <row r="124" spans="1:21" s="270" customFormat="1" x14ac:dyDescent="0.25">
      <c r="A124" s="271">
        <v>501442</v>
      </c>
      <c r="B124" s="271">
        <v>1442</v>
      </c>
      <c r="C124" s="271">
        <v>200399</v>
      </c>
      <c r="D124" s="268" t="s">
        <v>894</v>
      </c>
      <c r="E124" s="268" t="s">
        <v>1290</v>
      </c>
      <c r="F124" s="268" t="s">
        <v>2411</v>
      </c>
      <c r="G124" s="268">
        <v>6</v>
      </c>
      <c r="H124" s="268" t="s">
        <v>2500</v>
      </c>
      <c r="I124" s="268" t="s">
        <v>2501</v>
      </c>
      <c r="J124" s="271">
        <v>519108</v>
      </c>
      <c r="K124" s="271">
        <f t="shared" si="12"/>
        <v>43259</v>
      </c>
      <c r="L124" s="271">
        <f t="shared" si="13"/>
        <v>12141.24</v>
      </c>
      <c r="M124" s="267">
        <v>0</v>
      </c>
      <c r="N124" s="271">
        <f t="shared" si="18"/>
        <v>129.60000000000002</v>
      </c>
      <c r="O124" s="276">
        <v>0</v>
      </c>
      <c r="P124" s="276">
        <f t="shared" si="14"/>
        <v>9084.3900000000012</v>
      </c>
      <c r="Q124" s="271">
        <f t="shared" si="15"/>
        <v>60084</v>
      </c>
      <c r="R124" s="271">
        <f t="shared" si="16"/>
        <v>93802.815600000002</v>
      </c>
      <c r="S124" s="271">
        <f t="shared" si="17"/>
        <v>2125.44</v>
      </c>
    </row>
    <row r="125" spans="1:21" s="270" customFormat="1" x14ac:dyDescent="0.25">
      <c r="A125" s="271">
        <v>110721</v>
      </c>
      <c r="B125" s="271">
        <v>1107</v>
      </c>
      <c r="C125" s="271">
        <v>200410</v>
      </c>
      <c r="D125" s="268" t="s">
        <v>894</v>
      </c>
      <c r="E125" s="268" t="s">
        <v>1278</v>
      </c>
      <c r="F125" s="268" t="s">
        <v>2502</v>
      </c>
      <c r="G125" s="268">
        <v>6</v>
      </c>
      <c r="H125" s="268" t="s">
        <v>2503</v>
      </c>
      <c r="I125" s="268" t="s">
        <v>2504</v>
      </c>
      <c r="J125" s="271">
        <v>519108</v>
      </c>
      <c r="K125" s="271">
        <f t="shared" si="12"/>
        <v>43259</v>
      </c>
      <c r="L125" s="271">
        <f t="shared" si="13"/>
        <v>12141.24</v>
      </c>
      <c r="M125" s="267">
        <v>0</v>
      </c>
      <c r="N125" s="271">
        <f t="shared" si="18"/>
        <v>129.60000000000002</v>
      </c>
      <c r="O125" s="276">
        <v>0</v>
      </c>
      <c r="P125" s="276">
        <f t="shared" si="14"/>
        <v>9084.3900000000012</v>
      </c>
      <c r="Q125" s="271">
        <f t="shared" si="15"/>
        <v>60084</v>
      </c>
      <c r="R125" s="271">
        <f t="shared" si="16"/>
        <v>93802.815600000002</v>
      </c>
      <c r="S125" s="271">
        <f t="shared" si="17"/>
        <v>2125.44</v>
      </c>
    </row>
    <row r="126" spans="1:21" s="270" customFormat="1" x14ac:dyDescent="0.25">
      <c r="A126" s="271">
        <v>501305</v>
      </c>
      <c r="B126" s="271">
        <v>1305</v>
      </c>
      <c r="C126" s="271">
        <v>19114</v>
      </c>
      <c r="D126" s="268" t="s">
        <v>1698</v>
      </c>
      <c r="E126" s="268" t="s">
        <v>1290</v>
      </c>
      <c r="F126" s="268" t="s">
        <v>894</v>
      </c>
      <c r="G126" s="268">
        <v>6</v>
      </c>
      <c r="H126" s="268" t="s">
        <v>2505</v>
      </c>
      <c r="I126" s="268" t="s">
        <v>2444</v>
      </c>
      <c r="J126" s="271">
        <v>504708</v>
      </c>
      <c r="K126" s="271">
        <f t="shared" si="12"/>
        <v>42059</v>
      </c>
      <c r="L126" s="271">
        <f t="shared" si="13"/>
        <v>12141.24</v>
      </c>
      <c r="M126" s="267">
        <v>0</v>
      </c>
      <c r="N126" s="271">
        <f t="shared" si="18"/>
        <v>129.60000000000002</v>
      </c>
      <c r="O126" s="276">
        <v>0</v>
      </c>
      <c r="P126" s="276">
        <f t="shared" si="14"/>
        <v>8832.3900000000012</v>
      </c>
      <c r="Q126" s="271">
        <f t="shared" si="15"/>
        <v>60084</v>
      </c>
      <c r="R126" s="271">
        <f t="shared" si="16"/>
        <v>91200.7356</v>
      </c>
      <c r="S126" s="271">
        <f t="shared" si="17"/>
        <v>2125.44</v>
      </c>
    </row>
    <row r="127" spans="1:21" x14ac:dyDescent="0.25">
      <c r="A127" s="271">
        <v>501305</v>
      </c>
      <c r="B127" s="271">
        <v>1305</v>
      </c>
      <c r="C127" s="271">
        <v>36375</v>
      </c>
      <c r="D127" s="268" t="s">
        <v>894</v>
      </c>
      <c r="E127" s="268" t="s">
        <v>1278</v>
      </c>
      <c r="F127" s="268" t="s">
        <v>2506</v>
      </c>
      <c r="G127" s="268">
        <v>6</v>
      </c>
      <c r="H127" s="268" t="s">
        <v>2507</v>
      </c>
      <c r="I127" s="268" t="s">
        <v>2444</v>
      </c>
      <c r="J127" s="271">
        <v>504708</v>
      </c>
      <c r="K127" s="271">
        <f t="shared" si="12"/>
        <v>42059</v>
      </c>
      <c r="L127" s="271">
        <f t="shared" si="13"/>
        <v>12141.24</v>
      </c>
      <c r="M127" s="267">
        <v>0</v>
      </c>
      <c r="N127" s="271">
        <f t="shared" si="18"/>
        <v>129.60000000000002</v>
      </c>
      <c r="O127" s="276">
        <v>0</v>
      </c>
      <c r="P127" s="276">
        <f t="shared" si="14"/>
        <v>8832.3900000000012</v>
      </c>
      <c r="Q127" s="271">
        <f t="shared" si="15"/>
        <v>60084</v>
      </c>
      <c r="R127" s="271">
        <f t="shared" si="16"/>
        <v>91200.7356</v>
      </c>
      <c r="S127" s="271">
        <f t="shared" si="17"/>
        <v>2125.44</v>
      </c>
      <c r="T127" s="270"/>
      <c r="U127" s="270"/>
    </row>
    <row r="128" spans="1:21" s="270" customFormat="1" x14ac:dyDescent="0.25">
      <c r="A128" s="276">
        <v>501444</v>
      </c>
      <c r="B128" s="276">
        <v>1444</v>
      </c>
      <c r="C128" s="276">
        <v>262</v>
      </c>
      <c r="D128" s="268" t="s">
        <v>894</v>
      </c>
      <c r="E128" s="268" t="s">
        <v>1290</v>
      </c>
      <c r="F128" s="268" t="s">
        <v>2508</v>
      </c>
      <c r="G128" s="268">
        <v>6</v>
      </c>
      <c r="H128" s="268" t="s">
        <v>2509</v>
      </c>
      <c r="I128" s="268" t="s">
        <v>2396</v>
      </c>
      <c r="J128" s="267">
        <v>490776</v>
      </c>
      <c r="K128" s="276">
        <f t="shared" ref="K128:K191" si="20">J128/12</f>
        <v>40898</v>
      </c>
      <c r="L128" s="271">
        <f t="shared" ref="L128:L191" si="21">1011.77*12</f>
        <v>12141.24</v>
      </c>
      <c r="M128" s="267">
        <f>500*12</f>
        <v>6000</v>
      </c>
      <c r="N128" s="276">
        <f t="shared" si="18"/>
        <v>129.60000000000002</v>
      </c>
      <c r="O128" s="267">
        <f>7983.75*12</f>
        <v>95805</v>
      </c>
      <c r="P128" s="276">
        <f t="shared" ref="P128:P191" si="22">J128*1.75%</f>
        <v>8588.58</v>
      </c>
      <c r="Q128" s="271">
        <f t="shared" ref="Q128:Q191" si="23">5007*12</f>
        <v>60084</v>
      </c>
      <c r="R128" s="276">
        <f t="shared" ref="R128:R191" si="24">18.07%*J128</f>
        <v>88683.223199999993</v>
      </c>
      <c r="S128" s="276">
        <f t="shared" si="17"/>
        <v>2125.44</v>
      </c>
    </row>
    <row r="129" spans="1:20" s="270" customFormat="1" x14ac:dyDescent="0.25">
      <c r="A129" s="271">
        <v>501103</v>
      </c>
      <c r="B129" s="271">
        <v>1103</v>
      </c>
      <c r="C129" s="271">
        <v>44066</v>
      </c>
      <c r="D129" s="268" t="s">
        <v>894</v>
      </c>
      <c r="E129" s="268" t="s">
        <v>1278</v>
      </c>
      <c r="F129" s="268" t="s">
        <v>1290</v>
      </c>
      <c r="G129" s="268">
        <v>6</v>
      </c>
      <c r="H129" s="268" t="s">
        <v>2510</v>
      </c>
      <c r="I129" s="268" t="s">
        <v>2511</v>
      </c>
      <c r="J129" s="271">
        <v>490776</v>
      </c>
      <c r="K129" s="271">
        <f t="shared" si="20"/>
        <v>40898</v>
      </c>
      <c r="L129" s="271">
        <f t="shared" si="21"/>
        <v>12141.24</v>
      </c>
      <c r="M129" s="267">
        <f>550*12</f>
        <v>6600</v>
      </c>
      <c r="N129" s="271">
        <f t="shared" si="18"/>
        <v>129.60000000000002</v>
      </c>
      <c r="O129" s="310">
        <f>8897.25*12</f>
        <v>106767</v>
      </c>
      <c r="P129" s="276">
        <f t="shared" si="22"/>
        <v>8588.58</v>
      </c>
      <c r="Q129" s="271">
        <f t="shared" si="23"/>
        <v>60084</v>
      </c>
      <c r="R129" s="271">
        <f t="shared" si="24"/>
        <v>88683.223199999993</v>
      </c>
      <c r="S129" s="271">
        <f t="shared" ref="S129:S192" si="25">177.12*12</f>
        <v>2125.44</v>
      </c>
    </row>
    <row r="130" spans="1:20" s="270" customFormat="1" x14ac:dyDescent="0.25">
      <c r="A130" s="271">
        <v>501442</v>
      </c>
      <c r="B130" s="271">
        <v>1442</v>
      </c>
      <c r="C130" s="271">
        <v>200027</v>
      </c>
      <c r="D130" s="268" t="s">
        <v>894</v>
      </c>
      <c r="E130" s="268" t="s">
        <v>1278</v>
      </c>
      <c r="F130" s="268" t="s">
        <v>2512</v>
      </c>
      <c r="G130" s="268">
        <v>6</v>
      </c>
      <c r="H130" s="268" t="s">
        <v>2513</v>
      </c>
      <c r="I130" s="268" t="s">
        <v>2483</v>
      </c>
      <c r="J130" s="271">
        <v>490776</v>
      </c>
      <c r="K130" s="271">
        <f t="shared" si="20"/>
        <v>40898</v>
      </c>
      <c r="L130" s="271">
        <f t="shared" si="21"/>
        <v>12141.24</v>
      </c>
      <c r="M130" s="267">
        <v>0</v>
      </c>
      <c r="N130" s="271">
        <f t="shared" si="18"/>
        <v>129.60000000000002</v>
      </c>
      <c r="O130" s="271">
        <f>8897.25*12</f>
        <v>106767</v>
      </c>
      <c r="P130" s="276">
        <f t="shared" si="22"/>
        <v>8588.58</v>
      </c>
      <c r="Q130" s="271">
        <f t="shared" si="23"/>
        <v>60084</v>
      </c>
      <c r="R130" s="271">
        <f t="shared" si="24"/>
        <v>88683.223199999993</v>
      </c>
      <c r="S130" s="271">
        <f t="shared" si="25"/>
        <v>2125.44</v>
      </c>
    </row>
    <row r="131" spans="1:20" s="270" customFormat="1" x14ac:dyDescent="0.25">
      <c r="A131" s="271">
        <v>501442</v>
      </c>
      <c r="B131" s="271">
        <v>1442</v>
      </c>
      <c r="C131" s="271">
        <v>200028</v>
      </c>
      <c r="D131" s="268" t="s">
        <v>894</v>
      </c>
      <c r="E131" s="268" t="s">
        <v>1290</v>
      </c>
      <c r="F131" s="268" t="s">
        <v>2514</v>
      </c>
      <c r="G131" s="268">
        <v>6</v>
      </c>
      <c r="H131" s="268" t="s">
        <v>2515</v>
      </c>
      <c r="I131" s="268" t="s">
        <v>2475</v>
      </c>
      <c r="J131" s="271">
        <v>490776</v>
      </c>
      <c r="K131" s="271">
        <f t="shared" si="20"/>
        <v>40898</v>
      </c>
      <c r="L131" s="271">
        <f t="shared" si="21"/>
        <v>12141.24</v>
      </c>
      <c r="M131" s="267">
        <v>0</v>
      </c>
      <c r="N131" s="271">
        <f t="shared" si="18"/>
        <v>129.60000000000002</v>
      </c>
      <c r="O131" s="271">
        <f>8897.25*12</f>
        <v>106767</v>
      </c>
      <c r="P131" s="276">
        <f t="shared" si="22"/>
        <v>8588.58</v>
      </c>
      <c r="Q131" s="271">
        <f t="shared" si="23"/>
        <v>60084</v>
      </c>
      <c r="R131" s="271">
        <f t="shared" si="24"/>
        <v>88683.223199999993</v>
      </c>
      <c r="S131" s="271">
        <f t="shared" si="25"/>
        <v>2125.44</v>
      </c>
    </row>
    <row r="132" spans="1:20" s="270" customFormat="1" x14ac:dyDescent="0.25">
      <c r="A132" s="271">
        <v>501442</v>
      </c>
      <c r="B132" s="271">
        <v>1442</v>
      </c>
      <c r="C132" s="271">
        <v>200029</v>
      </c>
      <c r="D132" s="268" t="s">
        <v>894</v>
      </c>
      <c r="E132" s="268" t="s">
        <v>1278</v>
      </c>
      <c r="F132" s="268" t="s">
        <v>2266</v>
      </c>
      <c r="G132" s="268">
        <v>6</v>
      </c>
      <c r="H132" s="268" t="s">
        <v>2516</v>
      </c>
      <c r="I132" s="268" t="s">
        <v>2483</v>
      </c>
      <c r="J132" s="271">
        <v>490776</v>
      </c>
      <c r="K132" s="271">
        <f t="shared" si="20"/>
        <v>40898</v>
      </c>
      <c r="L132" s="271">
        <f t="shared" si="21"/>
        <v>12141.24</v>
      </c>
      <c r="M132" s="267">
        <v>0</v>
      </c>
      <c r="N132" s="271">
        <f t="shared" si="18"/>
        <v>129.60000000000002</v>
      </c>
      <c r="O132" s="271">
        <f>8897.25*12</f>
        <v>106767</v>
      </c>
      <c r="P132" s="276">
        <f t="shared" si="22"/>
        <v>8588.58</v>
      </c>
      <c r="Q132" s="271">
        <f t="shared" si="23"/>
        <v>60084</v>
      </c>
      <c r="R132" s="272">
        <f t="shared" si="24"/>
        <v>88683.223199999993</v>
      </c>
      <c r="S132" s="271">
        <f t="shared" si="25"/>
        <v>2125.44</v>
      </c>
      <c r="T132" s="279"/>
    </row>
    <row r="133" spans="1:20" s="270" customFormat="1" x14ac:dyDescent="0.25">
      <c r="A133" s="271"/>
      <c r="B133" s="271">
        <v>1108</v>
      </c>
      <c r="C133" s="271">
        <v>200385</v>
      </c>
      <c r="D133" s="268" t="s">
        <v>894</v>
      </c>
      <c r="E133" s="268" t="s">
        <v>1290</v>
      </c>
      <c r="F133" s="268" t="s">
        <v>2517</v>
      </c>
      <c r="G133" s="268">
        <v>6</v>
      </c>
      <c r="H133" s="268" t="s">
        <v>2518</v>
      </c>
      <c r="I133" s="268" t="s">
        <v>2519</v>
      </c>
      <c r="J133" s="271">
        <v>490776</v>
      </c>
      <c r="K133" s="271">
        <f t="shared" si="20"/>
        <v>40898</v>
      </c>
      <c r="L133" s="271">
        <f t="shared" si="21"/>
        <v>12141.24</v>
      </c>
      <c r="M133" s="267">
        <v>0</v>
      </c>
      <c r="N133" s="271">
        <f t="shared" ref="N133:N196" si="26">10.8*12</f>
        <v>129.60000000000002</v>
      </c>
      <c r="O133" s="267">
        <v>0</v>
      </c>
      <c r="P133" s="276">
        <f t="shared" si="22"/>
        <v>8588.58</v>
      </c>
      <c r="Q133" s="271">
        <f t="shared" si="23"/>
        <v>60084</v>
      </c>
      <c r="R133" s="271">
        <f t="shared" si="24"/>
        <v>88683.223199999993</v>
      </c>
      <c r="S133" s="271">
        <f t="shared" si="25"/>
        <v>2125.44</v>
      </c>
    </row>
    <row r="134" spans="1:20" s="270" customFormat="1" x14ac:dyDescent="0.25">
      <c r="A134" s="271">
        <v>501305</v>
      </c>
      <c r="B134" s="271">
        <v>1305</v>
      </c>
      <c r="C134" s="271">
        <v>36155</v>
      </c>
      <c r="D134" s="268" t="s">
        <v>894</v>
      </c>
      <c r="E134" s="268" t="s">
        <v>1278</v>
      </c>
      <c r="F134" s="268" t="s">
        <v>2520</v>
      </c>
      <c r="G134" s="268">
        <v>6</v>
      </c>
      <c r="H134" s="268" t="s">
        <v>2521</v>
      </c>
      <c r="I134" s="268" t="s">
        <v>2444</v>
      </c>
      <c r="J134" s="271">
        <v>477252</v>
      </c>
      <c r="K134" s="271">
        <f t="shared" si="20"/>
        <v>39771</v>
      </c>
      <c r="L134" s="271">
        <f t="shared" si="21"/>
        <v>12141.24</v>
      </c>
      <c r="M134" s="267">
        <v>0</v>
      </c>
      <c r="N134" s="271">
        <f t="shared" si="26"/>
        <v>129.60000000000002</v>
      </c>
      <c r="O134" s="276">
        <v>0</v>
      </c>
      <c r="P134" s="276">
        <f t="shared" si="22"/>
        <v>8351.9100000000017</v>
      </c>
      <c r="Q134" s="271">
        <f t="shared" si="23"/>
        <v>60084</v>
      </c>
      <c r="R134" s="271">
        <f t="shared" si="24"/>
        <v>86239.436400000006</v>
      </c>
      <c r="S134" s="271">
        <f t="shared" si="25"/>
        <v>2125.44</v>
      </c>
    </row>
    <row r="135" spans="1:20" s="270" customFormat="1" x14ac:dyDescent="0.25">
      <c r="A135" s="271">
        <v>110821</v>
      </c>
      <c r="B135" s="271">
        <v>1108</v>
      </c>
      <c r="C135" s="271">
        <v>200023</v>
      </c>
      <c r="D135" s="268" t="s">
        <v>894</v>
      </c>
      <c r="E135" s="268" t="s">
        <v>1278</v>
      </c>
      <c r="F135" s="268" t="s">
        <v>2522</v>
      </c>
      <c r="G135" s="268">
        <v>6</v>
      </c>
      <c r="H135" s="268" t="s">
        <v>2523</v>
      </c>
      <c r="I135" s="268" t="s">
        <v>2468</v>
      </c>
      <c r="J135" s="271">
        <v>477252</v>
      </c>
      <c r="K135" s="271">
        <f t="shared" si="20"/>
        <v>39771</v>
      </c>
      <c r="L135" s="271">
        <f t="shared" si="21"/>
        <v>12141.24</v>
      </c>
      <c r="M135" s="267">
        <v>0</v>
      </c>
      <c r="N135" s="271">
        <f t="shared" si="26"/>
        <v>129.60000000000002</v>
      </c>
      <c r="O135" s="276">
        <v>0</v>
      </c>
      <c r="P135" s="276">
        <f t="shared" si="22"/>
        <v>8351.9100000000017</v>
      </c>
      <c r="Q135" s="271">
        <f t="shared" si="23"/>
        <v>60084</v>
      </c>
      <c r="R135" s="271">
        <f t="shared" si="24"/>
        <v>86239.436400000006</v>
      </c>
      <c r="S135" s="271">
        <f t="shared" si="25"/>
        <v>2125.44</v>
      </c>
    </row>
    <row r="136" spans="1:20" s="270" customFormat="1" x14ac:dyDescent="0.25">
      <c r="A136" s="271">
        <v>501305</v>
      </c>
      <c r="B136" s="271">
        <v>1305</v>
      </c>
      <c r="C136" s="271">
        <v>200040</v>
      </c>
      <c r="D136" s="268" t="s">
        <v>894</v>
      </c>
      <c r="E136" s="268" t="s">
        <v>1278</v>
      </c>
      <c r="F136" s="268" t="s">
        <v>2524</v>
      </c>
      <c r="G136" s="268">
        <v>6</v>
      </c>
      <c r="H136" s="268" t="s">
        <v>2389</v>
      </c>
      <c r="I136" s="268" t="s">
        <v>2444</v>
      </c>
      <c r="J136" s="271">
        <v>477252</v>
      </c>
      <c r="K136" s="271">
        <f t="shared" si="20"/>
        <v>39771</v>
      </c>
      <c r="L136" s="271">
        <f t="shared" si="21"/>
        <v>12141.24</v>
      </c>
      <c r="M136" s="267">
        <v>0</v>
      </c>
      <c r="N136" s="271">
        <f t="shared" si="26"/>
        <v>129.60000000000002</v>
      </c>
      <c r="O136" s="276">
        <v>0</v>
      </c>
      <c r="P136" s="276">
        <f t="shared" si="22"/>
        <v>8351.9100000000017</v>
      </c>
      <c r="Q136" s="271">
        <f t="shared" si="23"/>
        <v>60084</v>
      </c>
      <c r="R136" s="271">
        <f t="shared" si="24"/>
        <v>86239.436400000006</v>
      </c>
      <c r="S136" s="271">
        <f t="shared" si="25"/>
        <v>2125.44</v>
      </c>
    </row>
    <row r="137" spans="1:20" s="270" customFormat="1" x14ac:dyDescent="0.25">
      <c r="A137" s="271">
        <v>110821</v>
      </c>
      <c r="B137" s="271">
        <v>1108</v>
      </c>
      <c r="C137" s="271">
        <v>200051</v>
      </c>
      <c r="D137" s="268" t="s">
        <v>894</v>
      </c>
      <c r="E137" s="268" t="s">
        <v>1278</v>
      </c>
      <c r="F137" s="268" t="s">
        <v>2450</v>
      </c>
      <c r="G137" s="268">
        <v>6</v>
      </c>
      <c r="H137" s="268" t="s">
        <v>2525</v>
      </c>
      <c r="I137" s="268" t="s">
        <v>2526</v>
      </c>
      <c r="J137" s="271">
        <v>477252</v>
      </c>
      <c r="K137" s="271">
        <f t="shared" si="20"/>
        <v>39771</v>
      </c>
      <c r="L137" s="271">
        <f t="shared" si="21"/>
        <v>12141.24</v>
      </c>
      <c r="M137" s="267">
        <v>0</v>
      </c>
      <c r="N137" s="271">
        <f t="shared" si="26"/>
        <v>129.60000000000002</v>
      </c>
      <c r="O137" s="271">
        <f>8640*12</f>
        <v>103680</v>
      </c>
      <c r="P137" s="276">
        <f t="shared" si="22"/>
        <v>8351.9100000000017</v>
      </c>
      <c r="Q137" s="271">
        <f t="shared" si="23"/>
        <v>60084</v>
      </c>
      <c r="R137" s="271">
        <f t="shared" si="24"/>
        <v>86239.436400000006</v>
      </c>
      <c r="S137" s="271">
        <f t="shared" si="25"/>
        <v>2125.44</v>
      </c>
    </row>
    <row r="138" spans="1:20" s="270" customFormat="1" x14ac:dyDescent="0.25">
      <c r="A138" s="271">
        <v>501443</v>
      </c>
      <c r="B138" s="271">
        <v>1443</v>
      </c>
      <c r="C138" s="271">
        <v>4226</v>
      </c>
      <c r="D138" s="268" t="s">
        <v>894</v>
      </c>
      <c r="E138" s="268" t="s">
        <v>1290</v>
      </c>
      <c r="F138" s="268" t="s">
        <v>1306</v>
      </c>
      <c r="G138" s="268">
        <v>7</v>
      </c>
      <c r="H138" s="268" t="s">
        <v>2527</v>
      </c>
      <c r="I138" s="268" t="s">
        <v>2528</v>
      </c>
      <c r="J138" s="271">
        <v>469944</v>
      </c>
      <c r="K138" s="271">
        <f t="shared" si="20"/>
        <v>39162</v>
      </c>
      <c r="L138" s="271">
        <f t="shared" si="21"/>
        <v>12141.24</v>
      </c>
      <c r="M138" s="267">
        <f>500*12</f>
        <v>6000</v>
      </c>
      <c r="N138" s="271">
        <f t="shared" si="26"/>
        <v>129.60000000000002</v>
      </c>
      <c r="O138" s="276">
        <v>0</v>
      </c>
      <c r="P138" s="276">
        <f t="shared" si="22"/>
        <v>8224.02</v>
      </c>
      <c r="Q138" s="271">
        <f t="shared" si="23"/>
        <v>60084</v>
      </c>
      <c r="R138" s="271">
        <f t="shared" si="24"/>
        <v>84918.880799999999</v>
      </c>
      <c r="S138" s="271">
        <f t="shared" si="25"/>
        <v>2125.44</v>
      </c>
    </row>
    <row r="139" spans="1:20" s="270" customFormat="1" x14ac:dyDescent="0.25">
      <c r="A139" s="271">
        <v>501443</v>
      </c>
      <c r="B139" s="271">
        <v>1443</v>
      </c>
      <c r="C139" s="271">
        <v>11251</v>
      </c>
      <c r="D139" s="268" t="s">
        <v>1698</v>
      </c>
      <c r="E139" s="268" t="s">
        <v>1290</v>
      </c>
      <c r="F139" s="268" t="s">
        <v>2529</v>
      </c>
      <c r="G139" s="268">
        <v>7</v>
      </c>
      <c r="H139" s="268" t="s">
        <v>2530</v>
      </c>
      <c r="I139" s="268" t="s">
        <v>2528</v>
      </c>
      <c r="J139" s="271">
        <v>469944</v>
      </c>
      <c r="K139" s="271">
        <f t="shared" si="20"/>
        <v>39162</v>
      </c>
      <c r="L139" s="271">
        <f t="shared" si="21"/>
        <v>12141.24</v>
      </c>
      <c r="M139" s="267">
        <f>500*12</f>
        <v>6000</v>
      </c>
      <c r="N139" s="271">
        <f t="shared" si="26"/>
        <v>129.60000000000002</v>
      </c>
      <c r="O139" s="276">
        <v>0</v>
      </c>
      <c r="P139" s="276">
        <f t="shared" si="22"/>
        <v>8224.02</v>
      </c>
      <c r="Q139" s="271">
        <f t="shared" si="23"/>
        <v>60084</v>
      </c>
      <c r="R139" s="271">
        <f t="shared" si="24"/>
        <v>84918.880799999999</v>
      </c>
      <c r="S139" s="271">
        <f t="shared" si="25"/>
        <v>2125.44</v>
      </c>
    </row>
    <row r="140" spans="1:20" s="270" customFormat="1" x14ac:dyDescent="0.25">
      <c r="A140" s="276">
        <v>501443</v>
      </c>
      <c r="B140" s="276">
        <v>1443</v>
      </c>
      <c r="C140" s="276">
        <v>12399</v>
      </c>
      <c r="D140" s="268" t="s">
        <v>894</v>
      </c>
      <c r="E140" s="268" t="s">
        <v>1290</v>
      </c>
      <c r="F140" s="268" t="s">
        <v>2476</v>
      </c>
      <c r="G140" s="268">
        <v>7</v>
      </c>
      <c r="H140" s="268" t="s">
        <v>2531</v>
      </c>
      <c r="I140" s="268" t="s">
        <v>2528</v>
      </c>
      <c r="J140" s="267">
        <v>469944</v>
      </c>
      <c r="K140" s="276">
        <f t="shared" si="20"/>
        <v>39162</v>
      </c>
      <c r="L140" s="271">
        <f t="shared" si="21"/>
        <v>12141.24</v>
      </c>
      <c r="M140" s="267">
        <f>500*12</f>
        <v>6000</v>
      </c>
      <c r="N140" s="276">
        <f t="shared" si="26"/>
        <v>129.60000000000002</v>
      </c>
      <c r="O140" s="276">
        <v>0</v>
      </c>
      <c r="P140" s="276">
        <f t="shared" si="22"/>
        <v>8224.02</v>
      </c>
      <c r="Q140" s="271">
        <f t="shared" si="23"/>
        <v>60084</v>
      </c>
      <c r="R140" s="276">
        <f t="shared" si="24"/>
        <v>84918.880799999999</v>
      </c>
      <c r="S140" s="276">
        <f t="shared" si="25"/>
        <v>2125.44</v>
      </c>
    </row>
    <row r="141" spans="1:20" s="270" customFormat="1" x14ac:dyDescent="0.25">
      <c r="A141" s="271">
        <v>501445</v>
      </c>
      <c r="B141" s="271">
        <v>1445</v>
      </c>
      <c r="C141" s="271">
        <v>15312</v>
      </c>
      <c r="D141" s="268" t="s">
        <v>1698</v>
      </c>
      <c r="E141" s="268" t="s">
        <v>1290</v>
      </c>
      <c r="F141" s="268" t="s">
        <v>2402</v>
      </c>
      <c r="G141" s="268">
        <v>7</v>
      </c>
      <c r="H141" s="268" t="s">
        <v>2532</v>
      </c>
      <c r="I141" s="268" t="s">
        <v>2533</v>
      </c>
      <c r="J141" s="271">
        <v>469944</v>
      </c>
      <c r="K141" s="271">
        <f t="shared" si="20"/>
        <v>39162</v>
      </c>
      <c r="L141" s="271">
        <f t="shared" si="21"/>
        <v>12141.24</v>
      </c>
      <c r="M141" s="267">
        <v>0</v>
      </c>
      <c r="N141" s="271">
        <f t="shared" si="26"/>
        <v>129.60000000000002</v>
      </c>
      <c r="O141" s="276">
        <v>0</v>
      </c>
      <c r="P141" s="276">
        <f t="shared" si="22"/>
        <v>8224.02</v>
      </c>
      <c r="Q141" s="271">
        <f t="shared" si="23"/>
        <v>60084</v>
      </c>
      <c r="R141" s="271">
        <f t="shared" si="24"/>
        <v>84918.880799999999</v>
      </c>
      <c r="S141" s="271">
        <f t="shared" si="25"/>
        <v>2125.44</v>
      </c>
    </row>
    <row r="142" spans="1:20" s="270" customFormat="1" x14ac:dyDescent="0.25">
      <c r="A142" s="271">
        <v>501407</v>
      </c>
      <c r="B142" s="271">
        <v>1407</v>
      </c>
      <c r="C142" s="271">
        <v>15859</v>
      </c>
      <c r="D142" s="268" t="s">
        <v>1698</v>
      </c>
      <c r="E142" s="268" t="s">
        <v>1290</v>
      </c>
      <c r="F142" s="268" t="s">
        <v>2534</v>
      </c>
      <c r="G142" s="268">
        <v>7</v>
      </c>
      <c r="H142" s="268" t="s">
        <v>2535</v>
      </c>
      <c r="I142" s="268" t="s">
        <v>2481</v>
      </c>
      <c r="J142" s="271">
        <v>469944</v>
      </c>
      <c r="K142" s="271">
        <f t="shared" si="20"/>
        <v>39162</v>
      </c>
      <c r="L142" s="271">
        <f t="shared" si="21"/>
        <v>12141.24</v>
      </c>
      <c r="M142" s="267">
        <f>350*12</f>
        <v>4200</v>
      </c>
      <c r="N142" s="271">
        <f t="shared" si="26"/>
        <v>129.60000000000002</v>
      </c>
      <c r="O142" s="271">
        <f>8469*12</f>
        <v>101628</v>
      </c>
      <c r="P142" s="276">
        <f t="shared" si="22"/>
        <v>8224.02</v>
      </c>
      <c r="Q142" s="271">
        <f t="shared" si="23"/>
        <v>60084</v>
      </c>
      <c r="R142" s="271">
        <f t="shared" si="24"/>
        <v>84918.880799999999</v>
      </c>
      <c r="S142" s="271">
        <f t="shared" si="25"/>
        <v>2125.44</v>
      </c>
    </row>
    <row r="143" spans="1:20" s="270" customFormat="1" x14ac:dyDescent="0.25">
      <c r="A143" s="271">
        <v>501445</v>
      </c>
      <c r="B143" s="271">
        <v>1445</v>
      </c>
      <c r="C143" s="271">
        <v>18474</v>
      </c>
      <c r="D143" s="268" t="s">
        <v>1698</v>
      </c>
      <c r="E143" s="268" t="s">
        <v>1290</v>
      </c>
      <c r="F143" s="268" t="s">
        <v>2394</v>
      </c>
      <c r="G143" s="268">
        <v>7</v>
      </c>
      <c r="H143" s="268" t="s">
        <v>2480</v>
      </c>
      <c r="I143" s="268" t="s">
        <v>2536</v>
      </c>
      <c r="J143" s="271">
        <v>469944</v>
      </c>
      <c r="K143" s="271">
        <f t="shared" si="20"/>
        <v>39162</v>
      </c>
      <c r="L143" s="271">
        <f t="shared" si="21"/>
        <v>12141.24</v>
      </c>
      <c r="M143" s="267">
        <v>0</v>
      </c>
      <c r="N143" s="271">
        <f t="shared" si="26"/>
        <v>129.60000000000002</v>
      </c>
      <c r="O143" s="276">
        <v>0</v>
      </c>
      <c r="P143" s="276">
        <f t="shared" si="22"/>
        <v>8224.02</v>
      </c>
      <c r="Q143" s="271">
        <f t="shared" si="23"/>
        <v>60084</v>
      </c>
      <c r="R143" s="271">
        <f t="shared" si="24"/>
        <v>84918.880799999999</v>
      </c>
      <c r="S143" s="271">
        <f t="shared" si="25"/>
        <v>2125.44</v>
      </c>
    </row>
    <row r="144" spans="1:20" s="270" customFormat="1" x14ac:dyDescent="0.25">
      <c r="A144" s="271">
        <v>501443</v>
      </c>
      <c r="B144" s="271">
        <v>1443</v>
      </c>
      <c r="C144" s="271">
        <v>22978</v>
      </c>
      <c r="D144" s="268" t="s">
        <v>894</v>
      </c>
      <c r="E144" s="268" t="s">
        <v>1290</v>
      </c>
      <c r="F144" s="268" t="s">
        <v>2517</v>
      </c>
      <c r="G144" s="268">
        <v>7</v>
      </c>
      <c r="H144" s="268" t="s">
        <v>2537</v>
      </c>
      <c r="I144" s="268" t="s">
        <v>2538</v>
      </c>
      <c r="J144" s="271">
        <v>469944</v>
      </c>
      <c r="K144" s="271">
        <f t="shared" si="20"/>
        <v>39162</v>
      </c>
      <c r="L144" s="271">
        <f t="shared" si="21"/>
        <v>12141.24</v>
      </c>
      <c r="M144" s="267">
        <f>500*12</f>
        <v>6000</v>
      </c>
      <c r="N144" s="271">
        <f t="shared" si="26"/>
        <v>129.60000000000002</v>
      </c>
      <c r="O144" s="276">
        <v>0</v>
      </c>
      <c r="P144" s="276">
        <f t="shared" si="22"/>
        <v>8224.02</v>
      </c>
      <c r="Q144" s="271">
        <f t="shared" si="23"/>
        <v>60084</v>
      </c>
      <c r="R144" s="271">
        <f t="shared" si="24"/>
        <v>84918.880799999999</v>
      </c>
      <c r="S144" s="271">
        <f t="shared" si="25"/>
        <v>2125.44</v>
      </c>
    </row>
    <row r="145" spans="1:21" s="270" customFormat="1" x14ac:dyDescent="0.25">
      <c r="A145" s="271">
        <v>501443</v>
      </c>
      <c r="B145" s="271">
        <v>1443</v>
      </c>
      <c r="C145" s="271">
        <v>24976</v>
      </c>
      <c r="D145" s="268" t="s">
        <v>894</v>
      </c>
      <c r="E145" s="268" t="s">
        <v>1290</v>
      </c>
      <c r="F145" s="268" t="s">
        <v>2539</v>
      </c>
      <c r="G145" s="268">
        <v>7</v>
      </c>
      <c r="H145" s="268" t="s">
        <v>2540</v>
      </c>
      <c r="I145" s="268" t="s">
        <v>2528</v>
      </c>
      <c r="J145" s="271">
        <v>469944</v>
      </c>
      <c r="K145" s="271">
        <f t="shared" si="20"/>
        <v>39162</v>
      </c>
      <c r="L145" s="271">
        <f t="shared" si="21"/>
        <v>12141.24</v>
      </c>
      <c r="M145" s="267">
        <f>500*12</f>
        <v>6000</v>
      </c>
      <c r="N145" s="271">
        <f t="shared" si="26"/>
        <v>129.60000000000002</v>
      </c>
      <c r="O145" s="276">
        <v>0</v>
      </c>
      <c r="P145" s="276">
        <f t="shared" si="22"/>
        <v>8224.02</v>
      </c>
      <c r="Q145" s="271">
        <f t="shared" si="23"/>
        <v>60084</v>
      </c>
      <c r="R145" s="271">
        <f t="shared" si="24"/>
        <v>84918.880799999999</v>
      </c>
      <c r="S145" s="271">
        <f t="shared" si="25"/>
        <v>2125.44</v>
      </c>
    </row>
    <row r="146" spans="1:21" x14ac:dyDescent="0.25">
      <c r="A146" s="271">
        <v>501443</v>
      </c>
      <c r="B146" s="271">
        <v>1443</v>
      </c>
      <c r="C146" s="271">
        <v>25881</v>
      </c>
      <c r="D146" s="268" t="s">
        <v>1698</v>
      </c>
      <c r="E146" s="268" t="s">
        <v>1290</v>
      </c>
      <c r="F146" s="268" t="s">
        <v>538</v>
      </c>
      <c r="G146" s="268">
        <v>7</v>
      </c>
      <c r="H146" s="268" t="s">
        <v>2541</v>
      </c>
      <c r="I146" s="268" t="s">
        <v>2528</v>
      </c>
      <c r="J146" s="271">
        <v>469944</v>
      </c>
      <c r="K146" s="271">
        <f t="shared" si="20"/>
        <v>39162</v>
      </c>
      <c r="L146" s="271">
        <f t="shared" si="21"/>
        <v>12141.24</v>
      </c>
      <c r="M146" s="267">
        <f>500*12</f>
        <v>6000</v>
      </c>
      <c r="N146" s="271">
        <f t="shared" si="26"/>
        <v>129.60000000000002</v>
      </c>
      <c r="O146" s="276">
        <v>0</v>
      </c>
      <c r="P146" s="276">
        <f t="shared" si="22"/>
        <v>8224.02</v>
      </c>
      <c r="Q146" s="271">
        <f t="shared" si="23"/>
        <v>60084</v>
      </c>
      <c r="R146" s="271">
        <f t="shared" si="24"/>
        <v>84918.880799999999</v>
      </c>
      <c r="S146" s="271">
        <f t="shared" si="25"/>
        <v>2125.44</v>
      </c>
      <c r="T146" s="270"/>
      <c r="U146" s="270"/>
    </row>
    <row r="147" spans="1:21" s="270" customFormat="1" x14ac:dyDescent="0.25">
      <c r="A147" s="271">
        <v>501443</v>
      </c>
      <c r="B147" s="271">
        <v>1443</v>
      </c>
      <c r="C147" s="271">
        <v>36210</v>
      </c>
      <c r="D147" s="268" t="s">
        <v>894</v>
      </c>
      <c r="E147" s="268" t="s">
        <v>1278</v>
      </c>
      <c r="F147" s="268" t="s">
        <v>2542</v>
      </c>
      <c r="G147" s="268">
        <v>7</v>
      </c>
      <c r="H147" s="268" t="s">
        <v>2543</v>
      </c>
      <c r="I147" s="268" t="s">
        <v>2528</v>
      </c>
      <c r="J147" s="271">
        <v>469944</v>
      </c>
      <c r="K147" s="271">
        <f t="shared" si="20"/>
        <v>39162</v>
      </c>
      <c r="L147" s="271">
        <f t="shared" si="21"/>
        <v>12141.24</v>
      </c>
      <c r="M147" s="267">
        <f>500*12</f>
        <v>6000</v>
      </c>
      <c r="N147" s="271">
        <f t="shared" si="26"/>
        <v>129.60000000000002</v>
      </c>
      <c r="O147" s="276">
        <v>0</v>
      </c>
      <c r="P147" s="276">
        <f t="shared" si="22"/>
        <v>8224.02</v>
      </c>
      <c r="Q147" s="271">
        <f t="shared" si="23"/>
        <v>60084</v>
      </c>
      <c r="R147" s="271">
        <f t="shared" si="24"/>
        <v>84918.880799999999</v>
      </c>
      <c r="S147" s="271">
        <f t="shared" si="25"/>
        <v>2125.44</v>
      </c>
    </row>
    <row r="148" spans="1:21" s="270" customFormat="1" x14ac:dyDescent="0.25">
      <c r="A148" s="271">
        <v>501501</v>
      </c>
      <c r="B148" s="271">
        <v>1503</v>
      </c>
      <c r="C148" s="271">
        <v>41328</v>
      </c>
      <c r="D148" s="268" t="s">
        <v>894</v>
      </c>
      <c r="E148" s="268" t="s">
        <v>1278</v>
      </c>
      <c r="F148" s="268" t="s">
        <v>2544</v>
      </c>
      <c r="G148" s="268">
        <v>7</v>
      </c>
      <c r="H148" s="268" t="s">
        <v>2545</v>
      </c>
      <c r="I148" s="268" t="s">
        <v>2546</v>
      </c>
      <c r="J148" s="271">
        <v>469944</v>
      </c>
      <c r="K148" s="271">
        <f t="shared" si="20"/>
        <v>39162</v>
      </c>
      <c r="L148" s="271">
        <f t="shared" si="21"/>
        <v>12141.24</v>
      </c>
      <c r="M148" s="267">
        <v>0</v>
      </c>
      <c r="N148" s="271">
        <f t="shared" si="26"/>
        <v>129.60000000000002</v>
      </c>
      <c r="O148" s="276">
        <v>0</v>
      </c>
      <c r="P148" s="276">
        <f t="shared" si="22"/>
        <v>8224.02</v>
      </c>
      <c r="Q148" s="271">
        <f t="shared" si="23"/>
        <v>60084</v>
      </c>
      <c r="R148" s="271">
        <f t="shared" si="24"/>
        <v>84918.880799999999</v>
      </c>
      <c r="S148" s="271">
        <f t="shared" si="25"/>
        <v>2125.44</v>
      </c>
    </row>
    <row r="149" spans="1:21" x14ac:dyDescent="0.25">
      <c r="A149" s="271">
        <v>501443</v>
      </c>
      <c r="B149" s="271">
        <v>1443</v>
      </c>
      <c r="C149" s="271">
        <v>49799</v>
      </c>
      <c r="D149" s="268" t="s">
        <v>894</v>
      </c>
      <c r="E149" s="268" t="s">
        <v>1290</v>
      </c>
      <c r="F149" s="268" t="s">
        <v>2547</v>
      </c>
      <c r="G149" s="268">
        <v>7</v>
      </c>
      <c r="H149" s="268" t="s">
        <v>2548</v>
      </c>
      <c r="I149" s="268" t="s">
        <v>2528</v>
      </c>
      <c r="J149" s="271">
        <v>469944</v>
      </c>
      <c r="K149" s="271">
        <f t="shared" si="20"/>
        <v>39162</v>
      </c>
      <c r="L149" s="271">
        <f t="shared" si="21"/>
        <v>12141.24</v>
      </c>
      <c r="M149" s="267">
        <f>500*12</f>
        <v>6000</v>
      </c>
      <c r="N149" s="271">
        <f t="shared" si="26"/>
        <v>129.60000000000002</v>
      </c>
      <c r="O149" s="271">
        <f>8640*12</f>
        <v>103680</v>
      </c>
      <c r="P149" s="276">
        <f t="shared" si="22"/>
        <v>8224.02</v>
      </c>
      <c r="Q149" s="271">
        <f t="shared" si="23"/>
        <v>60084</v>
      </c>
      <c r="R149" s="271">
        <f t="shared" si="24"/>
        <v>84918.880799999999</v>
      </c>
      <c r="S149" s="271">
        <f t="shared" si="25"/>
        <v>2125.44</v>
      </c>
      <c r="T149" s="270"/>
      <c r="U149" s="270"/>
    </row>
    <row r="150" spans="1:21" s="270" customFormat="1" x14ac:dyDescent="0.25">
      <c r="A150" s="271">
        <v>501407</v>
      </c>
      <c r="B150" s="271">
        <v>1407</v>
      </c>
      <c r="C150" s="271">
        <v>50296</v>
      </c>
      <c r="D150" s="268" t="s">
        <v>894</v>
      </c>
      <c r="E150" s="268" t="s">
        <v>1290</v>
      </c>
      <c r="F150" s="268" t="s">
        <v>2549</v>
      </c>
      <c r="G150" s="268">
        <v>7</v>
      </c>
      <c r="H150" s="268" t="s">
        <v>2550</v>
      </c>
      <c r="I150" s="268" t="s">
        <v>2481</v>
      </c>
      <c r="J150" s="271">
        <v>469944</v>
      </c>
      <c r="K150" s="271">
        <f t="shared" si="20"/>
        <v>39162</v>
      </c>
      <c r="L150" s="271">
        <f t="shared" si="21"/>
        <v>12141.24</v>
      </c>
      <c r="M150" s="267">
        <f>350*12</f>
        <v>4200</v>
      </c>
      <c r="N150" s="271">
        <f t="shared" si="26"/>
        <v>129.60000000000002</v>
      </c>
      <c r="O150" s="271">
        <f>8469*12</f>
        <v>101628</v>
      </c>
      <c r="P150" s="276">
        <f t="shared" si="22"/>
        <v>8224.02</v>
      </c>
      <c r="Q150" s="271">
        <f t="shared" si="23"/>
        <v>60084</v>
      </c>
      <c r="R150" s="271">
        <f t="shared" si="24"/>
        <v>84918.880799999999</v>
      </c>
      <c r="S150" s="271">
        <f t="shared" si="25"/>
        <v>2125.44</v>
      </c>
    </row>
    <row r="151" spans="1:21" s="270" customFormat="1" x14ac:dyDescent="0.25">
      <c r="A151" s="271">
        <v>501407</v>
      </c>
      <c r="B151" s="271">
        <v>1407</v>
      </c>
      <c r="C151" s="271">
        <v>50306</v>
      </c>
      <c r="D151" s="268" t="s">
        <v>894</v>
      </c>
      <c r="E151" s="268" t="s">
        <v>1290</v>
      </c>
      <c r="F151" s="268" t="s">
        <v>2551</v>
      </c>
      <c r="G151" s="268">
        <v>7</v>
      </c>
      <c r="H151" s="268" t="s">
        <v>2552</v>
      </c>
      <c r="I151" s="268" t="s">
        <v>2481</v>
      </c>
      <c r="J151" s="271">
        <v>469944</v>
      </c>
      <c r="K151" s="271">
        <f t="shared" si="20"/>
        <v>39162</v>
      </c>
      <c r="L151" s="271">
        <f t="shared" si="21"/>
        <v>12141.24</v>
      </c>
      <c r="M151" s="267">
        <f>350*12</f>
        <v>4200</v>
      </c>
      <c r="N151" s="271">
        <f t="shared" si="26"/>
        <v>129.60000000000002</v>
      </c>
      <c r="O151" s="271">
        <f>8469*12</f>
        <v>101628</v>
      </c>
      <c r="P151" s="276">
        <f t="shared" si="22"/>
        <v>8224.02</v>
      </c>
      <c r="Q151" s="271">
        <f t="shared" si="23"/>
        <v>60084</v>
      </c>
      <c r="R151" s="271">
        <f t="shared" si="24"/>
        <v>84918.880799999999</v>
      </c>
      <c r="S151" s="271">
        <f t="shared" si="25"/>
        <v>2125.44</v>
      </c>
    </row>
    <row r="152" spans="1:21" s="270" customFormat="1" x14ac:dyDescent="0.25">
      <c r="A152" s="271">
        <v>501445</v>
      </c>
      <c r="B152" s="271">
        <v>1445</v>
      </c>
      <c r="C152" s="271">
        <v>50458</v>
      </c>
      <c r="D152" s="268" t="s">
        <v>894</v>
      </c>
      <c r="E152" s="268" t="s">
        <v>1290</v>
      </c>
      <c r="F152" s="268" t="s">
        <v>2553</v>
      </c>
      <c r="G152" s="268">
        <v>7</v>
      </c>
      <c r="H152" s="268" t="s">
        <v>2554</v>
      </c>
      <c r="I152" s="268" t="s">
        <v>2555</v>
      </c>
      <c r="J152" s="271">
        <v>469944</v>
      </c>
      <c r="K152" s="271">
        <f t="shared" si="20"/>
        <v>39162</v>
      </c>
      <c r="L152" s="271">
        <f t="shared" si="21"/>
        <v>12141.24</v>
      </c>
      <c r="M152" s="267">
        <v>0</v>
      </c>
      <c r="N152" s="271">
        <f t="shared" si="26"/>
        <v>129.60000000000002</v>
      </c>
      <c r="O152" s="276">
        <v>0</v>
      </c>
      <c r="P152" s="276">
        <f t="shared" si="22"/>
        <v>8224.02</v>
      </c>
      <c r="Q152" s="271">
        <f t="shared" si="23"/>
        <v>60084</v>
      </c>
      <c r="R152" s="271">
        <f t="shared" si="24"/>
        <v>84918.880799999999</v>
      </c>
      <c r="S152" s="271">
        <f t="shared" si="25"/>
        <v>2125.44</v>
      </c>
    </row>
    <row r="153" spans="1:21" s="270" customFormat="1" x14ac:dyDescent="0.25">
      <c r="A153" s="271">
        <v>501445</v>
      </c>
      <c r="B153" s="271">
        <v>1445</v>
      </c>
      <c r="C153" s="271">
        <v>50490</v>
      </c>
      <c r="D153" s="268" t="s">
        <v>894</v>
      </c>
      <c r="E153" s="268" t="s">
        <v>1278</v>
      </c>
      <c r="F153" s="268" t="s">
        <v>2556</v>
      </c>
      <c r="G153" s="268">
        <v>7</v>
      </c>
      <c r="H153" s="268" t="s">
        <v>2557</v>
      </c>
      <c r="I153" s="268" t="s">
        <v>2555</v>
      </c>
      <c r="J153" s="271">
        <v>469944</v>
      </c>
      <c r="K153" s="271">
        <f t="shared" si="20"/>
        <v>39162</v>
      </c>
      <c r="L153" s="271">
        <f t="shared" si="21"/>
        <v>12141.24</v>
      </c>
      <c r="M153" s="267">
        <v>0</v>
      </c>
      <c r="N153" s="271">
        <f t="shared" si="26"/>
        <v>129.60000000000002</v>
      </c>
      <c r="O153" s="276">
        <v>0</v>
      </c>
      <c r="P153" s="276">
        <f t="shared" si="22"/>
        <v>8224.02</v>
      </c>
      <c r="Q153" s="271">
        <f t="shared" si="23"/>
        <v>60084</v>
      </c>
      <c r="R153" s="271">
        <f t="shared" si="24"/>
        <v>84918.880799999999</v>
      </c>
      <c r="S153" s="271">
        <f t="shared" si="25"/>
        <v>2125.44</v>
      </c>
    </row>
    <row r="154" spans="1:21" s="270" customFormat="1" x14ac:dyDescent="0.25">
      <c r="A154" s="271">
        <v>501506</v>
      </c>
      <c r="B154" s="271">
        <v>1506</v>
      </c>
      <c r="C154" s="271">
        <v>51334</v>
      </c>
      <c r="D154" s="268" t="s">
        <v>894</v>
      </c>
      <c r="E154" s="268" t="s">
        <v>1290</v>
      </c>
      <c r="F154" s="268" t="s">
        <v>2558</v>
      </c>
      <c r="G154" s="268">
        <v>7</v>
      </c>
      <c r="H154" s="268" t="s">
        <v>2559</v>
      </c>
      <c r="I154" s="268" t="s">
        <v>2528</v>
      </c>
      <c r="J154" s="271">
        <v>469944</v>
      </c>
      <c r="K154" s="271">
        <f t="shared" si="20"/>
        <v>39162</v>
      </c>
      <c r="L154" s="271">
        <f t="shared" si="21"/>
        <v>12141.24</v>
      </c>
      <c r="M154" s="267">
        <v>0</v>
      </c>
      <c r="N154" s="271">
        <f t="shared" si="26"/>
        <v>129.60000000000002</v>
      </c>
      <c r="O154" s="276">
        <v>0</v>
      </c>
      <c r="P154" s="276">
        <f t="shared" si="22"/>
        <v>8224.02</v>
      </c>
      <c r="Q154" s="271">
        <f t="shared" si="23"/>
        <v>60084</v>
      </c>
      <c r="R154" s="271">
        <f t="shared" si="24"/>
        <v>84918.880799999999</v>
      </c>
      <c r="S154" s="271">
        <f t="shared" si="25"/>
        <v>2125.44</v>
      </c>
    </row>
    <row r="155" spans="1:21" s="270" customFormat="1" x14ac:dyDescent="0.25">
      <c r="A155" s="276">
        <v>501443</v>
      </c>
      <c r="B155" s="276">
        <v>1443</v>
      </c>
      <c r="C155" s="276">
        <v>51538</v>
      </c>
      <c r="D155" s="268" t="s">
        <v>894</v>
      </c>
      <c r="E155" s="268" t="s">
        <v>1290</v>
      </c>
      <c r="F155" s="268" t="s">
        <v>2560</v>
      </c>
      <c r="G155" s="268">
        <v>7</v>
      </c>
      <c r="H155" s="268" t="s">
        <v>2561</v>
      </c>
      <c r="I155" s="268" t="s">
        <v>2528</v>
      </c>
      <c r="J155" s="267">
        <v>469944</v>
      </c>
      <c r="K155" s="276">
        <f t="shared" si="20"/>
        <v>39162</v>
      </c>
      <c r="L155" s="271">
        <f t="shared" si="21"/>
        <v>12141.24</v>
      </c>
      <c r="M155" s="267">
        <f>500*12</f>
        <v>6000</v>
      </c>
      <c r="N155" s="276">
        <f t="shared" si="26"/>
        <v>129.60000000000002</v>
      </c>
      <c r="O155" s="276">
        <v>0</v>
      </c>
      <c r="P155" s="276">
        <f t="shared" si="22"/>
        <v>8224.02</v>
      </c>
      <c r="Q155" s="271">
        <f t="shared" si="23"/>
        <v>60084</v>
      </c>
      <c r="R155" s="276">
        <f t="shared" si="24"/>
        <v>84918.880799999999</v>
      </c>
      <c r="S155" s="276">
        <f t="shared" si="25"/>
        <v>2125.44</v>
      </c>
    </row>
    <row r="156" spans="1:21" s="270" customFormat="1" x14ac:dyDescent="0.25">
      <c r="A156" s="276">
        <v>501443</v>
      </c>
      <c r="B156" s="276">
        <v>1443</v>
      </c>
      <c r="C156" s="276">
        <v>55822</v>
      </c>
      <c r="D156" s="268" t="s">
        <v>894</v>
      </c>
      <c r="E156" s="268" t="s">
        <v>1290</v>
      </c>
      <c r="F156" s="268" t="s">
        <v>2562</v>
      </c>
      <c r="G156" s="268">
        <v>7</v>
      </c>
      <c r="H156" s="268" t="s">
        <v>2563</v>
      </c>
      <c r="I156" s="268" t="s">
        <v>2564</v>
      </c>
      <c r="J156" s="267">
        <v>469944</v>
      </c>
      <c r="K156" s="276">
        <f t="shared" si="20"/>
        <v>39162</v>
      </c>
      <c r="L156" s="271">
        <f t="shared" si="21"/>
        <v>12141.24</v>
      </c>
      <c r="M156" s="267">
        <f>500*12</f>
        <v>6000</v>
      </c>
      <c r="N156" s="276">
        <f t="shared" si="26"/>
        <v>129.60000000000002</v>
      </c>
      <c r="O156" s="276">
        <v>0</v>
      </c>
      <c r="P156" s="276">
        <f t="shared" si="22"/>
        <v>8224.02</v>
      </c>
      <c r="Q156" s="271">
        <f t="shared" si="23"/>
        <v>60084</v>
      </c>
      <c r="R156" s="276">
        <f t="shared" si="24"/>
        <v>84918.880799999999</v>
      </c>
      <c r="S156" s="276">
        <f t="shared" si="25"/>
        <v>2125.44</v>
      </c>
    </row>
    <row r="157" spans="1:21" x14ac:dyDescent="0.25">
      <c r="A157" s="271">
        <v>501443</v>
      </c>
      <c r="B157" s="271">
        <v>1443</v>
      </c>
      <c r="C157" s="271">
        <v>56782</v>
      </c>
      <c r="D157" s="268" t="s">
        <v>894</v>
      </c>
      <c r="E157" s="268" t="s">
        <v>1290</v>
      </c>
      <c r="F157" s="268" t="s">
        <v>2565</v>
      </c>
      <c r="G157" s="268">
        <v>7</v>
      </c>
      <c r="H157" s="268" t="s">
        <v>2566</v>
      </c>
      <c r="I157" s="268" t="s">
        <v>2528</v>
      </c>
      <c r="J157" s="271">
        <v>469944</v>
      </c>
      <c r="K157" s="271">
        <f t="shared" si="20"/>
        <v>39162</v>
      </c>
      <c r="L157" s="271">
        <f t="shared" si="21"/>
        <v>12141.24</v>
      </c>
      <c r="M157" s="267">
        <f>500*12</f>
        <v>6000</v>
      </c>
      <c r="N157" s="271">
        <f t="shared" si="26"/>
        <v>129.60000000000002</v>
      </c>
      <c r="O157" s="276">
        <v>0</v>
      </c>
      <c r="P157" s="276">
        <f t="shared" si="22"/>
        <v>8224.02</v>
      </c>
      <c r="Q157" s="271">
        <f t="shared" si="23"/>
        <v>60084</v>
      </c>
      <c r="R157" s="271">
        <f t="shared" si="24"/>
        <v>84918.880799999999</v>
      </c>
      <c r="S157" s="271">
        <f t="shared" si="25"/>
        <v>2125.44</v>
      </c>
      <c r="T157" s="270"/>
      <c r="U157" s="270"/>
    </row>
    <row r="158" spans="1:21" s="270" customFormat="1" x14ac:dyDescent="0.25">
      <c r="A158" s="271">
        <v>501443</v>
      </c>
      <c r="B158" s="271">
        <v>1443</v>
      </c>
      <c r="C158" s="271">
        <v>59242</v>
      </c>
      <c r="D158" s="268" t="s">
        <v>894</v>
      </c>
      <c r="E158" s="268" t="s">
        <v>1278</v>
      </c>
      <c r="F158" s="268" t="s">
        <v>2567</v>
      </c>
      <c r="G158" s="268">
        <v>7</v>
      </c>
      <c r="H158" s="268" t="s">
        <v>2568</v>
      </c>
      <c r="I158" s="268" t="s">
        <v>2569</v>
      </c>
      <c r="J158" s="271">
        <v>469944</v>
      </c>
      <c r="K158" s="271">
        <f t="shared" si="20"/>
        <v>39162</v>
      </c>
      <c r="L158" s="271">
        <f t="shared" si="21"/>
        <v>12141.24</v>
      </c>
      <c r="M158" s="267">
        <v>0</v>
      </c>
      <c r="N158" s="271">
        <f t="shared" si="26"/>
        <v>129.60000000000002</v>
      </c>
      <c r="O158" s="276">
        <v>0</v>
      </c>
      <c r="P158" s="276">
        <f t="shared" si="22"/>
        <v>8224.02</v>
      </c>
      <c r="Q158" s="271">
        <f t="shared" si="23"/>
        <v>60084</v>
      </c>
      <c r="R158" s="271">
        <f t="shared" si="24"/>
        <v>84918.880799999999</v>
      </c>
      <c r="S158" s="271">
        <f t="shared" si="25"/>
        <v>2125.44</v>
      </c>
    </row>
    <row r="159" spans="1:21" s="270" customFormat="1" x14ac:dyDescent="0.25">
      <c r="A159" s="271">
        <v>501445</v>
      </c>
      <c r="B159" s="271">
        <v>1445</v>
      </c>
      <c r="C159" s="271">
        <v>84084</v>
      </c>
      <c r="D159" s="268" t="s">
        <v>894</v>
      </c>
      <c r="E159" s="268" t="s">
        <v>1290</v>
      </c>
      <c r="F159" s="268" t="s">
        <v>2251</v>
      </c>
      <c r="G159" s="268">
        <v>7</v>
      </c>
      <c r="H159" s="268" t="s">
        <v>2570</v>
      </c>
      <c r="I159" s="268" t="s">
        <v>2555</v>
      </c>
      <c r="J159" s="271">
        <v>469944</v>
      </c>
      <c r="K159" s="271">
        <f t="shared" si="20"/>
        <v>39162</v>
      </c>
      <c r="L159" s="271">
        <f t="shared" si="21"/>
        <v>12141.24</v>
      </c>
      <c r="M159" s="267">
        <v>0</v>
      </c>
      <c r="N159" s="271">
        <f t="shared" si="26"/>
        <v>129.60000000000002</v>
      </c>
      <c r="O159" s="276">
        <v>0</v>
      </c>
      <c r="P159" s="276">
        <f t="shared" si="22"/>
        <v>8224.02</v>
      </c>
      <c r="Q159" s="271">
        <f t="shared" si="23"/>
        <v>60084</v>
      </c>
      <c r="R159" s="271">
        <f t="shared" si="24"/>
        <v>84918.880799999999</v>
      </c>
      <c r="S159" s="271">
        <f t="shared" si="25"/>
        <v>2125.44</v>
      </c>
    </row>
    <row r="160" spans="1:21" s="270" customFormat="1" x14ac:dyDescent="0.25">
      <c r="A160" s="271">
        <v>501445</v>
      </c>
      <c r="B160" s="271">
        <v>1445</v>
      </c>
      <c r="C160" s="271">
        <v>84123</v>
      </c>
      <c r="D160" s="268" t="s">
        <v>894</v>
      </c>
      <c r="E160" s="268" t="s">
        <v>1290</v>
      </c>
      <c r="F160" s="268" t="s">
        <v>2571</v>
      </c>
      <c r="G160" s="268">
        <v>7</v>
      </c>
      <c r="H160" s="268" t="s">
        <v>2445</v>
      </c>
      <c r="I160" s="268" t="s">
        <v>2555</v>
      </c>
      <c r="J160" s="271">
        <v>469944</v>
      </c>
      <c r="K160" s="271">
        <f t="shared" si="20"/>
        <v>39162</v>
      </c>
      <c r="L160" s="271">
        <f t="shared" si="21"/>
        <v>12141.24</v>
      </c>
      <c r="M160" s="267">
        <v>0</v>
      </c>
      <c r="N160" s="271">
        <f t="shared" si="26"/>
        <v>129.60000000000002</v>
      </c>
      <c r="O160" s="276">
        <v>0</v>
      </c>
      <c r="P160" s="276">
        <f t="shared" si="22"/>
        <v>8224.02</v>
      </c>
      <c r="Q160" s="271">
        <f t="shared" si="23"/>
        <v>60084</v>
      </c>
      <c r="R160" s="271">
        <f t="shared" si="24"/>
        <v>84918.880799999999</v>
      </c>
      <c r="S160" s="271">
        <f t="shared" si="25"/>
        <v>2125.44</v>
      </c>
    </row>
    <row r="161" spans="1:21" s="270" customFormat="1" x14ac:dyDescent="0.25">
      <c r="A161" s="271">
        <v>501302</v>
      </c>
      <c r="B161" s="271">
        <v>1302</v>
      </c>
      <c r="C161" s="271">
        <v>85782</v>
      </c>
      <c r="D161" s="268" t="s">
        <v>894</v>
      </c>
      <c r="E161" s="268" t="s">
        <v>1278</v>
      </c>
      <c r="F161" s="268" t="s">
        <v>1298</v>
      </c>
      <c r="G161" s="268">
        <v>7</v>
      </c>
      <c r="H161" s="268" t="s">
        <v>2456</v>
      </c>
      <c r="I161" s="268" t="s">
        <v>2572</v>
      </c>
      <c r="J161" s="271">
        <v>469944</v>
      </c>
      <c r="K161" s="271">
        <f t="shared" si="20"/>
        <v>39162</v>
      </c>
      <c r="L161" s="271">
        <f t="shared" si="21"/>
        <v>12141.24</v>
      </c>
      <c r="M161" s="267">
        <v>0</v>
      </c>
      <c r="N161" s="271">
        <f t="shared" si="26"/>
        <v>129.60000000000002</v>
      </c>
      <c r="O161" s="276">
        <v>0</v>
      </c>
      <c r="P161" s="276">
        <f t="shared" si="22"/>
        <v>8224.02</v>
      </c>
      <c r="Q161" s="271">
        <f t="shared" si="23"/>
        <v>60084</v>
      </c>
      <c r="R161" s="271">
        <f t="shared" si="24"/>
        <v>84918.880799999999</v>
      </c>
      <c r="S161" s="271">
        <f t="shared" si="25"/>
        <v>2125.44</v>
      </c>
    </row>
    <row r="162" spans="1:21" s="270" customFormat="1" x14ac:dyDescent="0.25">
      <c r="A162" s="271">
        <v>501204</v>
      </c>
      <c r="B162" s="271">
        <v>1204</v>
      </c>
      <c r="C162" s="271">
        <v>87748</v>
      </c>
      <c r="D162" s="268" t="s">
        <v>894</v>
      </c>
      <c r="E162" s="268" t="s">
        <v>1290</v>
      </c>
      <c r="F162" s="268" t="s">
        <v>2573</v>
      </c>
      <c r="G162" s="268">
        <v>7</v>
      </c>
      <c r="H162" s="268" t="s">
        <v>2574</v>
      </c>
      <c r="I162" s="268" t="s">
        <v>2575</v>
      </c>
      <c r="J162" s="271">
        <v>469944</v>
      </c>
      <c r="K162" s="271">
        <f t="shared" si="20"/>
        <v>39162</v>
      </c>
      <c r="L162" s="271">
        <f t="shared" si="21"/>
        <v>12141.24</v>
      </c>
      <c r="M162" s="267">
        <v>0</v>
      </c>
      <c r="N162" s="271">
        <f t="shared" si="26"/>
        <v>129.60000000000002</v>
      </c>
      <c r="O162" s="276">
        <v>0</v>
      </c>
      <c r="P162" s="276">
        <f t="shared" si="22"/>
        <v>8224.02</v>
      </c>
      <c r="Q162" s="271">
        <f t="shared" si="23"/>
        <v>60084</v>
      </c>
      <c r="R162" s="271">
        <f t="shared" si="24"/>
        <v>84918.880799999999</v>
      </c>
      <c r="S162" s="271">
        <f t="shared" si="25"/>
        <v>2125.44</v>
      </c>
    </row>
    <row r="163" spans="1:21" s="270" customFormat="1" x14ac:dyDescent="0.25">
      <c r="A163" s="271">
        <v>501445</v>
      </c>
      <c r="B163" s="271">
        <v>1445</v>
      </c>
      <c r="C163" s="271">
        <v>87955</v>
      </c>
      <c r="D163" s="268" t="s">
        <v>894</v>
      </c>
      <c r="E163" s="268" t="s">
        <v>1290</v>
      </c>
      <c r="F163" s="268" t="s">
        <v>2576</v>
      </c>
      <c r="G163" s="268">
        <v>7</v>
      </c>
      <c r="H163" s="268" t="s">
        <v>2577</v>
      </c>
      <c r="I163" s="268" t="s">
        <v>2578</v>
      </c>
      <c r="J163" s="271">
        <v>469944</v>
      </c>
      <c r="K163" s="271">
        <f t="shared" si="20"/>
        <v>39162</v>
      </c>
      <c r="L163" s="271">
        <f t="shared" si="21"/>
        <v>12141.24</v>
      </c>
      <c r="M163" s="267">
        <v>0</v>
      </c>
      <c r="N163" s="271">
        <f t="shared" si="26"/>
        <v>129.60000000000002</v>
      </c>
      <c r="O163" s="276">
        <v>0</v>
      </c>
      <c r="P163" s="276">
        <f t="shared" si="22"/>
        <v>8224.02</v>
      </c>
      <c r="Q163" s="271">
        <f t="shared" si="23"/>
        <v>60084</v>
      </c>
      <c r="R163" s="271">
        <f t="shared" si="24"/>
        <v>84918.880799999999</v>
      </c>
      <c r="S163" s="271">
        <f t="shared" si="25"/>
        <v>2125.44</v>
      </c>
    </row>
    <row r="164" spans="1:21" x14ac:dyDescent="0.25">
      <c r="A164" s="271">
        <v>501445</v>
      </c>
      <c r="B164" s="271">
        <v>1445</v>
      </c>
      <c r="C164" s="271">
        <v>87997</v>
      </c>
      <c r="D164" s="268" t="s">
        <v>894</v>
      </c>
      <c r="E164" s="268" t="s">
        <v>1290</v>
      </c>
      <c r="F164" s="268" t="s">
        <v>2579</v>
      </c>
      <c r="G164" s="268">
        <v>7</v>
      </c>
      <c r="H164" s="268" t="s">
        <v>2580</v>
      </c>
      <c r="I164" s="268" t="s">
        <v>2581</v>
      </c>
      <c r="J164" s="271">
        <v>469944</v>
      </c>
      <c r="K164" s="271">
        <f t="shared" si="20"/>
        <v>39162</v>
      </c>
      <c r="L164" s="271">
        <f t="shared" si="21"/>
        <v>12141.24</v>
      </c>
      <c r="M164" s="267">
        <v>0</v>
      </c>
      <c r="N164" s="271">
        <f t="shared" si="26"/>
        <v>129.60000000000002</v>
      </c>
      <c r="O164" s="276">
        <v>0</v>
      </c>
      <c r="P164" s="276">
        <f t="shared" si="22"/>
        <v>8224.02</v>
      </c>
      <c r="Q164" s="271">
        <f t="shared" si="23"/>
        <v>60084</v>
      </c>
      <c r="R164" s="271">
        <f t="shared" si="24"/>
        <v>84918.880799999999</v>
      </c>
      <c r="S164" s="271">
        <f t="shared" si="25"/>
        <v>2125.44</v>
      </c>
      <c r="T164" s="270"/>
      <c r="U164" s="270"/>
    </row>
    <row r="165" spans="1:21" s="270" customFormat="1" x14ac:dyDescent="0.25">
      <c r="A165" s="271">
        <v>501445</v>
      </c>
      <c r="B165" s="271">
        <v>1445</v>
      </c>
      <c r="C165" s="271">
        <v>200039</v>
      </c>
      <c r="D165" s="268" t="s">
        <v>894</v>
      </c>
      <c r="E165" s="268" t="s">
        <v>1278</v>
      </c>
      <c r="F165" s="268" t="s">
        <v>1306</v>
      </c>
      <c r="G165" s="268">
        <v>7</v>
      </c>
      <c r="H165" s="268" t="s">
        <v>2582</v>
      </c>
      <c r="I165" s="268" t="s">
        <v>2583</v>
      </c>
      <c r="J165" s="271">
        <v>469944</v>
      </c>
      <c r="K165" s="271">
        <f t="shared" si="20"/>
        <v>39162</v>
      </c>
      <c r="L165" s="271">
        <f t="shared" si="21"/>
        <v>12141.24</v>
      </c>
      <c r="M165" s="267">
        <v>0</v>
      </c>
      <c r="N165" s="271">
        <f t="shared" si="26"/>
        <v>129.60000000000002</v>
      </c>
      <c r="O165" s="276">
        <v>0</v>
      </c>
      <c r="P165" s="276">
        <f t="shared" si="22"/>
        <v>8224.02</v>
      </c>
      <c r="Q165" s="271">
        <f t="shared" si="23"/>
        <v>60084</v>
      </c>
      <c r="R165" s="271">
        <f t="shared" si="24"/>
        <v>84918.880799999999</v>
      </c>
      <c r="S165" s="271">
        <f t="shared" si="25"/>
        <v>2125.44</v>
      </c>
    </row>
    <row r="166" spans="1:21" s="270" customFormat="1" x14ac:dyDescent="0.25">
      <c r="A166" s="271">
        <v>501445</v>
      </c>
      <c r="B166" s="271">
        <v>1445</v>
      </c>
      <c r="C166" s="271">
        <v>200045</v>
      </c>
      <c r="D166" s="268" t="s">
        <v>894</v>
      </c>
      <c r="E166" s="268" t="s">
        <v>1278</v>
      </c>
      <c r="F166" s="268" t="s">
        <v>2584</v>
      </c>
      <c r="G166" s="268">
        <v>7</v>
      </c>
      <c r="H166" s="268" t="s">
        <v>2585</v>
      </c>
      <c r="I166" s="268" t="s">
        <v>2583</v>
      </c>
      <c r="J166" s="271">
        <v>469944</v>
      </c>
      <c r="K166" s="271">
        <f t="shared" si="20"/>
        <v>39162</v>
      </c>
      <c r="L166" s="271">
        <f t="shared" si="21"/>
        <v>12141.24</v>
      </c>
      <c r="M166" s="267">
        <v>0</v>
      </c>
      <c r="N166" s="271">
        <f t="shared" si="26"/>
        <v>129.60000000000002</v>
      </c>
      <c r="O166" s="276">
        <v>0</v>
      </c>
      <c r="P166" s="276">
        <f t="shared" si="22"/>
        <v>8224.02</v>
      </c>
      <c r="Q166" s="271">
        <f t="shared" si="23"/>
        <v>60084</v>
      </c>
      <c r="R166" s="271">
        <f t="shared" si="24"/>
        <v>84918.880799999999</v>
      </c>
      <c r="S166" s="271">
        <f t="shared" si="25"/>
        <v>2125.44</v>
      </c>
    </row>
    <row r="167" spans="1:21" s="270" customFormat="1" x14ac:dyDescent="0.25">
      <c r="A167" s="271">
        <v>501304</v>
      </c>
      <c r="B167" s="271">
        <v>1304</v>
      </c>
      <c r="C167" s="271">
        <v>200060</v>
      </c>
      <c r="D167" s="268" t="s">
        <v>894</v>
      </c>
      <c r="E167" s="268" t="s">
        <v>1290</v>
      </c>
      <c r="F167" s="268" t="s">
        <v>2243</v>
      </c>
      <c r="G167" s="268">
        <v>7</v>
      </c>
      <c r="H167" s="268" t="s">
        <v>2586</v>
      </c>
      <c r="I167" s="268" t="s">
        <v>2587</v>
      </c>
      <c r="J167" s="271">
        <v>469944</v>
      </c>
      <c r="K167" s="271">
        <f t="shared" si="20"/>
        <v>39162</v>
      </c>
      <c r="L167" s="271">
        <f t="shared" si="21"/>
        <v>12141.24</v>
      </c>
      <c r="M167" s="267">
        <v>0</v>
      </c>
      <c r="N167" s="271">
        <f t="shared" si="26"/>
        <v>129.60000000000002</v>
      </c>
      <c r="O167" s="276">
        <v>0</v>
      </c>
      <c r="P167" s="276">
        <f t="shared" si="22"/>
        <v>8224.02</v>
      </c>
      <c r="Q167" s="271">
        <f t="shared" si="23"/>
        <v>60084</v>
      </c>
      <c r="R167" s="271">
        <f t="shared" si="24"/>
        <v>84918.880799999999</v>
      </c>
      <c r="S167" s="271">
        <f t="shared" si="25"/>
        <v>2125.44</v>
      </c>
    </row>
    <row r="168" spans="1:21" s="270" customFormat="1" x14ac:dyDescent="0.25">
      <c r="A168" s="271">
        <v>501204</v>
      </c>
      <c r="B168" s="271">
        <v>1204</v>
      </c>
      <c r="C168" s="271">
        <v>200063</v>
      </c>
      <c r="D168" s="268" t="s">
        <v>894</v>
      </c>
      <c r="E168" s="268" t="s">
        <v>1278</v>
      </c>
      <c r="F168" s="268" t="s">
        <v>2588</v>
      </c>
      <c r="G168" s="268">
        <v>7</v>
      </c>
      <c r="H168" s="268" t="s">
        <v>2448</v>
      </c>
      <c r="I168" s="268" t="s">
        <v>2589</v>
      </c>
      <c r="J168" s="271">
        <v>469944</v>
      </c>
      <c r="K168" s="271">
        <f t="shared" si="20"/>
        <v>39162</v>
      </c>
      <c r="L168" s="271">
        <f t="shared" si="21"/>
        <v>12141.24</v>
      </c>
      <c r="M168" s="267">
        <v>0</v>
      </c>
      <c r="N168" s="271">
        <f t="shared" si="26"/>
        <v>129.60000000000002</v>
      </c>
      <c r="O168" s="276">
        <v>0</v>
      </c>
      <c r="P168" s="276">
        <f t="shared" si="22"/>
        <v>8224.02</v>
      </c>
      <c r="Q168" s="271">
        <f t="shared" si="23"/>
        <v>60084</v>
      </c>
      <c r="R168" s="271">
        <f t="shared" si="24"/>
        <v>84918.880799999999</v>
      </c>
      <c r="S168" s="271">
        <f t="shared" si="25"/>
        <v>2125.44</v>
      </c>
    </row>
    <row r="169" spans="1:21" x14ac:dyDescent="0.25">
      <c r="A169" s="271">
        <v>501442</v>
      </c>
      <c r="B169" s="271">
        <v>1442</v>
      </c>
      <c r="C169" s="271">
        <v>200066</v>
      </c>
      <c r="D169" s="268" t="s">
        <v>876</v>
      </c>
      <c r="E169" s="268" t="s">
        <v>1290</v>
      </c>
      <c r="F169" s="268" t="s">
        <v>2411</v>
      </c>
      <c r="G169" s="268">
        <v>7</v>
      </c>
      <c r="H169" s="268" t="s">
        <v>2590</v>
      </c>
      <c r="I169" s="268" t="s">
        <v>2591</v>
      </c>
      <c r="J169" s="271">
        <v>469944</v>
      </c>
      <c r="K169" s="271">
        <f t="shared" si="20"/>
        <v>39162</v>
      </c>
      <c r="L169" s="271">
        <f t="shared" si="21"/>
        <v>12141.24</v>
      </c>
      <c r="M169" s="267">
        <v>0</v>
      </c>
      <c r="N169" s="271">
        <f t="shared" si="26"/>
        <v>129.60000000000002</v>
      </c>
      <c r="O169" s="271">
        <f>17694*12</f>
        <v>212328</v>
      </c>
      <c r="P169" s="276">
        <f t="shared" si="22"/>
        <v>8224.02</v>
      </c>
      <c r="Q169" s="271">
        <f t="shared" si="23"/>
        <v>60084</v>
      </c>
      <c r="R169" s="271">
        <f t="shared" si="24"/>
        <v>84918.880799999999</v>
      </c>
      <c r="S169" s="271">
        <f t="shared" si="25"/>
        <v>2125.44</v>
      </c>
      <c r="T169" s="270"/>
      <c r="U169" s="270"/>
    </row>
    <row r="170" spans="1:21" s="270" customFormat="1" x14ac:dyDescent="0.25">
      <c r="A170" s="271">
        <v>501204</v>
      </c>
      <c r="B170" s="271">
        <v>1204</v>
      </c>
      <c r="C170" s="271">
        <v>200181</v>
      </c>
      <c r="D170" s="268" t="s">
        <v>894</v>
      </c>
      <c r="E170" s="268" t="s">
        <v>1278</v>
      </c>
      <c r="F170" s="268" t="s">
        <v>2592</v>
      </c>
      <c r="G170" s="268">
        <v>7</v>
      </c>
      <c r="H170" s="268" t="s">
        <v>2593</v>
      </c>
      <c r="I170" s="268" t="s">
        <v>2594</v>
      </c>
      <c r="J170" s="271">
        <v>469944</v>
      </c>
      <c r="K170" s="271">
        <f t="shared" si="20"/>
        <v>39162</v>
      </c>
      <c r="L170" s="271">
        <f t="shared" si="21"/>
        <v>12141.24</v>
      </c>
      <c r="M170" s="267">
        <v>0</v>
      </c>
      <c r="N170" s="271">
        <f t="shared" si="26"/>
        <v>129.60000000000002</v>
      </c>
      <c r="O170" s="276">
        <v>0</v>
      </c>
      <c r="P170" s="276">
        <f t="shared" si="22"/>
        <v>8224.02</v>
      </c>
      <c r="Q170" s="271">
        <f t="shared" si="23"/>
        <v>60084</v>
      </c>
      <c r="R170" s="271">
        <f t="shared" si="24"/>
        <v>84918.880799999999</v>
      </c>
      <c r="S170" s="271">
        <f t="shared" si="25"/>
        <v>2125.44</v>
      </c>
    </row>
    <row r="171" spans="1:21" s="270" customFormat="1" x14ac:dyDescent="0.25">
      <c r="A171" s="271">
        <v>501204</v>
      </c>
      <c r="B171" s="271">
        <v>1204</v>
      </c>
      <c r="C171" s="271">
        <v>200182</v>
      </c>
      <c r="D171" s="268" t="s">
        <v>894</v>
      </c>
      <c r="E171" s="268" t="s">
        <v>1278</v>
      </c>
      <c r="F171" s="268" t="s">
        <v>2450</v>
      </c>
      <c r="G171" s="268">
        <v>7</v>
      </c>
      <c r="H171" s="268" t="s">
        <v>2577</v>
      </c>
      <c r="I171" s="268" t="s">
        <v>2595</v>
      </c>
      <c r="J171" s="271">
        <v>469944</v>
      </c>
      <c r="K171" s="271">
        <f t="shared" si="20"/>
        <v>39162</v>
      </c>
      <c r="L171" s="271">
        <f t="shared" si="21"/>
        <v>12141.24</v>
      </c>
      <c r="M171" s="267">
        <v>0</v>
      </c>
      <c r="N171" s="271">
        <f t="shared" si="26"/>
        <v>129.60000000000002</v>
      </c>
      <c r="O171" s="276">
        <v>0</v>
      </c>
      <c r="P171" s="276">
        <f t="shared" si="22"/>
        <v>8224.02</v>
      </c>
      <c r="Q171" s="271">
        <f t="shared" si="23"/>
        <v>60084</v>
      </c>
      <c r="R171" s="271">
        <f t="shared" si="24"/>
        <v>84918.880799999999</v>
      </c>
      <c r="S171" s="271">
        <f t="shared" si="25"/>
        <v>2125.44</v>
      </c>
    </row>
    <row r="172" spans="1:21" s="270" customFormat="1" x14ac:dyDescent="0.25">
      <c r="A172" s="271">
        <v>501204</v>
      </c>
      <c r="B172" s="271">
        <v>1204</v>
      </c>
      <c r="C172" s="271">
        <v>200183</v>
      </c>
      <c r="D172" s="268" t="s">
        <v>894</v>
      </c>
      <c r="E172" s="268" t="s">
        <v>1278</v>
      </c>
      <c r="F172" s="268" t="s">
        <v>2243</v>
      </c>
      <c r="G172" s="268">
        <v>7</v>
      </c>
      <c r="H172" s="268" t="s">
        <v>2596</v>
      </c>
      <c r="I172" s="268" t="s">
        <v>2597</v>
      </c>
      <c r="J172" s="271">
        <v>469944</v>
      </c>
      <c r="K172" s="271">
        <f t="shared" si="20"/>
        <v>39162</v>
      </c>
      <c r="L172" s="271">
        <f t="shared" si="21"/>
        <v>12141.24</v>
      </c>
      <c r="M172" s="267">
        <v>0</v>
      </c>
      <c r="N172" s="271">
        <f t="shared" si="26"/>
        <v>129.60000000000002</v>
      </c>
      <c r="O172" s="276">
        <v>0</v>
      </c>
      <c r="P172" s="276">
        <f t="shared" si="22"/>
        <v>8224.02</v>
      </c>
      <c r="Q172" s="271">
        <f t="shared" si="23"/>
        <v>60084</v>
      </c>
      <c r="R172" s="271">
        <f t="shared" si="24"/>
        <v>84918.880799999999</v>
      </c>
      <c r="S172" s="271">
        <f t="shared" si="25"/>
        <v>2125.44</v>
      </c>
    </row>
    <row r="173" spans="1:21" s="270" customFormat="1" x14ac:dyDescent="0.25">
      <c r="A173" s="271">
        <v>501204</v>
      </c>
      <c r="B173" s="271">
        <v>1204</v>
      </c>
      <c r="C173" s="271">
        <v>200190</v>
      </c>
      <c r="D173" s="268" t="s">
        <v>894</v>
      </c>
      <c r="E173" s="268" t="s">
        <v>1290</v>
      </c>
      <c r="F173" s="268" t="s">
        <v>2598</v>
      </c>
      <c r="G173" s="268">
        <v>7</v>
      </c>
      <c r="H173" s="268" t="s">
        <v>2599</v>
      </c>
      <c r="I173" s="268" t="s">
        <v>2600</v>
      </c>
      <c r="J173" s="271">
        <v>469944</v>
      </c>
      <c r="K173" s="271">
        <f t="shared" si="20"/>
        <v>39162</v>
      </c>
      <c r="L173" s="271">
        <f t="shared" si="21"/>
        <v>12141.24</v>
      </c>
      <c r="M173" s="267">
        <v>0</v>
      </c>
      <c r="N173" s="271">
        <f t="shared" si="26"/>
        <v>129.60000000000002</v>
      </c>
      <c r="O173" s="276">
        <v>0</v>
      </c>
      <c r="P173" s="276">
        <f t="shared" si="22"/>
        <v>8224.02</v>
      </c>
      <c r="Q173" s="271">
        <f t="shared" si="23"/>
        <v>60084</v>
      </c>
      <c r="R173" s="271">
        <f t="shared" si="24"/>
        <v>84918.880799999999</v>
      </c>
      <c r="S173" s="271">
        <f t="shared" si="25"/>
        <v>2125.44</v>
      </c>
    </row>
    <row r="174" spans="1:21" s="270" customFormat="1" x14ac:dyDescent="0.25">
      <c r="A174" s="271">
        <v>501204</v>
      </c>
      <c r="B174" s="271">
        <v>1204</v>
      </c>
      <c r="C174" s="271">
        <v>200192</v>
      </c>
      <c r="D174" s="268" t="s">
        <v>894</v>
      </c>
      <c r="E174" s="268" t="s">
        <v>1290</v>
      </c>
      <c r="F174" s="268" t="s">
        <v>2217</v>
      </c>
      <c r="G174" s="268">
        <v>7</v>
      </c>
      <c r="H174" s="268" t="s">
        <v>2601</v>
      </c>
      <c r="I174" s="268" t="s">
        <v>2600</v>
      </c>
      <c r="J174" s="271">
        <v>469944</v>
      </c>
      <c r="K174" s="271">
        <f t="shared" si="20"/>
        <v>39162</v>
      </c>
      <c r="L174" s="271">
        <f t="shared" si="21"/>
        <v>12141.24</v>
      </c>
      <c r="M174" s="267">
        <v>0</v>
      </c>
      <c r="N174" s="271">
        <f t="shared" si="26"/>
        <v>129.60000000000002</v>
      </c>
      <c r="O174" s="276">
        <v>0</v>
      </c>
      <c r="P174" s="276">
        <f t="shared" si="22"/>
        <v>8224.02</v>
      </c>
      <c r="Q174" s="271">
        <f t="shared" si="23"/>
        <v>60084</v>
      </c>
      <c r="R174" s="271">
        <f t="shared" si="24"/>
        <v>84918.880799999999</v>
      </c>
      <c r="S174" s="271">
        <f t="shared" si="25"/>
        <v>2125.44</v>
      </c>
    </row>
    <row r="175" spans="1:21" x14ac:dyDescent="0.25">
      <c r="A175" s="271">
        <v>501204</v>
      </c>
      <c r="B175" s="271">
        <v>1204</v>
      </c>
      <c r="C175" s="271">
        <v>200193</v>
      </c>
      <c r="D175" s="268" t="s">
        <v>894</v>
      </c>
      <c r="E175" s="268" t="s">
        <v>1278</v>
      </c>
      <c r="F175" s="268" t="s">
        <v>2261</v>
      </c>
      <c r="G175" s="268">
        <v>7</v>
      </c>
      <c r="H175" s="268" t="s">
        <v>2602</v>
      </c>
      <c r="I175" s="268" t="s">
        <v>2603</v>
      </c>
      <c r="J175" s="271">
        <v>469944</v>
      </c>
      <c r="K175" s="271">
        <f t="shared" si="20"/>
        <v>39162</v>
      </c>
      <c r="L175" s="271">
        <f t="shared" si="21"/>
        <v>12141.24</v>
      </c>
      <c r="M175" s="267">
        <v>0</v>
      </c>
      <c r="N175" s="271">
        <f t="shared" si="26"/>
        <v>129.60000000000002</v>
      </c>
      <c r="O175" s="276">
        <v>0</v>
      </c>
      <c r="P175" s="276">
        <f t="shared" si="22"/>
        <v>8224.02</v>
      </c>
      <c r="Q175" s="271">
        <f t="shared" si="23"/>
        <v>60084</v>
      </c>
      <c r="R175" s="271">
        <f t="shared" si="24"/>
        <v>84918.880799999999</v>
      </c>
      <c r="S175" s="271">
        <f t="shared" si="25"/>
        <v>2125.44</v>
      </c>
      <c r="T175" s="270"/>
      <c r="U175" s="270"/>
    </row>
    <row r="176" spans="1:21" s="270" customFormat="1" x14ac:dyDescent="0.25">
      <c r="A176" s="271">
        <v>501505</v>
      </c>
      <c r="B176" s="271">
        <v>1505</v>
      </c>
      <c r="C176" s="271">
        <v>200194</v>
      </c>
      <c r="D176" s="268" t="s">
        <v>894</v>
      </c>
      <c r="E176" s="268" t="s">
        <v>1278</v>
      </c>
      <c r="F176" s="268" t="s">
        <v>1293</v>
      </c>
      <c r="G176" s="268">
        <v>7</v>
      </c>
      <c r="H176" s="268" t="s">
        <v>2604</v>
      </c>
      <c r="I176" s="268" t="s">
        <v>2605</v>
      </c>
      <c r="J176" s="271">
        <v>469944</v>
      </c>
      <c r="K176" s="271">
        <f t="shared" si="20"/>
        <v>39162</v>
      </c>
      <c r="L176" s="271">
        <f t="shared" si="21"/>
        <v>12141.24</v>
      </c>
      <c r="M176" s="267">
        <v>0</v>
      </c>
      <c r="N176" s="271">
        <f t="shared" si="26"/>
        <v>129.60000000000002</v>
      </c>
      <c r="O176" s="276">
        <v>0</v>
      </c>
      <c r="P176" s="276">
        <f t="shared" si="22"/>
        <v>8224.02</v>
      </c>
      <c r="Q176" s="271">
        <f t="shared" si="23"/>
        <v>60084</v>
      </c>
      <c r="R176" s="271">
        <f t="shared" si="24"/>
        <v>84918.880799999999</v>
      </c>
      <c r="S176" s="271">
        <f t="shared" si="25"/>
        <v>2125.44</v>
      </c>
    </row>
    <row r="177" spans="1:21" s="270" customFormat="1" x14ac:dyDescent="0.25">
      <c r="A177" s="271">
        <v>501204</v>
      </c>
      <c r="B177" s="271">
        <v>1204</v>
      </c>
      <c r="C177" s="271">
        <v>200198</v>
      </c>
      <c r="D177" s="268" t="s">
        <v>894</v>
      </c>
      <c r="E177" s="268" t="s">
        <v>1278</v>
      </c>
      <c r="F177" s="268" t="s">
        <v>2455</v>
      </c>
      <c r="G177" s="268">
        <v>7</v>
      </c>
      <c r="H177" s="268" t="s">
        <v>2606</v>
      </c>
      <c r="I177" s="268" t="s">
        <v>2605</v>
      </c>
      <c r="J177" s="271">
        <v>469944</v>
      </c>
      <c r="K177" s="271">
        <f t="shared" si="20"/>
        <v>39162</v>
      </c>
      <c r="L177" s="271">
        <f t="shared" si="21"/>
        <v>12141.24</v>
      </c>
      <c r="M177" s="267">
        <v>0</v>
      </c>
      <c r="N177" s="271">
        <f t="shared" si="26"/>
        <v>129.60000000000002</v>
      </c>
      <c r="O177" s="276">
        <v>0</v>
      </c>
      <c r="P177" s="276">
        <f t="shared" si="22"/>
        <v>8224.02</v>
      </c>
      <c r="Q177" s="271">
        <f t="shared" si="23"/>
        <v>60084</v>
      </c>
      <c r="R177" s="271">
        <f t="shared" si="24"/>
        <v>84918.880799999999</v>
      </c>
      <c r="S177" s="271">
        <f t="shared" si="25"/>
        <v>2125.44</v>
      </c>
    </row>
    <row r="178" spans="1:21" s="270" customFormat="1" x14ac:dyDescent="0.25">
      <c r="A178" s="271">
        <v>501204</v>
      </c>
      <c r="B178" s="271">
        <v>1204</v>
      </c>
      <c r="C178" s="271">
        <v>200199</v>
      </c>
      <c r="D178" s="268" t="s">
        <v>894</v>
      </c>
      <c r="E178" s="268" t="s">
        <v>1278</v>
      </c>
      <c r="F178" s="268" t="s">
        <v>2607</v>
      </c>
      <c r="G178" s="268">
        <v>7</v>
      </c>
      <c r="H178" s="268" t="s">
        <v>2608</v>
      </c>
      <c r="I178" s="268" t="s">
        <v>2605</v>
      </c>
      <c r="J178" s="271">
        <v>469944</v>
      </c>
      <c r="K178" s="271">
        <f t="shared" si="20"/>
        <v>39162</v>
      </c>
      <c r="L178" s="271">
        <f t="shared" si="21"/>
        <v>12141.24</v>
      </c>
      <c r="M178" s="267">
        <v>0</v>
      </c>
      <c r="N178" s="271">
        <f t="shared" si="26"/>
        <v>129.60000000000002</v>
      </c>
      <c r="O178" s="276">
        <v>0</v>
      </c>
      <c r="P178" s="276">
        <f t="shared" si="22"/>
        <v>8224.02</v>
      </c>
      <c r="Q178" s="271">
        <f t="shared" si="23"/>
        <v>60084</v>
      </c>
      <c r="R178" s="271">
        <f t="shared" si="24"/>
        <v>84918.880799999999</v>
      </c>
      <c r="S178" s="271">
        <f t="shared" si="25"/>
        <v>2125.44</v>
      </c>
    </row>
    <row r="179" spans="1:21" s="270" customFormat="1" x14ac:dyDescent="0.25">
      <c r="A179" s="271">
        <v>501304</v>
      </c>
      <c r="B179" s="271">
        <v>1304</v>
      </c>
      <c r="C179" s="271">
        <v>200200</v>
      </c>
      <c r="D179" s="268" t="s">
        <v>894</v>
      </c>
      <c r="E179" s="268" t="s">
        <v>1278</v>
      </c>
      <c r="F179" s="268" t="s">
        <v>2217</v>
      </c>
      <c r="G179" s="268">
        <v>7</v>
      </c>
      <c r="H179" s="268" t="s">
        <v>2609</v>
      </c>
      <c r="I179" s="268" t="s">
        <v>2610</v>
      </c>
      <c r="J179" s="271">
        <v>469944</v>
      </c>
      <c r="K179" s="271">
        <f t="shared" si="20"/>
        <v>39162</v>
      </c>
      <c r="L179" s="271">
        <f t="shared" si="21"/>
        <v>12141.24</v>
      </c>
      <c r="M179" s="267">
        <v>0</v>
      </c>
      <c r="N179" s="271">
        <f t="shared" si="26"/>
        <v>129.60000000000002</v>
      </c>
      <c r="O179" s="271">
        <f>13921*12</f>
        <v>167052</v>
      </c>
      <c r="P179" s="276">
        <f t="shared" si="22"/>
        <v>8224.02</v>
      </c>
      <c r="Q179" s="271">
        <f t="shared" si="23"/>
        <v>60084</v>
      </c>
      <c r="R179" s="271">
        <f t="shared" si="24"/>
        <v>84918.880799999999</v>
      </c>
      <c r="S179" s="271">
        <f t="shared" si="25"/>
        <v>2125.44</v>
      </c>
    </row>
    <row r="180" spans="1:21" s="270" customFormat="1" x14ac:dyDescent="0.25">
      <c r="A180" s="271">
        <v>501304</v>
      </c>
      <c r="B180" s="271">
        <v>1304</v>
      </c>
      <c r="C180" s="271">
        <v>200236</v>
      </c>
      <c r="D180" s="268" t="s">
        <v>894</v>
      </c>
      <c r="E180" s="268" t="s">
        <v>1278</v>
      </c>
      <c r="F180" s="268" t="s">
        <v>1306</v>
      </c>
      <c r="G180" s="268">
        <v>7</v>
      </c>
      <c r="H180" s="268" t="s">
        <v>2611</v>
      </c>
      <c r="I180" s="268" t="s">
        <v>2612</v>
      </c>
      <c r="J180" s="271">
        <v>469944</v>
      </c>
      <c r="K180" s="271">
        <f t="shared" si="20"/>
        <v>39162</v>
      </c>
      <c r="L180" s="271">
        <f t="shared" si="21"/>
        <v>12141.24</v>
      </c>
      <c r="M180" s="267">
        <v>0</v>
      </c>
      <c r="N180" s="271">
        <f t="shared" si="26"/>
        <v>129.60000000000002</v>
      </c>
      <c r="O180" s="276">
        <v>0</v>
      </c>
      <c r="P180" s="276">
        <f t="shared" si="22"/>
        <v>8224.02</v>
      </c>
      <c r="Q180" s="271">
        <f t="shared" si="23"/>
        <v>60084</v>
      </c>
      <c r="R180" s="271">
        <f t="shared" si="24"/>
        <v>84918.880799999999</v>
      </c>
      <c r="S180" s="271">
        <f t="shared" si="25"/>
        <v>2125.44</v>
      </c>
    </row>
    <row r="181" spans="1:21" s="270" customFormat="1" x14ac:dyDescent="0.25">
      <c r="A181" s="271">
        <v>501203</v>
      </c>
      <c r="B181" s="271">
        <v>1205</v>
      </c>
      <c r="C181" s="271">
        <v>200247</v>
      </c>
      <c r="D181" s="268" t="s">
        <v>894</v>
      </c>
      <c r="E181" s="268" t="s">
        <v>1290</v>
      </c>
      <c r="F181" s="268" t="s">
        <v>2613</v>
      </c>
      <c r="G181" s="268">
        <v>7</v>
      </c>
      <c r="H181" s="268" t="s">
        <v>2614</v>
      </c>
      <c r="I181" s="268" t="s">
        <v>2615</v>
      </c>
      <c r="J181" s="271">
        <v>469944</v>
      </c>
      <c r="K181" s="271">
        <f t="shared" si="20"/>
        <v>39162</v>
      </c>
      <c r="L181" s="271">
        <f t="shared" si="21"/>
        <v>12141.24</v>
      </c>
      <c r="M181" s="267">
        <v>0</v>
      </c>
      <c r="N181" s="271">
        <f t="shared" si="26"/>
        <v>129.60000000000002</v>
      </c>
      <c r="O181" s="276">
        <v>0</v>
      </c>
      <c r="P181" s="276">
        <f t="shared" si="22"/>
        <v>8224.02</v>
      </c>
      <c r="Q181" s="271">
        <f t="shared" si="23"/>
        <v>60084</v>
      </c>
      <c r="R181" s="271">
        <f t="shared" si="24"/>
        <v>84918.880799999999</v>
      </c>
      <c r="S181" s="271">
        <f t="shared" si="25"/>
        <v>2125.44</v>
      </c>
    </row>
    <row r="182" spans="1:21" s="270" customFormat="1" x14ac:dyDescent="0.25">
      <c r="A182" s="271">
        <v>501203</v>
      </c>
      <c r="B182" s="271">
        <v>1203</v>
      </c>
      <c r="C182" s="271">
        <v>200248</v>
      </c>
      <c r="D182" s="268" t="s">
        <v>894</v>
      </c>
      <c r="E182" s="268" t="s">
        <v>1278</v>
      </c>
      <c r="F182" s="268" t="s">
        <v>2391</v>
      </c>
      <c r="G182" s="268">
        <v>7</v>
      </c>
      <c r="H182" s="268" t="s">
        <v>2616</v>
      </c>
      <c r="I182" s="268" t="s">
        <v>2617</v>
      </c>
      <c r="J182" s="271">
        <v>469944</v>
      </c>
      <c r="K182" s="271">
        <f t="shared" si="20"/>
        <v>39162</v>
      </c>
      <c r="L182" s="271">
        <f t="shared" si="21"/>
        <v>12141.24</v>
      </c>
      <c r="M182" s="267">
        <v>0</v>
      </c>
      <c r="N182" s="271">
        <f t="shared" si="26"/>
        <v>129.60000000000002</v>
      </c>
      <c r="O182" s="276">
        <v>0</v>
      </c>
      <c r="P182" s="276">
        <f t="shared" si="22"/>
        <v>8224.02</v>
      </c>
      <c r="Q182" s="271">
        <f t="shared" si="23"/>
        <v>60084</v>
      </c>
      <c r="R182" s="271">
        <f t="shared" si="24"/>
        <v>84918.880799999999</v>
      </c>
      <c r="S182" s="271">
        <f t="shared" si="25"/>
        <v>2125.44</v>
      </c>
    </row>
    <row r="183" spans="1:21" x14ac:dyDescent="0.25">
      <c r="A183" s="271">
        <v>501407</v>
      </c>
      <c r="B183" s="271">
        <v>1407</v>
      </c>
      <c r="C183" s="271">
        <v>200305</v>
      </c>
      <c r="D183" s="268" t="s">
        <v>894</v>
      </c>
      <c r="E183" s="268" t="s">
        <v>1290</v>
      </c>
      <c r="F183" s="268" t="s">
        <v>2618</v>
      </c>
      <c r="G183" s="268">
        <v>7</v>
      </c>
      <c r="H183" s="268" t="s">
        <v>2619</v>
      </c>
      <c r="I183" s="268" t="s">
        <v>2620</v>
      </c>
      <c r="J183" s="271">
        <v>469944</v>
      </c>
      <c r="K183" s="271">
        <f t="shared" si="20"/>
        <v>39162</v>
      </c>
      <c r="L183" s="271">
        <f t="shared" si="21"/>
        <v>12141.24</v>
      </c>
      <c r="M183" s="267">
        <v>0</v>
      </c>
      <c r="N183" s="271">
        <f t="shared" si="26"/>
        <v>129.60000000000002</v>
      </c>
      <c r="O183" s="276">
        <v>0</v>
      </c>
      <c r="P183" s="276">
        <f t="shared" si="22"/>
        <v>8224.02</v>
      </c>
      <c r="Q183" s="271">
        <f t="shared" si="23"/>
        <v>60084</v>
      </c>
      <c r="R183" s="271">
        <f t="shared" si="24"/>
        <v>84918.880799999999</v>
      </c>
      <c r="S183" s="271">
        <f t="shared" si="25"/>
        <v>2125.44</v>
      </c>
      <c r="T183" s="270"/>
      <c r="U183" s="270"/>
    </row>
    <row r="184" spans="1:21" x14ac:dyDescent="0.25">
      <c r="A184" s="271">
        <v>501304</v>
      </c>
      <c r="B184" s="271">
        <v>1304</v>
      </c>
      <c r="C184" s="271">
        <v>200363</v>
      </c>
      <c r="D184" s="268" t="s">
        <v>894</v>
      </c>
      <c r="E184" s="268" t="s">
        <v>1290</v>
      </c>
      <c r="F184" s="268" t="s">
        <v>2621</v>
      </c>
      <c r="G184" s="268">
        <v>7</v>
      </c>
      <c r="H184" s="268" t="s">
        <v>2622</v>
      </c>
      <c r="I184" s="268" t="s">
        <v>2623</v>
      </c>
      <c r="J184" s="271">
        <v>469944</v>
      </c>
      <c r="K184" s="271">
        <f t="shared" si="20"/>
        <v>39162</v>
      </c>
      <c r="L184" s="271">
        <f t="shared" si="21"/>
        <v>12141.24</v>
      </c>
      <c r="M184" s="267">
        <v>0</v>
      </c>
      <c r="N184" s="271">
        <f t="shared" si="26"/>
        <v>129.60000000000002</v>
      </c>
      <c r="O184" s="276">
        <v>0</v>
      </c>
      <c r="P184" s="276">
        <f t="shared" si="22"/>
        <v>8224.02</v>
      </c>
      <c r="Q184" s="271">
        <f t="shared" si="23"/>
        <v>60084</v>
      </c>
      <c r="R184" s="271">
        <f t="shared" si="24"/>
        <v>84918.880799999999</v>
      </c>
      <c r="S184" s="271">
        <f t="shared" si="25"/>
        <v>2125.44</v>
      </c>
      <c r="T184" s="270"/>
      <c r="U184" s="270"/>
    </row>
    <row r="185" spans="1:21" s="270" customFormat="1" x14ac:dyDescent="0.25">
      <c r="A185" s="271"/>
      <c r="B185" s="271">
        <v>1204</v>
      </c>
      <c r="C185" s="271">
        <v>200365</v>
      </c>
      <c r="D185" s="268" t="s">
        <v>1698</v>
      </c>
      <c r="E185" s="268" t="s">
        <v>1290</v>
      </c>
      <c r="F185" s="268" t="s">
        <v>2624</v>
      </c>
      <c r="G185" s="268">
        <v>7</v>
      </c>
      <c r="H185" s="268" t="s">
        <v>2625</v>
      </c>
      <c r="I185" s="268" t="s">
        <v>2626</v>
      </c>
      <c r="J185" s="271">
        <v>469944</v>
      </c>
      <c r="K185" s="271">
        <f t="shared" si="20"/>
        <v>39162</v>
      </c>
      <c r="L185" s="271">
        <f t="shared" si="21"/>
        <v>12141.24</v>
      </c>
      <c r="M185" s="267">
        <v>0</v>
      </c>
      <c r="N185" s="271">
        <f t="shared" si="26"/>
        <v>129.60000000000002</v>
      </c>
      <c r="O185" s="276">
        <v>0</v>
      </c>
      <c r="P185" s="276">
        <f t="shared" si="22"/>
        <v>8224.02</v>
      </c>
      <c r="Q185" s="271">
        <f t="shared" si="23"/>
        <v>60084</v>
      </c>
      <c r="R185" s="271">
        <f t="shared" si="24"/>
        <v>84918.880799999999</v>
      </c>
      <c r="S185" s="271">
        <f t="shared" si="25"/>
        <v>2125.44</v>
      </c>
    </row>
    <row r="186" spans="1:21" s="270" customFormat="1" x14ac:dyDescent="0.25">
      <c r="A186" s="271">
        <v>501503</v>
      </c>
      <c r="B186" s="271">
        <v>1107</v>
      </c>
      <c r="C186" s="271">
        <v>200402</v>
      </c>
      <c r="D186" s="268" t="s">
        <v>894</v>
      </c>
      <c r="E186" s="268" t="s">
        <v>1278</v>
      </c>
      <c r="F186" s="268" t="s">
        <v>2627</v>
      </c>
      <c r="G186" s="268">
        <v>7</v>
      </c>
      <c r="H186" s="268" t="s">
        <v>2628</v>
      </c>
      <c r="I186" s="268" t="s">
        <v>2629</v>
      </c>
      <c r="J186" s="271">
        <v>469944</v>
      </c>
      <c r="K186" s="271">
        <f t="shared" si="20"/>
        <v>39162</v>
      </c>
      <c r="L186" s="271">
        <f t="shared" si="21"/>
        <v>12141.24</v>
      </c>
      <c r="M186" s="267">
        <v>0</v>
      </c>
      <c r="N186" s="271">
        <f t="shared" si="26"/>
        <v>129.60000000000002</v>
      </c>
      <c r="O186" s="276">
        <v>0</v>
      </c>
      <c r="P186" s="276">
        <f t="shared" si="22"/>
        <v>8224.02</v>
      </c>
      <c r="Q186" s="271">
        <f t="shared" si="23"/>
        <v>60084</v>
      </c>
      <c r="R186" s="271">
        <f t="shared" si="24"/>
        <v>84918.880799999999</v>
      </c>
      <c r="S186" s="271">
        <f t="shared" si="25"/>
        <v>2125.44</v>
      </c>
    </row>
    <row r="187" spans="1:21" s="270" customFormat="1" x14ac:dyDescent="0.25">
      <c r="A187" s="271"/>
      <c r="B187" s="271">
        <v>1107</v>
      </c>
      <c r="C187" s="271">
        <v>200403</v>
      </c>
      <c r="D187" s="268" t="s">
        <v>894</v>
      </c>
      <c r="E187" s="268" t="s">
        <v>1290</v>
      </c>
      <c r="F187" s="268" t="s">
        <v>1298</v>
      </c>
      <c r="G187" s="268">
        <v>7</v>
      </c>
      <c r="H187" s="268" t="s">
        <v>2630</v>
      </c>
      <c r="I187" s="268" t="s">
        <v>2629</v>
      </c>
      <c r="J187" s="271">
        <v>469944</v>
      </c>
      <c r="K187" s="271">
        <f t="shared" si="20"/>
        <v>39162</v>
      </c>
      <c r="L187" s="271">
        <f t="shared" si="21"/>
        <v>12141.24</v>
      </c>
      <c r="M187" s="267">
        <v>0</v>
      </c>
      <c r="N187" s="271">
        <f t="shared" si="26"/>
        <v>129.60000000000002</v>
      </c>
      <c r="O187" s="276">
        <v>0</v>
      </c>
      <c r="P187" s="276">
        <f t="shared" si="22"/>
        <v>8224.02</v>
      </c>
      <c r="Q187" s="271">
        <f t="shared" si="23"/>
        <v>60084</v>
      </c>
      <c r="R187" s="271">
        <f t="shared" si="24"/>
        <v>84918.880799999999</v>
      </c>
      <c r="S187" s="271">
        <f t="shared" si="25"/>
        <v>2125.44</v>
      </c>
    </row>
    <row r="188" spans="1:21" s="270" customFormat="1" x14ac:dyDescent="0.25">
      <c r="A188" s="271"/>
      <c r="B188" s="271">
        <v>1502</v>
      </c>
      <c r="C188" s="271">
        <v>200412</v>
      </c>
      <c r="D188" s="268" t="s">
        <v>894</v>
      </c>
      <c r="E188" s="268" t="s">
        <v>1290</v>
      </c>
      <c r="F188" s="268" t="s">
        <v>2631</v>
      </c>
      <c r="G188" s="268">
        <v>7</v>
      </c>
      <c r="H188" s="268" t="s">
        <v>2632</v>
      </c>
      <c r="I188" s="268" t="s">
        <v>2633</v>
      </c>
      <c r="J188" s="271">
        <v>469944</v>
      </c>
      <c r="K188" s="271">
        <f t="shared" si="20"/>
        <v>39162</v>
      </c>
      <c r="L188" s="271">
        <f t="shared" si="21"/>
        <v>12141.24</v>
      </c>
      <c r="M188" s="267">
        <v>0</v>
      </c>
      <c r="N188" s="271">
        <f t="shared" si="26"/>
        <v>129.60000000000002</v>
      </c>
      <c r="O188" s="276">
        <v>0</v>
      </c>
      <c r="P188" s="276">
        <f t="shared" si="22"/>
        <v>8224.02</v>
      </c>
      <c r="Q188" s="271">
        <f t="shared" si="23"/>
        <v>60084</v>
      </c>
      <c r="R188" s="271">
        <f t="shared" si="24"/>
        <v>84918.880799999999</v>
      </c>
      <c r="S188" s="271">
        <f t="shared" si="25"/>
        <v>2125.44</v>
      </c>
    </row>
    <row r="189" spans="1:21" x14ac:dyDescent="0.25">
      <c r="A189" s="271">
        <v>501502</v>
      </c>
      <c r="B189" s="271">
        <v>1502</v>
      </c>
      <c r="C189" s="271">
        <v>200415</v>
      </c>
      <c r="D189" s="268" t="s">
        <v>894</v>
      </c>
      <c r="E189" s="268" t="s">
        <v>1278</v>
      </c>
      <c r="F189" s="268" t="s">
        <v>2634</v>
      </c>
      <c r="G189" s="268">
        <v>7</v>
      </c>
      <c r="H189" s="268" t="s">
        <v>2635</v>
      </c>
      <c r="I189" s="268" t="s">
        <v>2636</v>
      </c>
      <c r="J189" s="271">
        <v>469944</v>
      </c>
      <c r="K189" s="271">
        <f t="shared" si="20"/>
        <v>39162</v>
      </c>
      <c r="L189" s="271">
        <f t="shared" si="21"/>
        <v>12141.24</v>
      </c>
      <c r="M189" s="267">
        <v>0</v>
      </c>
      <c r="N189" s="271">
        <f t="shared" si="26"/>
        <v>129.60000000000002</v>
      </c>
      <c r="O189" s="276">
        <v>0</v>
      </c>
      <c r="P189" s="276">
        <f t="shared" si="22"/>
        <v>8224.02</v>
      </c>
      <c r="Q189" s="271">
        <f t="shared" si="23"/>
        <v>60084</v>
      </c>
      <c r="R189" s="271">
        <f t="shared" si="24"/>
        <v>84918.880799999999</v>
      </c>
      <c r="S189" s="271">
        <f t="shared" si="25"/>
        <v>2125.44</v>
      </c>
      <c r="T189" s="270"/>
      <c r="U189" s="270"/>
    </row>
    <row r="190" spans="1:21" s="270" customFormat="1" x14ac:dyDescent="0.25">
      <c r="A190" s="271">
        <v>501304</v>
      </c>
      <c r="B190" s="271">
        <v>1304</v>
      </c>
      <c r="C190" s="271">
        <v>1630</v>
      </c>
      <c r="D190" s="268" t="s">
        <v>894</v>
      </c>
      <c r="E190" s="268" t="s">
        <v>1290</v>
      </c>
      <c r="F190" s="268" t="s">
        <v>2637</v>
      </c>
      <c r="G190" s="268">
        <v>6</v>
      </c>
      <c r="H190" s="268" t="s">
        <v>2638</v>
      </c>
      <c r="I190" s="268" t="s">
        <v>2610</v>
      </c>
      <c r="J190" s="271">
        <v>459120</v>
      </c>
      <c r="K190" s="271">
        <f t="shared" si="20"/>
        <v>38260</v>
      </c>
      <c r="L190" s="271">
        <f t="shared" si="21"/>
        <v>12141.24</v>
      </c>
      <c r="M190" s="267">
        <v>0</v>
      </c>
      <c r="N190" s="271">
        <f t="shared" si="26"/>
        <v>129.60000000000002</v>
      </c>
      <c r="O190" s="276">
        <v>0</v>
      </c>
      <c r="P190" s="276">
        <f t="shared" si="22"/>
        <v>8034.6</v>
      </c>
      <c r="Q190" s="271">
        <f t="shared" si="23"/>
        <v>60084</v>
      </c>
      <c r="R190" s="271">
        <f t="shared" si="24"/>
        <v>82962.983999999997</v>
      </c>
      <c r="S190" s="271">
        <f t="shared" si="25"/>
        <v>2125.44</v>
      </c>
    </row>
    <row r="191" spans="1:21" s="270" customFormat="1" x14ac:dyDescent="0.25">
      <c r="A191" s="271">
        <v>501442</v>
      </c>
      <c r="B191" s="271">
        <v>1442</v>
      </c>
      <c r="C191" s="271">
        <v>10304</v>
      </c>
      <c r="D191" s="268" t="s">
        <v>1698</v>
      </c>
      <c r="E191" s="268" t="s">
        <v>1290</v>
      </c>
      <c r="F191" s="268" t="s">
        <v>2547</v>
      </c>
      <c r="G191" s="268">
        <v>7</v>
      </c>
      <c r="H191" s="268" t="s">
        <v>2639</v>
      </c>
      <c r="I191" s="268" t="s">
        <v>2591</v>
      </c>
      <c r="J191" s="271">
        <v>448236</v>
      </c>
      <c r="K191" s="271">
        <f t="shared" si="20"/>
        <v>37353</v>
      </c>
      <c r="L191" s="271">
        <f t="shared" si="21"/>
        <v>12141.24</v>
      </c>
      <c r="M191" s="267">
        <v>0</v>
      </c>
      <c r="N191" s="271">
        <f t="shared" si="26"/>
        <v>129.60000000000002</v>
      </c>
      <c r="O191" s="276">
        <v>0</v>
      </c>
      <c r="P191" s="276">
        <f t="shared" si="22"/>
        <v>7844.130000000001</v>
      </c>
      <c r="Q191" s="271">
        <f t="shared" si="23"/>
        <v>60084</v>
      </c>
      <c r="R191" s="271">
        <f t="shared" si="24"/>
        <v>80996.245200000005</v>
      </c>
      <c r="S191" s="271">
        <f t="shared" si="25"/>
        <v>2125.44</v>
      </c>
    </row>
    <row r="192" spans="1:21" s="270" customFormat="1" x14ac:dyDescent="0.25">
      <c r="A192" s="271">
        <v>501443</v>
      </c>
      <c r="B192" s="271">
        <v>1443</v>
      </c>
      <c r="C192" s="271">
        <v>35813</v>
      </c>
      <c r="D192" s="268" t="s">
        <v>894</v>
      </c>
      <c r="E192" s="268" t="s">
        <v>1290</v>
      </c>
      <c r="F192" s="268" t="s">
        <v>2640</v>
      </c>
      <c r="G192" s="268">
        <v>7</v>
      </c>
      <c r="H192" s="268" t="s">
        <v>2641</v>
      </c>
      <c r="I192" s="268" t="s">
        <v>2528</v>
      </c>
      <c r="J192" s="271">
        <v>448236</v>
      </c>
      <c r="K192" s="271">
        <f t="shared" ref="K192:K255" si="27">J192/12</f>
        <v>37353</v>
      </c>
      <c r="L192" s="271">
        <f t="shared" ref="L192:L255" si="28">1011.77*12</f>
        <v>12141.24</v>
      </c>
      <c r="M192" s="267">
        <v>0</v>
      </c>
      <c r="N192" s="271">
        <f t="shared" si="26"/>
        <v>129.60000000000002</v>
      </c>
      <c r="O192" s="276">
        <v>0</v>
      </c>
      <c r="P192" s="276">
        <f t="shared" ref="P192:P255" si="29">J192*1.75%</f>
        <v>7844.130000000001</v>
      </c>
      <c r="Q192" s="271">
        <f t="shared" ref="Q192:Q255" si="30">5007*12</f>
        <v>60084</v>
      </c>
      <c r="R192" s="271">
        <f t="shared" ref="R192:R255" si="31">18.07%*J192</f>
        <v>80996.245200000005</v>
      </c>
      <c r="S192" s="271">
        <f t="shared" si="25"/>
        <v>2125.44</v>
      </c>
    </row>
    <row r="193" spans="1:21" x14ac:dyDescent="0.25">
      <c r="A193" s="276">
        <v>501443</v>
      </c>
      <c r="B193" s="276">
        <v>1443</v>
      </c>
      <c r="C193" s="276">
        <v>36113</v>
      </c>
      <c r="D193" s="268" t="s">
        <v>894</v>
      </c>
      <c r="E193" s="268" t="s">
        <v>1278</v>
      </c>
      <c r="F193" s="268" t="s">
        <v>2642</v>
      </c>
      <c r="G193" s="268">
        <v>7</v>
      </c>
      <c r="H193" s="268" t="s">
        <v>2643</v>
      </c>
      <c r="I193" s="268" t="s">
        <v>2644</v>
      </c>
      <c r="J193" s="267">
        <v>448236</v>
      </c>
      <c r="K193" s="276">
        <f t="shared" si="27"/>
        <v>37353</v>
      </c>
      <c r="L193" s="271">
        <f t="shared" si="28"/>
        <v>12141.24</v>
      </c>
      <c r="M193" s="267">
        <f>500*12</f>
        <v>6000</v>
      </c>
      <c r="N193" s="276">
        <f t="shared" si="26"/>
        <v>129.60000000000002</v>
      </c>
      <c r="O193" s="267">
        <f>8125.5*12</f>
        <v>97506</v>
      </c>
      <c r="P193" s="276">
        <f t="shared" si="29"/>
        <v>7844.130000000001</v>
      </c>
      <c r="Q193" s="271">
        <f t="shared" si="30"/>
        <v>60084</v>
      </c>
      <c r="R193" s="276">
        <f t="shared" si="31"/>
        <v>80996.245200000005</v>
      </c>
      <c r="S193" s="276">
        <f t="shared" ref="S193:S256" si="32">177.12*12</f>
        <v>2125.44</v>
      </c>
      <c r="T193" s="270"/>
      <c r="U193" s="270"/>
    </row>
    <row r="194" spans="1:21" s="270" customFormat="1" x14ac:dyDescent="0.25">
      <c r="A194" s="271">
        <v>501412</v>
      </c>
      <c r="B194" s="271">
        <v>1412</v>
      </c>
      <c r="C194" s="271">
        <v>87214</v>
      </c>
      <c r="D194" s="268" t="s">
        <v>894</v>
      </c>
      <c r="E194" s="268" t="s">
        <v>1278</v>
      </c>
      <c r="F194" s="268" t="s">
        <v>1290</v>
      </c>
      <c r="G194" s="268">
        <v>7</v>
      </c>
      <c r="H194" s="268" t="s">
        <v>2645</v>
      </c>
      <c r="I194" s="268" t="s">
        <v>2646</v>
      </c>
      <c r="J194" s="271">
        <v>448236</v>
      </c>
      <c r="K194" s="271">
        <f t="shared" si="27"/>
        <v>37353</v>
      </c>
      <c r="L194" s="271">
        <f t="shared" si="28"/>
        <v>12141.24</v>
      </c>
      <c r="M194" s="267">
        <v>0</v>
      </c>
      <c r="N194" s="271">
        <f t="shared" si="26"/>
        <v>129.60000000000002</v>
      </c>
      <c r="O194" s="276">
        <v>0</v>
      </c>
      <c r="P194" s="276">
        <f t="shared" si="29"/>
        <v>7844.130000000001</v>
      </c>
      <c r="Q194" s="271">
        <f t="shared" si="30"/>
        <v>60084</v>
      </c>
      <c r="R194" s="271">
        <f t="shared" si="31"/>
        <v>80996.245200000005</v>
      </c>
      <c r="S194" s="271">
        <f t="shared" si="32"/>
        <v>2125.44</v>
      </c>
    </row>
    <row r="195" spans="1:21" s="270" customFormat="1" x14ac:dyDescent="0.25">
      <c r="A195" s="271">
        <v>501412</v>
      </c>
      <c r="B195" s="271">
        <v>1412</v>
      </c>
      <c r="C195" s="271">
        <v>87492</v>
      </c>
      <c r="D195" s="268" t="s">
        <v>894</v>
      </c>
      <c r="E195" s="268" t="s">
        <v>1278</v>
      </c>
      <c r="F195" s="268" t="s">
        <v>2647</v>
      </c>
      <c r="G195" s="268">
        <v>7</v>
      </c>
      <c r="H195" s="268" t="s">
        <v>2648</v>
      </c>
      <c r="I195" s="268" t="s">
        <v>2646</v>
      </c>
      <c r="J195" s="271">
        <v>448236</v>
      </c>
      <c r="K195" s="271">
        <f t="shared" si="27"/>
        <v>37353</v>
      </c>
      <c r="L195" s="271">
        <f t="shared" si="28"/>
        <v>12141.24</v>
      </c>
      <c r="M195" s="267">
        <v>0</v>
      </c>
      <c r="N195" s="271">
        <f t="shared" si="26"/>
        <v>129.60000000000002</v>
      </c>
      <c r="O195" s="276">
        <v>0</v>
      </c>
      <c r="P195" s="276">
        <f t="shared" si="29"/>
        <v>7844.130000000001</v>
      </c>
      <c r="Q195" s="271">
        <f t="shared" si="30"/>
        <v>60084</v>
      </c>
      <c r="R195" s="271">
        <f t="shared" si="31"/>
        <v>80996.245200000005</v>
      </c>
      <c r="S195" s="271">
        <f t="shared" si="32"/>
        <v>2125.44</v>
      </c>
    </row>
    <row r="196" spans="1:21" s="270" customFormat="1" x14ac:dyDescent="0.25">
      <c r="A196" s="271">
        <v>501412</v>
      </c>
      <c r="B196" s="271">
        <v>1412</v>
      </c>
      <c r="C196" s="271">
        <v>87984</v>
      </c>
      <c r="D196" s="268" t="s">
        <v>894</v>
      </c>
      <c r="E196" s="268" t="s">
        <v>1290</v>
      </c>
      <c r="F196" s="268" t="s">
        <v>2649</v>
      </c>
      <c r="G196" s="268">
        <v>7</v>
      </c>
      <c r="H196" s="268" t="s">
        <v>2359</v>
      </c>
      <c r="I196" s="268" t="s">
        <v>2646</v>
      </c>
      <c r="J196" s="271">
        <v>448236</v>
      </c>
      <c r="K196" s="271">
        <f t="shared" si="27"/>
        <v>37353</v>
      </c>
      <c r="L196" s="271">
        <f t="shared" si="28"/>
        <v>12141.24</v>
      </c>
      <c r="M196" s="267">
        <v>0</v>
      </c>
      <c r="N196" s="271">
        <f t="shared" si="26"/>
        <v>129.60000000000002</v>
      </c>
      <c r="O196" s="276">
        <v>0</v>
      </c>
      <c r="P196" s="276">
        <f t="shared" si="29"/>
        <v>7844.130000000001</v>
      </c>
      <c r="Q196" s="271">
        <f t="shared" si="30"/>
        <v>60084</v>
      </c>
      <c r="R196" s="271">
        <f t="shared" si="31"/>
        <v>80996.245200000005</v>
      </c>
      <c r="S196" s="271">
        <f t="shared" si="32"/>
        <v>2125.44</v>
      </c>
    </row>
    <row r="197" spans="1:21" s="270" customFormat="1" x14ac:dyDescent="0.25">
      <c r="A197" s="271">
        <v>501502</v>
      </c>
      <c r="B197" s="271">
        <v>1502</v>
      </c>
      <c r="C197" s="271">
        <v>200067</v>
      </c>
      <c r="D197" s="268" t="s">
        <v>894</v>
      </c>
      <c r="E197" s="268" t="s">
        <v>1278</v>
      </c>
      <c r="F197" s="268" t="s">
        <v>2650</v>
      </c>
      <c r="G197" s="268">
        <v>7</v>
      </c>
      <c r="H197" s="268" t="s">
        <v>2651</v>
      </c>
      <c r="I197" s="268" t="s">
        <v>2652</v>
      </c>
      <c r="J197" s="271">
        <v>448236</v>
      </c>
      <c r="K197" s="271">
        <f t="shared" si="27"/>
        <v>37353</v>
      </c>
      <c r="L197" s="271">
        <f t="shared" si="28"/>
        <v>12141.24</v>
      </c>
      <c r="M197" s="267">
        <v>0</v>
      </c>
      <c r="N197" s="271">
        <f t="shared" ref="N197:N260" si="33">10.8*12</f>
        <v>129.60000000000002</v>
      </c>
      <c r="O197" s="276">
        <v>0</v>
      </c>
      <c r="P197" s="276">
        <f t="shared" si="29"/>
        <v>7844.130000000001</v>
      </c>
      <c r="Q197" s="271">
        <f t="shared" si="30"/>
        <v>60084</v>
      </c>
      <c r="R197" s="271">
        <f t="shared" si="31"/>
        <v>80996.245200000005</v>
      </c>
      <c r="S197" s="271">
        <f t="shared" si="32"/>
        <v>2125.44</v>
      </c>
    </row>
    <row r="198" spans="1:21" s="270" customFormat="1" x14ac:dyDescent="0.25">
      <c r="A198" s="271">
        <v>501105</v>
      </c>
      <c r="B198" s="271">
        <v>1105</v>
      </c>
      <c r="C198" s="271">
        <v>200234</v>
      </c>
      <c r="D198" s="268" t="s">
        <v>894</v>
      </c>
      <c r="E198" s="268" t="s">
        <v>1290</v>
      </c>
      <c r="F198" s="268" t="s">
        <v>2653</v>
      </c>
      <c r="G198" s="268">
        <v>7</v>
      </c>
      <c r="H198" s="268" t="s">
        <v>2654</v>
      </c>
      <c r="I198" s="268" t="s">
        <v>2646</v>
      </c>
      <c r="J198" s="271">
        <v>448236</v>
      </c>
      <c r="K198" s="271">
        <f t="shared" si="27"/>
        <v>37353</v>
      </c>
      <c r="L198" s="271">
        <f t="shared" si="28"/>
        <v>12141.24</v>
      </c>
      <c r="M198" s="267">
        <v>0</v>
      </c>
      <c r="N198" s="271">
        <f t="shared" si="33"/>
        <v>129.60000000000002</v>
      </c>
      <c r="O198" s="276">
        <v>0</v>
      </c>
      <c r="P198" s="276">
        <f t="shared" si="29"/>
        <v>7844.130000000001</v>
      </c>
      <c r="Q198" s="271">
        <f t="shared" si="30"/>
        <v>60084</v>
      </c>
      <c r="R198" s="271">
        <f t="shared" si="31"/>
        <v>80996.245200000005</v>
      </c>
      <c r="S198" s="271">
        <f t="shared" si="32"/>
        <v>2125.44</v>
      </c>
    </row>
    <row r="199" spans="1:21" s="270" customFormat="1" x14ac:dyDescent="0.25">
      <c r="A199" s="271"/>
      <c r="B199" s="271">
        <v>1445</v>
      </c>
      <c r="C199" s="271">
        <v>200376</v>
      </c>
      <c r="D199" s="268" t="s">
        <v>894</v>
      </c>
      <c r="E199" s="268" t="s">
        <v>1290</v>
      </c>
      <c r="F199" s="268" t="s">
        <v>2203</v>
      </c>
      <c r="G199" s="268">
        <v>7</v>
      </c>
      <c r="H199" s="268" t="s">
        <v>2438</v>
      </c>
      <c r="I199" s="268" t="s">
        <v>2655</v>
      </c>
      <c r="J199" s="271">
        <v>448236</v>
      </c>
      <c r="K199" s="271">
        <f t="shared" si="27"/>
        <v>37353</v>
      </c>
      <c r="L199" s="271">
        <f t="shared" si="28"/>
        <v>12141.24</v>
      </c>
      <c r="M199" s="267">
        <v>0</v>
      </c>
      <c r="N199" s="271">
        <f t="shared" si="33"/>
        <v>129.60000000000002</v>
      </c>
      <c r="O199" s="271">
        <f>8125.5*12</f>
        <v>97506</v>
      </c>
      <c r="P199" s="276">
        <f t="shared" si="29"/>
        <v>7844.130000000001</v>
      </c>
      <c r="Q199" s="271">
        <f t="shared" si="30"/>
        <v>60084</v>
      </c>
      <c r="R199" s="271">
        <f t="shared" si="31"/>
        <v>80996.245200000005</v>
      </c>
      <c r="S199" s="271">
        <f t="shared" si="32"/>
        <v>2125.44</v>
      </c>
    </row>
    <row r="200" spans="1:21" x14ac:dyDescent="0.25">
      <c r="A200" s="276">
        <v>501502</v>
      </c>
      <c r="B200" s="276">
        <v>1502</v>
      </c>
      <c r="C200" s="276">
        <v>200443</v>
      </c>
      <c r="D200" s="268" t="s">
        <v>894</v>
      </c>
      <c r="E200" s="268" t="s">
        <v>1290</v>
      </c>
      <c r="F200" s="268" t="s">
        <v>2656</v>
      </c>
      <c r="G200" s="268">
        <v>7</v>
      </c>
      <c r="H200" s="268" t="s">
        <v>2657</v>
      </c>
      <c r="I200" s="268" t="s">
        <v>2658</v>
      </c>
      <c r="J200" s="267">
        <v>448236</v>
      </c>
      <c r="K200" s="276">
        <f t="shared" si="27"/>
        <v>37353</v>
      </c>
      <c r="L200" s="271">
        <f t="shared" si="28"/>
        <v>12141.24</v>
      </c>
      <c r="M200" s="267">
        <f>450*12</f>
        <v>5400</v>
      </c>
      <c r="N200" s="276">
        <f t="shared" si="33"/>
        <v>129.60000000000002</v>
      </c>
      <c r="O200" s="267">
        <f>8125.5*12</f>
        <v>97506</v>
      </c>
      <c r="P200" s="276">
        <f t="shared" si="29"/>
        <v>7844.130000000001</v>
      </c>
      <c r="Q200" s="271">
        <f t="shared" si="30"/>
        <v>60084</v>
      </c>
      <c r="R200" s="276">
        <f t="shared" si="31"/>
        <v>80996.245200000005</v>
      </c>
      <c r="S200" s="276">
        <f t="shared" si="32"/>
        <v>2125.44</v>
      </c>
      <c r="T200" s="270"/>
      <c r="U200" s="270"/>
    </row>
    <row r="201" spans="1:21" x14ac:dyDescent="0.25">
      <c r="A201" s="276">
        <v>501502</v>
      </c>
      <c r="B201" s="276">
        <v>1106</v>
      </c>
      <c r="C201" s="276">
        <v>200445</v>
      </c>
      <c r="D201" s="268" t="s">
        <v>894</v>
      </c>
      <c r="E201" s="268" t="s">
        <v>1290</v>
      </c>
      <c r="F201" s="268" t="s">
        <v>2549</v>
      </c>
      <c r="G201" s="268">
        <v>7</v>
      </c>
      <c r="H201" s="268" t="s">
        <v>2659</v>
      </c>
      <c r="I201" s="268" t="s">
        <v>2658</v>
      </c>
      <c r="J201" s="267">
        <v>448236</v>
      </c>
      <c r="K201" s="276">
        <f t="shared" si="27"/>
        <v>37353</v>
      </c>
      <c r="L201" s="271">
        <f t="shared" si="28"/>
        <v>12141.24</v>
      </c>
      <c r="M201" s="267">
        <f>450*12</f>
        <v>5400</v>
      </c>
      <c r="N201" s="276">
        <f t="shared" si="33"/>
        <v>129.60000000000002</v>
      </c>
      <c r="O201" s="267">
        <f>8125.5*12</f>
        <v>97506</v>
      </c>
      <c r="P201" s="276">
        <f t="shared" si="29"/>
        <v>7844.130000000001</v>
      </c>
      <c r="Q201" s="271">
        <f t="shared" si="30"/>
        <v>60084</v>
      </c>
      <c r="R201" s="276">
        <f t="shared" si="31"/>
        <v>80996.245200000005</v>
      </c>
      <c r="S201" s="276">
        <f t="shared" si="32"/>
        <v>2125.44</v>
      </c>
      <c r="T201" s="270"/>
      <c r="U201" s="270"/>
    </row>
    <row r="202" spans="1:21" s="270" customFormat="1" x14ac:dyDescent="0.25">
      <c r="A202" s="271">
        <v>501407</v>
      </c>
      <c r="B202" s="271">
        <v>1407</v>
      </c>
      <c r="C202" s="271">
        <v>200207</v>
      </c>
      <c r="D202" s="268" t="s">
        <v>894</v>
      </c>
      <c r="E202" s="268" t="s">
        <v>1290</v>
      </c>
      <c r="F202" s="268" t="s">
        <v>2660</v>
      </c>
      <c r="G202" s="268">
        <v>7</v>
      </c>
      <c r="H202" s="268" t="s">
        <v>2661</v>
      </c>
      <c r="I202" s="268" t="s">
        <v>2662</v>
      </c>
      <c r="J202" s="271">
        <v>437424</v>
      </c>
      <c r="K202" s="271">
        <f t="shared" si="27"/>
        <v>36452</v>
      </c>
      <c r="L202" s="271">
        <f t="shared" si="28"/>
        <v>12141.24</v>
      </c>
      <c r="M202" s="267">
        <v>0</v>
      </c>
      <c r="N202" s="271">
        <f t="shared" si="33"/>
        <v>129.60000000000002</v>
      </c>
      <c r="O202" s="276">
        <v>0</v>
      </c>
      <c r="P202" s="276">
        <f t="shared" si="29"/>
        <v>7654.920000000001</v>
      </c>
      <c r="Q202" s="271">
        <f t="shared" si="30"/>
        <v>60084</v>
      </c>
      <c r="R202" s="271">
        <f t="shared" si="31"/>
        <v>79042.516799999998</v>
      </c>
      <c r="S202" s="271">
        <f t="shared" si="32"/>
        <v>2125.44</v>
      </c>
    </row>
    <row r="203" spans="1:21" s="270" customFormat="1" x14ac:dyDescent="0.25">
      <c r="A203" s="271">
        <v>501442</v>
      </c>
      <c r="B203" s="271">
        <v>1442</v>
      </c>
      <c r="C203" s="271">
        <v>200241</v>
      </c>
      <c r="D203" s="268" t="s">
        <v>894</v>
      </c>
      <c r="E203" s="268" t="s">
        <v>1290</v>
      </c>
      <c r="F203" s="268" t="s">
        <v>2663</v>
      </c>
      <c r="G203" s="268">
        <v>7</v>
      </c>
      <c r="H203" s="268" t="s">
        <v>2664</v>
      </c>
      <c r="I203" s="268" t="s">
        <v>2665</v>
      </c>
      <c r="J203" s="271">
        <v>437424</v>
      </c>
      <c r="K203" s="271">
        <f t="shared" si="27"/>
        <v>36452</v>
      </c>
      <c r="L203" s="271">
        <f t="shared" si="28"/>
        <v>12141.24</v>
      </c>
      <c r="M203" s="267">
        <v>0</v>
      </c>
      <c r="N203" s="271">
        <f t="shared" si="33"/>
        <v>129.60000000000002</v>
      </c>
      <c r="O203" s="271">
        <f>7954.5*12</f>
        <v>95454</v>
      </c>
      <c r="P203" s="276">
        <f t="shared" si="29"/>
        <v>7654.920000000001</v>
      </c>
      <c r="Q203" s="271">
        <f t="shared" si="30"/>
        <v>60084</v>
      </c>
      <c r="R203" s="271">
        <f t="shared" si="31"/>
        <v>79042.516799999998</v>
      </c>
      <c r="S203" s="271">
        <f t="shared" si="32"/>
        <v>2125.44</v>
      </c>
    </row>
    <row r="204" spans="1:21" s="270" customFormat="1" x14ac:dyDescent="0.25">
      <c r="A204" s="271"/>
      <c r="B204" s="271">
        <v>1442</v>
      </c>
      <c r="C204" s="271">
        <v>200242</v>
      </c>
      <c r="D204" s="268" t="s">
        <v>894</v>
      </c>
      <c r="E204" s="268" t="s">
        <v>1290</v>
      </c>
      <c r="F204" s="268" t="s">
        <v>2666</v>
      </c>
      <c r="G204" s="268">
        <v>7</v>
      </c>
      <c r="H204" s="268" t="s">
        <v>2664</v>
      </c>
      <c r="I204" s="268" t="s">
        <v>2665</v>
      </c>
      <c r="J204" s="271">
        <v>437424</v>
      </c>
      <c r="K204" s="271">
        <f t="shared" si="27"/>
        <v>36452</v>
      </c>
      <c r="L204" s="271">
        <f t="shared" si="28"/>
        <v>12141.24</v>
      </c>
      <c r="M204" s="267">
        <v>0</v>
      </c>
      <c r="N204" s="271">
        <f t="shared" si="33"/>
        <v>129.60000000000002</v>
      </c>
      <c r="O204" s="271">
        <f>7954.5*12</f>
        <v>95454</v>
      </c>
      <c r="P204" s="276">
        <f t="shared" si="29"/>
        <v>7654.920000000001</v>
      </c>
      <c r="Q204" s="271">
        <f t="shared" si="30"/>
        <v>60084</v>
      </c>
      <c r="R204" s="271">
        <f t="shared" si="31"/>
        <v>79042.516799999998</v>
      </c>
      <c r="S204" s="271">
        <f t="shared" si="32"/>
        <v>2125.44</v>
      </c>
    </row>
    <row r="205" spans="1:21" s="270" customFormat="1" x14ac:dyDescent="0.25">
      <c r="A205" s="271"/>
      <c r="B205" s="271">
        <v>1442</v>
      </c>
      <c r="C205" s="271">
        <v>200243</v>
      </c>
      <c r="D205" s="268" t="s">
        <v>894</v>
      </c>
      <c r="E205" s="268" t="s">
        <v>1290</v>
      </c>
      <c r="F205" s="268" t="s">
        <v>2450</v>
      </c>
      <c r="G205" s="268">
        <v>7</v>
      </c>
      <c r="H205" s="268" t="s">
        <v>2667</v>
      </c>
      <c r="I205" s="268" t="s">
        <v>2665</v>
      </c>
      <c r="J205" s="271">
        <v>437424</v>
      </c>
      <c r="K205" s="271">
        <f t="shared" si="27"/>
        <v>36452</v>
      </c>
      <c r="L205" s="271">
        <f t="shared" si="28"/>
        <v>12141.24</v>
      </c>
      <c r="M205" s="267">
        <v>0</v>
      </c>
      <c r="N205" s="271">
        <f t="shared" si="33"/>
        <v>129.60000000000002</v>
      </c>
      <c r="O205" s="271">
        <f>7954.5*12</f>
        <v>95454</v>
      </c>
      <c r="P205" s="276">
        <f t="shared" si="29"/>
        <v>7654.920000000001</v>
      </c>
      <c r="Q205" s="271">
        <f t="shared" si="30"/>
        <v>60084</v>
      </c>
      <c r="R205" s="271">
        <f t="shared" si="31"/>
        <v>79042.516799999998</v>
      </c>
      <c r="S205" s="271">
        <f t="shared" si="32"/>
        <v>2125.44</v>
      </c>
    </row>
    <row r="206" spans="1:21" x14ac:dyDescent="0.25">
      <c r="A206" s="271">
        <v>501444</v>
      </c>
      <c r="B206" s="271">
        <v>1444</v>
      </c>
      <c r="C206" s="271">
        <v>11235</v>
      </c>
      <c r="D206" s="268" t="s">
        <v>1698</v>
      </c>
      <c r="E206" s="268" t="s">
        <v>1290</v>
      </c>
      <c r="F206" s="268" t="s">
        <v>2668</v>
      </c>
      <c r="G206" s="268">
        <v>8</v>
      </c>
      <c r="H206" s="268" t="s">
        <v>2669</v>
      </c>
      <c r="I206" s="268" t="s">
        <v>2670</v>
      </c>
      <c r="J206" s="271">
        <v>410568</v>
      </c>
      <c r="K206" s="271">
        <f t="shared" si="27"/>
        <v>34214</v>
      </c>
      <c r="L206" s="271">
        <f t="shared" si="28"/>
        <v>12141.24</v>
      </c>
      <c r="M206" s="267">
        <f>500*12</f>
        <v>6000</v>
      </c>
      <c r="N206" s="271">
        <f t="shared" si="33"/>
        <v>129.60000000000002</v>
      </c>
      <c r="O206" s="276">
        <v>0</v>
      </c>
      <c r="P206" s="276">
        <f t="shared" si="29"/>
        <v>7184.9400000000005</v>
      </c>
      <c r="Q206" s="271">
        <f t="shared" si="30"/>
        <v>60084</v>
      </c>
      <c r="R206" s="271">
        <f t="shared" si="31"/>
        <v>74189.637600000002</v>
      </c>
      <c r="S206" s="271">
        <f t="shared" si="32"/>
        <v>2125.44</v>
      </c>
      <c r="T206" s="270"/>
      <c r="U206" s="270"/>
    </row>
    <row r="207" spans="1:21" s="270" customFormat="1" x14ac:dyDescent="0.25">
      <c r="A207" s="271">
        <v>501443</v>
      </c>
      <c r="B207" s="271">
        <v>1443</v>
      </c>
      <c r="C207" s="271">
        <v>13916</v>
      </c>
      <c r="D207" s="268" t="s">
        <v>1698</v>
      </c>
      <c r="E207" s="268" t="s">
        <v>1290</v>
      </c>
      <c r="F207" s="268" t="s">
        <v>2671</v>
      </c>
      <c r="G207" s="268">
        <v>8</v>
      </c>
      <c r="H207" s="268" t="s">
        <v>2672</v>
      </c>
      <c r="I207" s="268" t="s">
        <v>2673</v>
      </c>
      <c r="J207" s="271">
        <v>410568</v>
      </c>
      <c r="K207" s="271">
        <f t="shared" si="27"/>
        <v>34214</v>
      </c>
      <c r="L207" s="271">
        <f t="shared" si="28"/>
        <v>12141.24</v>
      </c>
      <c r="M207" s="267">
        <v>0</v>
      </c>
      <c r="N207" s="271">
        <f t="shared" si="33"/>
        <v>129.60000000000002</v>
      </c>
      <c r="O207" s="271">
        <f>7525.5*12</f>
        <v>90306</v>
      </c>
      <c r="P207" s="276">
        <f t="shared" si="29"/>
        <v>7184.9400000000005</v>
      </c>
      <c r="Q207" s="271">
        <f t="shared" si="30"/>
        <v>60084</v>
      </c>
      <c r="R207" s="271">
        <f t="shared" si="31"/>
        <v>74189.637600000002</v>
      </c>
      <c r="S207" s="271">
        <f t="shared" si="32"/>
        <v>2125.44</v>
      </c>
    </row>
    <row r="208" spans="1:21" s="270" customFormat="1" x14ac:dyDescent="0.25">
      <c r="A208" s="271">
        <v>501444</v>
      </c>
      <c r="B208" s="271">
        <v>1444</v>
      </c>
      <c r="C208" s="271">
        <v>19606</v>
      </c>
      <c r="D208" s="268" t="s">
        <v>1698</v>
      </c>
      <c r="E208" s="268" t="s">
        <v>1290</v>
      </c>
      <c r="F208" s="268" t="s">
        <v>2674</v>
      </c>
      <c r="G208" s="268">
        <v>8</v>
      </c>
      <c r="H208" s="268" t="s">
        <v>2675</v>
      </c>
      <c r="I208" s="268" t="s">
        <v>2670</v>
      </c>
      <c r="J208" s="271">
        <v>410568</v>
      </c>
      <c r="K208" s="271">
        <f t="shared" si="27"/>
        <v>34214</v>
      </c>
      <c r="L208" s="271">
        <f t="shared" si="28"/>
        <v>12141.24</v>
      </c>
      <c r="M208" s="267">
        <f>500*12</f>
        <v>6000</v>
      </c>
      <c r="N208" s="271">
        <f t="shared" si="33"/>
        <v>129.60000000000002</v>
      </c>
      <c r="O208" s="276">
        <v>0</v>
      </c>
      <c r="P208" s="276">
        <f t="shared" si="29"/>
        <v>7184.9400000000005</v>
      </c>
      <c r="Q208" s="271">
        <f t="shared" si="30"/>
        <v>60084</v>
      </c>
      <c r="R208" s="271">
        <f t="shared" si="31"/>
        <v>74189.637600000002</v>
      </c>
      <c r="S208" s="271">
        <f t="shared" si="32"/>
        <v>2125.44</v>
      </c>
    </row>
    <row r="209" spans="1:21" s="270" customFormat="1" x14ac:dyDescent="0.25">
      <c r="A209" s="276">
        <v>501444</v>
      </c>
      <c r="B209" s="276">
        <v>1444</v>
      </c>
      <c r="C209" s="276">
        <v>26916</v>
      </c>
      <c r="D209" s="268" t="s">
        <v>894</v>
      </c>
      <c r="E209" s="268" t="s">
        <v>1290</v>
      </c>
      <c r="F209" s="268" t="s">
        <v>2425</v>
      </c>
      <c r="G209" s="268">
        <v>8</v>
      </c>
      <c r="H209" s="268" t="s">
        <v>2676</v>
      </c>
      <c r="I209" s="268" t="s">
        <v>2677</v>
      </c>
      <c r="J209" s="267">
        <v>410568</v>
      </c>
      <c r="K209" s="276">
        <f t="shared" si="27"/>
        <v>34214</v>
      </c>
      <c r="L209" s="271">
        <f t="shared" si="28"/>
        <v>12141.24</v>
      </c>
      <c r="M209" s="267">
        <f>930*12</f>
        <v>11160</v>
      </c>
      <c r="N209" s="276">
        <f t="shared" si="33"/>
        <v>129.60000000000002</v>
      </c>
      <c r="O209" s="276">
        <v>0</v>
      </c>
      <c r="P209" s="276">
        <f t="shared" si="29"/>
        <v>7184.9400000000005</v>
      </c>
      <c r="Q209" s="271">
        <f t="shared" si="30"/>
        <v>60084</v>
      </c>
      <c r="R209" s="276">
        <f t="shared" si="31"/>
        <v>74189.637600000002</v>
      </c>
      <c r="S209" s="276">
        <f t="shared" si="32"/>
        <v>2125.44</v>
      </c>
    </row>
    <row r="210" spans="1:21" x14ac:dyDescent="0.25">
      <c r="A210" s="271">
        <v>501503</v>
      </c>
      <c r="B210" s="271">
        <v>1503</v>
      </c>
      <c r="C210" s="271">
        <v>35127</v>
      </c>
      <c r="D210" s="268" t="s">
        <v>894</v>
      </c>
      <c r="E210" s="268" t="s">
        <v>1290</v>
      </c>
      <c r="F210" s="268" t="s">
        <v>2508</v>
      </c>
      <c r="G210" s="268">
        <v>8</v>
      </c>
      <c r="H210" s="268" t="s">
        <v>2678</v>
      </c>
      <c r="I210" s="268" t="s">
        <v>2679</v>
      </c>
      <c r="J210" s="271">
        <v>410568</v>
      </c>
      <c r="K210" s="271">
        <f t="shared" si="27"/>
        <v>34214</v>
      </c>
      <c r="L210" s="271">
        <f t="shared" si="28"/>
        <v>12141.24</v>
      </c>
      <c r="M210" s="267">
        <v>0</v>
      </c>
      <c r="N210" s="271">
        <f t="shared" si="33"/>
        <v>129.60000000000002</v>
      </c>
      <c r="O210" s="276">
        <v>0</v>
      </c>
      <c r="P210" s="276">
        <f t="shared" si="29"/>
        <v>7184.9400000000005</v>
      </c>
      <c r="Q210" s="271">
        <f t="shared" si="30"/>
        <v>60084</v>
      </c>
      <c r="R210" s="271">
        <f t="shared" si="31"/>
        <v>74189.637600000002</v>
      </c>
      <c r="S210" s="271">
        <f t="shared" si="32"/>
        <v>2125.44</v>
      </c>
      <c r="T210" s="270"/>
      <c r="U210" s="270"/>
    </row>
    <row r="211" spans="1:21" s="270" customFormat="1" x14ac:dyDescent="0.25">
      <c r="A211" s="271">
        <v>501206</v>
      </c>
      <c r="B211" s="271">
        <v>1206</v>
      </c>
      <c r="C211" s="271">
        <v>51282</v>
      </c>
      <c r="D211" s="268" t="s">
        <v>894</v>
      </c>
      <c r="E211" s="268" t="s">
        <v>1278</v>
      </c>
      <c r="F211" s="268" t="s">
        <v>2680</v>
      </c>
      <c r="G211" s="268">
        <v>8</v>
      </c>
      <c r="H211" s="268" t="s">
        <v>2681</v>
      </c>
      <c r="I211" s="268" t="s">
        <v>2682</v>
      </c>
      <c r="J211" s="271">
        <v>410568</v>
      </c>
      <c r="K211" s="271">
        <f t="shared" si="27"/>
        <v>34214</v>
      </c>
      <c r="L211" s="271">
        <f t="shared" si="28"/>
        <v>12141.24</v>
      </c>
      <c r="M211" s="267">
        <v>0</v>
      </c>
      <c r="N211" s="271">
        <f t="shared" si="33"/>
        <v>129.60000000000002</v>
      </c>
      <c r="O211" s="276">
        <v>0</v>
      </c>
      <c r="P211" s="276">
        <f t="shared" si="29"/>
        <v>7184.9400000000005</v>
      </c>
      <c r="Q211" s="271">
        <f t="shared" si="30"/>
        <v>60084</v>
      </c>
      <c r="R211" s="271">
        <f t="shared" si="31"/>
        <v>74189.637600000002</v>
      </c>
      <c r="S211" s="271">
        <f t="shared" si="32"/>
        <v>2125.44</v>
      </c>
    </row>
    <row r="212" spans="1:21" s="270" customFormat="1" x14ac:dyDescent="0.25">
      <c r="A212" s="271">
        <v>501444</v>
      </c>
      <c r="B212" s="271">
        <v>1444</v>
      </c>
      <c r="C212" s="271">
        <v>56559</v>
      </c>
      <c r="D212" s="268" t="s">
        <v>894</v>
      </c>
      <c r="E212" s="268" t="s">
        <v>1290</v>
      </c>
      <c r="F212" s="268" t="s">
        <v>2683</v>
      </c>
      <c r="G212" s="268">
        <v>8</v>
      </c>
      <c r="H212" s="268" t="s">
        <v>2684</v>
      </c>
      <c r="I212" s="268" t="s">
        <v>2670</v>
      </c>
      <c r="J212" s="271">
        <v>410568</v>
      </c>
      <c r="K212" s="271">
        <f t="shared" si="27"/>
        <v>34214</v>
      </c>
      <c r="L212" s="271">
        <f t="shared" si="28"/>
        <v>12141.24</v>
      </c>
      <c r="M212" s="267">
        <f>500*12</f>
        <v>6000</v>
      </c>
      <c r="N212" s="271">
        <f t="shared" si="33"/>
        <v>129.60000000000002</v>
      </c>
      <c r="O212" s="276">
        <v>0</v>
      </c>
      <c r="P212" s="276">
        <f t="shared" si="29"/>
        <v>7184.9400000000005</v>
      </c>
      <c r="Q212" s="271">
        <f t="shared" si="30"/>
        <v>60084</v>
      </c>
      <c r="R212" s="271">
        <f t="shared" si="31"/>
        <v>74189.637600000002</v>
      </c>
      <c r="S212" s="271">
        <f t="shared" si="32"/>
        <v>2125.44</v>
      </c>
    </row>
    <row r="213" spans="1:21" s="270" customFormat="1" x14ac:dyDescent="0.25">
      <c r="A213" s="271">
        <v>501206</v>
      </c>
      <c r="B213" s="271">
        <v>1206</v>
      </c>
      <c r="C213" s="271">
        <v>59310</v>
      </c>
      <c r="D213" s="268" t="s">
        <v>894</v>
      </c>
      <c r="E213" s="268" t="s">
        <v>1278</v>
      </c>
      <c r="F213" s="268" t="s">
        <v>2685</v>
      </c>
      <c r="G213" s="268">
        <v>8</v>
      </c>
      <c r="H213" s="268" t="s">
        <v>2686</v>
      </c>
      <c r="I213" s="268" t="s">
        <v>2687</v>
      </c>
      <c r="J213" s="271">
        <v>410568</v>
      </c>
      <c r="K213" s="271">
        <f t="shared" si="27"/>
        <v>34214</v>
      </c>
      <c r="L213" s="271">
        <f t="shared" si="28"/>
        <v>12141.24</v>
      </c>
      <c r="M213" s="267">
        <v>0</v>
      </c>
      <c r="N213" s="271">
        <f t="shared" si="33"/>
        <v>129.60000000000002</v>
      </c>
      <c r="O213" s="276">
        <v>0</v>
      </c>
      <c r="P213" s="276">
        <f t="shared" si="29"/>
        <v>7184.9400000000005</v>
      </c>
      <c r="Q213" s="271">
        <f t="shared" si="30"/>
        <v>60084</v>
      </c>
      <c r="R213" s="271">
        <f t="shared" si="31"/>
        <v>74189.637600000002</v>
      </c>
      <c r="S213" s="271">
        <f t="shared" si="32"/>
        <v>2125.44</v>
      </c>
    </row>
    <row r="214" spans="1:21" s="270" customFormat="1" x14ac:dyDescent="0.25">
      <c r="A214" s="271">
        <v>501443</v>
      </c>
      <c r="B214" s="271">
        <v>1443</v>
      </c>
      <c r="C214" s="271">
        <v>84518</v>
      </c>
      <c r="D214" s="268" t="s">
        <v>894</v>
      </c>
      <c r="E214" s="268" t="s">
        <v>1290</v>
      </c>
      <c r="F214" s="268" t="s">
        <v>776</v>
      </c>
      <c r="G214" s="268">
        <v>8</v>
      </c>
      <c r="H214" s="268" t="s">
        <v>2688</v>
      </c>
      <c r="I214" s="268" t="s">
        <v>2689</v>
      </c>
      <c r="J214" s="271">
        <v>410568</v>
      </c>
      <c r="K214" s="271">
        <f t="shared" si="27"/>
        <v>34214</v>
      </c>
      <c r="L214" s="271">
        <f t="shared" si="28"/>
        <v>12141.24</v>
      </c>
      <c r="M214" s="267">
        <v>0</v>
      </c>
      <c r="N214" s="271">
        <f t="shared" si="33"/>
        <v>129.60000000000002</v>
      </c>
      <c r="O214" s="276">
        <v>0</v>
      </c>
      <c r="P214" s="276">
        <f t="shared" si="29"/>
        <v>7184.9400000000005</v>
      </c>
      <c r="Q214" s="271">
        <f t="shared" si="30"/>
        <v>60084</v>
      </c>
      <c r="R214" s="271">
        <f t="shared" si="31"/>
        <v>74189.637600000002</v>
      </c>
      <c r="S214" s="271">
        <f t="shared" si="32"/>
        <v>2125.44</v>
      </c>
    </row>
    <row r="215" spans="1:21" s="270" customFormat="1" x14ac:dyDescent="0.25">
      <c r="A215" s="271">
        <v>501443</v>
      </c>
      <c r="B215" s="271">
        <v>1443</v>
      </c>
      <c r="C215" s="271">
        <v>84521</v>
      </c>
      <c r="D215" s="268" t="s">
        <v>894</v>
      </c>
      <c r="E215" s="268" t="s">
        <v>1290</v>
      </c>
      <c r="F215" s="268" t="s">
        <v>2660</v>
      </c>
      <c r="G215" s="268">
        <v>8</v>
      </c>
      <c r="H215" s="268" t="s">
        <v>2690</v>
      </c>
      <c r="I215" s="268" t="s">
        <v>2689</v>
      </c>
      <c r="J215" s="271">
        <v>410568</v>
      </c>
      <c r="K215" s="271">
        <f t="shared" si="27"/>
        <v>34214</v>
      </c>
      <c r="L215" s="271">
        <f t="shared" si="28"/>
        <v>12141.24</v>
      </c>
      <c r="M215" s="267">
        <v>0</v>
      </c>
      <c r="N215" s="271">
        <f t="shared" si="33"/>
        <v>129.60000000000002</v>
      </c>
      <c r="O215" s="276">
        <v>0</v>
      </c>
      <c r="P215" s="276">
        <f t="shared" si="29"/>
        <v>7184.9400000000005</v>
      </c>
      <c r="Q215" s="271">
        <f t="shared" si="30"/>
        <v>60084</v>
      </c>
      <c r="R215" s="271">
        <f t="shared" si="31"/>
        <v>74189.637600000002</v>
      </c>
      <c r="S215" s="271">
        <f t="shared" si="32"/>
        <v>2125.44</v>
      </c>
    </row>
    <row r="216" spans="1:21" s="270" customFormat="1" x14ac:dyDescent="0.25">
      <c r="A216" s="271">
        <v>501443</v>
      </c>
      <c r="B216" s="271">
        <v>1443</v>
      </c>
      <c r="C216" s="271">
        <v>87971</v>
      </c>
      <c r="D216" s="268" t="s">
        <v>1698</v>
      </c>
      <c r="E216" s="268" t="s">
        <v>1290</v>
      </c>
      <c r="F216" s="268" t="s">
        <v>2691</v>
      </c>
      <c r="G216" s="268">
        <v>8</v>
      </c>
      <c r="H216" s="268" t="s">
        <v>2692</v>
      </c>
      <c r="I216" s="268" t="s">
        <v>2693</v>
      </c>
      <c r="J216" s="271">
        <v>410568</v>
      </c>
      <c r="K216" s="271">
        <f t="shared" si="27"/>
        <v>34214</v>
      </c>
      <c r="L216" s="271">
        <f t="shared" si="28"/>
        <v>12141.24</v>
      </c>
      <c r="M216" s="267">
        <v>0</v>
      </c>
      <c r="N216" s="271">
        <f t="shared" si="33"/>
        <v>129.60000000000002</v>
      </c>
      <c r="O216" s="271">
        <f>7525.5*12</f>
        <v>90306</v>
      </c>
      <c r="P216" s="276">
        <f t="shared" si="29"/>
        <v>7184.9400000000005</v>
      </c>
      <c r="Q216" s="271">
        <f t="shared" si="30"/>
        <v>60084</v>
      </c>
      <c r="R216" s="271">
        <f t="shared" si="31"/>
        <v>74189.637600000002</v>
      </c>
      <c r="S216" s="271">
        <f t="shared" si="32"/>
        <v>2125.44</v>
      </c>
    </row>
    <row r="217" spans="1:21" s="270" customFormat="1" x14ac:dyDescent="0.25">
      <c r="A217" s="271">
        <v>501206</v>
      </c>
      <c r="B217" s="271">
        <v>1206</v>
      </c>
      <c r="C217" s="271">
        <v>97136</v>
      </c>
      <c r="D217" s="268" t="s">
        <v>894</v>
      </c>
      <c r="E217" s="268" t="s">
        <v>1278</v>
      </c>
      <c r="F217" s="268" t="s">
        <v>2694</v>
      </c>
      <c r="G217" s="268">
        <v>8</v>
      </c>
      <c r="H217" s="268" t="s">
        <v>2695</v>
      </c>
      <c r="I217" s="268" t="s">
        <v>2682</v>
      </c>
      <c r="J217" s="271">
        <v>410568</v>
      </c>
      <c r="K217" s="271">
        <f t="shared" si="27"/>
        <v>34214</v>
      </c>
      <c r="L217" s="271">
        <f t="shared" si="28"/>
        <v>12141.24</v>
      </c>
      <c r="M217" s="267">
        <v>0</v>
      </c>
      <c r="N217" s="271">
        <f t="shared" si="33"/>
        <v>129.60000000000002</v>
      </c>
      <c r="O217" s="276">
        <v>0</v>
      </c>
      <c r="P217" s="276">
        <f t="shared" si="29"/>
        <v>7184.9400000000005</v>
      </c>
      <c r="Q217" s="271">
        <f t="shared" si="30"/>
        <v>60084</v>
      </c>
      <c r="R217" s="271">
        <f t="shared" si="31"/>
        <v>74189.637600000002</v>
      </c>
      <c r="S217" s="271">
        <f t="shared" si="32"/>
        <v>2125.44</v>
      </c>
    </row>
    <row r="218" spans="1:21" s="270" customFormat="1" x14ac:dyDescent="0.25">
      <c r="A218" s="276">
        <v>501444</v>
      </c>
      <c r="B218" s="276">
        <v>1444</v>
      </c>
      <c r="C218" s="276">
        <v>200017</v>
      </c>
      <c r="D218" s="268" t="s">
        <v>894</v>
      </c>
      <c r="E218" s="268" t="s">
        <v>1290</v>
      </c>
      <c r="F218" s="268" t="s">
        <v>2696</v>
      </c>
      <c r="G218" s="268">
        <v>8</v>
      </c>
      <c r="H218" s="268" t="s">
        <v>2697</v>
      </c>
      <c r="I218" s="268" t="s">
        <v>2677</v>
      </c>
      <c r="J218" s="267">
        <v>410568</v>
      </c>
      <c r="K218" s="276">
        <f t="shared" si="27"/>
        <v>34214</v>
      </c>
      <c r="L218" s="271">
        <f t="shared" si="28"/>
        <v>12141.24</v>
      </c>
      <c r="M218" s="267">
        <f>930*12</f>
        <v>11160</v>
      </c>
      <c r="N218" s="276">
        <f t="shared" si="33"/>
        <v>129.60000000000002</v>
      </c>
      <c r="O218" s="276">
        <v>0</v>
      </c>
      <c r="P218" s="276">
        <f t="shared" si="29"/>
        <v>7184.9400000000005</v>
      </c>
      <c r="Q218" s="271">
        <f t="shared" si="30"/>
        <v>60084</v>
      </c>
      <c r="R218" s="276">
        <f t="shared" si="31"/>
        <v>74189.637600000002</v>
      </c>
      <c r="S218" s="276">
        <f t="shared" si="32"/>
        <v>2125.44</v>
      </c>
    </row>
    <row r="219" spans="1:21" s="270" customFormat="1" x14ac:dyDescent="0.25">
      <c r="A219" s="271">
        <v>501443</v>
      </c>
      <c r="B219" s="271">
        <v>1443</v>
      </c>
      <c r="C219" s="271">
        <v>200038</v>
      </c>
      <c r="D219" s="268" t="s">
        <v>894</v>
      </c>
      <c r="E219" s="268" t="s">
        <v>1278</v>
      </c>
      <c r="F219" s="268" t="s">
        <v>2243</v>
      </c>
      <c r="G219" s="268">
        <v>8</v>
      </c>
      <c r="H219" s="268" t="s">
        <v>2698</v>
      </c>
      <c r="I219" s="268" t="s">
        <v>2689</v>
      </c>
      <c r="J219" s="271">
        <v>410568</v>
      </c>
      <c r="K219" s="271">
        <f t="shared" si="27"/>
        <v>34214</v>
      </c>
      <c r="L219" s="271">
        <f t="shared" si="28"/>
        <v>12141.24</v>
      </c>
      <c r="M219" s="267">
        <v>0</v>
      </c>
      <c r="N219" s="271">
        <f t="shared" si="33"/>
        <v>129.60000000000002</v>
      </c>
      <c r="O219" s="276">
        <v>0</v>
      </c>
      <c r="P219" s="276">
        <f t="shared" si="29"/>
        <v>7184.9400000000005</v>
      </c>
      <c r="Q219" s="271">
        <f t="shared" si="30"/>
        <v>60084</v>
      </c>
      <c r="R219" s="271">
        <f t="shared" si="31"/>
        <v>74189.637600000002</v>
      </c>
      <c r="S219" s="271">
        <f t="shared" si="32"/>
        <v>2125.44</v>
      </c>
    </row>
    <row r="220" spans="1:21" s="270" customFormat="1" x14ac:dyDescent="0.25">
      <c r="A220" s="271">
        <v>501503</v>
      </c>
      <c r="B220" s="271">
        <v>1503</v>
      </c>
      <c r="C220" s="271">
        <v>200076</v>
      </c>
      <c r="D220" s="268" t="s">
        <v>894</v>
      </c>
      <c r="E220" s="268" t="s">
        <v>1290</v>
      </c>
      <c r="F220" s="268" t="s">
        <v>2336</v>
      </c>
      <c r="G220" s="268">
        <v>8</v>
      </c>
      <c r="H220" s="268" t="s">
        <v>2699</v>
      </c>
      <c r="I220" s="268" t="s">
        <v>2700</v>
      </c>
      <c r="J220" s="271">
        <v>410568</v>
      </c>
      <c r="K220" s="271">
        <f t="shared" si="27"/>
        <v>34214</v>
      </c>
      <c r="L220" s="271">
        <f t="shared" si="28"/>
        <v>12141.24</v>
      </c>
      <c r="M220" s="267">
        <v>0</v>
      </c>
      <c r="N220" s="271">
        <f t="shared" si="33"/>
        <v>129.60000000000002</v>
      </c>
      <c r="O220" s="276">
        <v>0</v>
      </c>
      <c r="P220" s="276">
        <f t="shared" si="29"/>
        <v>7184.9400000000005</v>
      </c>
      <c r="Q220" s="271">
        <f t="shared" si="30"/>
        <v>60084</v>
      </c>
      <c r="R220" s="271">
        <f t="shared" si="31"/>
        <v>74189.637600000002</v>
      </c>
      <c r="S220" s="271">
        <f t="shared" si="32"/>
        <v>2125.44</v>
      </c>
    </row>
    <row r="221" spans="1:21" s="270" customFormat="1" x14ac:dyDescent="0.25">
      <c r="A221" s="271">
        <v>501406</v>
      </c>
      <c r="B221" s="271">
        <v>1406</v>
      </c>
      <c r="C221" s="271">
        <v>200255</v>
      </c>
      <c r="D221" s="268" t="s">
        <v>894</v>
      </c>
      <c r="E221" s="268" t="s">
        <v>1278</v>
      </c>
      <c r="F221" s="268" t="s">
        <v>2701</v>
      </c>
      <c r="G221" s="268">
        <v>8</v>
      </c>
      <c r="H221" s="268" t="s">
        <v>2702</v>
      </c>
      <c r="I221" s="268" t="s">
        <v>2693</v>
      </c>
      <c r="J221" s="271">
        <v>410568</v>
      </c>
      <c r="K221" s="271">
        <f t="shared" si="27"/>
        <v>34214</v>
      </c>
      <c r="L221" s="271">
        <f t="shared" si="28"/>
        <v>12141.24</v>
      </c>
      <c r="M221" s="267">
        <v>0</v>
      </c>
      <c r="N221" s="271">
        <f t="shared" si="33"/>
        <v>129.60000000000002</v>
      </c>
      <c r="O221" s="271">
        <f>7525.5*12</f>
        <v>90306</v>
      </c>
      <c r="P221" s="276">
        <f t="shared" si="29"/>
        <v>7184.9400000000005</v>
      </c>
      <c r="Q221" s="271">
        <f t="shared" si="30"/>
        <v>60084</v>
      </c>
      <c r="R221" s="271">
        <f t="shared" si="31"/>
        <v>74189.637600000002</v>
      </c>
      <c r="S221" s="271">
        <f t="shared" si="32"/>
        <v>2125.44</v>
      </c>
    </row>
    <row r="222" spans="1:21" s="270" customFormat="1" x14ac:dyDescent="0.25">
      <c r="A222" s="271">
        <v>501503</v>
      </c>
      <c r="B222" s="271">
        <v>1503</v>
      </c>
      <c r="C222" s="271">
        <v>200258</v>
      </c>
      <c r="D222" s="268" t="s">
        <v>894</v>
      </c>
      <c r="E222" s="268" t="s">
        <v>1290</v>
      </c>
      <c r="F222" s="268" t="s">
        <v>1304</v>
      </c>
      <c r="G222" s="268">
        <v>8</v>
      </c>
      <c r="H222" s="268" t="s">
        <v>2703</v>
      </c>
      <c r="I222" s="268" t="s">
        <v>2704</v>
      </c>
      <c r="J222" s="271">
        <v>410568</v>
      </c>
      <c r="K222" s="271">
        <f t="shared" si="27"/>
        <v>34214</v>
      </c>
      <c r="L222" s="271">
        <f t="shared" si="28"/>
        <v>12141.24</v>
      </c>
      <c r="M222" s="267">
        <v>0</v>
      </c>
      <c r="N222" s="271">
        <f t="shared" si="33"/>
        <v>129.60000000000002</v>
      </c>
      <c r="O222" s="276">
        <v>0</v>
      </c>
      <c r="P222" s="276">
        <f t="shared" si="29"/>
        <v>7184.9400000000005</v>
      </c>
      <c r="Q222" s="271">
        <f t="shared" si="30"/>
        <v>60084</v>
      </c>
      <c r="R222" s="271">
        <f t="shared" si="31"/>
        <v>74189.637600000002</v>
      </c>
      <c r="S222" s="271">
        <f t="shared" si="32"/>
        <v>2125.44</v>
      </c>
    </row>
    <row r="223" spans="1:21" s="270" customFormat="1" x14ac:dyDescent="0.25">
      <c r="A223" s="271"/>
      <c r="B223" s="271">
        <v>1407</v>
      </c>
      <c r="C223" s="271">
        <v>200372</v>
      </c>
      <c r="D223" s="268" t="s">
        <v>894</v>
      </c>
      <c r="E223" s="268" t="s">
        <v>1278</v>
      </c>
      <c r="F223" s="268" t="s">
        <v>2705</v>
      </c>
      <c r="G223" s="268">
        <v>8</v>
      </c>
      <c r="H223" s="268" t="s">
        <v>2706</v>
      </c>
      <c r="I223" s="268" t="s">
        <v>2693</v>
      </c>
      <c r="J223" s="271">
        <v>410568</v>
      </c>
      <c r="K223" s="271">
        <f t="shared" si="27"/>
        <v>34214</v>
      </c>
      <c r="L223" s="271">
        <f t="shared" si="28"/>
        <v>12141.24</v>
      </c>
      <c r="M223" s="267">
        <v>0</v>
      </c>
      <c r="N223" s="271">
        <f t="shared" si="33"/>
        <v>129.60000000000002</v>
      </c>
      <c r="O223" s="271">
        <f>7525.5*12</f>
        <v>90306</v>
      </c>
      <c r="P223" s="276">
        <f t="shared" si="29"/>
        <v>7184.9400000000005</v>
      </c>
      <c r="Q223" s="271">
        <f t="shared" si="30"/>
        <v>60084</v>
      </c>
      <c r="R223" s="271">
        <f t="shared" si="31"/>
        <v>74189.637600000002</v>
      </c>
      <c r="S223" s="271">
        <f t="shared" si="32"/>
        <v>2125.44</v>
      </c>
    </row>
    <row r="224" spans="1:21" s="270" customFormat="1" x14ac:dyDescent="0.25">
      <c r="A224" s="271"/>
      <c r="B224" s="271">
        <v>1407</v>
      </c>
      <c r="C224" s="271">
        <v>200380</v>
      </c>
      <c r="D224" s="268" t="s">
        <v>894</v>
      </c>
      <c r="E224" s="268" t="s">
        <v>1278</v>
      </c>
      <c r="F224" s="268" t="s">
        <v>2381</v>
      </c>
      <c r="G224" s="268">
        <v>8</v>
      </c>
      <c r="H224" s="268" t="s">
        <v>2707</v>
      </c>
      <c r="I224" s="268" t="s">
        <v>2693</v>
      </c>
      <c r="J224" s="271">
        <v>410568</v>
      </c>
      <c r="K224" s="271">
        <f t="shared" si="27"/>
        <v>34214</v>
      </c>
      <c r="L224" s="271">
        <f t="shared" si="28"/>
        <v>12141.24</v>
      </c>
      <c r="M224" s="267">
        <v>0</v>
      </c>
      <c r="N224" s="271">
        <f t="shared" si="33"/>
        <v>129.60000000000002</v>
      </c>
      <c r="O224" s="271">
        <f>7525.5*12</f>
        <v>90306</v>
      </c>
      <c r="P224" s="276">
        <f t="shared" si="29"/>
        <v>7184.9400000000005</v>
      </c>
      <c r="Q224" s="271">
        <f t="shared" si="30"/>
        <v>60084</v>
      </c>
      <c r="R224" s="271">
        <f t="shared" si="31"/>
        <v>74189.637600000002</v>
      </c>
      <c r="S224" s="271">
        <f t="shared" si="32"/>
        <v>2125.44</v>
      </c>
    </row>
    <row r="225" spans="1:21" s="270" customFormat="1" x14ac:dyDescent="0.25">
      <c r="A225" s="271"/>
      <c r="B225" s="271">
        <v>1445</v>
      </c>
      <c r="C225" s="271">
        <v>200381</v>
      </c>
      <c r="D225" s="268" t="s">
        <v>894</v>
      </c>
      <c r="E225" s="268" t="s">
        <v>1290</v>
      </c>
      <c r="F225" s="268" t="s">
        <v>2544</v>
      </c>
      <c r="G225" s="268">
        <v>8</v>
      </c>
      <c r="H225" s="268" t="s">
        <v>2708</v>
      </c>
      <c r="I225" s="268" t="s">
        <v>2693</v>
      </c>
      <c r="J225" s="271">
        <v>410568</v>
      </c>
      <c r="K225" s="271">
        <f t="shared" si="27"/>
        <v>34214</v>
      </c>
      <c r="L225" s="271">
        <f t="shared" si="28"/>
        <v>12141.24</v>
      </c>
      <c r="M225" s="267">
        <v>0</v>
      </c>
      <c r="N225" s="271">
        <f t="shared" si="33"/>
        <v>129.60000000000002</v>
      </c>
      <c r="O225" s="271">
        <f>7525.5*12</f>
        <v>90306</v>
      </c>
      <c r="P225" s="276">
        <f t="shared" si="29"/>
        <v>7184.9400000000005</v>
      </c>
      <c r="Q225" s="271">
        <f t="shared" si="30"/>
        <v>60084</v>
      </c>
      <c r="R225" s="271">
        <f t="shared" si="31"/>
        <v>74189.637600000002</v>
      </c>
      <c r="S225" s="271">
        <f t="shared" si="32"/>
        <v>2125.44</v>
      </c>
    </row>
    <row r="226" spans="1:21" s="270" customFormat="1" x14ac:dyDescent="0.25">
      <c r="A226" s="271"/>
      <c r="B226" s="271">
        <v>1445</v>
      </c>
      <c r="C226" s="271">
        <v>200382</v>
      </c>
      <c r="D226" s="268" t="s">
        <v>894</v>
      </c>
      <c r="E226" s="268" t="s">
        <v>1278</v>
      </c>
      <c r="F226" s="268" t="s">
        <v>2549</v>
      </c>
      <c r="G226" s="268">
        <v>8</v>
      </c>
      <c r="H226" s="268" t="s">
        <v>2709</v>
      </c>
      <c r="I226" s="268" t="s">
        <v>2693</v>
      </c>
      <c r="J226" s="271">
        <v>410568</v>
      </c>
      <c r="K226" s="271">
        <f t="shared" si="27"/>
        <v>34214</v>
      </c>
      <c r="L226" s="271">
        <f t="shared" si="28"/>
        <v>12141.24</v>
      </c>
      <c r="M226" s="267">
        <v>0</v>
      </c>
      <c r="N226" s="271">
        <f t="shared" si="33"/>
        <v>129.60000000000002</v>
      </c>
      <c r="O226" s="271">
        <f>7525.5*12</f>
        <v>90306</v>
      </c>
      <c r="P226" s="276">
        <f t="shared" si="29"/>
        <v>7184.9400000000005</v>
      </c>
      <c r="Q226" s="271">
        <f t="shared" si="30"/>
        <v>60084</v>
      </c>
      <c r="R226" s="271">
        <f t="shared" si="31"/>
        <v>74189.637600000002</v>
      </c>
      <c r="S226" s="271">
        <f t="shared" si="32"/>
        <v>2125.44</v>
      </c>
    </row>
    <row r="227" spans="1:21" s="270" customFormat="1" x14ac:dyDescent="0.25">
      <c r="A227" s="271">
        <v>501305</v>
      </c>
      <c r="B227" s="271">
        <v>1503</v>
      </c>
      <c r="C227" s="271">
        <v>200388</v>
      </c>
      <c r="D227" s="268" t="s">
        <v>894</v>
      </c>
      <c r="E227" s="268" t="s">
        <v>1290</v>
      </c>
      <c r="F227" s="268" t="s">
        <v>426</v>
      </c>
      <c r="G227" s="268">
        <v>8</v>
      </c>
      <c r="H227" s="268" t="s">
        <v>2710</v>
      </c>
      <c r="I227" s="268" t="s">
        <v>2679</v>
      </c>
      <c r="J227" s="271">
        <v>410568</v>
      </c>
      <c r="K227" s="271">
        <f t="shared" si="27"/>
        <v>34214</v>
      </c>
      <c r="L227" s="271">
        <f t="shared" si="28"/>
        <v>12141.24</v>
      </c>
      <c r="M227" s="267">
        <v>0</v>
      </c>
      <c r="N227" s="271">
        <f t="shared" si="33"/>
        <v>129.60000000000002</v>
      </c>
      <c r="O227" s="276">
        <v>0</v>
      </c>
      <c r="P227" s="276">
        <f t="shared" si="29"/>
        <v>7184.9400000000005</v>
      </c>
      <c r="Q227" s="271">
        <f t="shared" si="30"/>
        <v>60084</v>
      </c>
      <c r="R227" s="271">
        <f t="shared" si="31"/>
        <v>74189.637600000002</v>
      </c>
      <c r="S227" s="271">
        <f t="shared" si="32"/>
        <v>2125.44</v>
      </c>
    </row>
    <row r="228" spans="1:21" s="270" customFormat="1" x14ac:dyDescent="0.25">
      <c r="A228" s="276">
        <v>501444</v>
      </c>
      <c r="B228" s="271">
        <v>1444</v>
      </c>
      <c r="C228" s="271">
        <v>217</v>
      </c>
      <c r="D228" s="268" t="s">
        <v>894</v>
      </c>
      <c r="E228" s="268" t="s">
        <v>1290</v>
      </c>
      <c r="F228" s="268" t="s">
        <v>2415</v>
      </c>
      <c r="G228" s="268">
        <v>8</v>
      </c>
      <c r="H228" s="268" t="s">
        <v>2711</v>
      </c>
      <c r="I228" s="268" t="s">
        <v>2712</v>
      </c>
      <c r="J228" s="271">
        <v>401268</v>
      </c>
      <c r="K228" s="271">
        <f t="shared" si="27"/>
        <v>33439</v>
      </c>
      <c r="L228" s="271">
        <f t="shared" si="28"/>
        <v>12141.24</v>
      </c>
      <c r="M228" s="267">
        <v>0</v>
      </c>
      <c r="N228" s="271">
        <f t="shared" si="33"/>
        <v>129.60000000000002</v>
      </c>
      <c r="O228" s="276">
        <v>0</v>
      </c>
      <c r="P228" s="276">
        <f t="shared" si="29"/>
        <v>7022.1900000000005</v>
      </c>
      <c r="Q228" s="271">
        <f t="shared" si="30"/>
        <v>60084</v>
      </c>
      <c r="R228" s="271">
        <f t="shared" si="31"/>
        <v>72509.127600000007</v>
      </c>
      <c r="S228" s="271">
        <f t="shared" si="32"/>
        <v>2125.44</v>
      </c>
    </row>
    <row r="229" spans="1:21" s="270" customFormat="1" x14ac:dyDescent="0.25">
      <c r="A229" s="271">
        <v>501443</v>
      </c>
      <c r="B229" s="271">
        <v>1443</v>
      </c>
      <c r="C229" s="271">
        <v>23456</v>
      </c>
      <c r="D229" s="268" t="s">
        <v>894</v>
      </c>
      <c r="E229" s="268" t="s">
        <v>1290</v>
      </c>
      <c r="F229" s="268" t="s">
        <v>2713</v>
      </c>
      <c r="G229" s="268">
        <v>8</v>
      </c>
      <c r="H229" s="268" t="s">
        <v>2714</v>
      </c>
      <c r="I229" s="268" t="s">
        <v>2712</v>
      </c>
      <c r="J229" s="271">
        <v>401268</v>
      </c>
      <c r="K229" s="271">
        <f t="shared" si="27"/>
        <v>33439</v>
      </c>
      <c r="L229" s="271">
        <f t="shared" si="28"/>
        <v>12141.24</v>
      </c>
      <c r="M229" s="267">
        <v>0</v>
      </c>
      <c r="N229" s="271">
        <f t="shared" si="33"/>
        <v>129.60000000000002</v>
      </c>
      <c r="O229" s="276">
        <v>0</v>
      </c>
      <c r="P229" s="276">
        <f t="shared" si="29"/>
        <v>7022.1900000000005</v>
      </c>
      <c r="Q229" s="271">
        <f t="shared" si="30"/>
        <v>60084</v>
      </c>
      <c r="R229" s="271">
        <f t="shared" si="31"/>
        <v>72509.127600000007</v>
      </c>
      <c r="S229" s="271">
        <f t="shared" si="32"/>
        <v>2125.44</v>
      </c>
    </row>
    <row r="230" spans="1:21" s="270" customFormat="1" x14ac:dyDescent="0.25">
      <c r="A230" s="271">
        <v>501443</v>
      </c>
      <c r="B230" s="271">
        <v>1443</v>
      </c>
      <c r="C230" s="271">
        <v>51541</v>
      </c>
      <c r="D230" s="268" t="s">
        <v>894</v>
      </c>
      <c r="E230" s="268" t="s">
        <v>1278</v>
      </c>
      <c r="F230" s="268" t="s">
        <v>2715</v>
      </c>
      <c r="G230" s="268">
        <v>8</v>
      </c>
      <c r="H230" s="268" t="s">
        <v>2716</v>
      </c>
      <c r="I230" s="268" t="s">
        <v>2717</v>
      </c>
      <c r="J230" s="271">
        <v>401268</v>
      </c>
      <c r="K230" s="271">
        <f t="shared" si="27"/>
        <v>33439</v>
      </c>
      <c r="L230" s="271">
        <f t="shared" si="28"/>
        <v>12141.24</v>
      </c>
      <c r="M230" s="267">
        <v>0</v>
      </c>
      <c r="N230" s="271">
        <f t="shared" si="33"/>
        <v>129.60000000000002</v>
      </c>
      <c r="O230" s="271">
        <f>8640*12</f>
        <v>103680</v>
      </c>
      <c r="P230" s="276">
        <f t="shared" si="29"/>
        <v>7022.1900000000005</v>
      </c>
      <c r="Q230" s="271">
        <f t="shared" si="30"/>
        <v>60084</v>
      </c>
      <c r="R230" s="271">
        <f t="shared" si="31"/>
        <v>72509.127600000007</v>
      </c>
      <c r="S230" s="271">
        <f t="shared" si="32"/>
        <v>2125.44</v>
      </c>
    </row>
    <row r="231" spans="1:21" s="270" customFormat="1" x14ac:dyDescent="0.25">
      <c r="A231" s="271">
        <v>501304</v>
      </c>
      <c r="B231" s="271">
        <v>1304</v>
      </c>
      <c r="C231" s="271">
        <v>51839</v>
      </c>
      <c r="D231" s="268" t="s">
        <v>894</v>
      </c>
      <c r="E231" s="268" t="s">
        <v>1290</v>
      </c>
      <c r="F231" s="268" t="s">
        <v>1290</v>
      </c>
      <c r="G231" s="268">
        <v>8</v>
      </c>
      <c r="H231" s="268" t="s">
        <v>2604</v>
      </c>
      <c r="I231" s="268" t="s">
        <v>2718</v>
      </c>
      <c r="J231" s="271">
        <v>401268</v>
      </c>
      <c r="K231" s="271">
        <f t="shared" si="27"/>
        <v>33439</v>
      </c>
      <c r="L231" s="271">
        <f t="shared" si="28"/>
        <v>12141.24</v>
      </c>
      <c r="M231" s="267">
        <v>0</v>
      </c>
      <c r="N231" s="271">
        <f t="shared" si="33"/>
        <v>129.60000000000002</v>
      </c>
      <c r="O231" s="276">
        <v>0</v>
      </c>
      <c r="P231" s="276">
        <f t="shared" si="29"/>
        <v>7022.1900000000005</v>
      </c>
      <c r="Q231" s="271">
        <f t="shared" si="30"/>
        <v>60084</v>
      </c>
      <c r="R231" s="271">
        <f t="shared" si="31"/>
        <v>72509.127600000007</v>
      </c>
      <c r="S231" s="271">
        <f t="shared" si="32"/>
        <v>2125.44</v>
      </c>
    </row>
    <row r="232" spans="1:21" s="270" customFormat="1" x14ac:dyDescent="0.25">
      <c r="A232" s="271">
        <v>501443</v>
      </c>
      <c r="B232" s="271">
        <v>1443</v>
      </c>
      <c r="C232" s="271">
        <v>84505</v>
      </c>
      <c r="D232" s="268" t="s">
        <v>894</v>
      </c>
      <c r="E232" s="268" t="s">
        <v>1278</v>
      </c>
      <c r="F232" s="268" t="s">
        <v>2719</v>
      </c>
      <c r="G232" s="268">
        <v>8</v>
      </c>
      <c r="H232" s="268" t="s">
        <v>2720</v>
      </c>
      <c r="I232" s="268" t="s">
        <v>2717</v>
      </c>
      <c r="J232" s="271">
        <v>401268</v>
      </c>
      <c r="K232" s="271">
        <f t="shared" si="27"/>
        <v>33439</v>
      </c>
      <c r="L232" s="271">
        <f t="shared" si="28"/>
        <v>12141.24</v>
      </c>
      <c r="M232" s="267">
        <v>0</v>
      </c>
      <c r="N232" s="271">
        <f t="shared" si="33"/>
        <v>129.60000000000002</v>
      </c>
      <c r="O232" s="276">
        <v>0</v>
      </c>
      <c r="P232" s="276">
        <f t="shared" si="29"/>
        <v>7022.1900000000005</v>
      </c>
      <c r="Q232" s="271">
        <f t="shared" si="30"/>
        <v>60084</v>
      </c>
      <c r="R232" s="271">
        <f t="shared" si="31"/>
        <v>72509.127600000007</v>
      </c>
      <c r="S232" s="271">
        <f t="shared" si="32"/>
        <v>2125.44</v>
      </c>
    </row>
    <row r="233" spans="1:21" s="270" customFormat="1" x14ac:dyDescent="0.25">
      <c r="A233" s="271">
        <v>501203</v>
      </c>
      <c r="B233" s="271">
        <v>1203</v>
      </c>
      <c r="C233" s="271">
        <v>200394</v>
      </c>
      <c r="D233" s="268" t="s">
        <v>894</v>
      </c>
      <c r="E233" s="268" t="s">
        <v>1290</v>
      </c>
      <c r="F233" s="268" t="s">
        <v>2381</v>
      </c>
      <c r="G233" s="268">
        <v>8</v>
      </c>
      <c r="H233" s="268" t="s">
        <v>2438</v>
      </c>
      <c r="I233" s="268" t="s">
        <v>2721</v>
      </c>
      <c r="J233" s="271">
        <v>401268</v>
      </c>
      <c r="K233" s="271">
        <f t="shared" si="27"/>
        <v>33439</v>
      </c>
      <c r="L233" s="271">
        <f t="shared" si="28"/>
        <v>12141.24</v>
      </c>
      <c r="M233" s="267">
        <v>0</v>
      </c>
      <c r="N233" s="271">
        <f t="shared" si="33"/>
        <v>129.60000000000002</v>
      </c>
      <c r="O233" s="276">
        <v>0</v>
      </c>
      <c r="P233" s="276">
        <f t="shared" si="29"/>
        <v>7022.1900000000005</v>
      </c>
      <c r="Q233" s="271">
        <f t="shared" si="30"/>
        <v>60084</v>
      </c>
      <c r="R233" s="271">
        <f t="shared" si="31"/>
        <v>72509.127600000007</v>
      </c>
      <c r="S233" s="271">
        <f t="shared" si="32"/>
        <v>2125.44</v>
      </c>
    </row>
    <row r="234" spans="1:21" s="270" customFormat="1" x14ac:dyDescent="0.25">
      <c r="A234" s="271">
        <v>501207</v>
      </c>
      <c r="B234" s="271">
        <v>1203</v>
      </c>
      <c r="C234" s="271">
        <v>200395</v>
      </c>
      <c r="D234" s="268" t="s">
        <v>894</v>
      </c>
      <c r="E234" s="268" t="s">
        <v>1278</v>
      </c>
      <c r="F234" s="268" t="s">
        <v>2722</v>
      </c>
      <c r="G234" s="268">
        <v>8</v>
      </c>
      <c r="H234" s="268" t="s">
        <v>2398</v>
      </c>
      <c r="I234" s="268" t="s">
        <v>2721</v>
      </c>
      <c r="J234" s="271">
        <v>401268</v>
      </c>
      <c r="K234" s="271">
        <f t="shared" si="27"/>
        <v>33439</v>
      </c>
      <c r="L234" s="271">
        <f t="shared" si="28"/>
        <v>12141.24</v>
      </c>
      <c r="M234" s="267">
        <v>0</v>
      </c>
      <c r="N234" s="271">
        <f t="shared" si="33"/>
        <v>129.60000000000002</v>
      </c>
      <c r="O234" s="276">
        <v>0</v>
      </c>
      <c r="P234" s="276">
        <f t="shared" si="29"/>
        <v>7022.1900000000005</v>
      </c>
      <c r="Q234" s="271">
        <f t="shared" si="30"/>
        <v>60084</v>
      </c>
      <c r="R234" s="271">
        <f t="shared" si="31"/>
        <v>72509.127600000007</v>
      </c>
      <c r="S234" s="271">
        <f t="shared" si="32"/>
        <v>2125.44</v>
      </c>
    </row>
    <row r="235" spans="1:21" s="270" customFormat="1" x14ac:dyDescent="0.25">
      <c r="A235" s="271">
        <v>501302</v>
      </c>
      <c r="B235" s="271">
        <v>1302</v>
      </c>
      <c r="C235" s="271">
        <v>200408</v>
      </c>
      <c r="D235" s="268" t="s">
        <v>894</v>
      </c>
      <c r="E235" s="268" t="s">
        <v>1290</v>
      </c>
      <c r="F235" s="268" t="s">
        <v>2723</v>
      </c>
      <c r="G235" s="268">
        <v>8</v>
      </c>
      <c r="H235" s="268" t="s">
        <v>2645</v>
      </c>
      <c r="I235" s="268" t="s">
        <v>2347</v>
      </c>
      <c r="J235" s="271">
        <v>401268</v>
      </c>
      <c r="K235" s="271">
        <f t="shared" si="27"/>
        <v>33439</v>
      </c>
      <c r="L235" s="271">
        <f t="shared" si="28"/>
        <v>12141.24</v>
      </c>
      <c r="M235" s="267">
        <v>0</v>
      </c>
      <c r="N235" s="271">
        <f t="shared" si="33"/>
        <v>129.60000000000002</v>
      </c>
      <c r="O235" s="276">
        <v>0</v>
      </c>
      <c r="P235" s="276">
        <f t="shared" si="29"/>
        <v>7022.1900000000005</v>
      </c>
      <c r="Q235" s="271">
        <f t="shared" si="30"/>
        <v>60084</v>
      </c>
      <c r="R235" s="271">
        <f t="shared" si="31"/>
        <v>72509.127600000007</v>
      </c>
      <c r="S235" s="271">
        <f t="shared" si="32"/>
        <v>2125.44</v>
      </c>
    </row>
    <row r="236" spans="1:21" x14ac:dyDescent="0.25">
      <c r="A236" s="271">
        <v>501443</v>
      </c>
      <c r="B236" s="271">
        <v>1443</v>
      </c>
      <c r="C236" s="271">
        <v>200043</v>
      </c>
      <c r="D236" s="268" t="s">
        <v>894</v>
      </c>
      <c r="E236" s="268" t="s">
        <v>1278</v>
      </c>
      <c r="F236" s="268" t="s">
        <v>2261</v>
      </c>
      <c r="G236" s="268">
        <v>7</v>
      </c>
      <c r="H236" s="268" t="s">
        <v>2724</v>
      </c>
      <c r="I236" s="268" t="s">
        <v>2689</v>
      </c>
      <c r="J236" s="271">
        <v>382668</v>
      </c>
      <c r="K236" s="271">
        <f t="shared" si="27"/>
        <v>31889</v>
      </c>
      <c r="L236" s="271">
        <f t="shared" si="28"/>
        <v>12141.24</v>
      </c>
      <c r="M236" s="267">
        <v>0</v>
      </c>
      <c r="N236" s="271">
        <f t="shared" si="33"/>
        <v>129.60000000000002</v>
      </c>
      <c r="O236" s="276">
        <v>0</v>
      </c>
      <c r="P236" s="276">
        <f t="shared" si="29"/>
        <v>6696.6900000000005</v>
      </c>
      <c r="Q236" s="271">
        <f t="shared" si="30"/>
        <v>60084</v>
      </c>
      <c r="R236" s="271">
        <f t="shared" si="31"/>
        <v>69148.107600000003</v>
      </c>
      <c r="S236" s="271">
        <f t="shared" si="32"/>
        <v>2125.44</v>
      </c>
      <c r="T236" s="270"/>
      <c r="U236" s="270"/>
    </row>
    <row r="237" spans="1:21" s="270" customFormat="1" x14ac:dyDescent="0.25">
      <c r="A237" s="271">
        <v>501443</v>
      </c>
      <c r="B237" s="271">
        <v>1443</v>
      </c>
      <c r="C237" s="271">
        <v>136</v>
      </c>
      <c r="D237" s="268" t="s">
        <v>894</v>
      </c>
      <c r="E237" s="268" t="s">
        <v>1290</v>
      </c>
      <c r="F237" s="268" t="s">
        <v>2725</v>
      </c>
      <c r="G237" s="268">
        <v>8</v>
      </c>
      <c r="H237" s="268" t="s">
        <v>2726</v>
      </c>
      <c r="I237" s="268" t="s">
        <v>2712</v>
      </c>
      <c r="J237" s="271">
        <v>382668</v>
      </c>
      <c r="K237" s="271">
        <f t="shared" si="27"/>
        <v>31889</v>
      </c>
      <c r="L237" s="271">
        <f t="shared" si="28"/>
        <v>12141.24</v>
      </c>
      <c r="M237" s="267">
        <v>0</v>
      </c>
      <c r="N237" s="271">
        <f t="shared" si="33"/>
        <v>129.60000000000002</v>
      </c>
      <c r="O237" s="276">
        <v>0</v>
      </c>
      <c r="P237" s="276">
        <f t="shared" si="29"/>
        <v>6696.6900000000005</v>
      </c>
      <c r="Q237" s="271">
        <f t="shared" si="30"/>
        <v>60084</v>
      </c>
      <c r="R237" s="271">
        <f t="shared" si="31"/>
        <v>69148.107600000003</v>
      </c>
      <c r="S237" s="271">
        <f t="shared" si="32"/>
        <v>2125.44</v>
      </c>
    </row>
    <row r="238" spans="1:21" s="270" customFormat="1" x14ac:dyDescent="0.25">
      <c r="A238" s="271">
        <v>501443</v>
      </c>
      <c r="B238" s="271">
        <v>1443</v>
      </c>
      <c r="C238" s="271">
        <v>1973</v>
      </c>
      <c r="D238" s="268" t="s">
        <v>1698</v>
      </c>
      <c r="E238" s="268" t="s">
        <v>1290</v>
      </c>
      <c r="F238" s="268" t="s">
        <v>2727</v>
      </c>
      <c r="G238" s="268">
        <v>8</v>
      </c>
      <c r="H238" s="268" t="s">
        <v>2728</v>
      </c>
      <c r="I238" s="268" t="s">
        <v>2712</v>
      </c>
      <c r="J238" s="271">
        <v>382668</v>
      </c>
      <c r="K238" s="271">
        <f t="shared" si="27"/>
        <v>31889</v>
      </c>
      <c r="L238" s="271">
        <f t="shared" si="28"/>
        <v>12141.24</v>
      </c>
      <c r="M238" s="267">
        <v>0</v>
      </c>
      <c r="N238" s="271">
        <f t="shared" si="33"/>
        <v>129.60000000000002</v>
      </c>
      <c r="O238" s="276">
        <v>0</v>
      </c>
      <c r="P238" s="276">
        <f t="shared" si="29"/>
        <v>6696.6900000000005</v>
      </c>
      <c r="Q238" s="271">
        <f t="shared" si="30"/>
        <v>60084</v>
      </c>
      <c r="R238" s="271">
        <f t="shared" si="31"/>
        <v>69148.107600000003</v>
      </c>
      <c r="S238" s="271">
        <f t="shared" si="32"/>
        <v>2125.44</v>
      </c>
    </row>
    <row r="239" spans="1:21" s="270" customFormat="1" x14ac:dyDescent="0.25">
      <c r="A239" s="271">
        <v>501443</v>
      </c>
      <c r="B239" s="271">
        <v>1443</v>
      </c>
      <c r="C239" s="271">
        <v>4187</v>
      </c>
      <c r="D239" s="268" t="s">
        <v>1698</v>
      </c>
      <c r="E239" s="268" t="s">
        <v>1290</v>
      </c>
      <c r="F239" s="268" t="s">
        <v>898</v>
      </c>
      <c r="G239" s="268">
        <v>8</v>
      </c>
      <c r="H239" s="268" t="s">
        <v>2729</v>
      </c>
      <c r="I239" s="268" t="s">
        <v>2712</v>
      </c>
      <c r="J239" s="271">
        <v>382668</v>
      </c>
      <c r="K239" s="271">
        <f t="shared" si="27"/>
        <v>31889</v>
      </c>
      <c r="L239" s="271">
        <f t="shared" si="28"/>
        <v>12141.24</v>
      </c>
      <c r="M239" s="267">
        <v>0</v>
      </c>
      <c r="N239" s="271">
        <f t="shared" si="33"/>
        <v>129.60000000000002</v>
      </c>
      <c r="O239" s="276">
        <v>0</v>
      </c>
      <c r="P239" s="276">
        <f t="shared" si="29"/>
        <v>6696.6900000000005</v>
      </c>
      <c r="Q239" s="271">
        <f t="shared" si="30"/>
        <v>60084</v>
      </c>
      <c r="R239" s="271">
        <f t="shared" si="31"/>
        <v>69148.107600000003</v>
      </c>
      <c r="S239" s="271">
        <f t="shared" si="32"/>
        <v>2125.44</v>
      </c>
    </row>
    <row r="240" spans="1:21" s="270" customFormat="1" x14ac:dyDescent="0.25">
      <c r="A240" s="271">
        <v>501443</v>
      </c>
      <c r="B240" s="271">
        <v>1443</v>
      </c>
      <c r="C240" s="271">
        <v>7870</v>
      </c>
      <c r="D240" s="268" t="s">
        <v>1698</v>
      </c>
      <c r="E240" s="268" t="s">
        <v>1290</v>
      </c>
      <c r="F240" s="268" t="s">
        <v>2730</v>
      </c>
      <c r="G240" s="268">
        <v>8</v>
      </c>
      <c r="H240" s="268" t="s">
        <v>2692</v>
      </c>
      <c r="I240" s="268" t="s">
        <v>2712</v>
      </c>
      <c r="J240" s="271">
        <v>382668</v>
      </c>
      <c r="K240" s="271">
        <f t="shared" si="27"/>
        <v>31889</v>
      </c>
      <c r="L240" s="271">
        <f t="shared" si="28"/>
        <v>12141.24</v>
      </c>
      <c r="M240" s="267">
        <v>0</v>
      </c>
      <c r="N240" s="271">
        <f t="shared" si="33"/>
        <v>129.60000000000002</v>
      </c>
      <c r="O240" s="276">
        <v>0</v>
      </c>
      <c r="P240" s="276">
        <f t="shared" si="29"/>
        <v>6696.6900000000005</v>
      </c>
      <c r="Q240" s="271">
        <f t="shared" si="30"/>
        <v>60084</v>
      </c>
      <c r="R240" s="271">
        <f t="shared" si="31"/>
        <v>69148.107600000003</v>
      </c>
      <c r="S240" s="271">
        <f t="shared" si="32"/>
        <v>2125.44</v>
      </c>
    </row>
    <row r="241" spans="1:21" s="270" customFormat="1" x14ac:dyDescent="0.25">
      <c r="A241" s="271">
        <v>501443</v>
      </c>
      <c r="B241" s="271">
        <v>1443</v>
      </c>
      <c r="C241" s="271">
        <v>8756</v>
      </c>
      <c r="D241" s="268" t="s">
        <v>1698</v>
      </c>
      <c r="E241" s="268" t="s">
        <v>1290</v>
      </c>
      <c r="F241" s="268" t="s">
        <v>2731</v>
      </c>
      <c r="G241" s="268">
        <v>8</v>
      </c>
      <c r="H241" s="268" t="s">
        <v>2732</v>
      </c>
      <c r="I241" s="268" t="s">
        <v>2712</v>
      </c>
      <c r="J241" s="271">
        <v>382668</v>
      </c>
      <c r="K241" s="271">
        <f t="shared" si="27"/>
        <v>31889</v>
      </c>
      <c r="L241" s="271">
        <f t="shared" si="28"/>
        <v>12141.24</v>
      </c>
      <c r="M241" s="267">
        <v>0</v>
      </c>
      <c r="N241" s="271">
        <f t="shared" si="33"/>
        <v>129.60000000000002</v>
      </c>
      <c r="O241" s="276">
        <v>0</v>
      </c>
      <c r="P241" s="276">
        <f t="shared" si="29"/>
        <v>6696.6900000000005</v>
      </c>
      <c r="Q241" s="271">
        <f t="shared" si="30"/>
        <v>60084</v>
      </c>
      <c r="R241" s="271">
        <f t="shared" si="31"/>
        <v>69148.107600000003</v>
      </c>
      <c r="S241" s="271">
        <f t="shared" si="32"/>
        <v>2125.44</v>
      </c>
    </row>
    <row r="242" spans="1:21" s="270" customFormat="1" x14ac:dyDescent="0.25">
      <c r="A242" s="271">
        <v>501443</v>
      </c>
      <c r="B242" s="271">
        <v>1443</v>
      </c>
      <c r="C242" s="271">
        <v>16405</v>
      </c>
      <c r="D242" s="268" t="s">
        <v>1698</v>
      </c>
      <c r="E242" s="268" t="s">
        <v>1290</v>
      </c>
      <c r="F242" s="268" t="s">
        <v>2560</v>
      </c>
      <c r="G242" s="268">
        <v>8</v>
      </c>
      <c r="H242" s="268" t="s">
        <v>2675</v>
      </c>
      <c r="I242" s="268" t="s">
        <v>2712</v>
      </c>
      <c r="J242" s="271">
        <v>382668</v>
      </c>
      <c r="K242" s="271">
        <f t="shared" si="27"/>
        <v>31889</v>
      </c>
      <c r="L242" s="271">
        <f t="shared" si="28"/>
        <v>12141.24</v>
      </c>
      <c r="M242" s="267">
        <v>0</v>
      </c>
      <c r="N242" s="271">
        <f t="shared" si="33"/>
        <v>129.60000000000002</v>
      </c>
      <c r="O242" s="276">
        <v>0</v>
      </c>
      <c r="P242" s="276">
        <f t="shared" si="29"/>
        <v>6696.6900000000005</v>
      </c>
      <c r="Q242" s="271">
        <f t="shared" si="30"/>
        <v>60084</v>
      </c>
      <c r="R242" s="271">
        <f t="shared" si="31"/>
        <v>69148.107600000003</v>
      </c>
      <c r="S242" s="271">
        <f t="shared" si="32"/>
        <v>2125.44</v>
      </c>
    </row>
    <row r="243" spans="1:21" s="270" customFormat="1" x14ac:dyDescent="0.25">
      <c r="A243" s="271">
        <v>501443</v>
      </c>
      <c r="B243" s="271">
        <v>1443</v>
      </c>
      <c r="C243" s="271">
        <v>23401</v>
      </c>
      <c r="D243" s="268" t="s">
        <v>894</v>
      </c>
      <c r="E243" s="268" t="s">
        <v>1290</v>
      </c>
      <c r="F243" s="268" t="s">
        <v>2733</v>
      </c>
      <c r="G243" s="268">
        <v>8</v>
      </c>
      <c r="H243" s="268" t="s">
        <v>2734</v>
      </c>
      <c r="I243" s="268" t="s">
        <v>2712</v>
      </c>
      <c r="J243" s="271">
        <v>382668</v>
      </c>
      <c r="K243" s="271">
        <f t="shared" si="27"/>
        <v>31889</v>
      </c>
      <c r="L243" s="271">
        <f t="shared" si="28"/>
        <v>12141.24</v>
      </c>
      <c r="M243" s="267">
        <v>0</v>
      </c>
      <c r="N243" s="271">
        <f t="shared" si="33"/>
        <v>129.60000000000002</v>
      </c>
      <c r="O243" s="276">
        <v>0</v>
      </c>
      <c r="P243" s="276">
        <f t="shared" si="29"/>
        <v>6696.6900000000005</v>
      </c>
      <c r="Q243" s="271">
        <f t="shared" si="30"/>
        <v>60084</v>
      </c>
      <c r="R243" s="271">
        <f t="shared" si="31"/>
        <v>69148.107600000003</v>
      </c>
      <c r="S243" s="271">
        <f t="shared" si="32"/>
        <v>2125.44</v>
      </c>
    </row>
    <row r="244" spans="1:21" s="270" customFormat="1" x14ac:dyDescent="0.25">
      <c r="A244" s="271">
        <v>501443</v>
      </c>
      <c r="B244" s="271">
        <v>1443</v>
      </c>
      <c r="C244" s="271">
        <v>25894</v>
      </c>
      <c r="D244" s="268" t="s">
        <v>1698</v>
      </c>
      <c r="E244" s="268" t="s">
        <v>1290</v>
      </c>
      <c r="F244" s="268" t="s">
        <v>2539</v>
      </c>
      <c r="G244" s="268">
        <v>8</v>
      </c>
      <c r="H244" s="268" t="s">
        <v>2735</v>
      </c>
      <c r="I244" s="268" t="s">
        <v>2689</v>
      </c>
      <c r="J244" s="271">
        <v>382668</v>
      </c>
      <c r="K244" s="271">
        <f t="shared" si="27"/>
        <v>31889</v>
      </c>
      <c r="L244" s="271">
        <f t="shared" si="28"/>
        <v>12141.24</v>
      </c>
      <c r="M244" s="267">
        <v>0</v>
      </c>
      <c r="N244" s="271">
        <f t="shared" si="33"/>
        <v>129.60000000000002</v>
      </c>
      <c r="O244" s="276">
        <v>0</v>
      </c>
      <c r="P244" s="276">
        <f t="shared" si="29"/>
        <v>6696.6900000000005</v>
      </c>
      <c r="Q244" s="271">
        <f t="shared" si="30"/>
        <v>60084</v>
      </c>
      <c r="R244" s="271">
        <f t="shared" si="31"/>
        <v>69148.107600000003</v>
      </c>
      <c r="S244" s="271">
        <f t="shared" si="32"/>
        <v>2125.44</v>
      </c>
    </row>
    <row r="245" spans="1:21" s="270" customFormat="1" x14ac:dyDescent="0.25">
      <c r="A245" s="271">
        <v>501445</v>
      </c>
      <c r="B245" s="271">
        <v>1445</v>
      </c>
      <c r="C245" s="271">
        <v>25917</v>
      </c>
      <c r="D245" s="268" t="s">
        <v>894</v>
      </c>
      <c r="E245" s="268" t="s">
        <v>1290</v>
      </c>
      <c r="F245" s="268" t="s">
        <v>2502</v>
      </c>
      <c r="G245" s="268">
        <v>8</v>
      </c>
      <c r="H245" s="268" t="s">
        <v>2736</v>
      </c>
      <c r="I245" s="268" t="s">
        <v>2712</v>
      </c>
      <c r="J245" s="271">
        <v>382668</v>
      </c>
      <c r="K245" s="271">
        <f t="shared" si="27"/>
        <v>31889</v>
      </c>
      <c r="L245" s="271">
        <f t="shared" si="28"/>
        <v>12141.24</v>
      </c>
      <c r="M245" s="267">
        <v>0</v>
      </c>
      <c r="N245" s="271">
        <f t="shared" si="33"/>
        <v>129.60000000000002</v>
      </c>
      <c r="O245" s="276">
        <v>0</v>
      </c>
      <c r="P245" s="276">
        <f t="shared" si="29"/>
        <v>6696.6900000000005</v>
      </c>
      <c r="Q245" s="271">
        <f t="shared" si="30"/>
        <v>60084</v>
      </c>
      <c r="R245" s="271">
        <f t="shared" si="31"/>
        <v>69148.107600000003</v>
      </c>
      <c r="S245" s="271">
        <f t="shared" si="32"/>
        <v>2125.44</v>
      </c>
    </row>
    <row r="246" spans="1:21" x14ac:dyDescent="0.25">
      <c r="A246" s="271">
        <v>501406</v>
      </c>
      <c r="B246" s="271">
        <v>1406</v>
      </c>
      <c r="C246" s="271">
        <v>31260</v>
      </c>
      <c r="D246" s="268" t="s">
        <v>894</v>
      </c>
      <c r="E246" s="268" t="s">
        <v>1290</v>
      </c>
      <c r="F246" s="268" t="s">
        <v>2737</v>
      </c>
      <c r="G246" s="268">
        <v>8</v>
      </c>
      <c r="H246" s="268" t="s">
        <v>2738</v>
      </c>
      <c r="I246" s="268" t="s">
        <v>2739</v>
      </c>
      <c r="J246" s="271">
        <v>382668</v>
      </c>
      <c r="K246" s="271">
        <f t="shared" si="27"/>
        <v>31889</v>
      </c>
      <c r="L246" s="271">
        <f t="shared" si="28"/>
        <v>12141.24</v>
      </c>
      <c r="M246" s="267">
        <v>0</v>
      </c>
      <c r="N246" s="271">
        <f t="shared" si="33"/>
        <v>129.60000000000002</v>
      </c>
      <c r="O246" s="276">
        <v>0</v>
      </c>
      <c r="P246" s="276">
        <f t="shared" si="29"/>
        <v>6696.6900000000005</v>
      </c>
      <c r="Q246" s="271">
        <f t="shared" si="30"/>
        <v>60084</v>
      </c>
      <c r="R246" s="271">
        <f t="shared" si="31"/>
        <v>69148.107600000003</v>
      </c>
      <c r="S246" s="271">
        <f t="shared" si="32"/>
        <v>2125.44</v>
      </c>
      <c r="T246" s="270"/>
      <c r="U246" s="270"/>
    </row>
    <row r="247" spans="1:21" s="270" customFormat="1" x14ac:dyDescent="0.25">
      <c r="A247" s="271">
        <v>501444</v>
      </c>
      <c r="B247" s="271">
        <v>1444</v>
      </c>
      <c r="C247" s="271">
        <v>34416</v>
      </c>
      <c r="D247" s="268" t="s">
        <v>894</v>
      </c>
      <c r="E247" s="268" t="s">
        <v>1290</v>
      </c>
      <c r="F247" s="268" t="s">
        <v>2502</v>
      </c>
      <c r="G247" s="268">
        <v>8</v>
      </c>
      <c r="H247" s="268" t="s">
        <v>2740</v>
      </c>
      <c r="I247" s="268" t="s">
        <v>2712</v>
      </c>
      <c r="J247" s="271">
        <v>382668</v>
      </c>
      <c r="K247" s="271">
        <f t="shared" si="27"/>
        <v>31889</v>
      </c>
      <c r="L247" s="271">
        <f t="shared" si="28"/>
        <v>12141.24</v>
      </c>
      <c r="M247" s="267">
        <v>0</v>
      </c>
      <c r="N247" s="271">
        <f t="shared" si="33"/>
        <v>129.60000000000002</v>
      </c>
      <c r="O247" s="276">
        <v>0</v>
      </c>
      <c r="P247" s="276">
        <f t="shared" si="29"/>
        <v>6696.6900000000005</v>
      </c>
      <c r="Q247" s="271">
        <f t="shared" si="30"/>
        <v>60084</v>
      </c>
      <c r="R247" s="271">
        <f t="shared" si="31"/>
        <v>69148.107600000003</v>
      </c>
      <c r="S247" s="271">
        <f t="shared" si="32"/>
        <v>2125.44</v>
      </c>
    </row>
    <row r="248" spans="1:21" s="270" customFormat="1" x14ac:dyDescent="0.25">
      <c r="A248" s="271">
        <v>501406</v>
      </c>
      <c r="B248" s="271">
        <v>1406</v>
      </c>
      <c r="C248" s="271">
        <v>36197</v>
      </c>
      <c r="D248" s="268" t="s">
        <v>894</v>
      </c>
      <c r="E248" s="268" t="s">
        <v>1278</v>
      </c>
      <c r="F248" s="268" t="s">
        <v>2649</v>
      </c>
      <c r="G248" s="268">
        <v>8</v>
      </c>
      <c r="H248" s="268" t="s">
        <v>2741</v>
      </c>
      <c r="I248" s="268" t="s">
        <v>2712</v>
      </c>
      <c r="J248" s="271">
        <v>382668</v>
      </c>
      <c r="K248" s="271">
        <f t="shared" si="27"/>
        <v>31889</v>
      </c>
      <c r="L248" s="271">
        <f t="shared" si="28"/>
        <v>12141.24</v>
      </c>
      <c r="M248" s="267">
        <v>0</v>
      </c>
      <c r="N248" s="271">
        <f t="shared" si="33"/>
        <v>129.60000000000002</v>
      </c>
      <c r="O248" s="276">
        <v>0</v>
      </c>
      <c r="P248" s="276">
        <f t="shared" si="29"/>
        <v>6696.6900000000005</v>
      </c>
      <c r="Q248" s="271">
        <f t="shared" si="30"/>
        <v>60084</v>
      </c>
      <c r="R248" s="271">
        <f t="shared" si="31"/>
        <v>69148.107600000003</v>
      </c>
      <c r="S248" s="271">
        <f t="shared" si="32"/>
        <v>2125.44</v>
      </c>
    </row>
    <row r="249" spans="1:21" x14ac:dyDescent="0.25">
      <c r="A249" s="271">
        <v>501445</v>
      </c>
      <c r="B249" s="271">
        <v>1445</v>
      </c>
      <c r="C249" s="271">
        <v>41140</v>
      </c>
      <c r="D249" s="268" t="s">
        <v>894</v>
      </c>
      <c r="E249" s="268" t="s">
        <v>1290</v>
      </c>
      <c r="F249" s="268" t="s">
        <v>2742</v>
      </c>
      <c r="G249" s="268">
        <v>8</v>
      </c>
      <c r="H249" s="268" t="s">
        <v>2382</v>
      </c>
      <c r="I249" s="268" t="s">
        <v>2689</v>
      </c>
      <c r="J249" s="271">
        <v>382668</v>
      </c>
      <c r="K249" s="271">
        <f t="shared" si="27"/>
        <v>31889</v>
      </c>
      <c r="L249" s="271">
        <f t="shared" si="28"/>
        <v>12141.24</v>
      </c>
      <c r="M249" s="267">
        <v>0</v>
      </c>
      <c r="N249" s="271">
        <f t="shared" si="33"/>
        <v>129.60000000000002</v>
      </c>
      <c r="O249" s="276">
        <v>0</v>
      </c>
      <c r="P249" s="276">
        <f t="shared" si="29"/>
        <v>6696.6900000000005</v>
      </c>
      <c r="Q249" s="271">
        <f t="shared" si="30"/>
        <v>60084</v>
      </c>
      <c r="R249" s="271">
        <f t="shared" si="31"/>
        <v>69148.107600000003</v>
      </c>
      <c r="S249" s="271">
        <f t="shared" si="32"/>
        <v>2125.44</v>
      </c>
      <c r="T249" s="270"/>
      <c r="U249" s="270"/>
    </row>
    <row r="250" spans="1:21" s="270" customFormat="1" x14ac:dyDescent="0.25">
      <c r="A250" s="271">
        <v>501443</v>
      </c>
      <c r="B250" s="271">
        <v>1443</v>
      </c>
      <c r="C250" s="271">
        <v>46624</v>
      </c>
      <c r="D250" s="268" t="s">
        <v>894</v>
      </c>
      <c r="E250" s="268" t="s">
        <v>1290</v>
      </c>
      <c r="F250" s="268" t="s">
        <v>1290</v>
      </c>
      <c r="G250" s="268">
        <v>8</v>
      </c>
      <c r="H250" s="268" t="s">
        <v>2743</v>
      </c>
      <c r="I250" s="268" t="s">
        <v>2689</v>
      </c>
      <c r="J250" s="271">
        <v>382668</v>
      </c>
      <c r="K250" s="271">
        <f t="shared" si="27"/>
        <v>31889</v>
      </c>
      <c r="L250" s="271">
        <f t="shared" si="28"/>
        <v>12141.24</v>
      </c>
      <c r="M250" s="267">
        <v>0</v>
      </c>
      <c r="N250" s="271">
        <f t="shared" si="33"/>
        <v>129.60000000000002</v>
      </c>
      <c r="O250" s="276">
        <v>0</v>
      </c>
      <c r="P250" s="276">
        <f t="shared" si="29"/>
        <v>6696.6900000000005</v>
      </c>
      <c r="Q250" s="271">
        <f t="shared" si="30"/>
        <v>60084</v>
      </c>
      <c r="R250" s="271">
        <f t="shared" si="31"/>
        <v>69148.107600000003</v>
      </c>
      <c r="S250" s="271">
        <f t="shared" si="32"/>
        <v>2125.44</v>
      </c>
    </row>
    <row r="251" spans="1:21" s="270" customFormat="1" x14ac:dyDescent="0.25">
      <c r="A251" s="271">
        <v>501203</v>
      </c>
      <c r="B251" s="271">
        <v>1203</v>
      </c>
      <c r="C251" s="271">
        <v>59983</v>
      </c>
      <c r="D251" s="268" t="s">
        <v>894</v>
      </c>
      <c r="E251" s="268" t="s">
        <v>1278</v>
      </c>
      <c r="F251" s="268" t="s">
        <v>2744</v>
      </c>
      <c r="G251" s="268">
        <v>8</v>
      </c>
      <c r="H251" s="268" t="s">
        <v>2745</v>
      </c>
      <c r="I251" s="268" t="s">
        <v>2721</v>
      </c>
      <c r="J251" s="271">
        <v>382668</v>
      </c>
      <c r="K251" s="271">
        <f t="shared" si="27"/>
        <v>31889</v>
      </c>
      <c r="L251" s="271">
        <f t="shared" si="28"/>
        <v>12141.24</v>
      </c>
      <c r="M251" s="267">
        <v>0</v>
      </c>
      <c r="N251" s="271">
        <f t="shared" si="33"/>
        <v>129.60000000000002</v>
      </c>
      <c r="O251" s="276">
        <v>0</v>
      </c>
      <c r="P251" s="276">
        <f t="shared" si="29"/>
        <v>6696.6900000000005</v>
      </c>
      <c r="Q251" s="271">
        <f t="shared" si="30"/>
        <v>60084</v>
      </c>
      <c r="R251" s="271">
        <f t="shared" si="31"/>
        <v>69148.107600000003</v>
      </c>
      <c r="S251" s="271">
        <f t="shared" si="32"/>
        <v>2125.44</v>
      </c>
    </row>
    <row r="252" spans="1:21" s="270" customFormat="1" x14ac:dyDescent="0.25">
      <c r="A252" s="271">
        <v>501443</v>
      </c>
      <c r="B252" s="271">
        <v>1443</v>
      </c>
      <c r="C252" s="271">
        <v>83551</v>
      </c>
      <c r="D252" s="268" t="s">
        <v>894</v>
      </c>
      <c r="E252" s="268" t="s">
        <v>1290</v>
      </c>
      <c r="F252" s="268" t="s">
        <v>2694</v>
      </c>
      <c r="G252" s="268">
        <v>8</v>
      </c>
      <c r="H252" s="268" t="s">
        <v>2746</v>
      </c>
      <c r="I252" s="268" t="s">
        <v>2712</v>
      </c>
      <c r="J252" s="271">
        <v>382668</v>
      </c>
      <c r="K252" s="271">
        <f t="shared" si="27"/>
        <v>31889</v>
      </c>
      <c r="L252" s="271">
        <f t="shared" si="28"/>
        <v>12141.24</v>
      </c>
      <c r="M252" s="267">
        <v>0</v>
      </c>
      <c r="N252" s="271">
        <f t="shared" si="33"/>
        <v>129.60000000000002</v>
      </c>
      <c r="O252" s="276">
        <v>0</v>
      </c>
      <c r="P252" s="276">
        <f t="shared" si="29"/>
        <v>6696.6900000000005</v>
      </c>
      <c r="Q252" s="271">
        <f t="shared" si="30"/>
        <v>60084</v>
      </c>
      <c r="R252" s="271">
        <f t="shared" si="31"/>
        <v>69148.107600000003</v>
      </c>
      <c r="S252" s="271">
        <f t="shared" si="32"/>
        <v>2125.44</v>
      </c>
    </row>
    <row r="253" spans="1:21" s="270" customFormat="1" x14ac:dyDescent="0.25">
      <c r="A253" s="271">
        <v>501443</v>
      </c>
      <c r="B253" s="271">
        <v>1443</v>
      </c>
      <c r="C253" s="271">
        <v>83580</v>
      </c>
      <c r="D253" s="268" t="s">
        <v>894</v>
      </c>
      <c r="E253" s="268" t="s">
        <v>1290</v>
      </c>
      <c r="F253" s="268" t="s">
        <v>2415</v>
      </c>
      <c r="G253" s="268">
        <v>8</v>
      </c>
      <c r="H253" s="268" t="s">
        <v>2295</v>
      </c>
      <c r="I253" s="268" t="s">
        <v>2712</v>
      </c>
      <c r="J253" s="271">
        <v>382668</v>
      </c>
      <c r="K253" s="271">
        <f t="shared" si="27"/>
        <v>31889</v>
      </c>
      <c r="L253" s="271">
        <f t="shared" si="28"/>
        <v>12141.24</v>
      </c>
      <c r="M253" s="267">
        <v>0</v>
      </c>
      <c r="N253" s="271">
        <f t="shared" si="33"/>
        <v>129.60000000000002</v>
      </c>
      <c r="O253" s="276">
        <v>0</v>
      </c>
      <c r="P253" s="276">
        <f t="shared" si="29"/>
        <v>6696.6900000000005</v>
      </c>
      <c r="Q253" s="271">
        <f t="shared" si="30"/>
        <v>60084</v>
      </c>
      <c r="R253" s="271">
        <f t="shared" si="31"/>
        <v>69148.107600000003</v>
      </c>
      <c r="S253" s="271">
        <f t="shared" si="32"/>
        <v>2125.44</v>
      </c>
    </row>
    <row r="254" spans="1:21" s="270" customFormat="1" x14ac:dyDescent="0.25">
      <c r="A254" s="276">
        <v>501444</v>
      </c>
      <c r="B254" s="276">
        <v>1444</v>
      </c>
      <c r="C254" s="276">
        <v>83603</v>
      </c>
      <c r="D254" s="268" t="s">
        <v>894</v>
      </c>
      <c r="E254" s="268" t="s">
        <v>1290</v>
      </c>
      <c r="F254" s="268" t="s">
        <v>731</v>
      </c>
      <c r="G254" s="268">
        <v>8</v>
      </c>
      <c r="H254" s="268" t="s">
        <v>2247</v>
      </c>
      <c r="I254" s="268" t="s">
        <v>2712</v>
      </c>
      <c r="J254" s="267">
        <v>382668</v>
      </c>
      <c r="K254" s="276">
        <f t="shared" si="27"/>
        <v>31889</v>
      </c>
      <c r="L254" s="271">
        <f t="shared" si="28"/>
        <v>12141.24</v>
      </c>
      <c r="M254" s="267">
        <f>500*12</f>
        <v>6000</v>
      </c>
      <c r="N254" s="276">
        <f t="shared" si="33"/>
        <v>129.60000000000002</v>
      </c>
      <c r="O254" s="276">
        <v>0</v>
      </c>
      <c r="P254" s="276">
        <f t="shared" si="29"/>
        <v>6696.6900000000005</v>
      </c>
      <c r="Q254" s="271">
        <f t="shared" si="30"/>
        <v>60084</v>
      </c>
      <c r="R254" s="276">
        <f t="shared" si="31"/>
        <v>69148.107600000003</v>
      </c>
      <c r="S254" s="276">
        <f t="shared" si="32"/>
        <v>2125.44</v>
      </c>
    </row>
    <row r="255" spans="1:21" x14ac:dyDescent="0.25">
      <c r="A255" s="271">
        <v>501443</v>
      </c>
      <c r="B255" s="271">
        <v>1443</v>
      </c>
      <c r="C255" s="271">
        <v>83784</v>
      </c>
      <c r="D255" s="268" t="s">
        <v>894</v>
      </c>
      <c r="E255" s="268" t="s">
        <v>1290</v>
      </c>
      <c r="F255" s="268" t="s">
        <v>2747</v>
      </c>
      <c r="G255" s="268">
        <v>8</v>
      </c>
      <c r="H255" s="268" t="s">
        <v>2748</v>
      </c>
      <c r="I255" s="268" t="s">
        <v>2739</v>
      </c>
      <c r="J255" s="271">
        <v>382668</v>
      </c>
      <c r="K255" s="271">
        <f t="shared" si="27"/>
        <v>31889</v>
      </c>
      <c r="L255" s="271">
        <f t="shared" si="28"/>
        <v>12141.24</v>
      </c>
      <c r="M255" s="267">
        <v>0</v>
      </c>
      <c r="N255" s="271">
        <f t="shared" si="33"/>
        <v>129.60000000000002</v>
      </c>
      <c r="O255" s="276">
        <v>0</v>
      </c>
      <c r="P255" s="276">
        <f t="shared" si="29"/>
        <v>6696.6900000000005</v>
      </c>
      <c r="Q255" s="271">
        <f t="shared" si="30"/>
        <v>60084</v>
      </c>
      <c r="R255" s="271">
        <f t="shared" si="31"/>
        <v>69148.107600000003</v>
      </c>
      <c r="S255" s="271">
        <f t="shared" si="32"/>
        <v>2125.44</v>
      </c>
      <c r="T255" s="270"/>
      <c r="U255" s="270"/>
    </row>
    <row r="256" spans="1:21" x14ac:dyDescent="0.25">
      <c r="A256" s="271">
        <v>501443</v>
      </c>
      <c r="B256" s="271">
        <v>1443</v>
      </c>
      <c r="C256" s="271">
        <v>84482</v>
      </c>
      <c r="D256" s="268" t="s">
        <v>894</v>
      </c>
      <c r="E256" s="268" t="s">
        <v>1290</v>
      </c>
      <c r="F256" s="268" t="s">
        <v>2381</v>
      </c>
      <c r="G256" s="268">
        <v>8</v>
      </c>
      <c r="H256" s="268" t="s">
        <v>2749</v>
      </c>
      <c r="I256" s="268" t="s">
        <v>2739</v>
      </c>
      <c r="J256" s="271">
        <v>382668</v>
      </c>
      <c r="K256" s="271">
        <f t="shared" ref="K256:K319" si="34">J256/12</f>
        <v>31889</v>
      </c>
      <c r="L256" s="271">
        <f t="shared" ref="L256:L319" si="35">1011.77*12</f>
        <v>12141.24</v>
      </c>
      <c r="M256" s="267">
        <v>0</v>
      </c>
      <c r="N256" s="271">
        <f t="shared" si="33"/>
        <v>129.60000000000002</v>
      </c>
      <c r="O256" s="276">
        <v>0</v>
      </c>
      <c r="P256" s="276">
        <f t="shared" ref="P256:P319" si="36">J256*1.75%</f>
        <v>6696.6900000000005</v>
      </c>
      <c r="Q256" s="271">
        <f t="shared" ref="Q256:Q319" si="37">5007*12</f>
        <v>60084</v>
      </c>
      <c r="R256" s="271">
        <f t="shared" ref="R256:R319" si="38">18.07%*J256</f>
        <v>69148.107600000003</v>
      </c>
      <c r="S256" s="271">
        <f t="shared" si="32"/>
        <v>2125.44</v>
      </c>
      <c r="T256" s="270"/>
      <c r="U256" s="270"/>
    </row>
    <row r="257" spans="1:21" s="270" customFormat="1" x14ac:dyDescent="0.25">
      <c r="A257" s="271">
        <v>501443</v>
      </c>
      <c r="B257" s="271">
        <v>1443</v>
      </c>
      <c r="C257" s="271">
        <v>84495</v>
      </c>
      <c r="D257" s="268" t="s">
        <v>894</v>
      </c>
      <c r="E257" s="268" t="s">
        <v>1278</v>
      </c>
      <c r="F257" s="268" t="s">
        <v>2193</v>
      </c>
      <c r="G257" s="268">
        <v>8</v>
      </c>
      <c r="H257" s="268" t="s">
        <v>2750</v>
      </c>
      <c r="I257" s="268" t="s">
        <v>2689</v>
      </c>
      <c r="J257" s="271">
        <v>382668</v>
      </c>
      <c r="K257" s="271">
        <f t="shared" si="34"/>
        <v>31889</v>
      </c>
      <c r="L257" s="271">
        <f t="shared" si="35"/>
        <v>12141.24</v>
      </c>
      <c r="M257" s="267">
        <v>0</v>
      </c>
      <c r="N257" s="271">
        <f t="shared" si="33"/>
        <v>129.60000000000002</v>
      </c>
      <c r="O257" s="276">
        <v>0</v>
      </c>
      <c r="P257" s="276">
        <f t="shared" si="36"/>
        <v>6696.6900000000005</v>
      </c>
      <c r="Q257" s="271">
        <f t="shared" si="37"/>
        <v>60084</v>
      </c>
      <c r="R257" s="271">
        <f t="shared" si="38"/>
        <v>69148.107600000003</v>
      </c>
      <c r="S257" s="271">
        <f t="shared" ref="S257:S320" si="39">177.12*12</f>
        <v>2125.44</v>
      </c>
    </row>
    <row r="258" spans="1:21" s="270" customFormat="1" x14ac:dyDescent="0.25">
      <c r="A258" s="271">
        <v>501406</v>
      </c>
      <c r="B258" s="271">
        <v>1406</v>
      </c>
      <c r="C258" s="271">
        <v>84534</v>
      </c>
      <c r="D258" s="268" t="s">
        <v>894</v>
      </c>
      <c r="E258" s="268" t="s">
        <v>1278</v>
      </c>
      <c r="F258" s="268" t="s">
        <v>2751</v>
      </c>
      <c r="G258" s="268">
        <v>8</v>
      </c>
      <c r="H258" s="268" t="s">
        <v>2752</v>
      </c>
      <c r="I258" s="268" t="s">
        <v>2689</v>
      </c>
      <c r="J258" s="271">
        <v>382668</v>
      </c>
      <c r="K258" s="271">
        <f t="shared" si="34"/>
        <v>31889</v>
      </c>
      <c r="L258" s="271">
        <f t="shared" si="35"/>
        <v>12141.24</v>
      </c>
      <c r="M258" s="267">
        <v>0</v>
      </c>
      <c r="N258" s="271">
        <f t="shared" si="33"/>
        <v>129.60000000000002</v>
      </c>
      <c r="O258" s="276">
        <v>0</v>
      </c>
      <c r="P258" s="276">
        <f t="shared" si="36"/>
        <v>6696.6900000000005</v>
      </c>
      <c r="Q258" s="271">
        <f t="shared" si="37"/>
        <v>60084</v>
      </c>
      <c r="R258" s="271">
        <f t="shared" si="38"/>
        <v>69148.107600000003</v>
      </c>
      <c r="S258" s="271">
        <f t="shared" si="39"/>
        <v>2125.44</v>
      </c>
    </row>
    <row r="259" spans="1:21" s="270" customFormat="1" x14ac:dyDescent="0.25">
      <c r="A259" s="271">
        <v>501443</v>
      </c>
      <c r="B259" s="271">
        <v>1443</v>
      </c>
      <c r="C259" s="271">
        <v>97479</v>
      </c>
      <c r="D259" s="268" t="s">
        <v>894</v>
      </c>
      <c r="E259" s="268" t="s">
        <v>1290</v>
      </c>
      <c r="F259" s="268" t="s">
        <v>2753</v>
      </c>
      <c r="G259" s="268">
        <v>8</v>
      </c>
      <c r="H259" s="268" t="s">
        <v>2754</v>
      </c>
      <c r="I259" s="268" t="s">
        <v>2689</v>
      </c>
      <c r="J259" s="271">
        <v>382668</v>
      </c>
      <c r="K259" s="271">
        <f t="shared" si="34"/>
        <v>31889</v>
      </c>
      <c r="L259" s="271">
        <f t="shared" si="35"/>
        <v>12141.24</v>
      </c>
      <c r="M259" s="267">
        <v>0</v>
      </c>
      <c r="N259" s="271">
        <f t="shared" si="33"/>
        <v>129.60000000000002</v>
      </c>
      <c r="O259" s="276">
        <v>0</v>
      </c>
      <c r="P259" s="276">
        <f t="shared" si="36"/>
        <v>6696.6900000000005</v>
      </c>
      <c r="Q259" s="271">
        <f t="shared" si="37"/>
        <v>60084</v>
      </c>
      <c r="R259" s="271">
        <f t="shared" si="38"/>
        <v>69148.107600000003</v>
      </c>
      <c r="S259" s="271">
        <f t="shared" si="39"/>
        <v>2125.44</v>
      </c>
    </row>
    <row r="260" spans="1:21" x14ac:dyDescent="0.25">
      <c r="A260" s="271">
        <v>501203</v>
      </c>
      <c r="B260" s="271">
        <v>1203</v>
      </c>
      <c r="C260" s="271">
        <v>200059</v>
      </c>
      <c r="D260" s="268" t="s">
        <v>894</v>
      </c>
      <c r="E260" s="268" t="s">
        <v>1278</v>
      </c>
      <c r="F260" s="268" t="s">
        <v>2450</v>
      </c>
      <c r="G260" s="268">
        <v>8</v>
      </c>
      <c r="H260" s="268" t="s">
        <v>2755</v>
      </c>
      <c r="I260" s="268" t="s">
        <v>2756</v>
      </c>
      <c r="J260" s="271">
        <v>382668</v>
      </c>
      <c r="K260" s="271">
        <f t="shared" si="34"/>
        <v>31889</v>
      </c>
      <c r="L260" s="271">
        <f t="shared" si="35"/>
        <v>12141.24</v>
      </c>
      <c r="M260" s="267">
        <v>0</v>
      </c>
      <c r="N260" s="271">
        <f t="shared" si="33"/>
        <v>129.60000000000002</v>
      </c>
      <c r="O260" s="276">
        <v>0</v>
      </c>
      <c r="P260" s="276">
        <f t="shared" si="36"/>
        <v>6696.6900000000005</v>
      </c>
      <c r="Q260" s="271">
        <f t="shared" si="37"/>
        <v>60084</v>
      </c>
      <c r="R260" s="271">
        <f t="shared" si="38"/>
        <v>69148.107600000003</v>
      </c>
      <c r="S260" s="271">
        <f t="shared" si="39"/>
        <v>2125.44</v>
      </c>
      <c r="T260" s="270"/>
      <c r="U260" s="270"/>
    </row>
    <row r="261" spans="1:21" s="270" customFormat="1" x14ac:dyDescent="0.25">
      <c r="A261" s="271">
        <v>501445</v>
      </c>
      <c r="B261" s="271">
        <v>1445</v>
      </c>
      <c r="C261" s="271">
        <v>200208</v>
      </c>
      <c r="D261" s="268" t="s">
        <v>894</v>
      </c>
      <c r="E261" s="268" t="s">
        <v>1278</v>
      </c>
      <c r="F261" s="268" t="s">
        <v>1290</v>
      </c>
      <c r="G261" s="268">
        <v>8</v>
      </c>
      <c r="H261" s="268" t="s">
        <v>2757</v>
      </c>
      <c r="I261" s="268" t="s">
        <v>2758</v>
      </c>
      <c r="J261" s="271">
        <v>382668</v>
      </c>
      <c r="K261" s="271">
        <f t="shared" si="34"/>
        <v>31889</v>
      </c>
      <c r="L261" s="271">
        <f t="shared" si="35"/>
        <v>12141.24</v>
      </c>
      <c r="M261" s="267">
        <v>0</v>
      </c>
      <c r="N261" s="271">
        <f t="shared" ref="N261:N324" si="40">10.8*12</f>
        <v>129.60000000000002</v>
      </c>
      <c r="O261" s="276">
        <v>0</v>
      </c>
      <c r="P261" s="276">
        <f t="shared" si="36"/>
        <v>6696.6900000000005</v>
      </c>
      <c r="Q261" s="271">
        <f t="shared" si="37"/>
        <v>60084</v>
      </c>
      <c r="R261" s="271">
        <f t="shared" si="38"/>
        <v>69148.107600000003</v>
      </c>
      <c r="S261" s="271">
        <f t="shared" si="39"/>
        <v>2125.44</v>
      </c>
    </row>
    <row r="262" spans="1:21" s="270" customFormat="1" x14ac:dyDescent="0.25">
      <c r="A262" s="271">
        <v>501444</v>
      </c>
      <c r="B262" s="271">
        <v>1444</v>
      </c>
      <c r="C262" s="271">
        <v>200302</v>
      </c>
      <c r="D262" s="268" t="s">
        <v>894</v>
      </c>
      <c r="E262" s="268" t="s">
        <v>1290</v>
      </c>
      <c r="F262" s="268" t="s">
        <v>1304</v>
      </c>
      <c r="G262" s="268">
        <v>8</v>
      </c>
      <c r="H262" s="268" t="s">
        <v>2759</v>
      </c>
      <c r="I262" s="268" t="s">
        <v>2689</v>
      </c>
      <c r="J262" s="271">
        <v>382668</v>
      </c>
      <c r="K262" s="271">
        <f t="shared" si="34"/>
        <v>31889</v>
      </c>
      <c r="L262" s="271">
        <f t="shared" si="35"/>
        <v>12141.24</v>
      </c>
      <c r="M262" s="267">
        <v>0</v>
      </c>
      <c r="N262" s="271">
        <f t="shared" si="40"/>
        <v>129.60000000000002</v>
      </c>
      <c r="O262" s="276">
        <v>0</v>
      </c>
      <c r="P262" s="276">
        <f t="shared" si="36"/>
        <v>6696.6900000000005</v>
      </c>
      <c r="Q262" s="271">
        <f t="shared" si="37"/>
        <v>60084</v>
      </c>
      <c r="R262" s="271">
        <f t="shared" si="38"/>
        <v>69148.107600000003</v>
      </c>
      <c r="S262" s="271">
        <f t="shared" si="39"/>
        <v>2125.44</v>
      </c>
    </row>
    <row r="263" spans="1:21" s="270" customFormat="1" x14ac:dyDescent="0.25">
      <c r="A263" s="271">
        <v>501444</v>
      </c>
      <c r="B263" s="271">
        <v>1444</v>
      </c>
      <c r="C263" s="271">
        <v>200308</v>
      </c>
      <c r="D263" s="268" t="s">
        <v>894</v>
      </c>
      <c r="E263" s="268" t="s">
        <v>1290</v>
      </c>
      <c r="F263" s="268" t="s">
        <v>2760</v>
      </c>
      <c r="G263" s="268">
        <v>8</v>
      </c>
      <c r="H263" s="268" t="s">
        <v>2761</v>
      </c>
      <c r="I263" s="268" t="s">
        <v>2689</v>
      </c>
      <c r="J263" s="271">
        <v>382668</v>
      </c>
      <c r="K263" s="271">
        <f t="shared" si="34"/>
        <v>31889</v>
      </c>
      <c r="L263" s="271">
        <f t="shared" si="35"/>
        <v>12141.24</v>
      </c>
      <c r="M263" s="267">
        <v>0</v>
      </c>
      <c r="N263" s="271">
        <f t="shared" si="40"/>
        <v>129.60000000000002</v>
      </c>
      <c r="O263" s="276">
        <v>0</v>
      </c>
      <c r="P263" s="276">
        <f t="shared" si="36"/>
        <v>6696.6900000000005</v>
      </c>
      <c r="Q263" s="271">
        <f t="shared" si="37"/>
        <v>60084</v>
      </c>
      <c r="R263" s="271">
        <f t="shared" si="38"/>
        <v>69148.107600000003</v>
      </c>
      <c r="S263" s="271">
        <f t="shared" si="39"/>
        <v>2125.44</v>
      </c>
    </row>
    <row r="264" spans="1:21" s="270" customFormat="1" x14ac:dyDescent="0.25">
      <c r="A264" s="271">
        <v>501445</v>
      </c>
      <c r="B264" s="271">
        <v>1445</v>
      </c>
      <c r="C264" s="271">
        <v>200331</v>
      </c>
      <c r="D264" s="268" t="s">
        <v>894</v>
      </c>
      <c r="E264" s="268" t="s">
        <v>1290</v>
      </c>
      <c r="F264" s="268" t="s">
        <v>2762</v>
      </c>
      <c r="G264" s="268">
        <v>8</v>
      </c>
      <c r="H264" s="268" t="s">
        <v>2543</v>
      </c>
      <c r="I264" s="268" t="s">
        <v>2689</v>
      </c>
      <c r="J264" s="271">
        <v>382668</v>
      </c>
      <c r="K264" s="271">
        <f t="shared" si="34"/>
        <v>31889</v>
      </c>
      <c r="L264" s="271">
        <f t="shared" si="35"/>
        <v>12141.24</v>
      </c>
      <c r="M264" s="267">
        <v>0</v>
      </c>
      <c r="N264" s="271">
        <f t="shared" si="40"/>
        <v>129.60000000000002</v>
      </c>
      <c r="O264" s="276">
        <v>0</v>
      </c>
      <c r="P264" s="276">
        <f t="shared" si="36"/>
        <v>6696.6900000000005</v>
      </c>
      <c r="Q264" s="271">
        <f t="shared" si="37"/>
        <v>60084</v>
      </c>
      <c r="R264" s="271">
        <f t="shared" si="38"/>
        <v>69148.107600000003</v>
      </c>
      <c r="S264" s="271">
        <f t="shared" si="39"/>
        <v>2125.44</v>
      </c>
    </row>
    <row r="265" spans="1:21" s="270" customFormat="1" x14ac:dyDescent="0.25">
      <c r="A265" s="271">
        <v>501101</v>
      </c>
      <c r="B265" s="271">
        <v>1445</v>
      </c>
      <c r="C265" s="271">
        <v>200362</v>
      </c>
      <c r="D265" s="268" t="s">
        <v>894</v>
      </c>
      <c r="E265" s="268" t="s">
        <v>1290</v>
      </c>
      <c r="F265" s="268" t="s">
        <v>2476</v>
      </c>
      <c r="G265" s="268">
        <v>8</v>
      </c>
      <c r="H265" s="268" t="s">
        <v>2763</v>
      </c>
      <c r="I265" s="268" t="s">
        <v>2758</v>
      </c>
      <c r="J265" s="271">
        <v>382668</v>
      </c>
      <c r="K265" s="271">
        <f t="shared" si="34"/>
        <v>31889</v>
      </c>
      <c r="L265" s="271">
        <f t="shared" si="35"/>
        <v>12141.24</v>
      </c>
      <c r="M265" s="267">
        <v>0</v>
      </c>
      <c r="N265" s="271">
        <f t="shared" si="40"/>
        <v>129.60000000000002</v>
      </c>
      <c r="O265" s="276">
        <v>0</v>
      </c>
      <c r="P265" s="276">
        <f t="shared" si="36"/>
        <v>6696.6900000000005</v>
      </c>
      <c r="Q265" s="271">
        <f t="shared" si="37"/>
        <v>60084</v>
      </c>
      <c r="R265" s="271">
        <f t="shared" si="38"/>
        <v>69148.107600000003</v>
      </c>
      <c r="S265" s="271">
        <f t="shared" si="39"/>
        <v>2125.44</v>
      </c>
    </row>
    <row r="266" spans="1:21" s="270" customFormat="1" x14ac:dyDescent="0.25">
      <c r="A266" s="271">
        <v>501445</v>
      </c>
      <c r="B266" s="271">
        <v>1445</v>
      </c>
      <c r="C266" s="271">
        <v>200379</v>
      </c>
      <c r="D266" s="268" t="s">
        <v>894</v>
      </c>
      <c r="E266" s="268" t="s">
        <v>1290</v>
      </c>
      <c r="F266" s="268" t="s">
        <v>2764</v>
      </c>
      <c r="G266" s="268">
        <v>8</v>
      </c>
      <c r="H266" s="268" t="s">
        <v>2648</v>
      </c>
      <c r="I266" s="268" t="s">
        <v>2765</v>
      </c>
      <c r="J266" s="271">
        <v>382668</v>
      </c>
      <c r="K266" s="271">
        <f t="shared" si="34"/>
        <v>31889</v>
      </c>
      <c r="L266" s="271">
        <f t="shared" si="35"/>
        <v>12141.24</v>
      </c>
      <c r="M266" s="267">
        <v>0</v>
      </c>
      <c r="N266" s="271">
        <f t="shared" si="40"/>
        <v>129.60000000000002</v>
      </c>
      <c r="O266" s="276">
        <v>0</v>
      </c>
      <c r="P266" s="276">
        <f t="shared" si="36"/>
        <v>6696.6900000000005</v>
      </c>
      <c r="Q266" s="271">
        <f t="shared" si="37"/>
        <v>60084</v>
      </c>
      <c r="R266" s="271">
        <f t="shared" si="38"/>
        <v>69148.107600000003</v>
      </c>
      <c r="S266" s="271">
        <f t="shared" si="39"/>
        <v>2125.44</v>
      </c>
    </row>
    <row r="267" spans="1:21" s="270" customFormat="1" x14ac:dyDescent="0.25">
      <c r="A267" s="271">
        <v>501443</v>
      </c>
      <c r="B267" s="271">
        <v>1443</v>
      </c>
      <c r="C267" s="271">
        <v>200317</v>
      </c>
      <c r="D267" s="268" t="s">
        <v>1698</v>
      </c>
      <c r="E267" s="268" t="s">
        <v>1290</v>
      </c>
      <c r="F267" s="268" t="s">
        <v>2766</v>
      </c>
      <c r="G267" s="268">
        <v>7</v>
      </c>
      <c r="H267" s="268" t="s">
        <v>2767</v>
      </c>
      <c r="I267" s="268" t="s">
        <v>2689</v>
      </c>
      <c r="J267" s="271">
        <v>373416</v>
      </c>
      <c r="K267" s="271">
        <f t="shared" si="34"/>
        <v>31118</v>
      </c>
      <c r="L267" s="271">
        <f t="shared" si="35"/>
        <v>12141.24</v>
      </c>
      <c r="M267" s="267">
        <v>0</v>
      </c>
      <c r="N267" s="271">
        <f t="shared" si="40"/>
        <v>129.60000000000002</v>
      </c>
      <c r="O267" s="276">
        <v>0</v>
      </c>
      <c r="P267" s="276">
        <f t="shared" si="36"/>
        <v>6534.7800000000007</v>
      </c>
      <c r="Q267" s="271">
        <f t="shared" si="37"/>
        <v>60084</v>
      </c>
      <c r="R267" s="271">
        <f t="shared" si="38"/>
        <v>67476.271200000003</v>
      </c>
      <c r="S267" s="271">
        <f t="shared" si="39"/>
        <v>2125.44</v>
      </c>
    </row>
    <row r="268" spans="1:21" s="270" customFormat="1" x14ac:dyDescent="0.25">
      <c r="A268" s="276">
        <v>501443</v>
      </c>
      <c r="B268" s="276">
        <v>1443</v>
      </c>
      <c r="C268" s="276">
        <v>200326</v>
      </c>
      <c r="D268" s="268" t="s">
        <v>894</v>
      </c>
      <c r="E268" s="268" t="s">
        <v>1278</v>
      </c>
      <c r="F268" s="268" t="s">
        <v>2649</v>
      </c>
      <c r="G268" s="268">
        <v>7</v>
      </c>
      <c r="H268" s="268" t="s">
        <v>2238</v>
      </c>
      <c r="I268" s="268" t="s">
        <v>2689</v>
      </c>
      <c r="J268" s="267">
        <v>373416</v>
      </c>
      <c r="K268" s="276">
        <f t="shared" si="34"/>
        <v>31118</v>
      </c>
      <c r="L268" s="271">
        <f t="shared" si="35"/>
        <v>12141.24</v>
      </c>
      <c r="M268" s="267">
        <f>500*12</f>
        <v>6000</v>
      </c>
      <c r="N268" s="276">
        <f t="shared" si="40"/>
        <v>129.60000000000002</v>
      </c>
      <c r="O268" s="276">
        <v>0</v>
      </c>
      <c r="P268" s="276">
        <f t="shared" si="36"/>
        <v>6534.7800000000007</v>
      </c>
      <c r="Q268" s="271">
        <f t="shared" si="37"/>
        <v>60084</v>
      </c>
      <c r="R268" s="276">
        <f t="shared" si="38"/>
        <v>67476.271200000003</v>
      </c>
      <c r="S268" s="276">
        <f t="shared" si="39"/>
        <v>2125.44</v>
      </c>
    </row>
    <row r="269" spans="1:21" s="270" customFormat="1" x14ac:dyDescent="0.25">
      <c r="A269" s="276"/>
      <c r="B269" s="276">
        <v>1443</v>
      </c>
      <c r="C269" s="276">
        <v>200377</v>
      </c>
      <c r="D269" s="268" t="s">
        <v>894</v>
      </c>
      <c r="E269" s="268" t="s">
        <v>1290</v>
      </c>
      <c r="F269" s="268" t="s">
        <v>2768</v>
      </c>
      <c r="G269" s="268">
        <v>7</v>
      </c>
      <c r="H269" s="268" t="s">
        <v>2664</v>
      </c>
      <c r="I269" s="268" t="s">
        <v>2689</v>
      </c>
      <c r="J269" s="267">
        <v>373416</v>
      </c>
      <c r="K269" s="276">
        <f t="shared" si="34"/>
        <v>31118</v>
      </c>
      <c r="L269" s="271">
        <f t="shared" si="35"/>
        <v>12141.24</v>
      </c>
      <c r="M269" s="267">
        <f>500*12</f>
        <v>6000</v>
      </c>
      <c r="N269" s="276">
        <f t="shared" si="40"/>
        <v>129.60000000000002</v>
      </c>
      <c r="O269" s="276">
        <v>0</v>
      </c>
      <c r="P269" s="276">
        <f t="shared" si="36"/>
        <v>6534.7800000000007</v>
      </c>
      <c r="Q269" s="271">
        <f t="shared" si="37"/>
        <v>60084</v>
      </c>
      <c r="R269" s="276">
        <f t="shared" si="38"/>
        <v>67476.271200000003</v>
      </c>
      <c r="S269" s="276">
        <f t="shared" si="39"/>
        <v>2125.44</v>
      </c>
    </row>
    <row r="270" spans="1:21" s="270" customFormat="1" x14ac:dyDescent="0.25">
      <c r="A270" s="271">
        <v>501443</v>
      </c>
      <c r="B270" s="271">
        <v>1443</v>
      </c>
      <c r="C270" s="271">
        <v>2817</v>
      </c>
      <c r="D270" s="268" t="s">
        <v>894</v>
      </c>
      <c r="E270" s="268" t="s">
        <v>1290</v>
      </c>
      <c r="F270" s="268" t="s">
        <v>2769</v>
      </c>
      <c r="G270" s="268">
        <v>8</v>
      </c>
      <c r="H270" s="268" t="s">
        <v>2770</v>
      </c>
      <c r="I270" s="268" t="s">
        <v>2689</v>
      </c>
      <c r="J270" s="271">
        <v>373416</v>
      </c>
      <c r="K270" s="271">
        <f t="shared" si="34"/>
        <v>31118</v>
      </c>
      <c r="L270" s="271">
        <f t="shared" si="35"/>
        <v>12141.24</v>
      </c>
      <c r="M270" s="267">
        <v>0</v>
      </c>
      <c r="N270" s="271">
        <f t="shared" si="40"/>
        <v>129.60000000000002</v>
      </c>
      <c r="O270" s="276">
        <v>0</v>
      </c>
      <c r="P270" s="276">
        <f t="shared" si="36"/>
        <v>6534.7800000000007</v>
      </c>
      <c r="Q270" s="271">
        <f t="shared" si="37"/>
        <v>60084</v>
      </c>
      <c r="R270" s="271">
        <f t="shared" si="38"/>
        <v>67476.271200000003</v>
      </c>
      <c r="S270" s="271">
        <f t="shared" si="39"/>
        <v>2125.44</v>
      </c>
    </row>
    <row r="271" spans="1:21" s="270" customFormat="1" x14ac:dyDescent="0.25">
      <c r="A271" s="276">
        <v>501443</v>
      </c>
      <c r="B271" s="276">
        <v>1443</v>
      </c>
      <c r="C271" s="276">
        <v>51855</v>
      </c>
      <c r="D271" s="268" t="s">
        <v>894</v>
      </c>
      <c r="E271" s="268" t="s">
        <v>1290</v>
      </c>
      <c r="F271" s="268" t="s">
        <v>894</v>
      </c>
      <c r="G271" s="268">
        <v>8</v>
      </c>
      <c r="H271" s="268" t="s">
        <v>2771</v>
      </c>
      <c r="I271" s="268" t="s">
        <v>2689</v>
      </c>
      <c r="J271" s="267">
        <v>373416</v>
      </c>
      <c r="K271" s="276">
        <f t="shared" si="34"/>
        <v>31118</v>
      </c>
      <c r="L271" s="271">
        <f t="shared" si="35"/>
        <v>12141.24</v>
      </c>
      <c r="M271" s="267">
        <f>500*12</f>
        <v>6000</v>
      </c>
      <c r="N271" s="276">
        <f t="shared" si="40"/>
        <v>129.60000000000002</v>
      </c>
      <c r="O271" s="276">
        <v>0</v>
      </c>
      <c r="P271" s="276">
        <f t="shared" si="36"/>
        <v>6534.7800000000007</v>
      </c>
      <c r="Q271" s="271">
        <f t="shared" si="37"/>
        <v>60084</v>
      </c>
      <c r="R271" s="276">
        <f t="shared" si="38"/>
        <v>67476.271200000003</v>
      </c>
      <c r="S271" s="276">
        <f t="shared" si="39"/>
        <v>2125.44</v>
      </c>
    </row>
    <row r="272" spans="1:21" s="270" customFormat="1" x14ac:dyDescent="0.25">
      <c r="A272" s="271"/>
      <c r="B272" s="271">
        <v>1443</v>
      </c>
      <c r="C272" s="271">
        <v>200329</v>
      </c>
      <c r="D272" s="268" t="s">
        <v>876</v>
      </c>
      <c r="E272" s="268" t="s">
        <v>1290</v>
      </c>
      <c r="F272" s="268" t="s">
        <v>2772</v>
      </c>
      <c r="G272" s="268">
        <v>8</v>
      </c>
      <c r="H272" s="268" t="s">
        <v>2773</v>
      </c>
      <c r="I272" s="268" t="s">
        <v>2774</v>
      </c>
      <c r="J272" s="271">
        <v>373416</v>
      </c>
      <c r="K272" s="271">
        <f t="shared" si="34"/>
        <v>31118</v>
      </c>
      <c r="L272" s="271">
        <f t="shared" si="35"/>
        <v>12141.24</v>
      </c>
      <c r="M272" s="267">
        <v>0</v>
      </c>
      <c r="N272" s="271">
        <f t="shared" si="40"/>
        <v>129.60000000000002</v>
      </c>
      <c r="O272" s="276">
        <v>0</v>
      </c>
      <c r="P272" s="276">
        <f t="shared" si="36"/>
        <v>6534.7800000000007</v>
      </c>
      <c r="Q272" s="271">
        <f t="shared" si="37"/>
        <v>60084</v>
      </c>
      <c r="R272" s="271">
        <f t="shared" si="38"/>
        <v>67476.271200000003</v>
      </c>
      <c r="S272" s="271">
        <f t="shared" si="39"/>
        <v>2125.44</v>
      </c>
    </row>
    <row r="273" spans="1:21" s="270" customFormat="1" x14ac:dyDescent="0.25">
      <c r="A273" s="271">
        <v>501442</v>
      </c>
      <c r="B273" s="271">
        <v>1442</v>
      </c>
      <c r="C273" s="271">
        <v>200397</v>
      </c>
      <c r="D273" s="268" t="s">
        <v>894</v>
      </c>
      <c r="E273" s="268" t="s">
        <v>1290</v>
      </c>
      <c r="F273" s="268" t="s">
        <v>2775</v>
      </c>
      <c r="G273" s="268">
        <v>8</v>
      </c>
      <c r="H273" s="268" t="s">
        <v>2776</v>
      </c>
      <c r="I273" s="268" t="s">
        <v>2777</v>
      </c>
      <c r="J273" s="271">
        <v>373416</v>
      </c>
      <c r="K273" s="271">
        <f t="shared" si="34"/>
        <v>31118</v>
      </c>
      <c r="L273" s="271">
        <f t="shared" si="35"/>
        <v>12141.24</v>
      </c>
      <c r="M273" s="267">
        <v>0</v>
      </c>
      <c r="N273" s="271">
        <f t="shared" si="40"/>
        <v>129.60000000000002</v>
      </c>
      <c r="O273" s="276">
        <v>0</v>
      </c>
      <c r="P273" s="276">
        <f t="shared" si="36"/>
        <v>6534.7800000000007</v>
      </c>
      <c r="Q273" s="271">
        <f t="shared" si="37"/>
        <v>60084</v>
      </c>
      <c r="R273" s="271">
        <f t="shared" si="38"/>
        <v>67476.271200000003</v>
      </c>
      <c r="S273" s="271">
        <f t="shared" si="39"/>
        <v>2125.44</v>
      </c>
    </row>
    <row r="274" spans="1:21" s="270" customFormat="1" x14ac:dyDescent="0.25">
      <c r="A274" s="271">
        <v>501502</v>
      </c>
      <c r="B274" s="271">
        <v>1503</v>
      </c>
      <c r="C274" s="271">
        <v>200497</v>
      </c>
      <c r="D274" s="268" t="s">
        <v>894</v>
      </c>
      <c r="E274" s="268" t="s">
        <v>1290</v>
      </c>
      <c r="F274" s="268" t="s">
        <v>2565</v>
      </c>
      <c r="G274" s="268">
        <v>8</v>
      </c>
      <c r="H274" s="268" t="s">
        <v>2778</v>
      </c>
      <c r="I274" s="268" t="s">
        <v>2779</v>
      </c>
      <c r="J274" s="271">
        <v>373416</v>
      </c>
      <c r="K274" s="271">
        <f t="shared" si="34"/>
        <v>31118</v>
      </c>
      <c r="L274" s="271">
        <f t="shared" si="35"/>
        <v>12141.24</v>
      </c>
      <c r="M274" s="267">
        <v>0</v>
      </c>
      <c r="N274" s="271">
        <f t="shared" si="40"/>
        <v>129.60000000000002</v>
      </c>
      <c r="O274" s="276">
        <v>0</v>
      </c>
      <c r="P274" s="276">
        <f t="shared" si="36"/>
        <v>6534.7800000000007</v>
      </c>
      <c r="Q274" s="271">
        <f t="shared" si="37"/>
        <v>60084</v>
      </c>
      <c r="R274" s="271">
        <f t="shared" si="38"/>
        <v>67476.271200000003</v>
      </c>
      <c r="S274" s="271">
        <f t="shared" si="39"/>
        <v>2125.44</v>
      </c>
    </row>
    <row r="275" spans="1:21" s="270" customFormat="1" x14ac:dyDescent="0.25">
      <c r="A275" s="271">
        <v>501503</v>
      </c>
      <c r="B275" s="271">
        <v>1503</v>
      </c>
      <c r="C275" s="271">
        <v>200537</v>
      </c>
      <c r="D275" s="268" t="s">
        <v>894</v>
      </c>
      <c r="E275" s="268" t="s">
        <v>1290</v>
      </c>
      <c r="F275" s="268" t="s">
        <v>2549</v>
      </c>
      <c r="G275" s="268">
        <v>8</v>
      </c>
      <c r="H275" s="268" t="s">
        <v>2780</v>
      </c>
      <c r="I275" s="268" t="s">
        <v>2781</v>
      </c>
      <c r="J275" s="271">
        <v>373416</v>
      </c>
      <c r="K275" s="271">
        <f t="shared" si="34"/>
        <v>31118</v>
      </c>
      <c r="L275" s="271">
        <f t="shared" si="35"/>
        <v>12141.24</v>
      </c>
      <c r="M275" s="267">
        <v>0</v>
      </c>
      <c r="N275" s="271">
        <f t="shared" si="40"/>
        <v>129.60000000000002</v>
      </c>
      <c r="O275" s="276">
        <v>0</v>
      </c>
      <c r="P275" s="276">
        <f t="shared" si="36"/>
        <v>6534.7800000000007</v>
      </c>
      <c r="Q275" s="271">
        <f t="shared" si="37"/>
        <v>60084</v>
      </c>
      <c r="R275" s="271">
        <f t="shared" si="38"/>
        <v>67476.271200000003</v>
      </c>
      <c r="S275" s="271">
        <f t="shared" si="39"/>
        <v>2125.44</v>
      </c>
    </row>
    <row r="276" spans="1:21" s="270" customFormat="1" x14ac:dyDescent="0.25">
      <c r="A276" s="271">
        <v>501443</v>
      </c>
      <c r="B276" s="271">
        <v>1443</v>
      </c>
      <c r="C276" s="271">
        <v>2930</v>
      </c>
      <c r="D276" s="268" t="s">
        <v>894</v>
      </c>
      <c r="E276" s="268" t="s">
        <v>1290</v>
      </c>
      <c r="F276" s="268" t="s">
        <v>2713</v>
      </c>
      <c r="G276" s="268">
        <v>9</v>
      </c>
      <c r="H276" s="268" t="s">
        <v>2782</v>
      </c>
      <c r="I276" s="268" t="s">
        <v>2712</v>
      </c>
      <c r="J276" s="271">
        <v>366444</v>
      </c>
      <c r="K276" s="271">
        <f t="shared" si="34"/>
        <v>30537</v>
      </c>
      <c r="L276" s="271">
        <f t="shared" si="35"/>
        <v>12141.24</v>
      </c>
      <c r="M276" s="267">
        <v>0</v>
      </c>
      <c r="N276" s="271">
        <f t="shared" si="40"/>
        <v>129.60000000000002</v>
      </c>
      <c r="O276" s="276">
        <v>0</v>
      </c>
      <c r="P276" s="276">
        <f t="shared" si="36"/>
        <v>6412.77</v>
      </c>
      <c r="Q276" s="271">
        <f t="shared" si="37"/>
        <v>60084</v>
      </c>
      <c r="R276" s="271">
        <f t="shared" si="38"/>
        <v>66216.430800000002</v>
      </c>
      <c r="S276" s="271">
        <f t="shared" si="39"/>
        <v>2125.44</v>
      </c>
    </row>
    <row r="277" spans="1:21" x14ac:dyDescent="0.25">
      <c r="A277" s="271">
        <v>501443</v>
      </c>
      <c r="B277" s="271">
        <v>1443</v>
      </c>
      <c r="C277" s="271">
        <v>8316</v>
      </c>
      <c r="D277" s="268" t="s">
        <v>876</v>
      </c>
      <c r="E277" s="268" t="s">
        <v>1290</v>
      </c>
      <c r="F277" s="268" t="s">
        <v>2783</v>
      </c>
      <c r="G277" s="268">
        <v>9</v>
      </c>
      <c r="H277" s="268" t="s">
        <v>2784</v>
      </c>
      <c r="I277" s="268" t="s">
        <v>2717</v>
      </c>
      <c r="J277" s="271">
        <v>366444</v>
      </c>
      <c r="K277" s="271">
        <f t="shared" si="34"/>
        <v>30537</v>
      </c>
      <c r="L277" s="271">
        <f t="shared" si="35"/>
        <v>12141.24</v>
      </c>
      <c r="M277" s="267">
        <v>0</v>
      </c>
      <c r="N277" s="271">
        <f t="shared" si="40"/>
        <v>129.60000000000002</v>
      </c>
      <c r="O277" s="276">
        <v>0</v>
      </c>
      <c r="P277" s="276">
        <f t="shared" si="36"/>
        <v>6412.77</v>
      </c>
      <c r="Q277" s="271">
        <f t="shared" si="37"/>
        <v>60084</v>
      </c>
      <c r="R277" s="271">
        <f t="shared" si="38"/>
        <v>66216.430800000002</v>
      </c>
      <c r="S277" s="271">
        <f t="shared" si="39"/>
        <v>2125.44</v>
      </c>
      <c r="T277" s="270"/>
      <c r="U277" s="270"/>
    </row>
    <row r="278" spans="1:21" s="270" customFormat="1" x14ac:dyDescent="0.25">
      <c r="A278" s="271">
        <v>501443</v>
      </c>
      <c r="B278" s="271">
        <v>1443</v>
      </c>
      <c r="C278" s="271">
        <v>19965</v>
      </c>
      <c r="D278" s="268" t="s">
        <v>876</v>
      </c>
      <c r="E278" s="268" t="s">
        <v>1290</v>
      </c>
      <c r="F278" s="268" t="s">
        <v>2785</v>
      </c>
      <c r="G278" s="268">
        <v>9</v>
      </c>
      <c r="H278" s="268" t="s">
        <v>2786</v>
      </c>
      <c r="I278" s="268" t="s">
        <v>2787</v>
      </c>
      <c r="J278" s="271">
        <v>366444</v>
      </c>
      <c r="K278" s="271">
        <f t="shared" si="34"/>
        <v>30537</v>
      </c>
      <c r="L278" s="271">
        <f t="shared" si="35"/>
        <v>12141.24</v>
      </c>
      <c r="M278" s="267">
        <v>0</v>
      </c>
      <c r="N278" s="271">
        <f t="shared" si="40"/>
        <v>129.60000000000002</v>
      </c>
      <c r="O278" s="276">
        <v>0</v>
      </c>
      <c r="P278" s="276">
        <f t="shared" si="36"/>
        <v>6412.77</v>
      </c>
      <c r="Q278" s="271">
        <f t="shared" si="37"/>
        <v>60084</v>
      </c>
      <c r="R278" s="271">
        <f t="shared" si="38"/>
        <v>66216.430800000002</v>
      </c>
      <c r="S278" s="271">
        <f t="shared" si="39"/>
        <v>2125.44</v>
      </c>
    </row>
    <row r="279" spans="1:21" s="270" customFormat="1" x14ac:dyDescent="0.25">
      <c r="A279" s="271">
        <v>501445</v>
      </c>
      <c r="B279" s="271">
        <v>1445</v>
      </c>
      <c r="C279" s="271">
        <v>51554</v>
      </c>
      <c r="D279" s="268" t="s">
        <v>894</v>
      </c>
      <c r="E279" s="268" t="s">
        <v>1290</v>
      </c>
      <c r="F279" s="268" t="s">
        <v>2788</v>
      </c>
      <c r="G279" s="268">
        <v>9</v>
      </c>
      <c r="H279" s="268" t="s">
        <v>2789</v>
      </c>
      <c r="I279" s="268" t="s">
        <v>2717</v>
      </c>
      <c r="J279" s="271">
        <v>366444</v>
      </c>
      <c r="K279" s="271">
        <f t="shared" si="34"/>
        <v>30537</v>
      </c>
      <c r="L279" s="271">
        <f t="shared" si="35"/>
        <v>12141.24</v>
      </c>
      <c r="M279" s="267">
        <v>0</v>
      </c>
      <c r="N279" s="271">
        <f t="shared" si="40"/>
        <v>129.60000000000002</v>
      </c>
      <c r="O279" s="276">
        <v>0</v>
      </c>
      <c r="P279" s="276">
        <f t="shared" si="36"/>
        <v>6412.77</v>
      </c>
      <c r="Q279" s="271">
        <f t="shared" si="37"/>
        <v>60084</v>
      </c>
      <c r="R279" s="271">
        <f t="shared" si="38"/>
        <v>66216.430800000002</v>
      </c>
      <c r="S279" s="271">
        <f t="shared" si="39"/>
        <v>2125.44</v>
      </c>
    </row>
    <row r="280" spans="1:21" s="270" customFormat="1" x14ac:dyDescent="0.25">
      <c r="A280" s="271">
        <v>501505</v>
      </c>
      <c r="B280" s="271">
        <v>1505</v>
      </c>
      <c r="C280" s="271">
        <v>51716</v>
      </c>
      <c r="D280" s="268" t="s">
        <v>894</v>
      </c>
      <c r="E280" s="268" t="s">
        <v>1290</v>
      </c>
      <c r="F280" s="268" t="s">
        <v>2790</v>
      </c>
      <c r="G280" s="268">
        <v>9</v>
      </c>
      <c r="H280" s="268" t="s">
        <v>2791</v>
      </c>
      <c r="I280" s="268" t="s">
        <v>2792</v>
      </c>
      <c r="J280" s="271">
        <v>366444</v>
      </c>
      <c r="K280" s="271">
        <f t="shared" si="34"/>
        <v>30537</v>
      </c>
      <c r="L280" s="271">
        <f t="shared" si="35"/>
        <v>12141.24</v>
      </c>
      <c r="M280" s="267">
        <v>0</v>
      </c>
      <c r="N280" s="271">
        <f t="shared" si="40"/>
        <v>129.60000000000002</v>
      </c>
      <c r="O280" s="276">
        <v>0</v>
      </c>
      <c r="P280" s="276">
        <f t="shared" si="36"/>
        <v>6412.77</v>
      </c>
      <c r="Q280" s="271">
        <f t="shared" si="37"/>
        <v>60084</v>
      </c>
      <c r="R280" s="271">
        <f t="shared" si="38"/>
        <v>66216.430800000002</v>
      </c>
      <c r="S280" s="271">
        <f t="shared" si="39"/>
        <v>2125.44</v>
      </c>
    </row>
    <row r="281" spans="1:21" s="270" customFormat="1" x14ac:dyDescent="0.25">
      <c r="A281" s="271">
        <v>501443</v>
      </c>
      <c r="B281" s="271">
        <v>1443</v>
      </c>
      <c r="C281" s="271">
        <v>51868</v>
      </c>
      <c r="D281" s="268" t="s">
        <v>894</v>
      </c>
      <c r="E281" s="268" t="s">
        <v>1290</v>
      </c>
      <c r="F281" s="268" t="s">
        <v>2793</v>
      </c>
      <c r="G281" s="268">
        <v>9</v>
      </c>
      <c r="H281" s="268" t="s">
        <v>2794</v>
      </c>
      <c r="I281" s="268" t="s">
        <v>2717</v>
      </c>
      <c r="J281" s="271">
        <v>366444</v>
      </c>
      <c r="K281" s="271">
        <f t="shared" si="34"/>
        <v>30537</v>
      </c>
      <c r="L281" s="271">
        <f t="shared" si="35"/>
        <v>12141.24</v>
      </c>
      <c r="M281" s="267">
        <v>0</v>
      </c>
      <c r="N281" s="271">
        <f t="shared" si="40"/>
        <v>129.60000000000002</v>
      </c>
      <c r="O281" s="276">
        <v>0</v>
      </c>
      <c r="P281" s="276">
        <f t="shared" si="36"/>
        <v>6412.77</v>
      </c>
      <c r="Q281" s="271">
        <f t="shared" si="37"/>
        <v>60084</v>
      </c>
      <c r="R281" s="271">
        <f t="shared" si="38"/>
        <v>66216.430800000002</v>
      </c>
      <c r="S281" s="271">
        <f t="shared" si="39"/>
        <v>2125.44</v>
      </c>
    </row>
    <row r="282" spans="1:21" s="270" customFormat="1" x14ac:dyDescent="0.25">
      <c r="A282" s="271">
        <v>501443</v>
      </c>
      <c r="B282" s="271">
        <v>1443</v>
      </c>
      <c r="C282" s="271">
        <v>58861</v>
      </c>
      <c r="D282" s="268" t="s">
        <v>894</v>
      </c>
      <c r="E282" s="268" t="s">
        <v>1290</v>
      </c>
      <c r="F282" s="268" t="s">
        <v>2795</v>
      </c>
      <c r="G282" s="268">
        <v>9</v>
      </c>
      <c r="H282" s="268" t="s">
        <v>2796</v>
      </c>
      <c r="I282" s="268" t="s">
        <v>2712</v>
      </c>
      <c r="J282" s="271">
        <v>366444</v>
      </c>
      <c r="K282" s="271">
        <f t="shared" si="34"/>
        <v>30537</v>
      </c>
      <c r="L282" s="271">
        <f t="shared" si="35"/>
        <v>12141.24</v>
      </c>
      <c r="M282" s="267">
        <v>0</v>
      </c>
      <c r="N282" s="271">
        <f t="shared" si="40"/>
        <v>129.60000000000002</v>
      </c>
      <c r="O282" s="276">
        <v>0</v>
      </c>
      <c r="P282" s="276">
        <f t="shared" si="36"/>
        <v>6412.77</v>
      </c>
      <c r="Q282" s="271">
        <f t="shared" si="37"/>
        <v>60084</v>
      </c>
      <c r="R282" s="271">
        <f t="shared" si="38"/>
        <v>66216.430800000002</v>
      </c>
      <c r="S282" s="271">
        <f t="shared" si="39"/>
        <v>2125.44</v>
      </c>
    </row>
    <row r="283" spans="1:21" s="270" customFormat="1" x14ac:dyDescent="0.25">
      <c r="A283" s="271">
        <v>501443</v>
      </c>
      <c r="B283" s="271">
        <v>1443</v>
      </c>
      <c r="C283" s="271">
        <v>83577</v>
      </c>
      <c r="D283" s="268" t="s">
        <v>894</v>
      </c>
      <c r="E283" s="268" t="s">
        <v>1290</v>
      </c>
      <c r="F283" s="268" t="s">
        <v>2797</v>
      </c>
      <c r="G283" s="268">
        <v>9</v>
      </c>
      <c r="H283" s="268" t="s">
        <v>2798</v>
      </c>
      <c r="I283" s="268" t="s">
        <v>2712</v>
      </c>
      <c r="J283" s="271">
        <v>366444</v>
      </c>
      <c r="K283" s="271">
        <f t="shared" si="34"/>
        <v>30537</v>
      </c>
      <c r="L283" s="271">
        <f t="shared" si="35"/>
        <v>12141.24</v>
      </c>
      <c r="M283" s="267">
        <v>0</v>
      </c>
      <c r="N283" s="271">
        <f t="shared" si="40"/>
        <v>129.60000000000002</v>
      </c>
      <c r="O283" s="276">
        <v>0</v>
      </c>
      <c r="P283" s="276">
        <f t="shared" si="36"/>
        <v>6412.77</v>
      </c>
      <c r="Q283" s="271">
        <f t="shared" si="37"/>
        <v>60084</v>
      </c>
      <c r="R283" s="271">
        <f t="shared" si="38"/>
        <v>66216.430800000002</v>
      </c>
      <c r="S283" s="271">
        <f t="shared" si="39"/>
        <v>2125.44</v>
      </c>
    </row>
    <row r="284" spans="1:21" s="270" customFormat="1" x14ac:dyDescent="0.25">
      <c r="A284" s="271">
        <v>501406</v>
      </c>
      <c r="B284" s="271">
        <v>1406</v>
      </c>
      <c r="C284" s="271">
        <v>92186</v>
      </c>
      <c r="D284" s="268" t="s">
        <v>876</v>
      </c>
      <c r="E284" s="268" t="s">
        <v>1290</v>
      </c>
      <c r="F284" s="268" t="s">
        <v>2799</v>
      </c>
      <c r="G284" s="268">
        <v>9</v>
      </c>
      <c r="H284" s="268" t="s">
        <v>2244</v>
      </c>
      <c r="I284" s="268" t="s">
        <v>2712</v>
      </c>
      <c r="J284" s="271">
        <v>366444</v>
      </c>
      <c r="K284" s="271">
        <f t="shared" si="34"/>
        <v>30537</v>
      </c>
      <c r="L284" s="271">
        <f t="shared" si="35"/>
        <v>12141.24</v>
      </c>
      <c r="M284" s="267">
        <v>0</v>
      </c>
      <c r="N284" s="271">
        <f t="shared" si="40"/>
        <v>129.60000000000002</v>
      </c>
      <c r="O284" s="276">
        <v>0</v>
      </c>
      <c r="P284" s="276">
        <f t="shared" si="36"/>
        <v>6412.77</v>
      </c>
      <c r="Q284" s="271">
        <f t="shared" si="37"/>
        <v>60084</v>
      </c>
      <c r="R284" s="271">
        <f t="shared" si="38"/>
        <v>66216.430800000002</v>
      </c>
      <c r="S284" s="271">
        <f t="shared" si="39"/>
        <v>2125.44</v>
      </c>
    </row>
    <row r="285" spans="1:21" s="270" customFormat="1" x14ac:dyDescent="0.25">
      <c r="A285" s="271">
        <v>501455</v>
      </c>
      <c r="B285" s="271">
        <v>1455</v>
      </c>
      <c r="C285" s="271">
        <v>97466</v>
      </c>
      <c r="D285" s="268" t="s">
        <v>894</v>
      </c>
      <c r="E285" s="268" t="s">
        <v>1290</v>
      </c>
      <c r="F285" s="268" t="s">
        <v>538</v>
      </c>
      <c r="G285" s="268">
        <v>9</v>
      </c>
      <c r="H285" s="268" t="s">
        <v>2800</v>
      </c>
      <c r="I285" s="268" t="s">
        <v>2801</v>
      </c>
      <c r="J285" s="271">
        <v>366444</v>
      </c>
      <c r="K285" s="271">
        <f t="shared" si="34"/>
        <v>30537</v>
      </c>
      <c r="L285" s="271">
        <f t="shared" si="35"/>
        <v>12141.24</v>
      </c>
      <c r="M285" s="267">
        <v>0</v>
      </c>
      <c r="N285" s="271">
        <f t="shared" si="40"/>
        <v>129.60000000000002</v>
      </c>
      <c r="O285" s="276">
        <v>0</v>
      </c>
      <c r="P285" s="276">
        <f t="shared" si="36"/>
        <v>6412.77</v>
      </c>
      <c r="Q285" s="271">
        <f t="shared" si="37"/>
        <v>60084</v>
      </c>
      <c r="R285" s="271">
        <f t="shared" si="38"/>
        <v>66216.430800000002</v>
      </c>
      <c r="S285" s="271">
        <f t="shared" si="39"/>
        <v>2125.44</v>
      </c>
    </row>
    <row r="286" spans="1:21" s="270" customFormat="1" x14ac:dyDescent="0.25">
      <c r="A286" s="271">
        <v>501455</v>
      </c>
      <c r="B286" s="271">
        <v>1455</v>
      </c>
      <c r="C286" s="271">
        <v>97547</v>
      </c>
      <c r="D286" s="268" t="s">
        <v>894</v>
      </c>
      <c r="E286" s="268" t="s">
        <v>1278</v>
      </c>
      <c r="F286" s="268" t="s">
        <v>2802</v>
      </c>
      <c r="G286" s="268">
        <v>9</v>
      </c>
      <c r="H286" s="268" t="s">
        <v>2803</v>
      </c>
      <c r="I286" s="268" t="s">
        <v>2804</v>
      </c>
      <c r="J286" s="271">
        <v>366444</v>
      </c>
      <c r="K286" s="271">
        <f t="shared" si="34"/>
        <v>30537</v>
      </c>
      <c r="L286" s="271">
        <f t="shared" si="35"/>
        <v>12141.24</v>
      </c>
      <c r="M286" s="267">
        <v>0</v>
      </c>
      <c r="N286" s="271">
        <f t="shared" si="40"/>
        <v>129.60000000000002</v>
      </c>
      <c r="O286" s="276">
        <v>0</v>
      </c>
      <c r="P286" s="276">
        <f t="shared" si="36"/>
        <v>6412.77</v>
      </c>
      <c r="Q286" s="271">
        <f t="shared" si="37"/>
        <v>60084</v>
      </c>
      <c r="R286" s="271">
        <f t="shared" si="38"/>
        <v>66216.430800000002</v>
      </c>
      <c r="S286" s="271">
        <f t="shared" si="39"/>
        <v>2125.44</v>
      </c>
    </row>
    <row r="287" spans="1:21" s="270" customFormat="1" x14ac:dyDescent="0.25">
      <c r="A287" s="271">
        <v>501443</v>
      </c>
      <c r="B287" s="271">
        <v>1443</v>
      </c>
      <c r="C287" s="271">
        <v>200046</v>
      </c>
      <c r="D287" s="268" t="s">
        <v>894</v>
      </c>
      <c r="E287" s="268" t="s">
        <v>1278</v>
      </c>
      <c r="F287" s="268" t="s">
        <v>1304</v>
      </c>
      <c r="G287" s="268">
        <v>9</v>
      </c>
      <c r="H287" s="268" t="s">
        <v>2805</v>
      </c>
      <c r="I287" s="268" t="s">
        <v>2717</v>
      </c>
      <c r="J287" s="271">
        <v>366444</v>
      </c>
      <c r="K287" s="271">
        <f t="shared" si="34"/>
        <v>30537</v>
      </c>
      <c r="L287" s="271">
        <f t="shared" si="35"/>
        <v>12141.24</v>
      </c>
      <c r="M287" s="267">
        <v>0</v>
      </c>
      <c r="N287" s="271">
        <f t="shared" si="40"/>
        <v>129.60000000000002</v>
      </c>
      <c r="O287" s="276">
        <v>0</v>
      </c>
      <c r="P287" s="276">
        <f t="shared" si="36"/>
        <v>6412.77</v>
      </c>
      <c r="Q287" s="271">
        <f t="shared" si="37"/>
        <v>60084</v>
      </c>
      <c r="R287" s="271">
        <f t="shared" si="38"/>
        <v>66216.430800000002</v>
      </c>
      <c r="S287" s="271">
        <f t="shared" si="39"/>
        <v>2125.44</v>
      </c>
    </row>
    <row r="288" spans="1:21" s="270" customFormat="1" x14ac:dyDescent="0.25">
      <c r="A288" s="271">
        <v>110821</v>
      </c>
      <c r="B288" s="271">
        <v>1108</v>
      </c>
      <c r="C288" s="271">
        <v>200065</v>
      </c>
      <c r="D288" s="268" t="s">
        <v>894</v>
      </c>
      <c r="E288" s="268" t="s">
        <v>1278</v>
      </c>
      <c r="F288" s="268" t="s">
        <v>1290</v>
      </c>
      <c r="G288" s="268">
        <v>9</v>
      </c>
      <c r="H288" s="268" t="s">
        <v>2295</v>
      </c>
      <c r="I288" s="268" t="s">
        <v>2806</v>
      </c>
      <c r="J288" s="271">
        <v>366444</v>
      </c>
      <c r="K288" s="271">
        <f t="shared" si="34"/>
        <v>30537</v>
      </c>
      <c r="L288" s="271">
        <f t="shared" si="35"/>
        <v>12141.24</v>
      </c>
      <c r="M288" s="267">
        <v>0</v>
      </c>
      <c r="N288" s="271">
        <f t="shared" si="40"/>
        <v>129.60000000000002</v>
      </c>
      <c r="O288" s="276">
        <v>0</v>
      </c>
      <c r="P288" s="276">
        <f t="shared" si="36"/>
        <v>6412.77</v>
      </c>
      <c r="Q288" s="271">
        <f t="shared" si="37"/>
        <v>60084</v>
      </c>
      <c r="R288" s="271">
        <f t="shared" si="38"/>
        <v>66216.430800000002</v>
      </c>
      <c r="S288" s="271">
        <f t="shared" si="39"/>
        <v>2125.44</v>
      </c>
    </row>
    <row r="289" spans="1:21" s="270" customFormat="1" x14ac:dyDescent="0.25">
      <c r="A289" s="271">
        <v>501407</v>
      </c>
      <c r="B289" s="271">
        <v>1407</v>
      </c>
      <c r="C289" s="271">
        <v>200205</v>
      </c>
      <c r="D289" s="268" t="s">
        <v>894</v>
      </c>
      <c r="E289" s="268" t="s">
        <v>1290</v>
      </c>
      <c r="F289" s="268" t="s">
        <v>2807</v>
      </c>
      <c r="G289" s="268">
        <v>9</v>
      </c>
      <c r="H289" s="268" t="s">
        <v>2808</v>
      </c>
      <c r="I289" s="268" t="s">
        <v>2809</v>
      </c>
      <c r="J289" s="271">
        <v>366444</v>
      </c>
      <c r="K289" s="271">
        <f t="shared" si="34"/>
        <v>30537</v>
      </c>
      <c r="L289" s="271">
        <f t="shared" si="35"/>
        <v>12141.24</v>
      </c>
      <c r="M289" s="267">
        <v>0</v>
      </c>
      <c r="N289" s="271">
        <f t="shared" si="40"/>
        <v>129.60000000000002</v>
      </c>
      <c r="O289" s="276">
        <v>0</v>
      </c>
      <c r="P289" s="276">
        <f t="shared" si="36"/>
        <v>6412.77</v>
      </c>
      <c r="Q289" s="271">
        <f t="shared" si="37"/>
        <v>60084</v>
      </c>
      <c r="R289" s="271">
        <f t="shared" si="38"/>
        <v>66216.430800000002</v>
      </c>
      <c r="S289" s="271">
        <f t="shared" si="39"/>
        <v>2125.44</v>
      </c>
    </row>
    <row r="290" spans="1:21" s="270" customFormat="1" x14ac:dyDescent="0.25">
      <c r="A290" s="271">
        <v>501407</v>
      </c>
      <c r="B290" s="271">
        <v>1407</v>
      </c>
      <c r="C290" s="271">
        <v>200206</v>
      </c>
      <c r="D290" s="268" t="s">
        <v>894</v>
      </c>
      <c r="E290" s="268" t="s">
        <v>1278</v>
      </c>
      <c r="F290" s="268" t="s">
        <v>2810</v>
      </c>
      <c r="G290" s="268">
        <v>9</v>
      </c>
      <c r="H290" s="268" t="s">
        <v>2811</v>
      </c>
      <c r="I290" s="268" t="s">
        <v>2809</v>
      </c>
      <c r="J290" s="271">
        <v>366444</v>
      </c>
      <c r="K290" s="271">
        <f t="shared" si="34"/>
        <v>30537</v>
      </c>
      <c r="L290" s="271">
        <f t="shared" si="35"/>
        <v>12141.24</v>
      </c>
      <c r="M290" s="267">
        <v>0</v>
      </c>
      <c r="N290" s="271">
        <f t="shared" si="40"/>
        <v>129.60000000000002</v>
      </c>
      <c r="O290" s="276">
        <v>0</v>
      </c>
      <c r="P290" s="276">
        <f t="shared" si="36"/>
        <v>6412.77</v>
      </c>
      <c r="Q290" s="271">
        <f t="shared" si="37"/>
        <v>60084</v>
      </c>
      <c r="R290" s="271">
        <f t="shared" si="38"/>
        <v>66216.430800000002</v>
      </c>
      <c r="S290" s="271">
        <f t="shared" si="39"/>
        <v>2125.44</v>
      </c>
    </row>
    <row r="291" spans="1:21" s="270" customFormat="1" x14ac:dyDescent="0.25">
      <c r="A291" s="271">
        <v>501402</v>
      </c>
      <c r="B291" s="271">
        <v>1402</v>
      </c>
      <c r="C291" s="271">
        <v>97158</v>
      </c>
      <c r="D291" s="268" t="s">
        <v>894</v>
      </c>
      <c r="E291" s="268" t="s">
        <v>1290</v>
      </c>
      <c r="F291" s="268" t="s">
        <v>2812</v>
      </c>
      <c r="G291" s="268">
        <v>9</v>
      </c>
      <c r="H291" s="268" t="s">
        <v>2813</v>
      </c>
      <c r="I291" s="268" t="s">
        <v>2801</v>
      </c>
      <c r="J291" s="271">
        <v>359004</v>
      </c>
      <c r="K291" s="271">
        <f t="shared" si="34"/>
        <v>29917</v>
      </c>
      <c r="L291" s="271">
        <f t="shared" si="35"/>
        <v>12141.24</v>
      </c>
      <c r="M291" s="267">
        <v>0</v>
      </c>
      <c r="N291" s="271">
        <f t="shared" si="40"/>
        <v>129.60000000000002</v>
      </c>
      <c r="O291" s="276">
        <v>0</v>
      </c>
      <c r="P291" s="276">
        <f t="shared" si="36"/>
        <v>6282.5700000000006</v>
      </c>
      <c r="Q291" s="271">
        <f t="shared" si="37"/>
        <v>60084</v>
      </c>
      <c r="R291" s="271">
        <f t="shared" si="38"/>
        <v>64872.022799999999</v>
      </c>
      <c r="S291" s="271">
        <f t="shared" si="39"/>
        <v>2125.44</v>
      </c>
    </row>
    <row r="292" spans="1:21" s="270" customFormat="1" x14ac:dyDescent="0.25">
      <c r="A292" s="271">
        <v>501443</v>
      </c>
      <c r="B292" s="271">
        <v>1443</v>
      </c>
      <c r="C292" s="271">
        <v>97453</v>
      </c>
      <c r="D292" s="268" t="s">
        <v>894</v>
      </c>
      <c r="E292" s="268" t="s">
        <v>1278</v>
      </c>
      <c r="F292" s="268" t="s">
        <v>1293</v>
      </c>
      <c r="G292" s="268">
        <v>9</v>
      </c>
      <c r="H292" s="268" t="s">
        <v>2814</v>
      </c>
      <c r="I292" s="268" t="s">
        <v>2801</v>
      </c>
      <c r="J292" s="271">
        <v>359004</v>
      </c>
      <c r="K292" s="271">
        <f t="shared" si="34"/>
        <v>29917</v>
      </c>
      <c r="L292" s="271">
        <f t="shared" si="35"/>
        <v>12141.24</v>
      </c>
      <c r="M292" s="267">
        <v>0</v>
      </c>
      <c r="N292" s="271">
        <f t="shared" si="40"/>
        <v>129.60000000000002</v>
      </c>
      <c r="O292" s="276">
        <v>0</v>
      </c>
      <c r="P292" s="276">
        <f t="shared" si="36"/>
        <v>6282.5700000000006</v>
      </c>
      <c r="Q292" s="271">
        <f t="shared" si="37"/>
        <v>60084</v>
      </c>
      <c r="R292" s="271">
        <f t="shared" si="38"/>
        <v>64872.022799999999</v>
      </c>
      <c r="S292" s="271">
        <f t="shared" si="39"/>
        <v>2125.44</v>
      </c>
    </row>
    <row r="293" spans="1:21" s="270" customFormat="1" x14ac:dyDescent="0.25">
      <c r="A293" s="271">
        <v>501305</v>
      </c>
      <c r="B293" s="271">
        <v>1305</v>
      </c>
      <c r="C293" s="271">
        <v>97482</v>
      </c>
      <c r="D293" s="268" t="s">
        <v>894</v>
      </c>
      <c r="E293" s="268" t="s">
        <v>1290</v>
      </c>
      <c r="F293" s="268" t="s">
        <v>2815</v>
      </c>
      <c r="G293" s="268">
        <v>9</v>
      </c>
      <c r="H293" s="268" t="s">
        <v>2816</v>
      </c>
      <c r="I293" s="268" t="s">
        <v>2801</v>
      </c>
      <c r="J293" s="271">
        <v>359004</v>
      </c>
      <c r="K293" s="271">
        <f t="shared" si="34"/>
        <v>29917</v>
      </c>
      <c r="L293" s="271">
        <f t="shared" si="35"/>
        <v>12141.24</v>
      </c>
      <c r="M293" s="267">
        <v>0</v>
      </c>
      <c r="N293" s="271">
        <f t="shared" si="40"/>
        <v>129.60000000000002</v>
      </c>
      <c r="O293" s="276">
        <v>0</v>
      </c>
      <c r="P293" s="276">
        <f t="shared" si="36"/>
        <v>6282.5700000000006</v>
      </c>
      <c r="Q293" s="271">
        <f t="shared" si="37"/>
        <v>60084</v>
      </c>
      <c r="R293" s="271">
        <f t="shared" si="38"/>
        <v>64872.022799999999</v>
      </c>
      <c r="S293" s="271">
        <f t="shared" si="39"/>
        <v>2125.44</v>
      </c>
      <c r="T293" s="277"/>
      <c r="U293" s="277"/>
    </row>
    <row r="294" spans="1:21" s="270" customFormat="1" x14ac:dyDescent="0.25">
      <c r="A294" s="271">
        <v>501443</v>
      </c>
      <c r="B294" s="271">
        <v>1443</v>
      </c>
      <c r="C294" s="271">
        <v>97505</v>
      </c>
      <c r="D294" s="268" t="s">
        <v>894</v>
      </c>
      <c r="E294" s="268" t="s">
        <v>1290</v>
      </c>
      <c r="F294" s="268" t="s">
        <v>2487</v>
      </c>
      <c r="G294" s="268">
        <v>9</v>
      </c>
      <c r="H294" s="268" t="s">
        <v>2817</v>
      </c>
      <c r="I294" s="268" t="s">
        <v>2801</v>
      </c>
      <c r="J294" s="271">
        <v>359004</v>
      </c>
      <c r="K294" s="271">
        <f t="shared" si="34"/>
        <v>29917</v>
      </c>
      <c r="L294" s="271">
        <f t="shared" si="35"/>
        <v>12141.24</v>
      </c>
      <c r="M294" s="267">
        <v>0</v>
      </c>
      <c r="N294" s="271">
        <f t="shared" si="40"/>
        <v>129.60000000000002</v>
      </c>
      <c r="O294" s="276">
        <v>0</v>
      </c>
      <c r="P294" s="276">
        <f t="shared" si="36"/>
        <v>6282.5700000000006</v>
      </c>
      <c r="Q294" s="271">
        <f t="shared" si="37"/>
        <v>60084</v>
      </c>
      <c r="R294" s="271">
        <f t="shared" si="38"/>
        <v>64872.022799999999</v>
      </c>
      <c r="S294" s="271">
        <f t="shared" si="39"/>
        <v>2125.44</v>
      </c>
    </row>
    <row r="295" spans="1:21" s="270" customFormat="1" x14ac:dyDescent="0.25">
      <c r="A295" s="271"/>
      <c r="B295" s="271">
        <v>1445</v>
      </c>
      <c r="C295" s="271">
        <v>200323</v>
      </c>
      <c r="D295" s="268" t="s">
        <v>894</v>
      </c>
      <c r="E295" s="268" t="s">
        <v>1278</v>
      </c>
      <c r="F295" s="268" t="s">
        <v>1290</v>
      </c>
      <c r="G295" s="268">
        <v>9</v>
      </c>
      <c r="H295" s="268" t="s">
        <v>2818</v>
      </c>
      <c r="I295" s="268" t="s">
        <v>2717</v>
      </c>
      <c r="J295" s="271">
        <v>351564</v>
      </c>
      <c r="K295" s="271">
        <f t="shared" si="34"/>
        <v>29297</v>
      </c>
      <c r="L295" s="271">
        <f t="shared" si="35"/>
        <v>12141.24</v>
      </c>
      <c r="M295" s="267">
        <v>0</v>
      </c>
      <c r="N295" s="271">
        <f t="shared" si="40"/>
        <v>129.60000000000002</v>
      </c>
      <c r="O295" s="276">
        <v>0</v>
      </c>
      <c r="P295" s="276">
        <f t="shared" si="36"/>
        <v>6152.3700000000008</v>
      </c>
      <c r="Q295" s="271">
        <f t="shared" si="37"/>
        <v>60084</v>
      </c>
      <c r="R295" s="271">
        <f t="shared" si="38"/>
        <v>63527.614800000003</v>
      </c>
      <c r="S295" s="271">
        <f t="shared" si="39"/>
        <v>2125.44</v>
      </c>
    </row>
    <row r="296" spans="1:21" s="270" customFormat="1" x14ac:dyDescent="0.25">
      <c r="A296" s="271"/>
      <c r="B296" s="271">
        <v>1406</v>
      </c>
      <c r="C296" s="271">
        <v>200328</v>
      </c>
      <c r="D296" s="268" t="s">
        <v>894</v>
      </c>
      <c r="E296" s="268" t="s">
        <v>1290</v>
      </c>
      <c r="F296" s="268" t="s">
        <v>2211</v>
      </c>
      <c r="G296" s="268">
        <v>9</v>
      </c>
      <c r="H296" s="268" t="s">
        <v>2819</v>
      </c>
      <c r="I296" s="268" t="s">
        <v>2717</v>
      </c>
      <c r="J296" s="271">
        <v>351564</v>
      </c>
      <c r="K296" s="271">
        <f t="shared" si="34"/>
        <v>29297</v>
      </c>
      <c r="L296" s="271">
        <f t="shared" si="35"/>
        <v>12141.24</v>
      </c>
      <c r="M296" s="267">
        <v>0</v>
      </c>
      <c r="N296" s="271">
        <f t="shared" si="40"/>
        <v>129.60000000000002</v>
      </c>
      <c r="O296" s="276">
        <v>0</v>
      </c>
      <c r="P296" s="276">
        <f t="shared" si="36"/>
        <v>6152.3700000000008</v>
      </c>
      <c r="Q296" s="271">
        <f t="shared" si="37"/>
        <v>60084</v>
      </c>
      <c r="R296" s="271">
        <f t="shared" si="38"/>
        <v>63527.614800000003</v>
      </c>
      <c r="S296" s="271">
        <f t="shared" si="39"/>
        <v>2125.44</v>
      </c>
    </row>
    <row r="297" spans="1:21" s="270" customFormat="1" x14ac:dyDescent="0.25">
      <c r="A297" s="271"/>
      <c r="B297" s="271">
        <v>1406</v>
      </c>
      <c r="C297" s="271">
        <v>200337</v>
      </c>
      <c r="D297" s="268" t="s">
        <v>894</v>
      </c>
      <c r="E297" s="268" t="s">
        <v>1290</v>
      </c>
      <c r="F297" s="268" t="s">
        <v>2820</v>
      </c>
      <c r="G297" s="268">
        <v>9</v>
      </c>
      <c r="H297" s="268" t="s">
        <v>2821</v>
      </c>
      <c r="I297" s="268" t="s">
        <v>2717</v>
      </c>
      <c r="J297" s="271">
        <v>351564</v>
      </c>
      <c r="K297" s="271">
        <f t="shared" si="34"/>
        <v>29297</v>
      </c>
      <c r="L297" s="271">
        <f t="shared" si="35"/>
        <v>12141.24</v>
      </c>
      <c r="M297" s="267">
        <v>0</v>
      </c>
      <c r="N297" s="271">
        <f t="shared" si="40"/>
        <v>129.60000000000002</v>
      </c>
      <c r="O297" s="276">
        <v>0</v>
      </c>
      <c r="P297" s="276">
        <f t="shared" si="36"/>
        <v>6152.3700000000008</v>
      </c>
      <c r="Q297" s="271">
        <f t="shared" si="37"/>
        <v>60084</v>
      </c>
      <c r="R297" s="271">
        <f t="shared" si="38"/>
        <v>63527.614800000003</v>
      </c>
      <c r="S297" s="271">
        <f t="shared" si="39"/>
        <v>2125.44</v>
      </c>
      <c r="T297" s="277"/>
      <c r="U297" s="277"/>
    </row>
    <row r="298" spans="1:21" s="270" customFormat="1" x14ac:dyDescent="0.25">
      <c r="A298" s="271"/>
      <c r="B298" s="271">
        <v>1406</v>
      </c>
      <c r="C298" s="271">
        <v>200341</v>
      </c>
      <c r="D298" s="268" t="s">
        <v>894</v>
      </c>
      <c r="E298" s="268" t="s">
        <v>1278</v>
      </c>
      <c r="F298" s="268" t="s">
        <v>2822</v>
      </c>
      <c r="G298" s="268">
        <v>9</v>
      </c>
      <c r="H298" s="268" t="s">
        <v>2823</v>
      </c>
      <c r="I298" s="268" t="s">
        <v>2717</v>
      </c>
      <c r="J298" s="271">
        <v>351564</v>
      </c>
      <c r="K298" s="271">
        <f t="shared" si="34"/>
        <v>29297</v>
      </c>
      <c r="L298" s="271">
        <f t="shared" si="35"/>
        <v>12141.24</v>
      </c>
      <c r="M298" s="267">
        <v>0</v>
      </c>
      <c r="N298" s="271">
        <f t="shared" si="40"/>
        <v>129.60000000000002</v>
      </c>
      <c r="O298" s="276">
        <v>0</v>
      </c>
      <c r="P298" s="276">
        <f t="shared" si="36"/>
        <v>6152.3700000000008</v>
      </c>
      <c r="Q298" s="271">
        <f t="shared" si="37"/>
        <v>60084</v>
      </c>
      <c r="R298" s="271">
        <f t="shared" si="38"/>
        <v>63527.614800000003</v>
      </c>
      <c r="S298" s="271">
        <f t="shared" si="39"/>
        <v>2125.44</v>
      </c>
    </row>
    <row r="299" spans="1:21" s="270" customFormat="1" x14ac:dyDescent="0.25">
      <c r="A299" s="271">
        <v>501406</v>
      </c>
      <c r="B299" s="271">
        <v>1406</v>
      </c>
      <c r="C299" s="271">
        <v>200344</v>
      </c>
      <c r="D299" s="268" t="s">
        <v>894</v>
      </c>
      <c r="E299" s="268" t="s">
        <v>1290</v>
      </c>
      <c r="F299" s="268" t="s">
        <v>2824</v>
      </c>
      <c r="G299" s="268">
        <v>9</v>
      </c>
      <c r="H299" s="268" t="s">
        <v>2537</v>
      </c>
      <c r="I299" s="268" t="s">
        <v>2825</v>
      </c>
      <c r="J299" s="271">
        <v>351564</v>
      </c>
      <c r="K299" s="271">
        <f t="shared" si="34"/>
        <v>29297</v>
      </c>
      <c r="L299" s="271">
        <f t="shared" si="35"/>
        <v>12141.24</v>
      </c>
      <c r="M299" s="267">
        <v>0</v>
      </c>
      <c r="N299" s="271">
        <f t="shared" si="40"/>
        <v>129.60000000000002</v>
      </c>
      <c r="O299" s="276">
        <v>0</v>
      </c>
      <c r="P299" s="276">
        <f t="shared" si="36"/>
        <v>6152.3700000000008</v>
      </c>
      <c r="Q299" s="271">
        <f t="shared" si="37"/>
        <v>60084</v>
      </c>
      <c r="R299" s="271">
        <f t="shared" si="38"/>
        <v>63527.614800000003</v>
      </c>
      <c r="S299" s="271">
        <f t="shared" si="39"/>
        <v>2125.44</v>
      </c>
    </row>
    <row r="300" spans="1:21" s="270" customFormat="1" x14ac:dyDescent="0.25">
      <c r="A300" s="271"/>
      <c r="B300" s="271">
        <v>1406</v>
      </c>
      <c r="C300" s="271">
        <v>200346</v>
      </c>
      <c r="D300" s="268" t="s">
        <v>894</v>
      </c>
      <c r="E300" s="268" t="s">
        <v>1290</v>
      </c>
      <c r="F300" s="268" t="s">
        <v>2358</v>
      </c>
      <c r="G300" s="268">
        <v>9</v>
      </c>
      <c r="H300" s="268" t="s">
        <v>2826</v>
      </c>
      <c r="I300" s="268" t="s">
        <v>2717</v>
      </c>
      <c r="J300" s="271">
        <v>351564</v>
      </c>
      <c r="K300" s="271">
        <f t="shared" si="34"/>
        <v>29297</v>
      </c>
      <c r="L300" s="271">
        <f t="shared" si="35"/>
        <v>12141.24</v>
      </c>
      <c r="M300" s="267">
        <v>0</v>
      </c>
      <c r="N300" s="271">
        <f t="shared" si="40"/>
        <v>129.60000000000002</v>
      </c>
      <c r="O300" s="276">
        <v>0</v>
      </c>
      <c r="P300" s="276">
        <f t="shared" si="36"/>
        <v>6152.3700000000008</v>
      </c>
      <c r="Q300" s="271">
        <f t="shared" si="37"/>
        <v>60084</v>
      </c>
      <c r="R300" s="271">
        <f t="shared" si="38"/>
        <v>63527.614800000003</v>
      </c>
      <c r="S300" s="271">
        <f t="shared" si="39"/>
        <v>2125.44</v>
      </c>
    </row>
    <row r="301" spans="1:21" s="270" customFormat="1" x14ac:dyDescent="0.25">
      <c r="A301" s="271">
        <v>501402</v>
      </c>
      <c r="B301" s="271">
        <v>1402</v>
      </c>
      <c r="C301" s="271">
        <v>97534</v>
      </c>
      <c r="D301" s="268" t="s">
        <v>894</v>
      </c>
      <c r="E301" s="268" t="s">
        <v>1278</v>
      </c>
      <c r="F301" s="268" t="s">
        <v>2827</v>
      </c>
      <c r="G301" s="268">
        <v>9</v>
      </c>
      <c r="H301" s="268" t="s">
        <v>2828</v>
      </c>
      <c r="I301" s="268" t="s">
        <v>2801</v>
      </c>
      <c r="J301" s="271">
        <v>344184</v>
      </c>
      <c r="K301" s="271">
        <f t="shared" si="34"/>
        <v>28682</v>
      </c>
      <c r="L301" s="271">
        <f t="shared" si="35"/>
        <v>12141.24</v>
      </c>
      <c r="M301" s="267">
        <v>0</v>
      </c>
      <c r="N301" s="271">
        <f t="shared" si="40"/>
        <v>129.60000000000002</v>
      </c>
      <c r="O301" s="276">
        <v>0</v>
      </c>
      <c r="P301" s="276">
        <f t="shared" si="36"/>
        <v>6023.22</v>
      </c>
      <c r="Q301" s="271">
        <f t="shared" si="37"/>
        <v>60084</v>
      </c>
      <c r="R301" s="271">
        <f t="shared" si="38"/>
        <v>62194.048799999997</v>
      </c>
      <c r="S301" s="271">
        <f t="shared" si="39"/>
        <v>2125.44</v>
      </c>
    </row>
    <row r="302" spans="1:21" s="270" customFormat="1" x14ac:dyDescent="0.25">
      <c r="A302" s="271">
        <v>501505</v>
      </c>
      <c r="B302" s="271">
        <v>1505</v>
      </c>
      <c r="C302" s="271">
        <v>3395</v>
      </c>
      <c r="D302" s="268" t="s">
        <v>894</v>
      </c>
      <c r="E302" s="268" t="s">
        <v>1290</v>
      </c>
      <c r="F302" s="268" t="s">
        <v>2829</v>
      </c>
      <c r="G302" s="268">
        <v>10</v>
      </c>
      <c r="H302" s="268" t="s">
        <v>2830</v>
      </c>
      <c r="I302" s="268" t="s">
        <v>2831</v>
      </c>
      <c r="J302" s="271">
        <v>314820</v>
      </c>
      <c r="K302" s="271">
        <f t="shared" si="34"/>
        <v>26235</v>
      </c>
      <c r="L302" s="271">
        <f t="shared" si="35"/>
        <v>12141.24</v>
      </c>
      <c r="M302" s="267">
        <v>0</v>
      </c>
      <c r="N302" s="271">
        <f t="shared" si="40"/>
        <v>129.60000000000002</v>
      </c>
      <c r="O302" s="271">
        <f>13921*12</f>
        <v>167052</v>
      </c>
      <c r="P302" s="276">
        <f t="shared" si="36"/>
        <v>5509.35</v>
      </c>
      <c r="Q302" s="271">
        <f t="shared" si="37"/>
        <v>60084</v>
      </c>
      <c r="R302" s="271">
        <f t="shared" si="38"/>
        <v>56887.974000000002</v>
      </c>
      <c r="S302" s="271">
        <f t="shared" si="39"/>
        <v>2125.44</v>
      </c>
    </row>
    <row r="303" spans="1:21" s="270" customFormat="1" x14ac:dyDescent="0.25">
      <c r="A303" s="271">
        <v>501506</v>
      </c>
      <c r="B303" s="271">
        <v>1506</v>
      </c>
      <c r="C303" s="271">
        <v>5885</v>
      </c>
      <c r="D303" s="268" t="s">
        <v>894</v>
      </c>
      <c r="E303" s="268" t="s">
        <v>1278</v>
      </c>
      <c r="F303" s="268" t="s">
        <v>1306</v>
      </c>
      <c r="G303" s="268">
        <v>10</v>
      </c>
      <c r="H303" s="268" t="s">
        <v>2832</v>
      </c>
      <c r="I303" s="268" t="s">
        <v>2833</v>
      </c>
      <c r="J303" s="271">
        <v>314820</v>
      </c>
      <c r="K303" s="271">
        <f t="shared" si="34"/>
        <v>26235</v>
      </c>
      <c r="L303" s="271">
        <f t="shared" si="35"/>
        <v>12141.24</v>
      </c>
      <c r="M303" s="267">
        <v>0</v>
      </c>
      <c r="N303" s="271">
        <f t="shared" si="40"/>
        <v>129.60000000000002</v>
      </c>
      <c r="O303" s="276">
        <v>0</v>
      </c>
      <c r="P303" s="276">
        <f t="shared" si="36"/>
        <v>5509.35</v>
      </c>
      <c r="Q303" s="271">
        <f t="shared" si="37"/>
        <v>60084</v>
      </c>
      <c r="R303" s="271">
        <f t="shared" si="38"/>
        <v>56887.974000000002</v>
      </c>
      <c r="S303" s="271">
        <f t="shared" si="39"/>
        <v>2125.44</v>
      </c>
      <c r="T303" s="277"/>
      <c r="U303" s="277"/>
    </row>
    <row r="304" spans="1:21" s="270" customFormat="1" x14ac:dyDescent="0.25">
      <c r="A304" s="271">
        <v>501305</v>
      </c>
      <c r="B304" s="271">
        <v>1305</v>
      </c>
      <c r="C304" s="271">
        <v>15804</v>
      </c>
      <c r="D304" s="268" t="s">
        <v>1698</v>
      </c>
      <c r="E304" s="268" t="s">
        <v>1278</v>
      </c>
      <c r="F304" s="268" t="s">
        <v>2834</v>
      </c>
      <c r="G304" s="268">
        <v>10</v>
      </c>
      <c r="H304" s="268" t="s">
        <v>2625</v>
      </c>
      <c r="I304" s="268" t="s">
        <v>2835</v>
      </c>
      <c r="J304" s="271">
        <v>314820</v>
      </c>
      <c r="K304" s="271">
        <f t="shared" si="34"/>
        <v>26235</v>
      </c>
      <c r="L304" s="271">
        <f t="shared" si="35"/>
        <v>12141.24</v>
      </c>
      <c r="M304" s="267">
        <v>0</v>
      </c>
      <c r="N304" s="271">
        <f t="shared" si="40"/>
        <v>129.60000000000002</v>
      </c>
      <c r="O304" s="276">
        <v>0</v>
      </c>
      <c r="P304" s="276">
        <f t="shared" si="36"/>
        <v>5509.35</v>
      </c>
      <c r="Q304" s="271">
        <f t="shared" si="37"/>
        <v>60084</v>
      </c>
      <c r="R304" s="271">
        <f t="shared" si="38"/>
        <v>56887.974000000002</v>
      </c>
      <c r="S304" s="271">
        <f t="shared" si="39"/>
        <v>2125.44</v>
      </c>
    </row>
    <row r="305" spans="1:21" s="270" customFormat="1" x14ac:dyDescent="0.25">
      <c r="A305" s="271">
        <v>501505</v>
      </c>
      <c r="B305" s="271">
        <v>1505</v>
      </c>
      <c r="C305" s="271">
        <v>22907</v>
      </c>
      <c r="D305" s="268" t="s">
        <v>1698</v>
      </c>
      <c r="E305" s="268" t="s">
        <v>1290</v>
      </c>
      <c r="F305" s="268" t="s">
        <v>2836</v>
      </c>
      <c r="G305" s="268">
        <v>10</v>
      </c>
      <c r="H305" s="268" t="s">
        <v>2837</v>
      </c>
      <c r="I305" s="268" t="s">
        <v>2831</v>
      </c>
      <c r="J305" s="271">
        <v>314820</v>
      </c>
      <c r="K305" s="271">
        <f t="shared" si="34"/>
        <v>26235</v>
      </c>
      <c r="L305" s="271">
        <f t="shared" si="35"/>
        <v>12141.24</v>
      </c>
      <c r="M305" s="267">
        <v>0</v>
      </c>
      <c r="N305" s="271">
        <f t="shared" si="40"/>
        <v>129.60000000000002</v>
      </c>
      <c r="O305" s="276">
        <v>0</v>
      </c>
      <c r="P305" s="276">
        <f t="shared" si="36"/>
        <v>5509.35</v>
      </c>
      <c r="Q305" s="271">
        <f t="shared" si="37"/>
        <v>60084</v>
      </c>
      <c r="R305" s="271">
        <f t="shared" si="38"/>
        <v>56887.974000000002</v>
      </c>
      <c r="S305" s="271">
        <f t="shared" si="39"/>
        <v>2125.44</v>
      </c>
    </row>
    <row r="306" spans="1:21" s="270" customFormat="1" x14ac:dyDescent="0.25">
      <c r="A306" s="271">
        <v>501206</v>
      </c>
      <c r="B306" s="271">
        <v>1206</v>
      </c>
      <c r="C306" s="271">
        <v>41975</v>
      </c>
      <c r="D306" s="268" t="s">
        <v>894</v>
      </c>
      <c r="E306" s="268" t="s">
        <v>1290</v>
      </c>
      <c r="F306" s="268" t="s">
        <v>2838</v>
      </c>
      <c r="G306" s="268">
        <v>10</v>
      </c>
      <c r="H306" s="268" t="s">
        <v>2839</v>
      </c>
      <c r="I306" s="268" t="s">
        <v>2840</v>
      </c>
      <c r="J306" s="271">
        <v>314820</v>
      </c>
      <c r="K306" s="271">
        <f t="shared" si="34"/>
        <v>26235</v>
      </c>
      <c r="L306" s="271">
        <f t="shared" si="35"/>
        <v>12141.24</v>
      </c>
      <c r="M306" s="267">
        <v>0</v>
      </c>
      <c r="N306" s="271">
        <f t="shared" si="40"/>
        <v>129.60000000000002</v>
      </c>
      <c r="O306" s="276">
        <v>0</v>
      </c>
      <c r="P306" s="276">
        <f t="shared" si="36"/>
        <v>5509.35</v>
      </c>
      <c r="Q306" s="271">
        <f t="shared" si="37"/>
        <v>60084</v>
      </c>
      <c r="R306" s="271">
        <f t="shared" si="38"/>
        <v>56887.974000000002</v>
      </c>
      <c r="S306" s="271">
        <f t="shared" si="39"/>
        <v>2125.44</v>
      </c>
      <c r="T306" s="277"/>
      <c r="U306" s="277"/>
    </row>
    <row r="307" spans="1:21" s="270" customFormat="1" x14ac:dyDescent="0.25">
      <c r="A307" s="271">
        <v>501206</v>
      </c>
      <c r="B307" s="271">
        <v>1206</v>
      </c>
      <c r="C307" s="271">
        <v>55806</v>
      </c>
      <c r="D307" s="268" t="s">
        <v>894</v>
      </c>
      <c r="E307" s="268" t="s">
        <v>1290</v>
      </c>
      <c r="F307" s="268" t="s">
        <v>2841</v>
      </c>
      <c r="G307" s="268">
        <v>10</v>
      </c>
      <c r="H307" s="268" t="s">
        <v>2842</v>
      </c>
      <c r="I307" s="268" t="s">
        <v>2840</v>
      </c>
      <c r="J307" s="271">
        <v>314820</v>
      </c>
      <c r="K307" s="271">
        <f t="shared" si="34"/>
        <v>26235</v>
      </c>
      <c r="L307" s="271">
        <f t="shared" si="35"/>
        <v>12141.24</v>
      </c>
      <c r="M307" s="267">
        <v>0</v>
      </c>
      <c r="N307" s="271">
        <f t="shared" si="40"/>
        <v>129.60000000000002</v>
      </c>
      <c r="O307" s="276">
        <v>0</v>
      </c>
      <c r="P307" s="276">
        <f t="shared" si="36"/>
        <v>5509.35</v>
      </c>
      <c r="Q307" s="271">
        <f t="shared" si="37"/>
        <v>60084</v>
      </c>
      <c r="R307" s="271">
        <f t="shared" si="38"/>
        <v>56887.974000000002</v>
      </c>
      <c r="S307" s="271">
        <f t="shared" si="39"/>
        <v>2125.44</v>
      </c>
    </row>
    <row r="308" spans="1:21" s="270" customFormat="1" x14ac:dyDescent="0.25">
      <c r="A308" s="271">
        <v>501406</v>
      </c>
      <c r="B308" s="271">
        <v>1406</v>
      </c>
      <c r="C308" s="271">
        <v>58175</v>
      </c>
      <c r="D308" s="268" t="s">
        <v>876</v>
      </c>
      <c r="E308" s="268" t="s">
        <v>1278</v>
      </c>
      <c r="F308" s="268" t="s">
        <v>1290</v>
      </c>
      <c r="G308" s="268">
        <v>10</v>
      </c>
      <c r="H308" s="268" t="s">
        <v>2843</v>
      </c>
      <c r="I308" s="268" t="s">
        <v>2844</v>
      </c>
      <c r="J308" s="271">
        <v>314820</v>
      </c>
      <c r="K308" s="271">
        <f t="shared" si="34"/>
        <v>26235</v>
      </c>
      <c r="L308" s="271">
        <f t="shared" si="35"/>
        <v>12141.24</v>
      </c>
      <c r="M308" s="267">
        <v>0</v>
      </c>
      <c r="N308" s="271">
        <f t="shared" si="40"/>
        <v>129.60000000000002</v>
      </c>
      <c r="O308" s="276">
        <v>0</v>
      </c>
      <c r="P308" s="276">
        <f t="shared" si="36"/>
        <v>5509.35</v>
      </c>
      <c r="Q308" s="271">
        <f t="shared" si="37"/>
        <v>60084</v>
      </c>
      <c r="R308" s="271">
        <f t="shared" si="38"/>
        <v>56887.974000000002</v>
      </c>
      <c r="S308" s="271">
        <f t="shared" si="39"/>
        <v>2125.44</v>
      </c>
    </row>
    <row r="309" spans="1:21" s="270" customFormat="1" x14ac:dyDescent="0.25">
      <c r="A309" s="271">
        <v>501445</v>
      </c>
      <c r="B309" s="271">
        <v>1445</v>
      </c>
      <c r="C309" s="271">
        <v>86710</v>
      </c>
      <c r="D309" s="268" t="s">
        <v>894</v>
      </c>
      <c r="E309" s="268" t="s">
        <v>1278</v>
      </c>
      <c r="F309" s="268" t="s">
        <v>2845</v>
      </c>
      <c r="G309" s="268">
        <v>10</v>
      </c>
      <c r="H309" s="268" t="s">
        <v>2846</v>
      </c>
      <c r="I309" s="268" t="s">
        <v>2847</v>
      </c>
      <c r="J309" s="271">
        <v>314820</v>
      </c>
      <c r="K309" s="271">
        <f t="shared" si="34"/>
        <v>26235</v>
      </c>
      <c r="L309" s="271">
        <f t="shared" si="35"/>
        <v>12141.24</v>
      </c>
      <c r="M309" s="267">
        <v>0</v>
      </c>
      <c r="N309" s="271">
        <f t="shared" si="40"/>
        <v>129.60000000000002</v>
      </c>
      <c r="O309" s="276">
        <v>0</v>
      </c>
      <c r="P309" s="276">
        <f t="shared" si="36"/>
        <v>5509.35</v>
      </c>
      <c r="Q309" s="271">
        <f t="shared" si="37"/>
        <v>60084</v>
      </c>
      <c r="R309" s="271">
        <f t="shared" si="38"/>
        <v>56887.974000000002</v>
      </c>
      <c r="S309" s="271">
        <f t="shared" si="39"/>
        <v>2125.44</v>
      </c>
      <c r="T309" s="277"/>
      <c r="U309" s="277"/>
    </row>
    <row r="310" spans="1:21" s="270" customFormat="1" x14ac:dyDescent="0.25">
      <c r="A310" s="271">
        <v>501412</v>
      </c>
      <c r="B310" s="271">
        <v>1412</v>
      </c>
      <c r="C310" s="271">
        <v>87379</v>
      </c>
      <c r="D310" s="268" t="s">
        <v>894</v>
      </c>
      <c r="E310" s="268" t="s">
        <v>1290</v>
      </c>
      <c r="F310" s="268" t="s">
        <v>2637</v>
      </c>
      <c r="G310" s="268">
        <v>10</v>
      </c>
      <c r="H310" s="268" t="s">
        <v>2664</v>
      </c>
      <c r="I310" s="268" t="s">
        <v>2848</v>
      </c>
      <c r="J310" s="271">
        <v>314820</v>
      </c>
      <c r="K310" s="271">
        <f t="shared" si="34"/>
        <v>26235</v>
      </c>
      <c r="L310" s="271">
        <f t="shared" si="35"/>
        <v>12141.24</v>
      </c>
      <c r="M310" s="267">
        <v>0</v>
      </c>
      <c r="N310" s="271">
        <f t="shared" si="40"/>
        <v>129.60000000000002</v>
      </c>
      <c r="O310" s="276">
        <v>0</v>
      </c>
      <c r="P310" s="276">
        <f t="shared" si="36"/>
        <v>5509.35</v>
      </c>
      <c r="Q310" s="271">
        <f t="shared" si="37"/>
        <v>60084</v>
      </c>
      <c r="R310" s="271">
        <f t="shared" si="38"/>
        <v>56887.974000000002</v>
      </c>
      <c r="S310" s="271">
        <f t="shared" si="39"/>
        <v>2125.44</v>
      </c>
      <c r="T310" s="277"/>
      <c r="U310" s="277"/>
    </row>
    <row r="311" spans="1:21" s="270" customFormat="1" x14ac:dyDescent="0.25">
      <c r="A311" s="271">
        <v>501406</v>
      </c>
      <c r="B311" s="271">
        <v>1406</v>
      </c>
      <c r="C311" s="271">
        <v>87586</v>
      </c>
      <c r="D311" s="268" t="s">
        <v>894</v>
      </c>
      <c r="E311" s="268" t="s">
        <v>1278</v>
      </c>
      <c r="F311" s="268" t="s">
        <v>776</v>
      </c>
      <c r="G311" s="268">
        <v>10</v>
      </c>
      <c r="H311" s="268" t="s">
        <v>2849</v>
      </c>
      <c r="I311" s="268" t="s">
        <v>2848</v>
      </c>
      <c r="J311" s="271">
        <v>314820</v>
      </c>
      <c r="K311" s="271">
        <f t="shared" si="34"/>
        <v>26235</v>
      </c>
      <c r="L311" s="271">
        <f t="shared" si="35"/>
        <v>12141.24</v>
      </c>
      <c r="M311" s="267">
        <v>0</v>
      </c>
      <c r="N311" s="271">
        <f t="shared" si="40"/>
        <v>129.60000000000002</v>
      </c>
      <c r="O311" s="276">
        <v>0</v>
      </c>
      <c r="P311" s="276">
        <f t="shared" si="36"/>
        <v>5509.35</v>
      </c>
      <c r="Q311" s="271">
        <f t="shared" si="37"/>
        <v>60084</v>
      </c>
      <c r="R311" s="271">
        <f t="shared" si="38"/>
        <v>56887.974000000002</v>
      </c>
      <c r="S311" s="271">
        <f t="shared" si="39"/>
        <v>2125.44</v>
      </c>
      <c r="T311" s="277"/>
      <c r="U311" s="277"/>
    </row>
    <row r="312" spans="1:21" s="270" customFormat="1" x14ac:dyDescent="0.25">
      <c r="A312" s="271">
        <v>501412</v>
      </c>
      <c r="B312" s="271">
        <v>1412</v>
      </c>
      <c r="C312" s="271">
        <v>87654</v>
      </c>
      <c r="D312" s="268" t="s">
        <v>894</v>
      </c>
      <c r="E312" s="268" t="s">
        <v>1290</v>
      </c>
      <c r="F312" s="268" t="s">
        <v>2768</v>
      </c>
      <c r="G312" s="268">
        <v>10</v>
      </c>
      <c r="H312" s="268" t="s">
        <v>2309</v>
      </c>
      <c r="I312" s="268" t="s">
        <v>2848</v>
      </c>
      <c r="J312" s="271">
        <v>314820</v>
      </c>
      <c r="K312" s="271">
        <f t="shared" si="34"/>
        <v>26235</v>
      </c>
      <c r="L312" s="271">
        <f t="shared" si="35"/>
        <v>12141.24</v>
      </c>
      <c r="M312" s="267">
        <v>0</v>
      </c>
      <c r="N312" s="271">
        <f t="shared" si="40"/>
        <v>129.60000000000002</v>
      </c>
      <c r="O312" s="276">
        <v>0</v>
      </c>
      <c r="P312" s="276">
        <f t="shared" si="36"/>
        <v>5509.35</v>
      </c>
      <c r="Q312" s="271">
        <f t="shared" si="37"/>
        <v>60084</v>
      </c>
      <c r="R312" s="271">
        <f t="shared" si="38"/>
        <v>56887.974000000002</v>
      </c>
      <c r="S312" s="271">
        <f t="shared" si="39"/>
        <v>2125.44</v>
      </c>
    </row>
    <row r="313" spans="1:21" s="270" customFormat="1" x14ac:dyDescent="0.25">
      <c r="A313" s="271">
        <v>501407</v>
      </c>
      <c r="B313" s="271">
        <v>1407</v>
      </c>
      <c r="C313" s="271">
        <v>87670</v>
      </c>
      <c r="D313" s="268" t="s">
        <v>894</v>
      </c>
      <c r="E313" s="268" t="s">
        <v>1278</v>
      </c>
      <c r="F313" s="268" t="s">
        <v>2850</v>
      </c>
      <c r="G313" s="268">
        <v>10</v>
      </c>
      <c r="H313" s="268" t="s">
        <v>2851</v>
      </c>
      <c r="I313" s="268" t="s">
        <v>2844</v>
      </c>
      <c r="J313" s="271">
        <v>314820</v>
      </c>
      <c r="K313" s="271">
        <f t="shared" si="34"/>
        <v>26235</v>
      </c>
      <c r="L313" s="271">
        <f t="shared" si="35"/>
        <v>12141.24</v>
      </c>
      <c r="M313" s="267">
        <v>0</v>
      </c>
      <c r="N313" s="271">
        <f t="shared" si="40"/>
        <v>129.60000000000002</v>
      </c>
      <c r="O313" s="276">
        <v>0</v>
      </c>
      <c r="P313" s="276">
        <f t="shared" si="36"/>
        <v>5509.35</v>
      </c>
      <c r="Q313" s="271">
        <f t="shared" si="37"/>
        <v>60084</v>
      </c>
      <c r="R313" s="271">
        <f t="shared" si="38"/>
        <v>56887.974000000002</v>
      </c>
      <c r="S313" s="271">
        <f t="shared" si="39"/>
        <v>2125.44</v>
      </c>
    </row>
    <row r="314" spans="1:21" s="270" customFormat="1" x14ac:dyDescent="0.25">
      <c r="A314" s="271">
        <v>501505</v>
      </c>
      <c r="B314" s="271">
        <v>1505</v>
      </c>
      <c r="C314" s="271">
        <v>91190</v>
      </c>
      <c r="D314" s="268" t="s">
        <v>876</v>
      </c>
      <c r="E314" s="268" t="s">
        <v>1290</v>
      </c>
      <c r="F314" s="268" t="s">
        <v>2852</v>
      </c>
      <c r="G314" s="268">
        <v>10</v>
      </c>
      <c r="H314" s="268" t="s">
        <v>2853</v>
      </c>
      <c r="I314" s="268" t="s">
        <v>2831</v>
      </c>
      <c r="J314" s="271">
        <v>314820</v>
      </c>
      <c r="K314" s="271">
        <f t="shared" si="34"/>
        <v>26235</v>
      </c>
      <c r="L314" s="271">
        <f t="shared" si="35"/>
        <v>12141.24</v>
      </c>
      <c r="M314" s="267">
        <v>0</v>
      </c>
      <c r="N314" s="271">
        <f t="shared" si="40"/>
        <v>129.60000000000002</v>
      </c>
      <c r="O314" s="276">
        <v>0</v>
      </c>
      <c r="P314" s="276">
        <f t="shared" si="36"/>
        <v>5509.35</v>
      </c>
      <c r="Q314" s="271">
        <f t="shared" si="37"/>
        <v>60084</v>
      </c>
      <c r="R314" s="271">
        <f t="shared" si="38"/>
        <v>56887.974000000002</v>
      </c>
      <c r="S314" s="271">
        <f t="shared" si="39"/>
        <v>2125.44</v>
      </c>
    </row>
    <row r="315" spans="1:21" x14ac:dyDescent="0.25">
      <c r="A315" s="271">
        <v>501445</v>
      </c>
      <c r="B315" s="271">
        <v>1445</v>
      </c>
      <c r="C315" s="271">
        <v>91420</v>
      </c>
      <c r="D315" s="268" t="s">
        <v>876</v>
      </c>
      <c r="E315" s="268" t="s">
        <v>1278</v>
      </c>
      <c r="F315" s="268" t="s">
        <v>2854</v>
      </c>
      <c r="G315" s="268">
        <v>10</v>
      </c>
      <c r="H315" s="268" t="s">
        <v>2855</v>
      </c>
      <c r="I315" s="268" t="s">
        <v>2844</v>
      </c>
      <c r="J315" s="271">
        <v>314820</v>
      </c>
      <c r="K315" s="271">
        <f t="shared" si="34"/>
        <v>26235</v>
      </c>
      <c r="L315" s="271">
        <f t="shared" si="35"/>
        <v>12141.24</v>
      </c>
      <c r="M315" s="267">
        <v>0</v>
      </c>
      <c r="N315" s="271">
        <f t="shared" si="40"/>
        <v>129.60000000000002</v>
      </c>
      <c r="O315" s="276">
        <v>0</v>
      </c>
      <c r="P315" s="276">
        <f t="shared" si="36"/>
        <v>5509.35</v>
      </c>
      <c r="Q315" s="271">
        <f t="shared" si="37"/>
        <v>60084</v>
      </c>
      <c r="R315" s="271">
        <f t="shared" si="38"/>
        <v>56887.974000000002</v>
      </c>
      <c r="S315" s="271">
        <f t="shared" si="39"/>
        <v>2125.44</v>
      </c>
      <c r="T315" s="270"/>
      <c r="U315" s="270"/>
    </row>
    <row r="316" spans="1:21" s="270" customFormat="1" x14ac:dyDescent="0.25">
      <c r="A316" s="271">
        <v>501505</v>
      </c>
      <c r="B316" s="271">
        <v>1505</v>
      </c>
      <c r="C316" s="271">
        <v>92283</v>
      </c>
      <c r="D316" s="268" t="s">
        <v>876</v>
      </c>
      <c r="E316" s="268" t="s">
        <v>1290</v>
      </c>
      <c r="F316" s="268" t="s">
        <v>2402</v>
      </c>
      <c r="G316" s="268">
        <v>10</v>
      </c>
      <c r="H316" s="268" t="s">
        <v>2244</v>
      </c>
      <c r="I316" s="268" t="s">
        <v>2831</v>
      </c>
      <c r="J316" s="271">
        <v>314820</v>
      </c>
      <c r="K316" s="271">
        <f t="shared" si="34"/>
        <v>26235</v>
      </c>
      <c r="L316" s="271">
        <f t="shared" si="35"/>
        <v>12141.24</v>
      </c>
      <c r="M316" s="267">
        <v>0</v>
      </c>
      <c r="N316" s="271">
        <f t="shared" si="40"/>
        <v>129.60000000000002</v>
      </c>
      <c r="O316" s="276">
        <v>0</v>
      </c>
      <c r="P316" s="276">
        <f t="shared" si="36"/>
        <v>5509.35</v>
      </c>
      <c r="Q316" s="271">
        <f t="shared" si="37"/>
        <v>60084</v>
      </c>
      <c r="R316" s="271">
        <f t="shared" si="38"/>
        <v>56887.974000000002</v>
      </c>
      <c r="S316" s="271">
        <f t="shared" si="39"/>
        <v>2125.44</v>
      </c>
      <c r="T316" s="277"/>
      <c r="U316" s="277"/>
    </row>
    <row r="317" spans="1:21" s="270" customFormat="1" x14ac:dyDescent="0.25">
      <c r="A317" s="271">
        <v>501206</v>
      </c>
      <c r="B317" s="271">
        <v>1206</v>
      </c>
      <c r="C317" s="271">
        <v>200188</v>
      </c>
      <c r="D317" s="268" t="s">
        <v>894</v>
      </c>
      <c r="E317" s="268" t="s">
        <v>1290</v>
      </c>
      <c r="F317" s="268" t="s">
        <v>2364</v>
      </c>
      <c r="G317" s="268">
        <v>10</v>
      </c>
      <c r="H317" s="268" t="s">
        <v>2856</v>
      </c>
      <c r="I317" s="268" t="s">
        <v>2840</v>
      </c>
      <c r="J317" s="271">
        <v>314820</v>
      </c>
      <c r="K317" s="271">
        <f t="shared" si="34"/>
        <v>26235</v>
      </c>
      <c r="L317" s="271">
        <f t="shared" si="35"/>
        <v>12141.24</v>
      </c>
      <c r="M317" s="267">
        <v>0</v>
      </c>
      <c r="N317" s="271">
        <f t="shared" si="40"/>
        <v>129.60000000000002</v>
      </c>
      <c r="O317" s="276">
        <v>0</v>
      </c>
      <c r="P317" s="276">
        <f t="shared" si="36"/>
        <v>5509.35</v>
      </c>
      <c r="Q317" s="271">
        <f t="shared" si="37"/>
        <v>60084</v>
      </c>
      <c r="R317" s="271">
        <f t="shared" si="38"/>
        <v>56887.974000000002</v>
      </c>
      <c r="S317" s="271">
        <f t="shared" si="39"/>
        <v>2125.44</v>
      </c>
      <c r="T317" s="277"/>
      <c r="U317" s="277"/>
    </row>
    <row r="318" spans="1:21" s="270" customFormat="1" x14ac:dyDescent="0.25">
      <c r="A318" s="271"/>
      <c r="B318" s="271">
        <v>1443</v>
      </c>
      <c r="C318" s="271">
        <v>200462</v>
      </c>
      <c r="D318" s="268" t="s">
        <v>894</v>
      </c>
      <c r="E318" s="268" t="s">
        <v>1290</v>
      </c>
      <c r="F318" s="268" t="s">
        <v>2226</v>
      </c>
      <c r="G318" s="268"/>
      <c r="H318" s="268" t="s">
        <v>2857</v>
      </c>
      <c r="I318" s="268" t="s">
        <v>2801</v>
      </c>
      <c r="J318" s="271">
        <v>311490</v>
      </c>
      <c r="K318" s="271">
        <f t="shared" si="34"/>
        <v>25957.5</v>
      </c>
      <c r="L318" s="271">
        <f t="shared" si="35"/>
        <v>12141.24</v>
      </c>
      <c r="M318" s="267">
        <v>0</v>
      </c>
      <c r="N318" s="271">
        <f t="shared" si="40"/>
        <v>129.60000000000002</v>
      </c>
      <c r="O318" s="276">
        <v>0</v>
      </c>
      <c r="P318" s="276">
        <f t="shared" si="36"/>
        <v>5451.0750000000007</v>
      </c>
      <c r="Q318" s="271">
        <f t="shared" si="37"/>
        <v>60084</v>
      </c>
      <c r="R318" s="271">
        <f t="shared" si="38"/>
        <v>56286.243000000002</v>
      </c>
      <c r="S318" s="271">
        <f t="shared" si="39"/>
        <v>2125.44</v>
      </c>
      <c r="T318" s="277"/>
      <c r="U318" s="277"/>
    </row>
    <row r="319" spans="1:21" s="270" customFormat="1" x14ac:dyDescent="0.25">
      <c r="A319" s="271"/>
      <c r="B319" s="271">
        <v>1406</v>
      </c>
      <c r="C319" s="271">
        <v>200212</v>
      </c>
      <c r="D319" s="268" t="s">
        <v>894</v>
      </c>
      <c r="E319" s="268" t="s">
        <v>1278</v>
      </c>
      <c r="F319" s="268" t="s">
        <v>2858</v>
      </c>
      <c r="G319" s="268"/>
      <c r="H319" s="268" t="s">
        <v>2859</v>
      </c>
      <c r="I319" s="268" t="s">
        <v>2801</v>
      </c>
      <c r="J319" s="271">
        <v>311175</v>
      </c>
      <c r="K319" s="271">
        <f t="shared" si="34"/>
        <v>25931.25</v>
      </c>
      <c r="L319" s="271">
        <f t="shared" si="35"/>
        <v>12141.24</v>
      </c>
      <c r="M319" s="267">
        <v>0</v>
      </c>
      <c r="N319" s="271">
        <f t="shared" si="40"/>
        <v>129.60000000000002</v>
      </c>
      <c r="O319" s="276">
        <v>0</v>
      </c>
      <c r="P319" s="276">
        <f t="shared" si="36"/>
        <v>5445.5625000000009</v>
      </c>
      <c r="Q319" s="271">
        <f t="shared" si="37"/>
        <v>60084</v>
      </c>
      <c r="R319" s="271">
        <f t="shared" si="38"/>
        <v>56229.322500000002</v>
      </c>
      <c r="S319" s="271">
        <f t="shared" si="39"/>
        <v>2125.44</v>
      </c>
      <c r="T319" s="277"/>
      <c r="U319" s="277"/>
    </row>
    <row r="320" spans="1:21" s="270" customFormat="1" x14ac:dyDescent="0.25">
      <c r="A320" s="271"/>
      <c r="B320" s="271">
        <v>1443</v>
      </c>
      <c r="C320" s="271">
        <v>200213</v>
      </c>
      <c r="D320" s="268" t="s">
        <v>894</v>
      </c>
      <c r="E320" s="268" t="s">
        <v>1290</v>
      </c>
      <c r="F320" s="268" t="s">
        <v>2860</v>
      </c>
      <c r="G320" s="268"/>
      <c r="H320" s="268" t="s">
        <v>2861</v>
      </c>
      <c r="I320" s="268" t="s">
        <v>2801</v>
      </c>
      <c r="J320" s="271">
        <v>311175</v>
      </c>
      <c r="K320" s="271">
        <f t="shared" ref="K320:K383" si="41">J320/12</f>
        <v>25931.25</v>
      </c>
      <c r="L320" s="271">
        <f t="shared" ref="L320:L383" si="42">1011.77*12</f>
        <v>12141.24</v>
      </c>
      <c r="M320" s="267">
        <v>0</v>
      </c>
      <c r="N320" s="271">
        <f t="shared" si="40"/>
        <v>129.60000000000002</v>
      </c>
      <c r="O320" s="276">
        <v>0</v>
      </c>
      <c r="P320" s="276">
        <f t="shared" ref="P320:P383" si="43">J320*1.75%</f>
        <v>5445.5625000000009</v>
      </c>
      <c r="Q320" s="271">
        <f t="shared" ref="Q320:Q383" si="44">5007*12</f>
        <v>60084</v>
      </c>
      <c r="R320" s="271">
        <f t="shared" ref="R320:R383" si="45">18.07%*J320</f>
        <v>56229.322500000002</v>
      </c>
      <c r="S320" s="271">
        <f t="shared" si="39"/>
        <v>2125.44</v>
      </c>
    </row>
    <row r="321" spans="1:21" s="270" customFormat="1" x14ac:dyDescent="0.25">
      <c r="A321" s="271"/>
      <c r="B321" s="271">
        <v>1443</v>
      </c>
      <c r="C321" s="271">
        <v>200214</v>
      </c>
      <c r="D321" s="268" t="s">
        <v>894</v>
      </c>
      <c r="E321" s="268" t="s">
        <v>1278</v>
      </c>
      <c r="F321" s="268" t="s">
        <v>2862</v>
      </c>
      <c r="G321" s="268"/>
      <c r="H321" s="268" t="s">
        <v>2630</v>
      </c>
      <c r="I321" s="268" t="s">
        <v>2801</v>
      </c>
      <c r="J321" s="271">
        <v>311175</v>
      </c>
      <c r="K321" s="271">
        <f t="shared" si="41"/>
        <v>25931.25</v>
      </c>
      <c r="L321" s="271">
        <f t="shared" si="42"/>
        <v>12141.24</v>
      </c>
      <c r="M321" s="267">
        <v>0</v>
      </c>
      <c r="N321" s="271">
        <f t="shared" si="40"/>
        <v>129.60000000000002</v>
      </c>
      <c r="O321" s="276">
        <v>0</v>
      </c>
      <c r="P321" s="276">
        <f t="shared" si="43"/>
        <v>5445.5625000000009</v>
      </c>
      <c r="Q321" s="271">
        <f t="shared" si="44"/>
        <v>60084</v>
      </c>
      <c r="R321" s="271">
        <f t="shared" si="45"/>
        <v>56229.322500000002</v>
      </c>
      <c r="S321" s="271">
        <f t="shared" ref="S321:S384" si="46">177.12*12</f>
        <v>2125.44</v>
      </c>
    </row>
    <row r="322" spans="1:21" s="270" customFormat="1" x14ac:dyDescent="0.25">
      <c r="A322" s="271"/>
      <c r="B322" s="271">
        <v>1443</v>
      </c>
      <c r="C322" s="271">
        <v>200216</v>
      </c>
      <c r="D322" s="268" t="s">
        <v>894</v>
      </c>
      <c r="E322" s="268" t="s">
        <v>1290</v>
      </c>
      <c r="F322" s="268" t="s">
        <v>1286</v>
      </c>
      <c r="G322" s="268"/>
      <c r="H322" s="268" t="s">
        <v>2863</v>
      </c>
      <c r="I322" s="268" t="s">
        <v>2801</v>
      </c>
      <c r="J322" s="271">
        <v>311175</v>
      </c>
      <c r="K322" s="271">
        <f t="shared" si="41"/>
        <v>25931.25</v>
      </c>
      <c r="L322" s="271">
        <f t="shared" si="42"/>
        <v>12141.24</v>
      </c>
      <c r="M322" s="267">
        <v>0</v>
      </c>
      <c r="N322" s="271">
        <f t="shared" si="40"/>
        <v>129.60000000000002</v>
      </c>
      <c r="O322" s="276">
        <v>0</v>
      </c>
      <c r="P322" s="276">
        <f t="shared" si="43"/>
        <v>5445.5625000000009</v>
      </c>
      <c r="Q322" s="271">
        <f t="shared" si="44"/>
        <v>60084</v>
      </c>
      <c r="R322" s="271">
        <f t="shared" si="45"/>
        <v>56229.322500000002</v>
      </c>
      <c r="S322" s="271">
        <f t="shared" si="46"/>
        <v>2125.44</v>
      </c>
    </row>
    <row r="323" spans="1:21" s="270" customFormat="1" x14ac:dyDescent="0.25">
      <c r="A323" s="271"/>
      <c r="B323" s="271">
        <v>1406</v>
      </c>
      <c r="C323" s="271">
        <v>200218</v>
      </c>
      <c r="D323" s="268" t="s">
        <v>894</v>
      </c>
      <c r="E323" s="268" t="s">
        <v>1278</v>
      </c>
      <c r="F323" s="268" t="s">
        <v>2653</v>
      </c>
      <c r="G323" s="268"/>
      <c r="H323" s="268" t="s">
        <v>2864</v>
      </c>
      <c r="I323" s="268" t="s">
        <v>2801</v>
      </c>
      <c r="J323" s="271">
        <v>311175</v>
      </c>
      <c r="K323" s="271">
        <f t="shared" si="41"/>
        <v>25931.25</v>
      </c>
      <c r="L323" s="271">
        <f t="shared" si="42"/>
        <v>12141.24</v>
      </c>
      <c r="M323" s="267">
        <v>0</v>
      </c>
      <c r="N323" s="271">
        <f t="shared" si="40"/>
        <v>129.60000000000002</v>
      </c>
      <c r="O323" s="276">
        <v>0</v>
      </c>
      <c r="P323" s="276">
        <f t="shared" si="43"/>
        <v>5445.5625000000009</v>
      </c>
      <c r="Q323" s="271">
        <f t="shared" si="44"/>
        <v>60084</v>
      </c>
      <c r="R323" s="271">
        <f t="shared" si="45"/>
        <v>56229.322500000002</v>
      </c>
      <c r="S323" s="271">
        <f t="shared" si="46"/>
        <v>2125.44</v>
      </c>
    </row>
    <row r="324" spans="1:21" s="270" customFormat="1" x14ac:dyDescent="0.25">
      <c r="A324" s="271"/>
      <c r="B324" s="271">
        <v>1443</v>
      </c>
      <c r="C324" s="271">
        <v>200220</v>
      </c>
      <c r="D324" s="268" t="s">
        <v>894</v>
      </c>
      <c r="E324" s="268" t="s">
        <v>1278</v>
      </c>
      <c r="F324" s="268" t="s">
        <v>1309</v>
      </c>
      <c r="G324" s="268"/>
      <c r="H324" s="268" t="s">
        <v>2865</v>
      </c>
      <c r="I324" s="268" t="s">
        <v>2801</v>
      </c>
      <c r="J324" s="271">
        <v>311175</v>
      </c>
      <c r="K324" s="271">
        <f t="shared" si="41"/>
        <v>25931.25</v>
      </c>
      <c r="L324" s="271">
        <f t="shared" si="42"/>
        <v>12141.24</v>
      </c>
      <c r="M324" s="267">
        <v>0</v>
      </c>
      <c r="N324" s="271">
        <f t="shared" si="40"/>
        <v>129.60000000000002</v>
      </c>
      <c r="O324" s="276">
        <v>0</v>
      </c>
      <c r="P324" s="276">
        <f t="shared" si="43"/>
        <v>5445.5625000000009</v>
      </c>
      <c r="Q324" s="271">
        <f t="shared" si="44"/>
        <v>60084</v>
      </c>
      <c r="R324" s="271">
        <f t="shared" si="45"/>
        <v>56229.322500000002</v>
      </c>
      <c r="S324" s="271">
        <f t="shared" si="46"/>
        <v>2125.44</v>
      </c>
    </row>
    <row r="325" spans="1:21" s="270" customFormat="1" x14ac:dyDescent="0.25">
      <c r="A325" s="271"/>
      <c r="B325" s="271">
        <v>1406</v>
      </c>
      <c r="C325" s="271">
        <v>200221</v>
      </c>
      <c r="D325" s="268" t="s">
        <v>894</v>
      </c>
      <c r="E325" s="268" t="s">
        <v>1278</v>
      </c>
      <c r="F325" s="268" t="s">
        <v>2866</v>
      </c>
      <c r="G325" s="268"/>
      <c r="H325" s="268" t="s">
        <v>2867</v>
      </c>
      <c r="I325" s="268" t="s">
        <v>2801</v>
      </c>
      <c r="J325" s="271">
        <v>311175</v>
      </c>
      <c r="K325" s="271">
        <f t="shared" si="41"/>
        <v>25931.25</v>
      </c>
      <c r="L325" s="271">
        <f t="shared" si="42"/>
        <v>12141.24</v>
      </c>
      <c r="M325" s="267">
        <v>0</v>
      </c>
      <c r="N325" s="271">
        <f t="shared" ref="N325:N388" si="47">10.8*12</f>
        <v>129.60000000000002</v>
      </c>
      <c r="O325" s="276">
        <v>0</v>
      </c>
      <c r="P325" s="276">
        <f t="shared" si="43"/>
        <v>5445.5625000000009</v>
      </c>
      <c r="Q325" s="271">
        <f t="shared" si="44"/>
        <v>60084</v>
      </c>
      <c r="R325" s="271">
        <f t="shared" si="45"/>
        <v>56229.322500000002</v>
      </c>
      <c r="S325" s="271">
        <f t="shared" si="46"/>
        <v>2125.44</v>
      </c>
    </row>
    <row r="326" spans="1:21" s="270" customFormat="1" x14ac:dyDescent="0.25">
      <c r="A326" s="271"/>
      <c r="B326" s="271">
        <v>1443</v>
      </c>
      <c r="C326" s="271">
        <v>200223</v>
      </c>
      <c r="D326" s="268" t="s">
        <v>894</v>
      </c>
      <c r="E326" s="268" t="s">
        <v>1290</v>
      </c>
      <c r="F326" s="268" t="s">
        <v>2868</v>
      </c>
      <c r="G326" s="268"/>
      <c r="H326" s="268" t="s">
        <v>2869</v>
      </c>
      <c r="I326" s="268" t="s">
        <v>2801</v>
      </c>
      <c r="J326" s="271">
        <v>311175</v>
      </c>
      <c r="K326" s="271">
        <f t="shared" si="41"/>
        <v>25931.25</v>
      </c>
      <c r="L326" s="271">
        <f t="shared" si="42"/>
        <v>12141.24</v>
      </c>
      <c r="M326" s="267">
        <v>0</v>
      </c>
      <c r="N326" s="271">
        <f t="shared" si="47"/>
        <v>129.60000000000002</v>
      </c>
      <c r="O326" s="276">
        <v>0</v>
      </c>
      <c r="P326" s="276">
        <f t="shared" si="43"/>
        <v>5445.5625000000009</v>
      </c>
      <c r="Q326" s="271">
        <f t="shared" si="44"/>
        <v>60084</v>
      </c>
      <c r="R326" s="271">
        <f t="shared" si="45"/>
        <v>56229.322500000002</v>
      </c>
      <c r="S326" s="271">
        <f t="shared" si="46"/>
        <v>2125.44</v>
      </c>
    </row>
    <row r="327" spans="1:21" s="270" customFormat="1" x14ac:dyDescent="0.25">
      <c r="A327" s="271"/>
      <c r="B327" s="271">
        <v>1406</v>
      </c>
      <c r="C327" s="271">
        <v>200224</v>
      </c>
      <c r="D327" s="268" t="s">
        <v>894</v>
      </c>
      <c r="E327" s="268" t="s">
        <v>1278</v>
      </c>
      <c r="F327" s="268" t="s">
        <v>2870</v>
      </c>
      <c r="G327" s="268"/>
      <c r="H327" s="268" t="s">
        <v>2871</v>
      </c>
      <c r="I327" s="268" t="s">
        <v>2801</v>
      </c>
      <c r="J327" s="271">
        <v>311175</v>
      </c>
      <c r="K327" s="271">
        <f t="shared" si="41"/>
        <v>25931.25</v>
      </c>
      <c r="L327" s="271">
        <f t="shared" si="42"/>
        <v>12141.24</v>
      </c>
      <c r="M327" s="267">
        <v>0</v>
      </c>
      <c r="N327" s="271">
        <f t="shared" si="47"/>
        <v>129.60000000000002</v>
      </c>
      <c r="O327" s="276">
        <v>0</v>
      </c>
      <c r="P327" s="276">
        <f t="shared" si="43"/>
        <v>5445.5625000000009</v>
      </c>
      <c r="Q327" s="271">
        <f t="shared" si="44"/>
        <v>60084</v>
      </c>
      <c r="R327" s="271">
        <f t="shared" si="45"/>
        <v>56229.322500000002</v>
      </c>
      <c r="S327" s="271">
        <f t="shared" si="46"/>
        <v>2125.44</v>
      </c>
    </row>
    <row r="328" spans="1:21" s="270" customFormat="1" x14ac:dyDescent="0.25">
      <c r="A328" s="271"/>
      <c r="B328" s="271">
        <v>1443</v>
      </c>
      <c r="C328" s="271">
        <v>200226</v>
      </c>
      <c r="D328" s="268" t="s">
        <v>894</v>
      </c>
      <c r="E328" s="268" t="s">
        <v>1278</v>
      </c>
      <c r="F328" s="268" t="s">
        <v>2872</v>
      </c>
      <c r="G328" s="268"/>
      <c r="H328" s="268" t="s">
        <v>2873</v>
      </c>
      <c r="I328" s="268" t="s">
        <v>2801</v>
      </c>
      <c r="J328" s="271">
        <v>311175</v>
      </c>
      <c r="K328" s="271">
        <f t="shared" si="41"/>
        <v>25931.25</v>
      </c>
      <c r="L328" s="271">
        <f t="shared" si="42"/>
        <v>12141.24</v>
      </c>
      <c r="M328" s="267">
        <v>0</v>
      </c>
      <c r="N328" s="271">
        <f t="shared" si="47"/>
        <v>129.60000000000002</v>
      </c>
      <c r="O328" s="276">
        <v>0</v>
      </c>
      <c r="P328" s="276">
        <f t="shared" si="43"/>
        <v>5445.5625000000009</v>
      </c>
      <c r="Q328" s="271">
        <f t="shared" si="44"/>
        <v>60084</v>
      </c>
      <c r="R328" s="271">
        <f t="shared" si="45"/>
        <v>56229.322500000002</v>
      </c>
      <c r="S328" s="271">
        <f t="shared" si="46"/>
        <v>2125.44</v>
      </c>
    </row>
    <row r="329" spans="1:21" s="270" customFormat="1" x14ac:dyDescent="0.25">
      <c r="A329" s="271"/>
      <c r="B329" s="271">
        <v>1443</v>
      </c>
      <c r="C329" s="271">
        <v>200227</v>
      </c>
      <c r="D329" s="268" t="s">
        <v>894</v>
      </c>
      <c r="E329" s="268" t="s">
        <v>1290</v>
      </c>
      <c r="F329" s="268" t="s">
        <v>2874</v>
      </c>
      <c r="G329" s="268"/>
      <c r="H329" s="268" t="s">
        <v>2875</v>
      </c>
      <c r="I329" s="268" t="s">
        <v>2801</v>
      </c>
      <c r="J329" s="271">
        <v>311175</v>
      </c>
      <c r="K329" s="271">
        <f t="shared" si="41"/>
        <v>25931.25</v>
      </c>
      <c r="L329" s="271">
        <f t="shared" si="42"/>
        <v>12141.24</v>
      </c>
      <c r="M329" s="267">
        <v>0</v>
      </c>
      <c r="N329" s="271">
        <f t="shared" si="47"/>
        <v>129.60000000000002</v>
      </c>
      <c r="O329" s="276">
        <v>0</v>
      </c>
      <c r="P329" s="276">
        <f t="shared" si="43"/>
        <v>5445.5625000000009</v>
      </c>
      <c r="Q329" s="271">
        <f t="shared" si="44"/>
        <v>60084</v>
      </c>
      <c r="R329" s="271">
        <f t="shared" si="45"/>
        <v>56229.322500000002</v>
      </c>
      <c r="S329" s="271">
        <f t="shared" si="46"/>
        <v>2125.44</v>
      </c>
    </row>
    <row r="330" spans="1:21" s="270" customFormat="1" x14ac:dyDescent="0.25">
      <c r="A330" s="271"/>
      <c r="B330" s="271">
        <v>1443</v>
      </c>
      <c r="C330" s="271">
        <v>200230</v>
      </c>
      <c r="D330" s="268" t="s">
        <v>894</v>
      </c>
      <c r="E330" s="268" t="s">
        <v>1290</v>
      </c>
      <c r="F330" s="268" t="s">
        <v>2484</v>
      </c>
      <c r="G330" s="268"/>
      <c r="H330" s="268" t="s">
        <v>2876</v>
      </c>
      <c r="I330" s="268" t="s">
        <v>2801</v>
      </c>
      <c r="J330" s="271">
        <v>311175</v>
      </c>
      <c r="K330" s="271">
        <f t="shared" si="41"/>
        <v>25931.25</v>
      </c>
      <c r="L330" s="271">
        <f t="shared" si="42"/>
        <v>12141.24</v>
      </c>
      <c r="M330" s="267">
        <v>0</v>
      </c>
      <c r="N330" s="271">
        <f t="shared" si="47"/>
        <v>129.60000000000002</v>
      </c>
      <c r="O330" s="276">
        <v>0</v>
      </c>
      <c r="P330" s="276">
        <f t="shared" si="43"/>
        <v>5445.5625000000009</v>
      </c>
      <c r="Q330" s="271">
        <f t="shared" si="44"/>
        <v>60084</v>
      </c>
      <c r="R330" s="271">
        <f t="shared" si="45"/>
        <v>56229.322500000002</v>
      </c>
      <c r="S330" s="271">
        <f t="shared" si="46"/>
        <v>2125.44</v>
      </c>
    </row>
    <row r="331" spans="1:21" s="270" customFormat="1" x14ac:dyDescent="0.25">
      <c r="A331" s="271"/>
      <c r="B331" s="271">
        <v>1406</v>
      </c>
      <c r="C331" s="271">
        <v>200233</v>
      </c>
      <c r="D331" s="268" t="s">
        <v>894</v>
      </c>
      <c r="E331" s="268" t="s">
        <v>1290</v>
      </c>
      <c r="F331" s="268" t="s">
        <v>2217</v>
      </c>
      <c r="G331" s="268"/>
      <c r="H331" s="268" t="s">
        <v>2877</v>
      </c>
      <c r="I331" s="268" t="s">
        <v>2801</v>
      </c>
      <c r="J331" s="271">
        <v>311175</v>
      </c>
      <c r="K331" s="271">
        <f t="shared" si="41"/>
        <v>25931.25</v>
      </c>
      <c r="L331" s="271">
        <f t="shared" si="42"/>
        <v>12141.24</v>
      </c>
      <c r="M331" s="267">
        <v>0</v>
      </c>
      <c r="N331" s="271">
        <f t="shared" si="47"/>
        <v>129.60000000000002</v>
      </c>
      <c r="O331" s="276">
        <v>0</v>
      </c>
      <c r="P331" s="276">
        <f t="shared" si="43"/>
        <v>5445.5625000000009</v>
      </c>
      <c r="Q331" s="271">
        <f t="shared" si="44"/>
        <v>60084</v>
      </c>
      <c r="R331" s="271">
        <f t="shared" si="45"/>
        <v>56229.322500000002</v>
      </c>
      <c r="S331" s="271">
        <f t="shared" si="46"/>
        <v>2125.44</v>
      </c>
    </row>
    <row r="332" spans="1:21" s="270" customFormat="1" x14ac:dyDescent="0.25">
      <c r="A332" s="271">
        <v>501443</v>
      </c>
      <c r="B332" s="271">
        <v>1443</v>
      </c>
      <c r="C332" s="271">
        <v>30070</v>
      </c>
      <c r="D332" s="268" t="s">
        <v>894</v>
      </c>
      <c r="E332" s="268" t="s">
        <v>1290</v>
      </c>
      <c r="F332" s="268" t="s">
        <v>2878</v>
      </c>
      <c r="G332" s="268">
        <v>10</v>
      </c>
      <c r="H332" s="268" t="s">
        <v>2664</v>
      </c>
      <c r="I332" s="268" t="s">
        <v>2879</v>
      </c>
      <c r="J332" s="271">
        <v>307704</v>
      </c>
      <c r="K332" s="271">
        <f t="shared" si="41"/>
        <v>25642</v>
      </c>
      <c r="L332" s="271">
        <f t="shared" si="42"/>
        <v>12141.24</v>
      </c>
      <c r="M332" s="267">
        <v>0</v>
      </c>
      <c r="N332" s="271">
        <f t="shared" si="47"/>
        <v>129.60000000000002</v>
      </c>
      <c r="O332" s="276">
        <v>0</v>
      </c>
      <c r="P332" s="276">
        <f t="shared" si="43"/>
        <v>5384.8200000000006</v>
      </c>
      <c r="Q332" s="271">
        <f t="shared" si="44"/>
        <v>60084</v>
      </c>
      <c r="R332" s="271">
        <f t="shared" si="45"/>
        <v>55602.112800000003</v>
      </c>
      <c r="S332" s="271">
        <f t="shared" si="46"/>
        <v>2125.44</v>
      </c>
    </row>
    <row r="333" spans="1:21" s="270" customFormat="1" x14ac:dyDescent="0.25">
      <c r="A333" s="271">
        <v>501445</v>
      </c>
      <c r="B333" s="271">
        <v>1451</v>
      </c>
      <c r="C333" s="271">
        <v>85630</v>
      </c>
      <c r="D333" s="268" t="s">
        <v>894</v>
      </c>
      <c r="E333" s="268" t="s">
        <v>1278</v>
      </c>
      <c r="F333" s="268" t="s">
        <v>2880</v>
      </c>
      <c r="G333" s="268">
        <v>10</v>
      </c>
      <c r="H333" s="268" t="s">
        <v>2881</v>
      </c>
      <c r="I333" s="268" t="s">
        <v>2848</v>
      </c>
      <c r="J333" s="271">
        <v>307704</v>
      </c>
      <c r="K333" s="271">
        <f t="shared" si="41"/>
        <v>25642</v>
      </c>
      <c r="L333" s="271">
        <f t="shared" si="42"/>
        <v>12141.24</v>
      </c>
      <c r="M333" s="267">
        <v>0</v>
      </c>
      <c r="N333" s="271">
        <f t="shared" si="47"/>
        <v>129.60000000000002</v>
      </c>
      <c r="O333" s="276">
        <v>0</v>
      </c>
      <c r="P333" s="276">
        <f t="shared" si="43"/>
        <v>5384.8200000000006</v>
      </c>
      <c r="Q333" s="271">
        <f t="shared" si="44"/>
        <v>60084</v>
      </c>
      <c r="R333" s="271">
        <f t="shared" si="45"/>
        <v>55602.112800000003</v>
      </c>
      <c r="S333" s="271">
        <f t="shared" si="46"/>
        <v>2125.44</v>
      </c>
    </row>
    <row r="334" spans="1:21" x14ac:dyDescent="0.25">
      <c r="A334" s="276">
        <v>501444</v>
      </c>
      <c r="B334" s="276">
        <v>1444</v>
      </c>
      <c r="C334" s="276">
        <v>23427</v>
      </c>
      <c r="D334" s="268" t="s">
        <v>894</v>
      </c>
      <c r="E334" s="268" t="s">
        <v>1290</v>
      </c>
      <c r="F334" s="268" t="s">
        <v>2497</v>
      </c>
      <c r="G334" s="268">
        <v>10</v>
      </c>
      <c r="H334" s="268" t="s">
        <v>2882</v>
      </c>
      <c r="I334" s="268" t="s">
        <v>2883</v>
      </c>
      <c r="J334" s="267">
        <v>300552</v>
      </c>
      <c r="K334" s="276">
        <f t="shared" si="41"/>
        <v>25046</v>
      </c>
      <c r="L334" s="271">
        <f t="shared" si="42"/>
        <v>12141.24</v>
      </c>
      <c r="M334" s="267">
        <f>500*12</f>
        <v>6000</v>
      </c>
      <c r="N334" s="276">
        <f t="shared" si="47"/>
        <v>129.60000000000002</v>
      </c>
      <c r="O334" s="276">
        <v>0</v>
      </c>
      <c r="P334" s="276">
        <f t="shared" si="43"/>
        <v>5259.6600000000008</v>
      </c>
      <c r="Q334" s="271">
        <f t="shared" si="44"/>
        <v>60084</v>
      </c>
      <c r="R334" s="276">
        <f t="shared" si="45"/>
        <v>54309.746399999996</v>
      </c>
      <c r="S334" s="276">
        <f t="shared" si="46"/>
        <v>2125.44</v>
      </c>
      <c r="T334" s="270"/>
      <c r="U334" s="270"/>
    </row>
    <row r="335" spans="1:21" s="270" customFormat="1" x14ac:dyDescent="0.25">
      <c r="A335" s="271">
        <v>501443</v>
      </c>
      <c r="B335" s="271">
        <v>1443</v>
      </c>
      <c r="C335" s="271">
        <v>34720</v>
      </c>
      <c r="D335" s="268" t="s">
        <v>894</v>
      </c>
      <c r="E335" s="268" t="s">
        <v>1290</v>
      </c>
      <c r="F335" s="268" t="s">
        <v>2878</v>
      </c>
      <c r="G335" s="268">
        <v>10</v>
      </c>
      <c r="H335" s="268" t="s">
        <v>2884</v>
      </c>
      <c r="I335" s="268" t="s">
        <v>2885</v>
      </c>
      <c r="J335" s="271">
        <v>300552</v>
      </c>
      <c r="K335" s="271">
        <f t="shared" si="41"/>
        <v>25046</v>
      </c>
      <c r="L335" s="271">
        <f t="shared" si="42"/>
        <v>12141.24</v>
      </c>
      <c r="M335" s="267">
        <v>0</v>
      </c>
      <c r="N335" s="271">
        <f t="shared" si="47"/>
        <v>129.60000000000002</v>
      </c>
      <c r="O335" s="276">
        <v>0</v>
      </c>
      <c r="P335" s="276">
        <f t="shared" si="43"/>
        <v>5259.6600000000008</v>
      </c>
      <c r="Q335" s="271">
        <f t="shared" si="44"/>
        <v>60084</v>
      </c>
      <c r="R335" s="271">
        <f t="shared" si="45"/>
        <v>54309.746399999996</v>
      </c>
      <c r="S335" s="271">
        <f t="shared" si="46"/>
        <v>2125.44</v>
      </c>
    </row>
    <row r="336" spans="1:21" s="270" customFormat="1" x14ac:dyDescent="0.25">
      <c r="A336" s="271">
        <v>501443</v>
      </c>
      <c r="B336" s="271">
        <v>1443</v>
      </c>
      <c r="C336" s="271">
        <v>58900</v>
      </c>
      <c r="D336" s="268" t="s">
        <v>894</v>
      </c>
      <c r="E336" s="268" t="s">
        <v>1290</v>
      </c>
      <c r="F336" s="268" t="s">
        <v>2886</v>
      </c>
      <c r="G336" s="268">
        <v>10</v>
      </c>
      <c r="H336" s="268" t="s">
        <v>2887</v>
      </c>
      <c r="I336" s="268" t="s">
        <v>2888</v>
      </c>
      <c r="J336" s="271">
        <v>300552</v>
      </c>
      <c r="K336" s="271">
        <f t="shared" si="41"/>
        <v>25046</v>
      </c>
      <c r="L336" s="271">
        <f t="shared" si="42"/>
        <v>12141.24</v>
      </c>
      <c r="M336" s="267">
        <v>0</v>
      </c>
      <c r="N336" s="271">
        <f t="shared" si="47"/>
        <v>129.60000000000002</v>
      </c>
      <c r="O336" s="276">
        <v>0</v>
      </c>
      <c r="P336" s="276">
        <f t="shared" si="43"/>
        <v>5259.6600000000008</v>
      </c>
      <c r="Q336" s="271">
        <f t="shared" si="44"/>
        <v>60084</v>
      </c>
      <c r="R336" s="271">
        <f t="shared" si="45"/>
        <v>54309.746399999996</v>
      </c>
      <c r="S336" s="271">
        <f t="shared" si="46"/>
        <v>2125.44</v>
      </c>
    </row>
    <row r="337" spans="1:21" s="270" customFormat="1" x14ac:dyDescent="0.25">
      <c r="A337" s="276">
        <v>501444</v>
      </c>
      <c r="B337" s="276">
        <v>1444</v>
      </c>
      <c r="C337" s="276">
        <v>33954</v>
      </c>
      <c r="D337" s="268" t="s">
        <v>894</v>
      </c>
      <c r="E337" s="268" t="s">
        <v>1290</v>
      </c>
      <c r="F337" s="268" t="s">
        <v>1306</v>
      </c>
      <c r="G337" s="268">
        <v>10</v>
      </c>
      <c r="H337" s="268" t="s">
        <v>2889</v>
      </c>
      <c r="I337" s="268" t="s">
        <v>2890</v>
      </c>
      <c r="J337" s="267">
        <v>293676</v>
      </c>
      <c r="K337" s="276">
        <f t="shared" si="41"/>
        <v>24473</v>
      </c>
      <c r="L337" s="271">
        <f t="shared" si="42"/>
        <v>12141.24</v>
      </c>
      <c r="M337" s="267">
        <f>500*12</f>
        <v>6000</v>
      </c>
      <c r="N337" s="276">
        <f t="shared" si="47"/>
        <v>129.60000000000002</v>
      </c>
      <c r="O337" s="276">
        <v>0</v>
      </c>
      <c r="P337" s="276">
        <f t="shared" si="43"/>
        <v>5139.3300000000008</v>
      </c>
      <c r="Q337" s="271">
        <f t="shared" si="44"/>
        <v>60084</v>
      </c>
      <c r="R337" s="276">
        <f t="shared" si="45"/>
        <v>53067.253199999999</v>
      </c>
      <c r="S337" s="276">
        <f t="shared" si="46"/>
        <v>2125.44</v>
      </c>
    </row>
    <row r="338" spans="1:21" s="270" customFormat="1" x14ac:dyDescent="0.25">
      <c r="A338" s="271">
        <v>501406</v>
      </c>
      <c r="B338" s="271">
        <v>1406</v>
      </c>
      <c r="C338" s="271">
        <v>35897</v>
      </c>
      <c r="D338" s="268" t="s">
        <v>894</v>
      </c>
      <c r="E338" s="268" t="s">
        <v>1278</v>
      </c>
      <c r="F338" s="268" t="s">
        <v>2502</v>
      </c>
      <c r="G338" s="268">
        <v>10</v>
      </c>
      <c r="H338" s="268" t="s">
        <v>2891</v>
      </c>
      <c r="I338" s="268" t="s">
        <v>2844</v>
      </c>
      <c r="J338" s="271">
        <v>293676</v>
      </c>
      <c r="K338" s="271">
        <f t="shared" si="41"/>
        <v>24473</v>
      </c>
      <c r="L338" s="271">
        <f t="shared" si="42"/>
        <v>12141.24</v>
      </c>
      <c r="M338" s="267">
        <v>0</v>
      </c>
      <c r="N338" s="271">
        <f t="shared" si="47"/>
        <v>129.60000000000002</v>
      </c>
      <c r="O338" s="276">
        <v>0</v>
      </c>
      <c r="P338" s="276">
        <f t="shared" si="43"/>
        <v>5139.3300000000008</v>
      </c>
      <c r="Q338" s="271">
        <f t="shared" si="44"/>
        <v>60084</v>
      </c>
      <c r="R338" s="271">
        <f t="shared" si="45"/>
        <v>53067.253199999999</v>
      </c>
      <c r="S338" s="271">
        <f t="shared" si="46"/>
        <v>2125.44</v>
      </c>
    </row>
    <row r="339" spans="1:21" s="270" customFormat="1" x14ac:dyDescent="0.25">
      <c r="A339" s="271">
        <v>501443</v>
      </c>
      <c r="B339" s="271">
        <v>1443</v>
      </c>
      <c r="C339" s="271">
        <v>58586</v>
      </c>
      <c r="D339" s="268" t="s">
        <v>894</v>
      </c>
      <c r="E339" s="268" t="s">
        <v>1290</v>
      </c>
      <c r="F339" s="268" t="s">
        <v>2768</v>
      </c>
      <c r="G339" s="268">
        <v>10</v>
      </c>
      <c r="H339" s="268" t="s">
        <v>2892</v>
      </c>
      <c r="I339" s="268" t="s">
        <v>2890</v>
      </c>
      <c r="J339" s="271">
        <v>293676</v>
      </c>
      <c r="K339" s="271">
        <f t="shared" si="41"/>
        <v>24473</v>
      </c>
      <c r="L339" s="271">
        <f t="shared" si="42"/>
        <v>12141.24</v>
      </c>
      <c r="M339" s="267">
        <v>0</v>
      </c>
      <c r="N339" s="271">
        <f t="shared" si="47"/>
        <v>129.60000000000002</v>
      </c>
      <c r="O339" s="276">
        <v>0</v>
      </c>
      <c r="P339" s="276">
        <f t="shared" si="43"/>
        <v>5139.3300000000008</v>
      </c>
      <c r="Q339" s="271">
        <f t="shared" si="44"/>
        <v>60084</v>
      </c>
      <c r="R339" s="271">
        <f t="shared" si="45"/>
        <v>53067.253199999999</v>
      </c>
      <c r="S339" s="271">
        <f t="shared" si="46"/>
        <v>2125.44</v>
      </c>
    </row>
    <row r="340" spans="1:21" s="270" customFormat="1" x14ac:dyDescent="0.25">
      <c r="A340" s="271">
        <v>501406</v>
      </c>
      <c r="B340" s="271">
        <v>1406</v>
      </c>
      <c r="C340" s="271">
        <v>59543</v>
      </c>
      <c r="D340" s="268" t="s">
        <v>894</v>
      </c>
      <c r="E340" s="268" t="s">
        <v>1278</v>
      </c>
      <c r="F340" s="268" t="s">
        <v>2893</v>
      </c>
      <c r="G340" s="268">
        <v>10</v>
      </c>
      <c r="H340" s="268" t="s">
        <v>2894</v>
      </c>
      <c r="I340" s="268" t="s">
        <v>2848</v>
      </c>
      <c r="J340" s="271">
        <v>293676</v>
      </c>
      <c r="K340" s="271">
        <f t="shared" si="41"/>
        <v>24473</v>
      </c>
      <c r="L340" s="271">
        <f t="shared" si="42"/>
        <v>12141.24</v>
      </c>
      <c r="M340" s="267">
        <v>0</v>
      </c>
      <c r="N340" s="271">
        <f t="shared" si="47"/>
        <v>129.60000000000002</v>
      </c>
      <c r="O340" s="276">
        <v>0</v>
      </c>
      <c r="P340" s="276">
        <f t="shared" si="43"/>
        <v>5139.3300000000008</v>
      </c>
      <c r="Q340" s="271">
        <f t="shared" si="44"/>
        <v>60084</v>
      </c>
      <c r="R340" s="271">
        <f t="shared" si="45"/>
        <v>53067.253199999999</v>
      </c>
      <c r="S340" s="271">
        <f t="shared" si="46"/>
        <v>2125.44</v>
      </c>
    </row>
    <row r="341" spans="1:21" s="270" customFormat="1" x14ac:dyDescent="0.25">
      <c r="A341" s="271">
        <v>501444</v>
      </c>
      <c r="B341" s="271">
        <v>1444</v>
      </c>
      <c r="C341" s="271">
        <v>83690</v>
      </c>
      <c r="D341" s="268" t="s">
        <v>894</v>
      </c>
      <c r="E341" s="268" t="s">
        <v>1278</v>
      </c>
      <c r="F341" s="268" t="s">
        <v>2895</v>
      </c>
      <c r="G341" s="268">
        <v>10</v>
      </c>
      <c r="H341" s="268" t="s">
        <v>2896</v>
      </c>
      <c r="I341" s="268" t="s">
        <v>2848</v>
      </c>
      <c r="J341" s="271">
        <v>293676</v>
      </c>
      <c r="K341" s="271">
        <f t="shared" si="41"/>
        <v>24473</v>
      </c>
      <c r="L341" s="271">
        <f t="shared" si="42"/>
        <v>12141.24</v>
      </c>
      <c r="M341" s="267">
        <v>0</v>
      </c>
      <c r="N341" s="271">
        <f t="shared" si="47"/>
        <v>129.60000000000002</v>
      </c>
      <c r="O341" s="276">
        <v>0</v>
      </c>
      <c r="P341" s="276">
        <f t="shared" si="43"/>
        <v>5139.3300000000008</v>
      </c>
      <c r="Q341" s="271">
        <f t="shared" si="44"/>
        <v>60084</v>
      </c>
      <c r="R341" s="271">
        <f t="shared" si="45"/>
        <v>53067.253199999999</v>
      </c>
      <c r="S341" s="271">
        <f t="shared" si="46"/>
        <v>2125.44</v>
      </c>
    </row>
    <row r="342" spans="1:21" s="270" customFormat="1" x14ac:dyDescent="0.25">
      <c r="A342" s="271">
        <v>501443</v>
      </c>
      <c r="B342" s="271">
        <v>1443</v>
      </c>
      <c r="C342" s="271">
        <v>27601</v>
      </c>
      <c r="D342" s="268" t="s">
        <v>894</v>
      </c>
      <c r="E342" s="268" t="s">
        <v>1290</v>
      </c>
      <c r="F342" s="268" t="s">
        <v>2897</v>
      </c>
      <c r="G342" s="268">
        <v>10</v>
      </c>
      <c r="H342" s="268" t="s">
        <v>2898</v>
      </c>
      <c r="I342" s="268" t="s">
        <v>2787</v>
      </c>
      <c r="J342" s="271">
        <v>286944</v>
      </c>
      <c r="K342" s="271">
        <f t="shared" si="41"/>
        <v>23912</v>
      </c>
      <c r="L342" s="271">
        <f t="shared" si="42"/>
        <v>12141.24</v>
      </c>
      <c r="M342" s="267">
        <v>0</v>
      </c>
      <c r="N342" s="271">
        <f t="shared" si="47"/>
        <v>129.60000000000002</v>
      </c>
      <c r="O342" s="276">
        <v>0</v>
      </c>
      <c r="P342" s="276">
        <f t="shared" si="43"/>
        <v>5021.5200000000004</v>
      </c>
      <c r="Q342" s="271">
        <f t="shared" si="44"/>
        <v>60084</v>
      </c>
      <c r="R342" s="271">
        <f t="shared" si="45"/>
        <v>51850.7808</v>
      </c>
      <c r="S342" s="271">
        <f t="shared" si="46"/>
        <v>2125.44</v>
      </c>
    </row>
    <row r="343" spans="1:21" s="270" customFormat="1" x14ac:dyDescent="0.25">
      <c r="A343" s="271">
        <v>501443</v>
      </c>
      <c r="B343" s="271">
        <v>1443</v>
      </c>
      <c r="C343" s="271">
        <v>44383</v>
      </c>
      <c r="D343" s="268" t="s">
        <v>894</v>
      </c>
      <c r="E343" s="268" t="s">
        <v>1290</v>
      </c>
      <c r="F343" s="268" t="s">
        <v>2838</v>
      </c>
      <c r="G343" s="268">
        <v>10</v>
      </c>
      <c r="H343" s="268" t="s">
        <v>2899</v>
      </c>
      <c r="I343" s="268" t="s">
        <v>2883</v>
      </c>
      <c r="J343" s="271">
        <v>286944</v>
      </c>
      <c r="K343" s="271">
        <f t="shared" si="41"/>
        <v>23912</v>
      </c>
      <c r="L343" s="271">
        <f t="shared" si="42"/>
        <v>12141.24</v>
      </c>
      <c r="M343" s="267">
        <v>0</v>
      </c>
      <c r="N343" s="271">
        <f t="shared" si="47"/>
        <v>129.60000000000002</v>
      </c>
      <c r="O343" s="276">
        <v>0</v>
      </c>
      <c r="P343" s="276">
        <f t="shared" si="43"/>
        <v>5021.5200000000004</v>
      </c>
      <c r="Q343" s="271">
        <f t="shared" si="44"/>
        <v>60084</v>
      </c>
      <c r="R343" s="271">
        <f t="shared" si="45"/>
        <v>51850.7808</v>
      </c>
      <c r="S343" s="271">
        <f t="shared" si="46"/>
        <v>2125.44</v>
      </c>
    </row>
    <row r="344" spans="1:21" s="270" customFormat="1" x14ac:dyDescent="0.25">
      <c r="A344" s="271">
        <v>501443</v>
      </c>
      <c r="B344" s="271">
        <v>1443</v>
      </c>
      <c r="C344" s="271">
        <v>58366</v>
      </c>
      <c r="D344" s="268" t="s">
        <v>894</v>
      </c>
      <c r="E344" s="268" t="s">
        <v>1290</v>
      </c>
      <c r="F344" s="268" t="s">
        <v>2900</v>
      </c>
      <c r="G344" s="268">
        <v>10</v>
      </c>
      <c r="H344" s="268" t="s">
        <v>2901</v>
      </c>
      <c r="I344" s="268" t="s">
        <v>2902</v>
      </c>
      <c r="J344" s="271">
        <v>286944</v>
      </c>
      <c r="K344" s="271">
        <f t="shared" si="41"/>
        <v>23912</v>
      </c>
      <c r="L344" s="271">
        <f t="shared" si="42"/>
        <v>12141.24</v>
      </c>
      <c r="M344" s="267">
        <v>0</v>
      </c>
      <c r="N344" s="271">
        <f t="shared" si="47"/>
        <v>129.60000000000002</v>
      </c>
      <c r="O344" s="276">
        <v>0</v>
      </c>
      <c r="P344" s="276">
        <f t="shared" si="43"/>
        <v>5021.5200000000004</v>
      </c>
      <c r="Q344" s="271">
        <f t="shared" si="44"/>
        <v>60084</v>
      </c>
      <c r="R344" s="271">
        <f t="shared" si="45"/>
        <v>51850.7808</v>
      </c>
      <c r="S344" s="271">
        <f t="shared" si="46"/>
        <v>2125.44</v>
      </c>
      <c r="T344" s="277"/>
      <c r="U344" s="277"/>
    </row>
    <row r="345" spans="1:21" s="270" customFormat="1" x14ac:dyDescent="0.25">
      <c r="A345" s="271">
        <v>501443</v>
      </c>
      <c r="B345" s="271">
        <v>1443</v>
      </c>
      <c r="C345" s="271">
        <v>85711</v>
      </c>
      <c r="D345" s="268" t="s">
        <v>894</v>
      </c>
      <c r="E345" s="268" t="s">
        <v>1290</v>
      </c>
      <c r="F345" s="268" t="s">
        <v>2903</v>
      </c>
      <c r="G345" s="268">
        <v>10</v>
      </c>
      <c r="H345" s="268" t="s">
        <v>2904</v>
      </c>
      <c r="I345" s="268" t="s">
        <v>2883</v>
      </c>
      <c r="J345" s="271">
        <v>286944</v>
      </c>
      <c r="K345" s="271">
        <f t="shared" si="41"/>
        <v>23912</v>
      </c>
      <c r="L345" s="271">
        <f t="shared" si="42"/>
        <v>12141.24</v>
      </c>
      <c r="M345" s="267">
        <v>0</v>
      </c>
      <c r="N345" s="271">
        <f t="shared" si="47"/>
        <v>129.60000000000002</v>
      </c>
      <c r="O345" s="276">
        <v>0</v>
      </c>
      <c r="P345" s="276">
        <f t="shared" si="43"/>
        <v>5021.5200000000004</v>
      </c>
      <c r="Q345" s="271">
        <f t="shared" si="44"/>
        <v>60084</v>
      </c>
      <c r="R345" s="271">
        <f t="shared" si="45"/>
        <v>51850.7808</v>
      </c>
      <c r="S345" s="271">
        <f t="shared" si="46"/>
        <v>2125.44</v>
      </c>
    </row>
    <row r="346" spans="1:21" s="270" customFormat="1" x14ac:dyDescent="0.25">
      <c r="A346" s="271">
        <v>501204</v>
      </c>
      <c r="B346" s="271">
        <v>1204</v>
      </c>
      <c r="C346" s="271">
        <v>85795</v>
      </c>
      <c r="D346" s="268" t="s">
        <v>894</v>
      </c>
      <c r="E346" s="268" t="s">
        <v>1278</v>
      </c>
      <c r="F346" s="268" t="s">
        <v>2512</v>
      </c>
      <c r="G346" s="268">
        <v>10</v>
      </c>
      <c r="H346" s="268" t="s">
        <v>2905</v>
      </c>
      <c r="I346" s="268" t="s">
        <v>2906</v>
      </c>
      <c r="J346" s="271">
        <v>273912</v>
      </c>
      <c r="K346" s="271">
        <f t="shared" si="41"/>
        <v>22826</v>
      </c>
      <c r="L346" s="271">
        <f t="shared" si="42"/>
        <v>12141.24</v>
      </c>
      <c r="M346" s="267">
        <v>0</v>
      </c>
      <c r="N346" s="271">
        <f t="shared" si="47"/>
        <v>129.60000000000002</v>
      </c>
      <c r="O346" s="276">
        <v>0</v>
      </c>
      <c r="P346" s="276">
        <f t="shared" si="43"/>
        <v>4793.46</v>
      </c>
      <c r="Q346" s="271">
        <f t="shared" si="44"/>
        <v>60084</v>
      </c>
      <c r="R346" s="271">
        <f t="shared" si="45"/>
        <v>49495.898399999998</v>
      </c>
      <c r="S346" s="271">
        <f t="shared" si="46"/>
        <v>2125.44</v>
      </c>
    </row>
    <row r="347" spans="1:21" s="270" customFormat="1" x14ac:dyDescent="0.25">
      <c r="A347" s="271">
        <v>501406</v>
      </c>
      <c r="B347" s="271">
        <v>1406</v>
      </c>
      <c r="C347" s="271">
        <v>200176</v>
      </c>
      <c r="D347" s="268" t="s">
        <v>894</v>
      </c>
      <c r="E347" s="268" t="s">
        <v>1278</v>
      </c>
      <c r="F347" s="268" t="s">
        <v>2193</v>
      </c>
      <c r="G347" s="268">
        <v>10</v>
      </c>
      <c r="H347" s="268" t="s">
        <v>2907</v>
      </c>
      <c r="I347" s="268" t="s">
        <v>2848</v>
      </c>
      <c r="J347" s="271">
        <v>273912</v>
      </c>
      <c r="K347" s="271">
        <f t="shared" si="41"/>
        <v>22826</v>
      </c>
      <c r="L347" s="271">
        <f t="shared" si="42"/>
        <v>12141.24</v>
      </c>
      <c r="M347" s="267">
        <v>0</v>
      </c>
      <c r="N347" s="271">
        <f t="shared" si="47"/>
        <v>129.60000000000002</v>
      </c>
      <c r="O347" s="276">
        <v>0</v>
      </c>
      <c r="P347" s="276">
        <f t="shared" si="43"/>
        <v>4793.46</v>
      </c>
      <c r="Q347" s="271">
        <f t="shared" si="44"/>
        <v>60084</v>
      </c>
      <c r="R347" s="271">
        <f t="shared" si="45"/>
        <v>49495.898399999998</v>
      </c>
      <c r="S347" s="271">
        <f t="shared" si="46"/>
        <v>2125.44</v>
      </c>
    </row>
    <row r="348" spans="1:21" s="270" customFormat="1" x14ac:dyDescent="0.25">
      <c r="A348" s="271">
        <v>501443</v>
      </c>
      <c r="B348" s="271">
        <v>1443</v>
      </c>
      <c r="C348" s="271">
        <v>1601</v>
      </c>
      <c r="D348" s="268" t="s">
        <v>894</v>
      </c>
      <c r="E348" s="268" t="s">
        <v>1290</v>
      </c>
      <c r="F348" s="268" t="s">
        <v>2450</v>
      </c>
      <c r="G348" s="268">
        <v>11</v>
      </c>
      <c r="H348" s="268" t="s">
        <v>2322</v>
      </c>
      <c r="I348" s="268" t="s">
        <v>2908</v>
      </c>
      <c r="J348" s="271">
        <v>273912</v>
      </c>
      <c r="K348" s="271">
        <f t="shared" si="41"/>
        <v>22826</v>
      </c>
      <c r="L348" s="271">
        <f t="shared" si="42"/>
        <v>12141.24</v>
      </c>
      <c r="M348" s="267">
        <v>0</v>
      </c>
      <c r="N348" s="271">
        <f t="shared" si="47"/>
        <v>129.60000000000002</v>
      </c>
      <c r="O348" s="276">
        <v>0</v>
      </c>
      <c r="P348" s="276">
        <f t="shared" si="43"/>
        <v>4793.46</v>
      </c>
      <c r="Q348" s="271">
        <f t="shared" si="44"/>
        <v>60084</v>
      </c>
      <c r="R348" s="271">
        <f t="shared" si="45"/>
        <v>49495.898399999998</v>
      </c>
      <c r="S348" s="271">
        <f t="shared" si="46"/>
        <v>2125.44</v>
      </c>
    </row>
    <row r="349" spans="1:21" x14ac:dyDescent="0.25">
      <c r="A349" s="271">
        <v>501443</v>
      </c>
      <c r="B349" s="271">
        <v>1443</v>
      </c>
      <c r="C349" s="271">
        <v>59666</v>
      </c>
      <c r="D349" s="268" t="s">
        <v>894</v>
      </c>
      <c r="E349" s="268" t="s">
        <v>1278</v>
      </c>
      <c r="F349" s="268" t="s">
        <v>2520</v>
      </c>
      <c r="G349" s="268">
        <v>11</v>
      </c>
      <c r="H349" s="268" t="s">
        <v>2909</v>
      </c>
      <c r="I349" s="268" t="s">
        <v>2910</v>
      </c>
      <c r="J349" s="271">
        <v>273912</v>
      </c>
      <c r="K349" s="271">
        <f t="shared" si="41"/>
        <v>22826</v>
      </c>
      <c r="L349" s="271">
        <f t="shared" si="42"/>
        <v>12141.24</v>
      </c>
      <c r="M349" s="267">
        <v>0</v>
      </c>
      <c r="N349" s="271">
        <f t="shared" si="47"/>
        <v>129.60000000000002</v>
      </c>
      <c r="O349" s="276">
        <v>0</v>
      </c>
      <c r="P349" s="276">
        <f t="shared" si="43"/>
        <v>4793.46</v>
      </c>
      <c r="Q349" s="271">
        <f t="shared" si="44"/>
        <v>60084</v>
      </c>
      <c r="R349" s="271">
        <f t="shared" si="45"/>
        <v>49495.898399999998</v>
      </c>
      <c r="S349" s="271">
        <f t="shared" si="46"/>
        <v>2125.44</v>
      </c>
    </row>
    <row r="350" spans="1:21" s="270" customFormat="1" x14ac:dyDescent="0.25">
      <c r="A350" s="271">
        <v>501206</v>
      </c>
      <c r="B350" s="271">
        <v>1206</v>
      </c>
      <c r="C350" s="271">
        <v>59909</v>
      </c>
      <c r="D350" s="268" t="s">
        <v>876</v>
      </c>
      <c r="E350" s="268" t="s">
        <v>1290</v>
      </c>
      <c r="F350" s="268" t="s">
        <v>731</v>
      </c>
      <c r="G350" s="268">
        <v>11</v>
      </c>
      <c r="H350" s="268" t="s">
        <v>2911</v>
      </c>
      <c r="I350" s="268" t="s">
        <v>2912</v>
      </c>
      <c r="J350" s="271">
        <v>273912</v>
      </c>
      <c r="K350" s="271">
        <f t="shared" si="41"/>
        <v>22826</v>
      </c>
      <c r="L350" s="271">
        <f t="shared" si="42"/>
        <v>12141.24</v>
      </c>
      <c r="M350" s="267">
        <v>0</v>
      </c>
      <c r="N350" s="271">
        <f t="shared" si="47"/>
        <v>129.60000000000002</v>
      </c>
      <c r="O350" s="276">
        <v>0</v>
      </c>
      <c r="P350" s="276">
        <f t="shared" si="43"/>
        <v>4793.46</v>
      </c>
      <c r="Q350" s="271">
        <f t="shared" si="44"/>
        <v>60084</v>
      </c>
      <c r="R350" s="271">
        <f t="shared" si="45"/>
        <v>49495.898399999998</v>
      </c>
      <c r="S350" s="271">
        <f t="shared" si="46"/>
        <v>2125.44</v>
      </c>
    </row>
    <row r="351" spans="1:21" s="270" customFormat="1" x14ac:dyDescent="0.25">
      <c r="A351" s="271">
        <v>501101</v>
      </c>
      <c r="B351" s="271">
        <v>1101</v>
      </c>
      <c r="C351" s="271">
        <v>84848</v>
      </c>
      <c r="D351" s="268" t="s">
        <v>894</v>
      </c>
      <c r="E351" s="268" t="s">
        <v>1278</v>
      </c>
      <c r="F351" s="268" t="s">
        <v>2913</v>
      </c>
      <c r="G351" s="268">
        <v>11</v>
      </c>
      <c r="H351" s="268" t="s">
        <v>2914</v>
      </c>
      <c r="I351" s="268" t="s">
        <v>2915</v>
      </c>
      <c r="J351" s="271">
        <v>273912</v>
      </c>
      <c r="K351" s="271">
        <f t="shared" si="41"/>
        <v>22826</v>
      </c>
      <c r="L351" s="271">
        <f t="shared" si="42"/>
        <v>12141.24</v>
      </c>
      <c r="M351" s="267">
        <v>0</v>
      </c>
      <c r="N351" s="271">
        <f t="shared" si="47"/>
        <v>129.60000000000002</v>
      </c>
      <c r="O351" s="276">
        <v>0</v>
      </c>
      <c r="P351" s="276">
        <f t="shared" si="43"/>
        <v>4793.46</v>
      </c>
      <c r="Q351" s="271">
        <f t="shared" si="44"/>
        <v>60084</v>
      </c>
      <c r="R351" s="271">
        <f t="shared" si="45"/>
        <v>49495.898399999998</v>
      </c>
      <c r="S351" s="271">
        <f t="shared" si="46"/>
        <v>2125.44</v>
      </c>
    </row>
    <row r="352" spans="1:21" s="270" customFormat="1" x14ac:dyDescent="0.25">
      <c r="A352" s="271">
        <v>501206</v>
      </c>
      <c r="B352" s="271">
        <v>1206</v>
      </c>
      <c r="C352" s="271">
        <v>85740</v>
      </c>
      <c r="D352" s="268" t="s">
        <v>876</v>
      </c>
      <c r="E352" s="268" t="s">
        <v>1278</v>
      </c>
      <c r="F352" s="268" t="s">
        <v>2802</v>
      </c>
      <c r="G352" s="268">
        <v>11</v>
      </c>
      <c r="H352" s="268" t="s">
        <v>2916</v>
      </c>
      <c r="I352" s="268" t="s">
        <v>2917</v>
      </c>
      <c r="J352" s="271">
        <v>273912</v>
      </c>
      <c r="K352" s="271">
        <f t="shared" si="41"/>
        <v>22826</v>
      </c>
      <c r="L352" s="271">
        <f t="shared" si="42"/>
        <v>12141.24</v>
      </c>
      <c r="M352" s="267">
        <v>0</v>
      </c>
      <c r="N352" s="271">
        <f t="shared" si="47"/>
        <v>129.60000000000002</v>
      </c>
      <c r="O352" s="276">
        <v>0</v>
      </c>
      <c r="P352" s="276">
        <f t="shared" si="43"/>
        <v>4793.46</v>
      </c>
      <c r="Q352" s="271">
        <f t="shared" si="44"/>
        <v>60084</v>
      </c>
      <c r="R352" s="271">
        <f t="shared" si="45"/>
        <v>49495.898399999998</v>
      </c>
      <c r="S352" s="271">
        <f t="shared" si="46"/>
        <v>2125.44</v>
      </c>
    </row>
    <row r="353" spans="1:21" s="270" customFormat="1" x14ac:dyDescent="0.25">
      <c r="A353" s="271">
        <v>501443</v>
      </c>
      <c r="B353" s="271">
        <v>1443</v>
      </c>
      <c r="C353" s="271">
        <v>91983</v>
      </c>
      <c r="D353" s="268" t="s">
        <v>876</v>
      </c>
      <c r="E353" s="268" t="s">
        <v>1290</v>
      </c>
      <c r="F353" s="268" t="s">
        <v>2627</v>
      </c>
      <c r="G353" s="268">
        <v>11</v>
      </c>
      <c r="H353" s="268" t="s">
        <v>2918</v>
      </c>
      <c r="I353" s="268" t="s">
        <v>2912</v>
      </c>
      <c r="J353" s="271">
        <v>273912</v>
      </c>
      <c r="K353" s="271">
        <f t="shared" si="41"/>
        <v>22826</v>
      </c>
      <c r="L353" s="271">
        <f t="shared" si="42"/>
        <v>12141.24</v>
      </c>
      <c r="M353" s="267">
        <v>0</v>
      </c>
      <c r="N353" s="271">
        <f t="shared" si="47"/>
        <v>129.60000000000002</v>
      </c>
      <c r="O353" s="276">
        <v>0</v>
      </c>
      <c r="P353" s="276">
        <f t="shared" si="43"/>
        <v>4793.46</v>
      </c>
      <c r="Q353" s="271">
        <f t="shared" si="44"/>
        <v>60084</v>
      </c>
      <c r="R353" s="271">
        <f t="shared" si="45"/>
        <v>49495.898399999998</v>
      </c>
      <c r="S353" s="271">
        <f t="shared" si="46"/>
        <v>2125.44</v>
      </c>
    </row>
    <row r="354" spans="1:21" s="270" customFormat="1" x14ac:dyDescent="0.25">
      <c r="A354" s="271">
        <v>501103</v>
      </c>
      <c r="B354" s="271">
        <v>1103</v>
      </c>
      <c r="C354" s="271">
        <v>200044</v>
      </c>
      <c r="D354" s="268" t="s">
        <v>894</v>
      </c>
      <c r="E354" s="268" t="s">
        <v>1290</v>
      </c>
      <c r="F354" s="268" t="s">
        <v>1306</v>
      </c>
      <c r="G354" s="268">
        <v>11</v>
      </c>
      <c r="H354" s="268" t="s">
        <v>2919</v>
      </c>
      <c r="I354" s="268" t="s">
        <v>2835</v>
      </c>
      <c r="J354" s="271">
        <v>273912</v>
      </c>
      <c r="K354" s="271">
        <f t="shared" si="41"/>
        <v>22826</v>
      </c>
      <c r="L354" s="271">
        <f t="shared" si="42"/>
        <v>12141.24</v>
      </c>
      <c r="M354" s="267">
        <v>0</v>
      </c>
      <c r="N354" s="271">
        <f t="shared" si="47"/>
        <v>129.60000000000002</v>
      </c>
      <c r="O354" s="276">
        <v>0</v>
      </c>
      <c r="P354" s="276">
        <f t="shared" si="43"/>
        <v>4793.46</v>
      </c>
      <c r="Q354" s="271">
        <f t="shared" si="44"/>
        <v>60084</v>
      </c>
      <c r="R354" s="271">
        <f t="shared" si="45"/>
        <v>49495.898399999998</v>
      </c>
      <c r="S354" s="271">
        <f t="shared" si="46"/>
        <v>2125.44</v>
      </c>
    </row>
    <row r="355" spans="1:21" s="270" customFormat="1" x14ac:dyDescent="0.25">
      <c r="A355" s="271">
        <v>114501</v>
      </c>
      <c r="B355" s="271">
        <v>1406</v>
      </c>
      <c r="C355" s="271">
        <v>200136</v>
      </c>
      <c r="D355" s="268" t="s">
        <v>894</v>
      </c>
      <c r="E355" s="268" t="s">
        <v>1290</v>
      </c>
      <c r="F355" s="268" t="s">
        <v>2920</v>
      </c>
      <c r="G355" s="268">
        <v>11</v>
      </c>
      <c r="H355" s="268" t="s">
        <v>2921</v>
      </c>
      <c r="I355" s="268" t="s">
        <v>2848</v>
      </c>
      <c r="J355" s="271">
        <v>273912</v>
      </c>
      <c r="K355" s="271">
        <f t="shared" si="41"/>
        <v>22826</v>
      </c>
      <c r="L355" s="271">
        <f t="shared" si="42"/>
        <v>12141.24</v>
      </c>
      <c r="M355" s="267">
        <v>0</v>
      </c>
      <c r="N355" s="271">
        <f t="shared" si="47"/>
        <v>129.60000000000002</v>
      </c>
      <c r="O355" s="276">
        <v>0</v>
      </c>
      <c r="P355" s="276">
        <f t="shared" si="43"/>
        <v>4793.46</v>
      </c>
      <c r="Q355" s="271">
        <f t="shared" si="44"/>
        <v>60084</v>
      </c>
      <c r="R355" s="271">
        <f t="shared" si="45"/>
        <v>49495.898399999998</v>
      </c>
      <c r="S355" s="271">
        <f t="shared" si="46"/>
        <v>2125.44</v>
      </c>
    </row>
    <row r="356" spans="1:21" s="270" customFormat="1" x14ac:dyDescent="0.25">
      <c r="A356" s="271">
        <v>501445</v>
      </c>
      <c r="B356" s="271">
        <v>1445</v>
      </c>
      <c r="C356" s="271">
        <v>200155</v>
      </c>
      <c r="D356" s="268" t="s">
        <v>894</v>
      </c>
      <c r="E356" s="268" t="s">
        <v>1278</v>
      </c>
      <c r="F356" s="268" t="s">
        <v>2922</v>
      </c>
      <c r="G356" s="268">
        <v>11</v>
      </c>
      <c r="H356" s="268" t="s">
        <v>2398</v>
      </c>
      <c r="I356" s="268" t="s">
        <v>2910</v>
      </c>
      <c r="J356" s="271">
        <v>273912</v>
      </c>
      <c r="K356" s="271">
        <f t="shared" si="41"/>
        <v>22826</v>
      </c>
      <c r="L356" s="271">
        <f t="shared" si="42"/>
        <v>12141.24</v>
      </c>
      <c r="M356" s="267">
        <v>0</v>
      </c>
      <c r="N356" s="271">
        <f t="shared" si="47"/>
        <v>129.60000000000002</v>
      </c>
      <c r="O356" s="276">
        <v>0</v>
      </c>
      <c r="P356" s="276">
        <f t="shared" si="43"/>
        <v>4793.46</v>
      </c>
      <c r="Q356" s="271">
        <f t="shared" si="44"/>
        <v>60084</v>
      </c>
      <c r="R356" s="271">
        <f t="shared" si="45"/>
        <v>49495.898399999998</v>
      </c>
      <c r="S356" s="271">
        <f t="shared" si="46"/>
        <v>2125.44</v>
      </c>
    </row>
    <row r="357" spans="1:21" s="270" customFormat="1" x14ac:dyDescent="0.25">
      <c r="A357" s="271">
        <v>501101</v>
      </c>
      <c r="B357" s="271">
        <v>1101</v>
      </c>
      <c r="C357" s="271">
        <v>200169</v>
      </c>
      <c r="D357" s="268" t="s">
        <v>894</v>
      </c>
      <c r="E357" s="268" t="s">
        <v>1278</v>
      </c>
      <c r="F357" s="268" t="s">
        <v>2391</v>
      </c>
      <c r="G357" s="268">
        <v>11</v>
      </c>
      <c r="H357" s="268" t="s">
        <v>2923</v>
      </c>
      <c r="I357" s="268" t="s">
        <v>2835</v>
      </c>
      <c r="J357" s="271">
        <v>273912</v>
      </c>
      <c r="K357" s="271">
        <f t="shared" si="41"/>
        <v>22826</v>
      </c>
      <c r="L357" s="271">
        <f t="shared" si="42"/>
        <v>12141.24</v>
      </c>
      <c r="M357" s="267">
        <v>0</v>
      </c>
      <c r="N357" s="271">
        <f t="shared" si="47"/>
        <v>129.60000000000002</v>
      </c>
      <c r="O357" s="276">
        <v>0</v>
      </c>
      <c r="P357" s="276">
        <f t="shared" si="43"/>
        <v>4793.46</v>
      </c>
      <c r="Q357" s="271">
        <f t="shared" si="44"/>
        <v>60084</v>
      </c>
      <c r="R357" s="271">
        <f t="shared" si="45"/>
        <v>49495.898399999998</v>
      </c>
      <c r="S357" s="271">
        <f t="shared" si="46"/>
        <v>2125.44</v>
      </c>
    </row>
    <row r="358" spans="1:21" s="270" customFormat="1" x14ac:dyDescent="0.25">
      <c r="A358" s="271">
        <v>501304</v>
      </c>
      <c r="B358" s="271">
        <v>1304</v>
      </c>
      <c r="C358" s="271">
        <v>200201</v>
      </c>
      <c r="D358" s="268" t="s">
        <v>894</v>
      </c>
      <c r="E358" s="268" t="s">
        <v>1278</v>
      </c>
      <c r="F358" s="268" t="s">
        <v>2742</v>
      </c>
      <c r="G358" s="268">
        <v>11</v>
      </c>
      <c r="H358" s="268" t="s">
        <v>2924</v>
      </c>
      <c r="I358" s="268" t="s">
        <v>2910</v>
      </c>
      <c r="J358" s="271">
        <v>273912</v>
      </c>
      <c r="K358" s="271">
        <f t="shared" si="41"/>
        <v>22826</v>
      </c>
      <c r="L358" s="271">
        <f t="shared" si="42"/>
        <v>12141.24</v>
      </c>
      <c r="M358" s="267">
        <v>0</v>
      </c>
      <c r="N358" s="271">
        <f t="shared" si="47"/>
        <v>129.60000000000002</v>
      </c>
      <c r="O358" s="276">
        <v>0</v>
      </c>
      <c r="P358" s="276">
        <f t="shared" si="43"/>
        <v>4793.46</v>
      </c>
      <c r="Q358" s="271">
        <f t="shared" si="44"/>
        <v>60084</v>
      </c>
      <c r="R358" s="271">
        <f t="shared" si="45"/>
        <v>49495.898399999998</v>
      </c>
      <c r="S358" s="271">
        <f t="shared" si="46"/>
        <v>2125.44</v>
      </c>
    </row>
    <row r="359" spans="1:21" s="270" customFormat="1" x14ac:dyDescent="0.25">
      <c r="A359" s="271">
        <v>501205</v>
      </c>
      <c r="B359" s="271">
        <v>1205</v>
      </c>
      <c r="C359" s="271">
        <v>200202</v>
      </c>
      <c r="D359" s="268" t="s">
        <v>894</v>
      </c>
      <c r="E359" s="268" t="s">
        <v>1278</v>
      </c>
      <c r="F359" s="268" t="s">
        <v>2925</v>
      </c>
      <c r="G359" s="268">
        <v>11</v>
      </c>
      <c r="H359" s="268" t="s">
        <v>2926</v>
      </c>
      <c r="I359" s="268" t="s">
        <v>2910</v>
      </c>
      <c r="J359" s="271">
        <v>273912</v>
      </c>
      <c r="K359" s="271">
        <f t="shared" si="41"/>
        <v>22826</v>
      </c>
      <c r="L359" s="271">
        <f t="shared" si="42"/>
        <v>12141.24</v>
      </c>
      <c r="M359" s="267">
        <v>0</v>
      </c>
      <c r="N359" s="271">
        <f t="shared" si="47"/>
        <v>129.60000000000002</v>
      </c>
      <c r="O359" s="276">
        <v>0</v>
      </c>
      <c r="P359" s="276">
        <f t="shared" si="43"/>
        <v>4793.46</v>
      </c>
      <c r="Q359" s="271">
        <f t="shared" si="44"/>
        <v>60084</v>
      </c>
      <c r="R359" s="271">
        <f t="shared" si="45"/>
        <v>49495.898399999998</v>
      </c>
      <c r="S359" s="271">
        <f t="shared" si="46"/>
        <v>2125.44</v>
      </c>
    </row>
    <row r="360" spans="1:21" x14ac:dyDescent="0.25">
      <c r="A360" s="271">
        <v>501503</v>
      </c>
      <c r="B360" s="271">
        <v>1503</v>
      </c>
      <c r="C360" s="271">
        <v>200203</v>
      </c>
      <c r="D360" s="268" t="s">
        <v>894</v>
      </c>
      <c r="E360" s="268" t="s">
        <v>1278</v>
      </c>
      <c r="F360" s="268" t="s">
        <v>2927</v>
      </c>
      <c r="G360" s="268">
        <v>11</v>
      </c>
      <c r="H360" s="268" t="s">
        <v>2928</v>
      </c>
      <c r="I360" s="268" t="s">
        <v>2929</v>
      </c>
      <c r="J360" s="271">
        <v>273912</v>
      </c>
      <c r="K360" s="271">
        <f t="shared" si="41"/>
        <v>22826</v>
      </c>
      <c r="L360" s="271">
        <f t="shared" si="42"/>
        <v>12141.24</v>
      </c>
      <c r="M360" s="267">
        <v>0</v>
      </c>
      <c r="N360" s="271">
        <f t="shared" si="47"/>
        <v>129.60000000000002</v>
      </c>
      <c r="O360" s="276">
        <v>0</v>
      </c>
      <c r="P360" s="276">
        <f t="shared" si="43"/>
        <v>4793.46</v>
      </c>
      <c r="Q360" s="271">
        <f t="shared" si="44"/>
        <v>60084</v>
      </c>
      <c r="R360" s="271">
        <f t="shared" si="45"/>
        <v>49495.898399999998</v>
      </c>
      <c r="S360" s="271">
        <f t="shared" si="46"/>
        <v>2125.44</v>
      </c>
      <c r="T360" s="270"/>
      <c r="U360" s="270"/>
    </row>
    <row r="361" spans="1:21" s="270" customFormat="1" x14ac:dyDescent="0.25">
      <c r="A361" s="271">
        <v>501105</v>
      </c>
      <c r="B361" s="271">
        <v>1105</v>
      </c>
      <c r="C361" s="271">
        <v>200235</v>
      </c>
      <c r="D361" s="268" t="s">
        <v>894</v>
      </c>
      <c r="E361" s="268" t="s">
        <v>1278</v>
      </c>
      <c r="F361" s="268" t="s">
        <v>2391</v>
      </c>
      <c r="G361" s="268">
        <v>11</v>
      </c>
      <c r="H361" s="268" t="s">
        <v>2622</v>
      </c>
      <c r="I361" s="268" t="s">
        <v>2848</v>
      </c>
      <c r="J361" s="271">
        <v>273912</v>
      </c>
      <c r="K361" s="271">
        <f t="shared" si="41"/>
        <v>22826</v>
      </c>
      <c r="L361" s="271">
        <f t="shared" si="42"/>
        <v>12141.24</v>
      </c>
      <c r="M361" s="267">
        <v>0</v>
      </c>
      <c r="N361" s="271">
        <f t="shared" si="47"/>
        <v>129.60000000000002</v>
      </c>
      <c r="O361" s="276">
        <v>0</v>
      </c>
      <c r="P361" s="276">
        <f t="shared" si="43"/>
        <v>4793.46</v>
      </c>
      <c r="Q361" s="271">
        <f t="shared" si="44"/>
        <v>60084</v>
      </c>
      <c r="R361" s="271">
        <f t="shared" si="45"/>
        <v>49495.898399999998</v>
      </c>
      <c r="S361" s="271">
        <f t="shared" si="46"/>
        <v>2125.44</v>
      </c>
    </row>
    <row r="362" spans="1:21" s="270" customFormat="1" x14ac:dyDescent="0.25">
      <c r="A362" s="271"/>
      <c r="B362" s="271">
        <v>1305</v>
      </c>
      <c r="C362" s="271">
        <v>200240</v>
      </c>
      <c r="D362" s="268" t="s">
        <v>894</v>
      </c>
      <c r="E362" s="268" t="s">
        <v>1278</v>
      </c>
      <c r="F362" s="268" t="s">
        <v>2240</v>
      </c>
      <c r="G362" s="268">
        <v>11</v>
      </c>
      <c r="H362" s="268" t="s">
        <v>2930</v>
      </c>
      <c r="I362" s="268" t="s">
        <v>2910</v>
      </c>
      <c r="J362" s="271">
        <v>273912</v>
      </c>
      <c r="K362" s="271">
        <f t="shared" si="41"/>
        <v>22826</v>
      </c>
      <c r="L362" s="271">
        <f t="shared" si="42"/>
        <v>12141.24</v>
      </c>
      <c r="M362" s="267">
        <v>0</v>
      </c>
      <c r="N362" s="271">
        <f t="shared" si="47"/>
        <v>129.60000000000002</v>
      </c>
      <c r="O362" s="276">
        <v>0</v>
      </c>
      <c r="P362" s="276">
        <f t="shared" si="43"/>
        <v>4793.46</v>
      </c>
      <c r="Q362" s="271">
        <f t="shared" si="44"/>
        <v>60084</v>
      </c>
      <c r="R362" s="271">
        <f t="shared" si="45"/>
        <v>49495.898399999998</v>
      </c>
      <c r="S362" s="271">
        <f t="shared" si="46"/>
        <v>2125.44</v>
      </c>
    </row>
    <row r="363" spans="1:21" s="270" customFormat="1" x14ac:dyDescent="0.25">
      <c r="A363" s="271">
        <v>501452</v>
      </c>
      <c r="B363" s="271">
        <v>1452</v>
      </c>
      <c r="C363" s="271">
        <v>200246</v>
      </c>
      <c r="D363" s="268" t="s">
        <v>894</v>
      </c>
      <c r="E363" s="268" t="s">
        <v>1278</v>
      </c>
      <c r="F363" s="268" t="s">
        <v>2506</v>
      </c>
      <c r="G363" s="268">
        <v>11</v>
      </c>
      <c r="H363" s="268" t="s">
        <v>2931</v>
      </c>
      <c r="I363" s="268" t="s">
        <v>2932</v>
      </c>
      <c r="J363" s="271">
        <v>273912</v>
      </c>
      <c r="K363" s="271">
        <f t="shared" si="41"/>
        <v>22826</v>
      </c>
      <c r="L363" s="271">
        <f t="shared" si="42"/>
        <v>12141.24</v>
      </c>
      <c r="M363" s="267">
        <v>0</v>
      </c>
      <c r="N363" s="271">
        <f t="shared" si="47"/>
        <v>129.60000000000002</v>
      </c>
      <c r="O363" s="276">
        <v>0</v>
      </c>
      <c r="P363" s="276">
        <f t="shared" si="43"/>
        <v>4793.46</v>
      </c>
      <c r="Q363" s="271">
        <f t="shared" si="44"/>
        <v>60084</v>
      </c>
      <c r="R363" s="271">
        <f t="shared" si="45"/>
        <v>49495.898399999998</v>
      </c>
      <c r="S363" s="271">
        <f t="shared" si="46"/>
        <v>2125.44</v>
      </c>
    </row>
    <row r="364" spans="1:21" s="270" customFormat="1" x14ac:dyDescent="0.25">
      <c r="A364" s="271">
        <v>501101</v>
      </c>
      <c r="B364" s="271">
        <v>1101</v>
      </c>
      <c r="C364" s="271">
        <v>200256</v>
      </c>
      <c r="D364" s="268" t="s">
        <v>894</v>
      </c>
      <c r="E364" s="268" t="s">
        <v>1278</v>
      </c>
      <c r="F364" s="268" t="s">
        <v>2261</v>
      </c>
      <c r="G364" s="268">
        <v>11</v>
      </c>
      <c r="H364" s="268" t="s">
        <v>2645</v>
      </c>
      <c r="I364" s="268" t="s">
        <v>2848</v>
      </c>
      <c r="J364" s="271">
        <v>273912</v>
      </c>
      <c r="K364" s="271">
        <f t="shared" si="41"/>
        <v>22826</v>
      </c>
      <c r="L364" s="271">
        <f t="shared" si="42"/>
        <v>12141.24</v>
      </c>
      <c r="M364" s="267">
        <v>0</v>
      </c>
      <c r="N364" s="271">
        <f t="shared" si="47"/>
        <v>129.60000000000002</v>
      </c>
      <c r="O364" s="276">
        <v>0</v>
      </c>
      <c r="P364" s="276">
        <f t="shared" si="43"/>
        <v>4793.46</v>
      </c>
      <c r="Q364" s="271">
        <f t="shared" si="44"/>
        <v>60084</v>
      </c>
      <c r="R364" s="271">
        <f t="shared" si="45"/>
        <v>49495.898399999998</v>
      </c>
      <c r="S364" s="271">
        <f t="shared" si="46"/>
        <v>2125.44</v>
      </c>
    </row>
    <row r="365" spans="1:21" s="270" customFormat="1" x14ac:dyDescent="0.25">
      <c r="A365" s="271"/>
      <c r="B365" s="271">
        <v>1305</v>
      </c>
      <c r="C365" s="271">
        <v>200348</v>
      </c>
      <c r="D365" s="268" t="s">
        <v>894</v>
      </c>
      <c r="E365" s="268" t="s">
        <v>1278</v>
      </c>
      <c r="F365" s="268" t="s">
        <v>2933</v>
      </c>
      <c r="G365" s="268">
        <v>11</v>
      </c>
      <c r="H365" s="268" t="s">
        <v>2934</v>
      </c>
      <c r="I365" s="268" t="s">
        <v>2848</v>
      </c>
      <c r="J365" s="271">
        <v>273912</v>
      </c>
      <c r="K365" s="271">
        <f t="shared" si="41"/>
        <v>22826</v>
      </c>
      <c r="L365" s="271">
        <f t="shared" si="42"/>
        <v>12141.24</v>
      </c>
      <c r="M365" s="267">
        <v>0</v>
      </c>
      <c r="N365" s="271">
        <f t="shared" si="47"/>
        <v>129.60000000000002</v>
      </c>
      <c r="O365" s="276">
        <v>0</v>
      </c>
      <c r="P365" s="276">
        <f t="shared" si="43"/>
        <v>4793.46</v>
      </c>
      <c r="Q365" s="271">
        <f t="shared" si="44"/>
        <v>60084</v>
      </c>
      <c r="R365" s="271">
        <f t="shared" si="45"/>
        <v>49495.898399999998</v>
      </c>
      <c r="S365" s="271">
        <f t="shared" si="46"/>
        <v>2125.44</v>
      </c>
    </row>
    <row r="366" spans="1:21" s="270" customFormat="1" x14ac:dyDescent="0.25">
      <c r="A366" s="271">
        <v>501443</v>
      </c>
      <c r="B366" s="271">
        <v>1443</v>
      </c>
      <c r="C366" s="271">
        <v>4417</v>
      </c>
      <c r="D366" s="268" t="s">
        <v>1698</v>
      </c>
      <c r="E366" s="268" t="s">
        <v>1278</v>
      </c>
      <c r="F366" s="268" t="s">
        <v>2935</v>
      </c>
      <c r="G366" s="268">
        <v>11</v>
      </c>
      <c r="H366" s="268" t="s">
        <v>2936</v>
      </c>
      <c r="I366" s="268" t="s">
        <v>2937</v>
      </c>
      <c r="J366" s="271">
        <v>273912</v>
      </c>
      <c r="K366" s="271">
        <f t="shared" si="41"/>
        <v>22826</v>
      </c>
      <c r="L366" s="271">
        <f t="shared" si="42"/>
        <v>12141.24</v>
      </c>
      <c r="M366" s="267">
        <v>0</v>
      </c>
      <c r="N366" s="271">
        <f t="shared" si="47"/>
        <v>129.60000000000002</v>
      </c>
      <c r="O366" s="276">
        <v>0</v>
      </c>
      <c r="P366" s="276">
        <f t="shared" si="43"/>
        <v>4793.46</v>
      </c>
      <c r="Q366" s="271">
        <f t="shared" si="44"/>
        <v>60084</v>
      </c>
      <c r="R366" s="271">
        <f t="shared" si="45"/>
        <v>49495.898399999998</v>
      </c>
      <c r="S366" s="271">
        <f t="shared" si="46"/>
        <v>2125.44</v>
      </c>
    </row>
    <row r="367" spans="1:21" s="270" customFormat="1" x14ac:dyDescent="0.25">
      <c r="A367" s="271">
        <v>501406</v>
      </c>
      <c r="B367" s="271">
        <v>1406</v>
      </c>
      <c r="C367" s="271">
        <v>200013</v>
      </c>
      <c r="D367" s="268" t="s">
        <v>894</v>
      </c>
      <c r="E367" s="268" t="s">
        <v>1278</v>
      </c>
      <c r="F367" s="268" t="s">
        <v>2938</v>
      </c>
      <c r="G367" s="268">
        <v>10</v>
      </c>
      <c r="H367" s="268" t="s">
        <v>2939</v>
      </c>
      <c r="I367" s="268" t="s">
        <v>2848</v>
      </c>
      <c r="J367" s="271">
        <v>267588</v>
      </c>
      <c r="K367" s="271">
        <f t="shared" si="41"/>
        <v>22299</v>
      </c>
      <c r="L367" s="271">
        <f t="shared" si="42"/>
        <v>12141.24</v>
      </c>
      <c r="M367" s="267">
        <v>0</v>
      </c>
      <c r="N367" s="271">
        <f t="shared" si="47"/>
        <v>129.60000000000002</v>
      </c>
      <c r="O367" s="276">
        <v>0</v>
      </c>
      <c r="P367" s="276">
        <f t="shared" si="43"/>
        <v>4682.7900000000009</v>
      </c>
      <c r="Q367" s="271">
        <f t="shared" si="44"/>
        <v>60084</v>
      </c>
      <c r="R367" s="271">
        <f t="shared" si="45"/>
        <v>48353.151599999997</v>
      </c>
      <c r="S367" s="271">
        <f t="shared" si="46"/>
        <v>2125.44</v>
      </c>
      <c r="T367" s="277"/>
      <c r="U367" s="277"/>
    </row>
    <row r="368" spans="1:21" s="270" customFormat="1" x14ac:dyDescent="0.25">
      <c r="A368" s="271">
        <v>501406</v>
      </c>
      <c r="B368" s="271">
        <v>1406</v>
      </c>
      <c r="C368" s="271">
        <v>200127</v>
      </c>
      <c r="D368" s="268" t="s">
        <v>894</v>
      </c>
      <c r="E368" s="268" t="s">
        <v>1278</v>
      </c>
      <c r="F368" s="268" t="s">
        <v>2940</v>
      </c>
      <c r="G368" s="268">
        <v>10</v>
      </c>
      <c r="H368" s="268" t="s">
        <v>2941</v>
      </c>
      <c r="I368" s="268" t="s">
        <v>2848</v>
      </c>
      <c r="J368" s="271">
        <v>267588</v>
      </c>
      <c r="K368" s="271">
        <f t="shared" si="41"/>
        <v>22299</v>
      </c>
      <c r="L368" s="271">
        <f t="shared" si="42"/>
        <v>12141.24</v>
      </c>
      <c r="M368" s="267">
        <v>0</v>
      </c>
      <c r="N368" s="271">
        <f t="shared" si="47"/>
        <v>129.60000000000002</v>
      </c>
      <c r="O368" s="276">
        <v>0</v>
      </c>
      <c r="P368" s="276">
        <f t="shared" si="43"/>
        <v>4682.7900000000009</v>
      </c>
      <c r="Q368" s="271">
        <f t="shared" si="44"/>
        <v>60084</v>
      </c>
      <c r="R368" s="271">
        <f t="shared" si="45"/>
        <v>48353.151599999997</v>
      </c>
      <c r="S368" s="271">
        <f t="shared" si="46"/>
        <v>2125.44</v>
      </c>
    </row>
    <row r="369" spans="1:21" s="270" customFormat="1" x14ac:dyDescent="0.25">
      <c r="A369" s="271"/>
      <c r="B369" s="271">
        <v>1406</v>
      </c>
      <c r="C369" s="271">
        <v>200354</v>
      </c>
      <c r="D369" s="268" t="s">
        <v>894</v>
      </c>
      <c r="E369" s="268" t="s">
        <v>1290</v>
      </c>
      <c r="F369" s="268" t="s">
        <v>2386</v>
      </c>
      <c r="G369" s="268">
        <v>10</v>
      </c>
      <c r="H369" s="268" t="s">
        <v>2942</v>
      </c>
      <c r="I369" s="268" t="s">
        <v>2879</v>
      </c>
      <c r="J369" s="271">
        <v>267588</v>
      </c>
      <c r="K369" s="271">
        <f t="shared" si="41"/>
        <v>22299</v>
      </c>
      <c r="L369" s="271">
        <f t="shared" si="42"/>
        <v>12141.24</v>
      </c>
      <c r="M369" s="267">
        <v>0</v>
      </c>
      <c r="N369" s="271">
        <f t="shared" si="47"/>
        <v>129.60000000000002</v>
      </c>
      <c r="O369" s="276">
        <v>0</v>
      </c>
      <c r="P369" s="276">
        <f t="shared" si="43"/>
        <v>4682.7900000000009</v>
      </c>
      <c r="Q369" s="271">
        <f t="shared" si="44"/>
        <v>60084</v>
      </c>
      <c r="R369" s="271">
        <f t="shared" si="45"/>
        <v>48353.151599999997</v>
      </c>
      <c r="S369" s="271">
        <f t="shared" si="46"/>
        <v>2125.44</v>
      </c>
    </row>
    <row r="370" spans="1:21" s="270" customFormat="1" x14ac:dyDescent="0.25">
      <c r="A370" s="271">
        <v>501406</v>
      </c>
      <c r="B370" s="271">
        <v>1406</v>
      </c>
      <c r="C370" s="271">
        <v>1656</v>
      </c>
      <c r="D370" s="268" t="s">
        <v>894</v>
      </c>
      <c r="E370" s="268" t="s">
        <v>1290</v>
      </c>
      <c r="F370" s="268" t="s">
        <v>2306</v>
      </c>
      <c r="G370" s="268">
        <v>11</v>
      </c>
      <c r="H370" s="268" t="s">
        <v>2943</v>
      </c>
      <c r="I370" s="268" t="s">
        <v>2944</v>
      </c>
      <c r="J370" s="271">
        <v>267588</v>
      </c>
      <c r="K370" s="271">
        <f t="shared" si="41"/>
        <v>22299</v>
      </c>
      <c r="L370" s="271">
        <f t="shared" si="42"/>
        <v>12141.24</v>
      </c>
      <c r="M370" s="267">
        <v>0</v>
      </c>
      <c r="N370" s="271">
        <f t="shared" si="47"/>
        <v>129.60000000000002</v>
      </c>
      <c r="O370" s="276">
        <v>0</v>
      </c>
      <c r="P370" s="276">
        <f t="shared" si="43"/>
        <v>4682.7900000000009</v>
      </c>
      <c r="Q370" s="271">
        <f t="shared" si="44"/>
        <v>60084</v>
      </c>
      <c r="R370" s="271">
        <f t="shared" si="45"/>
        <v>48353.151599999997</v>
      </c>
      <c r="S370" s="271">
        <f t="shared" si="46"/>
        <v>2125.44</v>
      </c>
    </row>
    <row r="371" spans="1:21" x14ac:dyDescent="0.25">
      <c r="A371" s="276">
        <v>501444</v>
      </c>
      <c r="B371" s="276">
        <v>1444</v>
      </c>
      <c r="C371" s="276">
        <v>8280</v>
      </c>
      <c r="D371" s="268" t="s">
        <v>894</v>
      </c>
      <c r="E371" s="268" t="s">
        <v>1290</v>
      </c>
      <c r="F371" s="268" t="s">
        <v>2768</v>
      </c>
      <c r="G371" s="268">
        <v>11</v>
      </c>
      <c r="H371" s="268" t="s">
        <v>2945</v>
      </c>
      <c r="I371" s="268" t="s">
        <v>2946</v>
      </c>
      <c r="J371" s="267">
        <v>267588</v>
      </c>
      <c r="K371" s="276">
        <f t="shared" si="41"/>
        <v>22299</v>
      </c>
      <c r="L371" s="271">
        <f t="shared" si="42"/>
        <v>12141.24</v>
      </c>
      <c r="M371" s="267">
        <f>750*12</f>
        <v>9000</v>
      </c>
      <c r="N371" s="276">
        <f t="shared" si="47"/>
        <v>129.60000000000002</v>
      </c>
      <c r="O371" s="276">
        <v>0</v>
      </c>
      <c r="P371" s="276">
        <f t="shared" si="43"/>
        <v>4682.7900000000009</v>
      </c>
      <c r="Q371" s="271">
        <f t="shared" si="44"/>
        <v>60084</v>
      </c>
      <c r="R371" s="276">
        <f t="shared" si="45"/>
        <v>48353.151599999997</v>
      </c>
      <c r="S371" s="276">
        <f t="shared" si="46"/>
        <v>2125.44</v>
      </c>
      <c r="T371" s="270"/>
      <c r="U371" s="270"/>
    </row>
    <row r="372" spans="1:21" s="270" customFormat="1" x14ac:dyDescent="0.25">
      <c r="A372" s="271">
        <v>501406</v>
      </c>
      <c r="B372" s="271">
        <v>1406</v>
      </c>
      <c r="C372" s="271">
        <v>8358</v>
      </c>
      <c r="D372" s="268" t="s">
        <v>894</v>
      </c>
      <c r="E372" s="268" t="s">
        <v>1290</v>
      </c>
      <c r="F372" s="268" t="s">
        <v>2565</v>
      </c>
      <c r="G372" s="268">
        <v>11</v>
      </c>
      <c r="H372" s="268" t="s">
        <v>2796</v>
      </c>
      <c r="I372" s="268" t="s">
        <v>2946</v>
      </c>
      <c r="J372" s="271">
        <v>267588</v>
      </c>
      <c r="K372" s="271">
        <f t="shared" si="41"/>
        <v>22299</v>
      </c>
      <c r="L372" s="271">
        <f t="shared" si="42"/>
        <v>12141.24</v>
      </c>
      <c r="M372" s="267">
        <v>0</v>
      </c>
      <c r="N372" s="271">
        <f t="shared" si="47"/>
        <v>129.60000000000002</v>
      </c>
      <c r="O372" s="276">
        <v>0</v>
      </c>
      <c r="P372" s="276">
        <f t="shared" si="43"/>
        <v>4682.7900000000009</v>
      </c>
      <c r="Q372" s="271">
        <f t="shared" si="44"/>
        <v>60084</v>
      </c>
      <c r="R372" s="271">
        <f t="shared" si="45"/>
        <v>48353.151599999997</v>
      </c>
      <c r="S372" s="271">
        <f t="shared" si="46"/>
        <v>2125.44</v>
      </c>
    </row>
    <row r="373" spans="1:21" x14ac:dyDescent="0.25">
      <c r="A373" s="271">
        <v>501406</v>
      </c>
      <c r="B373" s="271">
        <v>1406</v>
      </c>
      <c r="C373" s="271">
        <v>23430</v>
      </c>
      <c r="D373" s="268" t="s">
        <v>894</v>
      </c>
      <c r="E373" s="268" t="s">
        <v>1290</v>
      </c>
      <c r="F373" s="268" t="s">
        <v>2799</v>
      </c>
      <c r="G373" s="268">
        <v>11</v>
      </c>
      <c r="H373" s="268" t="s">
        <v>2947</v>
      </c>
      <c r="I373" s="268" t="s">
        <v>2946</v>
      </c>
      <c r="J373" s="271">
        <v>267588</v>
      </c>
      <c r="K373" s="271">
        <f t="shared" si="41"/>
        <v>22299</v>
      </c>
      <c r="L373" s="271">
        <f t="shared" si="42"/>
        <v>12141.24</v>
      </c>
      <c r="M373" s="267">
        <v>0</v>
      </c>
      <c r="N373" s="271">
        <f t="shared" si="47"/>
        <v>129.60000000000002</v>
      </c>
      <c r="O373" s="276">
        <v>0</v>
      </c>
      <c r="P373" s="276">
        <f t="shared" si="43"/>
        <v>4682.7900000000009</v>
      </c>
      <c r="Q373" s="271">
        <f t="shared" si="44"/>
        <v>60084</v>
      </c>
      <c r="R373" s="271">
        <f t="shared" si="45"/>
        <v>48353.151599999997</v>
      </c>
      <c r="S373" s="271">
        <f t="shared" si="46"/>
        <v>2125.44</v>
      </c>
      <c r="T373" s="270"/>
      <c r="U373" s="270"/>
    </row>
    <row r="374" spans="1:21" s="270" customFormat="1" x14ac:dyDescent="0.25">
      <c r="A374" s="276">
        <v>501443</v>
      </c>
      <c r="B374" s="276">
        <v>1443</v>
      </c>
      <c r="C374" s="276">
        <v>34005</v>
      </c>
      <c r="D374" s="268" t="s">
        <v>894</v>
      </c>
      <c r="E374" s="268" t="s">
        <v>1290</v>
      </c>
      <c r="F374" s="268" t="s">
        <v>1290</v>
      </c>
      <c r="G374" s="268">
        <v>11</v>
      </c>
      <c r="H374" s="268" t="s">
        <v>2948</v>
      </c>
      <c r="I374" s="268" t="s">
        <v>2946</v>
      </c>
      <c r="J374" s="267">
        <v>267588</v>
      </c>
      <c r="K374" s="276">
        <f t="shared" si="41"/>
        <v>22299</v>
      </c>
      <c r="L374" s="271">
        <f t="shared" si="42"/>
        <v>12141.24</v>
      </c>
      <c r="M374" s="267">
        <f>750*12</f>
        <v>9000</v>
      </c>
      <c r="N374" s="276">
        <f t="shared" si="47"/>
        <v>129.60000000000002</v>
      </c>
      <c r="O374" s="276">
        <v>0</v>
      </c>
      <c r="P374" s="276">
        <f t="shared" si="43"/>
        <v>4682.7900000000009</v>
      </c>
      <c r="Q374" s="271">
        <f t="shared" si="44"/>
        <v>60084</v>
      </c>
      <c r="R374" s="276">
        <f t="shared" si="45"/>
        <v>48353.151599999997</v>
      </c>
      <c r="S374" s="276">
        <f t="shared" si="46"/>
        <v>2125.44</v>
      </c>
    </row>
    <row r="375" spans="1:21" s="270" customFormat="1" x14ac:dyDescent="0.25">
      <c r="A375" s="271">
        <v>501406</v>
      </c>
      <c r="B375" s="271">
        <v>1406</v>
      </c>
      <c r="C375" s="271">
        <v>34212</v>
      </c>
      <c r="D375" s="268" t="s">
        <v>894</v>
      </c>
      <c r="E375" s="268" t="s">
        <v>1290</v>
      </c>
      <c r="F375" s="268" t="s">
        <v>2949</v>
      </c>
      <c r="G375" s="268">
        <v>11</v>
      </c>
      <c r="H375" s="268" t="s">
        <v>2796</v>
      </c>
      <c r="I375" s="268" t="s">
        <v>2946</v>
      </c>
      <c r="J375" s="271">
        <v>267588</v>
      </c>
      <c r="K375" s="271">
        <f t="shared" si="41"/>
        <v>22299</v>
      </c>
      <c r="L375" s="271">
        <f t="shared" si="42"/>
        <v>12141.24</v>
      </c>
      <c r="M375" s="267">
        <v>0</v>
      </c>
      <c r="N375" s="271">
        <f t="shared" si="47"/>
        <v>129.60000000000002</v>
      </c>
      <c r="O375" s="276">
        <v>0</v>
      </c>
      <c r="P375" s="276">
        <f t="shared" si="43"/>
        <v>4682.7900000000009</v>
      </c>
      <c r="Q375" s="271">
        <f t="shared" si="44"/>
        <v>60084</v>
      </c>
      <c r="R375" s="271">
        <f t="shared" si="45"/>
        <v>48353.151599999997</v>
      </c>
      <c r="S375" s="271">
        <f t="shared" si="46"/>
        <v>2125.44</v>
      </c>
    </row>
    <row r="376" spans="1:21" s="270" customFormat="1" x14ac:dyDescent="0.25">
      <c r="A376" s="271">
        <v>501444</v>
      </c>
      <c r="B376" s="271">
        <v>1444</v>
      </c>
      <c r="C376" s="271">
        <v>34238</v>
      </c>
      <c r="D376" s="268" t="s">
        <v>894</v>
      </c>
      <c r="E376" s="268" t="s">
        <v>1290</v>
      </c>
      <c r="F376" s="268" t="s">
        <v>2950</v>
      </c>
      <c r="G376" s="268">
        <v>11</v>
      </c>
      <c r="H376" s="268" t="s">
        <v>2951</v>
      </c>
      <c r="I376" s="268" t="s">
        <v>2946</v>
      </c>
      <c r="J376" s="271">
        <v>267588</v>
      </c>
      <c r="K376" s="271">
        <f t="shared" si="41"/>
        <v>22299</v>
      </c>
      <c r="L376" s="271">
        <f t="shared" si="42"/>
        <v>12141.24</v>
      </c>
      <c r="M376" s="267">
        <v>0</v>
      </c>
      <c r="N376" s="271">
        <f t="shared" si="47"/>
        <v>129.60000000000002</v>
      </c>
      <c r="O376" s="276">
        <v>0</v>
      </c>
      <c r="P376" s="276">
        <f t="shared" si="43"/>
        <v>4682.7900000000009</v>
      </c>
      <c r="Q376" s="271">
        <f t="shared" si="44"/>
        <v>60084</v>
      </c>
      <c r="R376" s="271">
        <f t="shared" si="45"/>
        <v>48353.151599999997</v>
      </c>
      <c r="S376" s="271">
        <f t="shared" si="46"/>
        <v>2125.44</v>
      </c>
    </row>
    <row r="377" spans="1:21" s="270" customFormat="1" x14ac:dyDescent="0.25">
      <c r="A377" s="276">
        <v>501443</v>
      </c>
      <c r="B377" s="276">
        <v>1443</v>
      </c>
      <c r="C377" s="276">
        <v>35952</v>
      </c>
      <c r="D377" s="268" t="s">
        <v>894</v>
      </c>
      <c r="E377" s="268" t="s">
        <v>1290</v>
      </c>
      <c r="F377" s="268" t="s">
        <v>2952</v>
      </c>
      <c r="G377" s="268">
        <v>11</v>
      </c>
      <c r="H377" s="268" t="s">
        <v>2295</v>
      </c>
      <c r="I377" s="268" t="s">
        <v>2946</v>
      </c>
      <c r="J377" s="267">
        <v>267588</v>
      </c>
      <c r="K377" s="276">
        <f t="shared" si="41"/>
        <v>22299</v>
      </c>
      <c r="L377" s="271">
        <f t="shared" si="42"/>
        <v>12141.24</v>
      </c>
      <c r="M377" s="267">
        <f>750*12</f>
        <v>9000</v>
      </c>
      <c r="N377" s="276">
        <f t="shared" si="47"/>
        <v>129.60000000000002</v>
      </c>
      <c r="O377" s="276">
        <v>0</v>
      </c>
      <c r="P377" s="276">
        <f t="shared" si="43"/>
        <v>4682.7900000000009</v>
      </c>
      <c r="Q377" s="271">
        <f t="shared" si="44"/>
        <v>60084</v>
      </c>
      <c r="R377" s="276">
        <f t="shared" si="45"/>
        <v>48353.151599999997</v>
      </c>
      <c r="S377" s="276">
        <f t="shared" si="46"/>
        <v>2125.44</v>
      </c>
    </row>
    <row r="378" spans="1:21" s="270" customFormat="1" x14ac:dyDescent="0.25">
      <c r="A378" s="276">
        <v>501443</v>
      </c>
      <c r="B378" s="276">
        <v>1457</v>
      </c>
      <c r="C378" s="276">
        <v>36045</v>
      </c>
      <c r="D378" s="268" t="s">
        <v>894</v>
      </c>
      <c r="E378" s="268" t="s">
        <v>1290</v>
      </c>
      <c r="F378" s="268" t="s">
        <v>2953</v>
      </c>
      <c r="G378" s="268">
        <v>11</v>
      </c>
      <c r="H378" s="268" t="s">
        <v>2954</v>
      </c>
      <c r="I378" s="268" t="s">
        <v>2955</v>
      </c>
      <c r="J378" s="267">
        <v>267588</v>
      </c>
      <c r="K378" s="276">
        <f t="shared" si="41"/>
        <v>22299</v>
      </c>
      <c r="L378" s="271">
        <f t="shared" si="42"/>
        <v>12141.24</v>
      </c>
      <c r="M378" s="267">
        <f>500*12</f>
        <v>6000</v>
      </c>
      <c r="N378" s="276">
        <f t="shared" si="47"/>
        <v>129.60000000000002</v>
      </c>
      <c r="O378" s="276">
        <v>0</v>
      </c>
      <c r="P378" s="276">
        <f t="shared" si="43"/>
        <v>4682.7900000000009</v>
      </c>
      <c r="Q378" s="271">
        <f t="shared" si="44"/>
        <v>60084</v>
      </c>
      <c r="R378" s="276">
        <f t="shared" si="45"/>
        <v>48353.151599999997</v>
      </c>
      <c r="S378" s="276">
        <f t="shared" si="46"/>
        <v>2125.44</v>
      </c>
    </row>
    <row r="379" spans="1:21" s="270" customFormat="1" x14ac:dyDescent="0.25">
      <c r="A379" s="276">
        <v>501444</v>
      </c>
      <c r="B379" s="276">
        <v>1444</v>
      </c>
      <c r="C379" s="276">
        <v>44260</v>
      </c>
      <c r="D379" s="268" t="s">
        <v>894</v>
      </c>
      <c r="E379" s="268" t="s">
        <v>1290</v>
      </c>
      <c r="F379" s="268" t="s">
        <v>2229</v>
      </c>
      <c r="G379" s="268">
        <v>11</v>
      </c>
      <c r="H379" s="268" t="s">
        <v>2956</v>
      </c>
      <c r="I379" s="268" t="s">
        <v>2946</v>
      </c>
      <c r="J379" s="267">
        <v>267588</v>
      </c>
      <c r="K379" s="276">
        <f t="shared" si="41"/>
        <v>22299</v>
      </c>
      <c r="L379" s="271">
        <f t="shared" si="42"/>
        <v>12141.24</v>
      </c>
      <c r="M379" s="267">
        <f>500*12</f>
        <v>6000</v>
      </c>
      <c r="N379" s="276">
        <f t="shared" si="47"/>
        <v>129.60000000000002</v>
      </c>
      <c r="O379" s="276">
        <v>0</v>
      </c>
      <c r="P379" s="276">
        <f t="shared" si="43"/>
        <v>4682.7900000000009</v>
      </c>
      <c r="Q379" s="271">
        <f t="shared" si="44"/>
        <v>60084</v>
      </c>
      <c r="R379" s="276">
        <f t="shared" si="45"/>
        <v>48353.151599999997</v>
      </c>
      <c r="S379" s="276">
        <f t="shared" si="46"/>
        <v>2125.44</v>
      </c>
    </row>
    <row r="380" spans="1:21" s="270" customFormat="1" x14ac:dyDescent="0.25">
      <c r="A380" s="271">
        <v>501443</v>
      </c>
      <c r="B380" s="271">
        <v>1443</v>
      </c>
      <c r="C380" s="271">
        <v>51619</v>
      </c>
      <c r="D380" s="268" t="s">
        <v>894</v>
      </c>
      <c r="E380" s="268" t="s">
        <v>1278</v>
      </c>
      <c r="F380" s="268" t="s">
        <v>2957</v>
      </c>
      <c r="G380" s="268">
        <v>11</v>
      </c>
      <c r="H380" s="268" t="s">
        <v>2958</v>
      </c>
      <c r="I380" s="268" t="s">
        <v>2908</v>
      </c>
      <c r="J380" s="271">
        <v>267588</v>
      </c>
      <c r="K380" s="271">
        <f t="shared" si="41"/>
        <v>22299</v>
      </c>
      <c r="L380" s="271">
        <f t="shared" si="42"/>
        <v>12141.24</v>
      </c>
      <c r="M380" s="267">
        <v>0</v>
      </c>
      <c r="N380" s="271">
        <f t="shared" si="47"/>
        <v>129.60000000000002</v>
      </c>
      <c r="O380" s="276">
        <v>0</v>
      </c>
      <c r="P380" s="276">
        <f t="shared" si="43"/>
        <v>4682.7900000000009</v>
      </c>
      <c r="Q380" s="271">
        <f t="shared" si="44"/>
        <v>60084</v>
      </c>
      <c r="R380" s="271">
        <f t="shared" si="45"/>
        <v>48353.151599999997</v>
      </c>
      <c r="S380" s="271">
        <f t="shared" si="46"/>
        <v>2125.44</v>
      </c>
    </row>
    <row r="381" spans="1:21" s="270" customFormat="1" x14ac:dyDescent="0.25">
      <c r="A381" s="271">
        <v>501443</v>
      </c>
      <c r="B381" s="271">
        <v>1443</v>
      </c>
      <c r="C381" s="271">
        <v>51664</v>
      </c>
      <c r="D381" s="268" t="s">
        <v>894</v>
      </c>
      <c r="E381" s="268" t="s">
        <v>1290</v>
      </c>
      <c r="F381" s="268" t="s">
        <v>2737</v>
      </c>
      <c r="G381" s="268">
        <v>11</v>
      </c>
      <c r="H381" s="268" t="s">
        <v>2959</v>
      </c>
      <c r="I381" s="268" t="s">
        <v>2960</v>
      </c>
      <c r="J381" s="271">
        <v>267588</v>
      </c>
      <c r="K381" s="271">
        <f t="shared" si="41"/>
        <v>22299</v>
      </c>
      <c r="L381" s="271">
        <f t="shared" si="42"/>
        <v>12141.24</v>
      </c>
      <c r="M381" s="267">
        <v>0</v>
      </c>
      <c r="N381" s="271">
        <f t="shared" si="47"/>
        <v>129.60000000000002</v>
      </c>
      <c r="O381" s="276">
        <v>0</v>
      </c>
      <c r="P381" s="276">
        <f t="shared" si="43"/>
        <v>4682.7900000000009</v>
      </c>
      <c r="Q381" s="271">
        <f t="shared" si="44"/>
        <v>60084</v>
      </c>
      <c r="R381" s="271">
        <f t="shared" si="45"/>
        <v>48353.151599999997</v>
      </c>
      <c r="S381" s="271">
        <f t="shared" si="46"/>
        <v>2125.44</v>
      </c>
    </row>
    <row r="382" spans="1:21" s="270" customFormat="1" x14ac:dyDescent="0.25">
      <c r="A382" s="271">
        <v>501406</v>
      </c>
      <c r="B382" s="271">
        <v>1406</v>
      </c>
      <c r="C382" s="271">
        <v>51884</v>
      </c>
      <c r="D382" s="268" t="s">
        <v>894</v>
      </c>
      <c r="E382" s="268" t="s">
        <v>1290</v>
      </c>
      <c r="F382" s="268" t="s">
        <v>2838</v>
      </c>
      <c r="G382" s="268">
        <v>11</v>
      </c>
      <c r="H382" s="268" t="s">
        <v>2961</v>
      </c>
      <c r="I382" s="268" t="s">
        <v>2946</v>
      </c>
      <c r="J382" s="271">
        <v>267588</v>
      </c>
      <c r="K382" s="271">
        <f t="shared" si="41"/>
        <v>22299</v>
      </c>
      <c r="L382" s="271">
        <f t="shared" si="42"/>
        <v>12141.24</v>
      </c>
      <c r="M382" s="267">
        <v>0</v>
      </c>
      <c r="N382" s="271">
        <f t="shared" si="47"/>
        <v>129.60000000000002</v>
      </c>
      <c r="O382" s="276">
        <v>0</v>
      </c>
      <c r="P382" s="276">
        <f t="shared" si="43"/>
        <v>4682.7900000000009</v>
      </c>
      <c r="Q382" s="271">
        <f t="shared" si="44"/>
        <v>60084</v>
      </c>
      <c r="R382" s="271">
        <f t="shared" si="45"/>
        <v>48353.151599999997</v>
      </c>
      <c r="S382" s="271">
        <f t="shared" si="46"/>
        <v>2125.44</v>
      </c>
    </row>
    <row r="383" spans="1:21" s="270" customFormat="1" x14ac:dyDescent="0.25">
      <c r="A383" s="271">
        <v>501406</v>
      </c>
      <c r="B383" s="271">
        <v>1406</v>
      </c>
      <c r="C383" s="271">
        <v>51907</v>
      </c>
      <c r="D383" s="268" t="s">
        <v>894</v>
      </c>
      <c r="E383" s="268" t="s">
        <v>1290</v>
      </c>
      <c r="F383" s="268" t="s">
        <v>1293</v>
      </c>
      <c r="G383" s="268">
        <v>11</v>
      </c>
      <c r="H383" s="268" t="s">
        <v>2962</v>
      </c>
      <c r="I383" s="268" t="s">
        <v>2963</v>
      </c>
      <c r="J383" s="271">
        <v>267588</v>
      </c>
      <c r="K383" s="271">
        <f t="shared" si="41"/>
        <v>22299</v>
      </c>
      <c r="L383" s="271">
        <f t="shared" si="42"/>
        <v>12141.24</v>
      </c>
      <c r="M383" s="267">
        <v>0</v>
      </c>
      <c r="N383" s="271">
        <f t="shared" si="47"/>
        <v>129.60000000000002</v>
      </c>
      <c r="O383" s="276">
        <v>0</v>
      </c>
      <c r="P383" s="276">
        <f t="shared" si="43"/>
        <v>4682.7900000000009</v>
      </c>
      <c r="Q383" s="271">
        <f t="shared" si="44"/>
        <v>60084</v>
      </c>
      <c r="R383" s="271">
        <f t="shared" si="45"/>
        <v>48353.151599999997</v>
      </c>
      <c r="S383" s="271">
        <f t="shared" si="46"/>
        <v>2125.44</v>
      </c>
    </row>
    <row r="384" spans="1:21" s="270" customFormat="1" x14ac:dyDescent="0.25">
      <c r="A384" s="276">
        <v>501443</v>
      </c>
      <c r="B384" s="276">
        <v>1443</v>
      </c>
      <c r="C384" s="276">
        <v>83658</v>
      </c>
      <c r="D384" s="268" t="s">
        <v>894</v>
      </c>
      <c r="E384" s="268" t="s">
        <v>1290</v>
      </c>
      <c r="F384" s="268" t="s">
        <v>2964</v>
      </c>
      <c r="G384" s="268">
        <v>11</v>
      </c>
      <c r="H384" s="268" t="s">
        <v>2965</v>
      </c>
      <c r="I384" s="268" t="s">
        <v>2946</v>
      </c>
      <c r="J384" s="267">
        <v>267588</v>
      </c>
      <c r="K384" s="276">
        <f t="shared" ref="K384:K447" si="48">J384/12</f>
        <v>22299</v>
      </c>
      <c r="L384" s="271">
        <f t="shared" ref="L384:L447" si="49">1011.77*12</f>
        <v>12141.24</v>
      </c>
      <c r="M384" s="267">
        <f>750*12</f>
        <v>9000</v>
      </c>
      <c r="N384" s="276">
        <f t="shared" si="47"/>
        <v>129.60000000000002</v>
      </c>
      <c r="O384" s="276">
        <v>0</v>
      </c>
      <c r="P384" s="276">
        <f t="shared" ref="P384:P447" si="50">J384*1.75%</f>
        <v>4682.7900000000009</v>
      </c>
      <c r="Q384" s="271">
        <f t="shared" ref="Q384:Q447" si="51">5007*12</f>
        <v>60084</v>
      </c>
      <c r="R384" s="276">
        <f t="shared" ref="R384:R447" si="52">18.07%*J384</f>
        <v>48353.151599999997</v>
      </c>
      <c r="S384" s="276">
        <f t="shared" si="46"/>
        <v>2125.44</v>
      </c>
    </row>
    <row r="385" spans="1:19" s="270" customFormat="1" x14ac:dyDescent="0.25">
      <c r="A385" s="276">
        <v>501443</v>
      </c>
      <c r="B385" s="276">
        <v>1443</v>
      </c>
      <c r="C385" s="276">
        <v>83742</v>
      </c>
      <c r="D385" s="268" t="s">
        <v>894</v>
      </c>
      <c r="E385" s="268" t="s">
        <v>1290</v>
      </c>
      <c r="F385" s="268" t="s">
        <v>2966</v>
      </c>
      <c r="G385" s="268">
        <v>11</v>
      </c>
      <c r="H385" s="268" t="s">
        <v>2967</v>
      </c>
      <c r="I385" s="268" t="s">
        <v>2946</v>
      </c>
      <c r="J385" s="267">
        <v>267588</v>
      </c>
      <c r="K385" s="276">
        <f t="shared" si="48"/>
        <v>22299</v>
      </c>
      <c r="L385" s="271">
        <f t="shared" si="49"/>
        <v>12141.24</v>
      </c>
      <c r="M385" s="267">
        <f>750*12</f>
        <v>9000</v>
      </c>
      <c r="N385" s="276">
        <f t="shared" si="47"/>
        <v>129.60000000000002</v>
      </c>
      <c r="O385" s="276">
        <v>0</v>
      </c>
      <c r="P385" s="276">
        <f t="shared" si="50"/>
        <v>4682.7900000000009</v>
      </c>
      <c r="Q385" s="271">
        <f t="shared" si="51"/>
        <v>60084</v>
      </c>
      <c r="R385" s="276">
        <f t="shared" si="52"/>
        <v>48353.151599999997</v>
      </c>
      <c r="S385" s="276">
        <f t="shared" ref="S385:S448" si="53">177.12*12</f>
        <v>2125.44</v>
      </c>
    </row>
    <row r="386" spans="1:19" s="270" customFormat="1" x14ac:dyDescent="0.25">
      <c r="A386" s="276">
        <v>501443</v>
      </c>
      <c r="B386" s="276">
        <v>1443</v>
      </c>
      <c r="C386" s="276">
        <v>83755</v>
      </c>
      <c r="D386" s="268" t="s">
        <v>894</v>
      </c>
      <c r="E386" s="268" t="s">
        <v>1290</v>
      </c>
      <c r="F386" s="268" t="s">
        <v>2968</v>
      </c>
      <c r="G386" s="268">
        <v>11</v>
      </c>
      <c r="H386" s="268" t="s">
        <v>2969</v>
      </c>
      <c r="I386" s="268" t="s">
        <v>2946</v>
      </c>
      <c r="J386" s="267">
        <v>267588</v>
      </c>
      <c r="K386" s="276">
        <f t="shared" si="48"/>
        <v>22299</v>
      </c>
      <c r="L386" s="271">
        <f t="shared" si="49"/>
        <v>12141.24</v>
      </c>
      <c r="M386" s="267">
        <f>750*12</f>
        <v>9000</v>
      </c>
      <c r="N386" s="276">
        <f t="shared" si="47"/>
        <v>129.60000000000002</v>
      </c>
      <c r="O386" s="276">
        <v>0</v>
      </c>
      <c r="P386" s="276">
        <f t="shared" si="50"/>
        <v>4682.7900000000009</v>
      </c>
      <c r="Q386" s="271">
        <f t="shared" si="51"/>
        <v>60084</v>
      </c>
      <c r="R386" s="276">
        <f t="shared" si="52"/>
        <v>48353.151599999997</v>
      </c>
      <c r="S386" s="276">
        <f t="shared" si="53"/>
        <v>2125.44</v>
      </c>
    </row>
    <row r="387" spans="1:19" s="270" customFormat="1" x14ac:dyDescent="0.25">
      <c r="A387" s="276">
        <v>501443</v>
      </c>
      <c r="B387" s="276">
        <v>1443</v>
      </c>
      <c r="C387" s="276">
        <v>84026</v>
      </c>
      <c r="D387" s="268" t="s">
        <v>894</v>
      </c>
      <c r="E387" s="268" t="s">
        <v>1290</v>
      </c>
      <c r="F387" s="268" t="s">
        <v>2637</v>
      </c>
      <c r="G387" s="268">
        <v>11</v>
      </c>
      <c r="H387" s="268" t="s">
        <v>2970</v>
      </c>
      <c r="I387" s="268" t="s">
        <v>2946</v>
      </c>
      <c r="J387" s="267">
        <v>267588</v>
      </c>
      <c r="K387" s="276">
        <f t="shared" si="48"/>
        <v>22299</v>
      </c>
      <c r="L387" s="271">
        <f t="shared" si="49"/>
        <v>12141.24</v>
      </c>
      <c r="M387" s="267">
        <f>750*12</f>
        <v>9000</v>
      </c>
      <c r="N387" s="276">
        <f t="shared" si="47"/>
        <v>129.60000000000002</v>
      </c>
      <c r="O387" s="276">
        <v>0</v>
      </c>
      <c r="P387" s="276">
        <f t="shared" si="50"/>
        <v>4682.7900000000009</v>
      </c>
      <c r="Q387" s="271">
        <f t="shared" si="51"/>
        <v>60084</v>
      </c>
      <c r="R387" s="276">
        <f t="shared" si="52"/>
        <v>48353.151599999997</v>
      </c>
      <c r="S387" s="276">
        <f t="shared" si="53"/>
        <v>2125.44</v>
      </c>
    </row>
    <row r="388" spans="1:19" s="270" customFormat="1" x14ac:dyDescent="0.25">
      <c r="A388" s="271">
        <v>501204</v>
      </c>
      <c r="B388" s="271">
        <v>1204</v>
      </c>
      <c r="C388" s="271">
        <v>51635</v>
      </c>
      <c r="D388" s="268" t="s">
        <v>894</v>
      </c>
      <c r="E388" s="268" t="s">
        <v>1278</v>
      </c>
      <c r="F388" s="268" t="s">
        <v>2971</v>
      </c>
      <c r="G388" s="268">
        <v>10</v>
      </c>
      <c r="H388" s="268" t="s">
        <v>2972</v>
      </c>
      <c r="I388" s="268" t="s">
        <v>2906</v>
      </c>
      <c r="J388" s="271">
        <v>261504</v>
      </c>
      <c r="K388" s="271">
        <f t="shared" si="48"/>
        <v>21792</v>
      </c>
      <c r="L388" s="271">
        <f t="shared" si="49"/>
        <v>12141.24</v>
      </c>
      <c r="M388" s="267">
        <v>0</v>
      </c>
      <c r="N388" s="271">
        <f t="shared" si="47"/>
        <v>129.60000000000002</v>
      </c>
      <c r="O388" s="276">
        <v>0</v>
      </c>
      <c r="P388" s="276">
        <f t="shared" si="50"/>
        <v>4576.3200000000006</v>
      </c>
      <c r="Q388" s="271">
        <f t="shared" si="51"/>
        <v>60084</v>
      </c>
      <c r="R388" s="271">
        <f t="shared" si="52"/>
        <v>47253.772799999999</v>
      </c>
      <c r="S388" s="271">
        <f t="shared" si="53"/>
        <v>2125.44</v>
      </c>
    </row>
    <row r="389" spans="1:19" s="270" customFormat="1" x14ac:dyDescent="0.25">
      <c r="A389" s="271">
        <v>501204</v>
      </c>
      <c r="B389" s="271">
        <v>1204</v>
      </c>
      <c r="C389" s="271">
        <v>200012</v>
      </c>
      <c r="D389" s="268" t="s">
        <v>1698</v>
      </c>
      <c r="E389" s="268" t="s">
        <v>1278</v>
      </c>
      <c r="F389" s="268" t="s">
        <v>2973</v>
      </c>
      <c r="G389" s="268">
        <v>10</v>
      </c>
      <c r="H389" s="268" t="s">
        <v>2974</v>
      </c>
      <c r="I389" s="268" t="s">
        <v>2906</v>
      </c>
      <c r="J389" s="271">
        <v>261504</v>
      </c>
      <c r="K389" s="271">
        <f t="shared" si="48"/>
        <v>21792</v>
      </c>
      <c r="L389" s="271">
        <f t="shared" si="49"/>
        <v>12141.24</v>
      </c>
      <c r="M389" s="267">
        <v>0</v>
      </c>
      <c r="N389" s="271">
        <f t="shared" ref="N389:N452" si="54">10.8*12</f>
        <v>129.60000000000002</v>
      </c>
      <c r="O389" s="276">
        <v>0</v>
      </c>
      <c r="P389" s="276">
        <f t="shared" si="50"/>
        <v>4576.3200000000006</v>
      </c>
      <c r="Q389" s="271">
        <f t="shared" si="51"/>
        <v>60084</v>
      </c>
      <c r="R389" s="271">
        <f t="shared" si="52"/>
        <v>47253.772799999999</v>
      </c>
      <c r="S389" s="271">
        <f t="shared" si="53"/>
        <v>2125.44</v>
      </c>
    </row>
    <row r="390" spans="1:19" s="270" customFormat="1" x14ac:dyDescent="0.25">
      <c r="A390" s="276">
        <v>501443</v>
      </c>
      <c r="B390" s="276">
        <v>1443</v>
      </c>
      <c r="C390" s="276">
        <v>34128</v>
      </c>
      <c r="D390" s="268" t="s">
        <v>894</v>
      </c>
      <c r="E390" s="268" t="s">
        <v>1290</v>
      </c>
      <c r="F390" s="268" t="s">
        <v>2971</v>
      </c>
      <c r="G390" s="268">
        <v>11</v>
      </c>
      <c r="H390" s="268" t="s">
        <v>2975</v>
      </c>
      <c r="I390" s="268" t="s">
        <v>2946</v>
      </c>
      <c r="J390" s="267">
        <v>261504</v>
      </c>
      <c r="K390" s="276">
        <f t="shared" si="48"/>
        <v>21792</v>
      </c>
      <c r="L390" s="271">
        <f t="shared" si="49"/>
        <v>12141.24</v>
      </c>
      <c r="M390" s="267">
        <f>750*12</f>
        <v>9000</v>
      </c>
      <c r="N390" s="276">
        <f t="shared" si="54"/>
        <v>129.60000000000002</v>
      </c>
      <c r="O390" s="276">
        <v>0</v>
      </c>
      <c r="P390" s="276">
        <f t="shared" si="50"/>
        <v>4576.3200000000006</v>
      </c>
      <c r="Q390" s="271">
        <f t="shared" si="51"/>
        <v>60084</v>
      </c>
      <c r="R390" s="276">
        <f t="shared" si="52"/>
        <v>47253.772799999999</v>
      </c>
      <c r="S390" s="276">
        <f t="shared" si="53"/>
        <v>2125.44</v>
      </c>
    </row>
    <row r="391" spans="1:19" s="270" customFormat="1" x14ac:dyDescent="0.25">
      <c r="A391" s="271">
        <v>501443</v>
      </c>
      <c r="B391" s="271">
        <v>1443</v>
      </c>
      <c r="C391" s="271">
        <v>56562</v>
      </c>
      <c r="D391" s="268" t="s">
        <v>894</v>
      </c>
      <c r="E391" s="268" t="s">
        <v>1290</v>
      </c>
      <c r="F391" s="268" t="s">
        <v>2976</v>
      </c>
      <c r="G391" s="268">
        <v>11</v>
      </c>
      <c r="H391" s="268" t="s">
        <v>2977</v>
      </c>
      <c r="I391" s="268" t="s">
        <v>2978</v>
      </c>
      <c r="J391" s="271">
        <v>261504</v>
      </c>
      <c r="K391" s="271">
        <f t="shared" si="48"/>
        <v>21792</v>
      </c>
      <c r="L391" s="271">
        <f t="shared" si="49"/>
        <v>12141.24</v>
      </c>
      <c r="M391" s="267">
        <v>0</v>
      </c>
      <c r="N391" s="271">
        <f t="shared" si="54"/>
        <v>129.60000000000002</v>
      </c>
      <c r="O391" s="276">
        <v>0</v>
      </c>
      <c r="P391" s="276">
        <f t="shared" si="50"/>
        <v>4576.3200000000006</v>
      </c>
      <c r="Q391" s="271">
        <f t="shared" si="51"/>
        <v>60084</v>
      </c>
      <c r="R391" s="271">
        <f t="shared" si="52"/>
        <v>47253.772799999999</v>
      </c>
      <c r="S391" s="271">
        <f t="shared" si="53"/>
        <v>2125.44</v>
      </c>
    </row>
    <row r="392" spans="1:19" s="270" customFormat="1" x14ac:dyDescent="0.25">
      <c r="A392" s="271"/>
      <c r="B392" s="271">
        <v>1406</v>
      </c>
      <c r="C392" s="271">
        <v>200349</v>
      </c>
      <c r="D392" s="268" t="s">
        <v>894</v>
      </c>
      <c r="E392" s="268" t="s">
        <v>1278</v>
      </c>
      <c r="F392" s="268" t="s">
        <v>2979</v>
      </c>
      <c r="G392" s="268">
        <v>11</v>
      </c>
      <c r="H392" s="268" t="s">
        <v>2980</v>
      </c>
      <c r="I392" s="268" t="s">
        <v>2848</v>
      </c>
      <c r="J392" s="271">
        <v>261108</v>
      </c>
      <c r="K392" s="271">
        <f t="shared" si="48"/>
        <v>21759</v>
      </c>
      <c r="L392" s="271">
        <f t="shared" si="49"/>
        <v>12141.24</v>
      </c>
      <c r="M392" s="267">
        <v>0</v>
      </c>
      <c r="N392" s="271">
        <f t="shared" si="54"/>
        <v>129.60000000000002</v>
      </c>
      <c r="O392" s="276">
        <v>0</v>
      </c>
      <c r="P392" s="276">
        <f t="shared" si="50"/>
        <v>4569.3900000000003</v>
      </c>
      <c r="Q392" s="271">
        <f t="shared" si="51"/>
        <v>60084</v>
      </c>
      <c r="R392" s="271">
        <f t="shared" si="52"/>
        <v>47182.215600000003</v>
      </c>
      <c r="S392" s="271">
        <f t="shared" si="53"/>
        <v>2125.44</v>
      </c>
    </row>
    <row r="393" spans="1:19" s="270" customFormat="1" x14ac:dyDescent="0.25">
      <c r="A393" s="271">
        <v>501406</v>
      </c>
      <c r="B393" s="271">
        <v>1406</v>
      </c>
      <c r="C393" s="271">
        <v>83632</v>
      </c>
      <c r="D393" s="268" t="s">
        <v>894</v>
      </c>
      <c r="E393" s="268" t="s">
        <v>1290</v>
      </c>
      <c r="F393" s="268" t="s">
        <v>2647</v>
      </c>
      <c r="G393" s="268">
        <v>10</v>
      </c>
      <c r="H393" s="268" t="s">
        <v>2981</v>
      </c>
      <c r="I393" s="268" t="s">
        <v>2848</v>
      </c>
      <c r="J393" s="271">
        <v>255552</v>
      </c>
      <c r="K393" s="271">
        <f t="shared" si="48"/>
        <v>21296</v>
      </c>
      <c r="L393" s="271">
        <f t="shared" si="49"/>
        <v>12141.24</v>
      </c>
      <c r="M393" s="267">
        <v>0</v>
      </c>
      <c r="N393" s="271">
        <f t="shared" si="54"/>
        <v>129.60000000000002</v>
      </c>
      <c r="O393" s="276">
        <v>0</v>
      </c>
      <c r="P393" s="276">
        <f t="shared" si="50"/>
        <v>4472.1600000000008</v>
      </c>
      <c r="Q393" s="271">
        <f t="shared" si="51"/>
        <v>60084</v>
      </c>
      <c r="R393" s="271">
        <f t="shared" si="52"/>
        <v>46178.246399999996</v>
      </c>
      <c r="S393" s="271">
        <f t="shared" si="53"/>
        <v>2125.44</v>
      </c>
    </row>
    <row r="394" spans="1:19" s="270" customFormat="1" x14ac:dyDescent="0.25">
      <c r="A394" s="271">
        <v>501406</v>
      </c>
      <c r="B394" s="271">
        <v>1406</v>
      </c>
      <c r="C394" s="271">
        <v>83700</v>
      </c>
      <c r="D394" s="268" t="s">
        <v>894</v>
      </c>
      <c r="E394" s="268" t="s">
        <v>1290</v>
      </c>
      <c r="F394" s="268" t="s">
        <v>2982</v>
      </c>
      <c r="G394" s="268">
        <v>10</v>
      </c>
      <c r="H394" s="268" t="s">
        <v>2983</v>
      </c>
      <c r="I394" s="268" t="s">
        <v>2848</v>
      </c>
      <c r="J394" s="271">
        <v>255552</v>
      </c>
      <c r="K394" s="271">
        <f t="shared" si="48"/>
        <v>21296</v>
      </c>
      <c r="L394" s="271">
        <f t="shared" si="49"/>
        <v>12141.24</v>
      </c>
      <c r="M394" s="267">
        <v>0</v>
      </c>
      <c r="N394" s="271">
        <f t="shared" si="54"/>
        <v>129.60000000000002</v>
      </c>
      <c r="O394" s="276">
        <v>0</v>
      </c>
      <c r="P394" s="276">
        <f t="shared" si="50"/>
        <v>4472.1600000000008</v>
      </c>
      <c r="Q394" s="271">
        <f t="shared" si="51"/>
        <v>60084</v>
      </c>
      <c r="R394" s="271">
        <f t="shared" si="52"/>
        <v>46178.246399999996</v>
      </c>
      <c r="S394" s="271">
        <f t="shared" si="53"/>
        <v>2125.44</v>
      </c>
    </row>
    <row r="395" spans="1:19" s="270" customFormat="1" x14ac:dyDescent="0.25">
      <c r="A395" s="271">
        <v>501203</v>
      </c>
      <c r="B395" s="271">
        <v>1203</v>
      </c>
      <c r="C395" s="271">
        <v>200011</v>
      </c>
      <c r="D395" s="268" t="s">
        <v>894</v>
      </c>
      <c r="E395" s="268" t="s">
        <v>1278</v>
      </c>
      <c r="F395" s="268" t="s">
        <v>2984</v>
      </c>
      <c r="G395" s="268">
        <v>10</v>
      </c>
      <c r="H395" s="268" t="s">
        <v>2985</v>
      </c>
      <c r="I395" s="268" t="s">
        <v>2929</v>
      </c>
      <c r="J395" s="271">
        <v>255552</v>
      </c>
      <c r="K395" s="271">
        <f t="shared" si="48"/>
        <v>21296</v>
      </c>
      <c r="L395" s="271">
        <f t="shared" si="49"/>
        <v>12141.24</v>
      </c>
      <c r="M395" s="267">
        <v>0</v>
      </c>
      <c r="N395" s="271">
        <f t="shared" si="54"/>
        <v>129.60000000000002</v>
      </c>
      <c r="O395" s="276">
        <v>0</v>
      </c>
      <c r="P395" s="276">
        <f t="shared" si="50"/>
        <v>4472.1600000000008</v>
      </c>
      <c r="Q395" s="271">
        <f t="shared" si="51"/>
        <v>60084</v>
      </c>
      <c r="R395" s="271">
        <f t="shared" si="52"/>
        <v>46178.246399999996</v>
      </c>
      <c r="S395" s="271">
        <f t="shared" si="53"/>
        <v>2125.44</v>
      </c>
    </row>
    <row r="396" spans="1:19" s="270" customFormat="1" x14ac:dyDescent="0.25">
      <c r="A396" s="271">
        <v>501406</v>
      </c>
      <c r="B396" s="271">
        <v>1406</v>
      </c>
      <c r="C396" s="271">
        <v>200123</v>
      </c>
      <c r="D396" s="268" t="s">
        <v>894</v>
      </c>
      <c r="E396" s="268" t="s">
        <v>1278</v>
      </c>
      <c r="F396" s="268" t="s">
        <v>2434</v>
      </c>
      <c r="G396" s="268">
        <v>10</v>
      </c>
      <c r="H396" s="268" t="s">
        <v>2582</v>
      </c>
      <c r="I396" s="268" t="s">
        <v>2848</v>
      </c>
      <c r="J396" s="271">
        <v>255552</v>
      </c>
      <c r="K396" s="271">
        <f t="shared" si="48"/>
        <v>21296</v>
      </c>
      <c r="L396" s="271">
        <f t="shared" si="49"/>
        <v>12141.24</v>
      </c>
      <c r="M396" s="267">
        <v>0</v>
      </c>
      <c r="N396" s="271">
        <f t="shared" si="54"/>
        <v>129.60000000000002</v>
      </c>
      <c r="O396" s="276">
        <v>0</v>
      </c>
      <c r="P396" s="276">
        <f t="shared" si="50"/>
        <v>4472.1600000000008</v>
      </c>
      <c r="Q396" s="271">
        <f t="shared" si="51"/>
        <v>60084</v>
      </c>
      <c r="R396" s="271">
        <f t="shared" si="52"/>
        <v>46178.246399999996</v>
      </c>
      <c r="S396" s="271">
        <f t="shared" si="53"/>
        <v>2125.44</v>
      </c>
    </row>
    <row r="397" spans="1:19" s="270" customFormat="1" x14ac:dyDescent="0.25">
      <c r="A397" s="271">
        <v>501443</v>
      </c>
      <c r="B397" s="271">
        <v>1443</v>
      </c>
      <c r="C397" s="271">
        <v>200160</v>
      </c>
      <c r="D397" s="268" t="s">
        <v>894</v>
      </c>
      <c r="E397" s="268" t="s">
        <v>1278</v>
      </c>
      <c r="F397" s="268" t="s">
        <v>1306</v>
      </c>
      <c r="G397" s="268">
        <v>10</v>
      </c>
      <c r="H397" s="268" t="s">
        <v>2986</v>
      </c>
      <c r="I397" s="268" t="s">
        <v>2987</v>
      </c>
      <c r="J397" s="271">
        <v>255552</v>
      </c>
      <c r="K397" s="271">
        <f t="shared" si="48"/>
        <v>21296</v>
      </c>
      <c r="L397" s="271">
        <f t="shared" si="49"/>
        <v>12141.24</v>
      </c>
      <c r="M397" s="267">
        <v>0</v>
      </c>
      <c r="N397" s="271">
        <f t="shared" si="54"/>
        <v>129.60000000000002</v>
      </c>
      <c r="O397" s="276">
        <v>0</v>
      </c>
      <c r="P397" s="276">
        <f t="shared" si="50"/>
        <v>4472.1600000000008</v>
      </c>
      <c r="Q397" s="271">
        <f t="shared" si="51"/>
        <v>60084</v>
      </c>
      <c r="R397" s="271">
        <f t="shared" si="52"/>
        <v>46178.246399999996</v>
      </c>
      <c r="S397" s="271">
        <f t="shared" si="53"/>
        <v>2125.44</v>
      </c>
    </row>
    <row r="398" spans="1:19" s="270" customFormat="1" x14ac:dyDescent="0.25">
      <c r="A398" s="271"/>
      <c r="B398" s="271">
        <v>1445</v>
      </c>
      <c r="C398" s="271">
        <v>200321</v>
      </c>
      <c r="D398" s="268" t="s">
        <v>894</v>
      </c>
      <c r="E398" s="268" t="s">
        <v>1278</v>
      </c>
      <c r="F398" s="268" t="s">
        <v>2971</v>
      </c>
      <c r="G398" s="268">
        <v>10</v>
      </c>
      <c r="H398" s="268" t="s">
        <v>2635</v>
      </c>
      <c r="I398" s="268" t="s">
        <v>2844</v>
      </c>
      <c r="J398" s="271">
        <v>255552</v>
      </c>
      <c r="K398" s="271">
        <f t="shared" si="48"/>
        <v>21296</v>
      </c>
      <c r="L398" s="271">
        <f t="shared" si="49"/>
        <v>12141.24</v>
      </c>
      <c r="M398" s="267">
        <v>0</v>
      </c>
      <c r="N398" s="271">
        <f t="shared" si="54"/>
        <v>129.60000000000002</v>
      </c>
      <c r="O398" s="276">
        <v>0</v>
      </c>
      <c r="P398" s="276">
        <f t="shared" si="50"/>
        <v>4472.1600000000008</v>
      </c>
      <c r="Q398" s="271">
        <f t="shared" si="51"/>
        <v>60084</v>
      </c>
      <c r="R398" s="271">
        <f t="shared" si="52"/>
        <v>46178.246399999996</v>
      </c>
      <c r="S398" s="271">
        <f t="shared" si="53"/>
        <v>2125.44</v>
      </c>
    </row>
    <row r="399" spans="1:19" s="270" customFormat="1" x14ac:dyDescent="0.25">
      <c r="A399" s="271"/>
      <c r="B399" s="271">
        <v>1445</v>
      </c>
      <c r="C399" s="271">
        <v>200421</v>
      </c>
      <c r="D399" s="268" t="s">
        <v>894</v>
      </c>
      <c r="E399" s="268" t="s">
        <v>1278</v>
      </c>
      <c r="F399" s="268" t="s">
        <v>2976</v>
      </c>
      <c r="G399" s="268">
        <v>10</v>
      </c>
      <c r="H399" s="268" t="s">
        <v>2988</v>
      </c>
      <c r="I399" s="268" t="s">
        <v>2844</v>
      </c>
      <c r="J399" s="271">
        <v>255552</v>
      </c>
      <c r="K399" s="271">
        <f t="shared" si="48"/>
        <v>21296</v>
      </c>
      <c r="L399" s="271">
        <f t="shared" si="49"/>
        <v>12141.24</v>
      </c>
      <c r="M399" s="267">
        <v>0</v>
      </c>
      <c r="N399" s="271">
        <f t="shared" si="54"/>
        <v>129.60000000000002</v>
      </c>
      <c r="O399" s="276">
        <v>0</v>
      </c>
      <c r="P399" s="276">
        <f t="shared" si="50"/>
        <v>4472.1600000000008</v>
      </c>
      <c r="Q399" s="271">
        <f t="shared" si="51"/>
        <v>60084</v>
      </c>
      <c r="R399" s="271">
        <f t="shared" si="52"/>
        <v>46178.246399999996</v>
      </c>
      <c r="S399" s="271">
        <f t="shared" si="53"/>
        <v>2125.44</v>
      </c>
    </row>
    <row r="400" spans="1:19" s="270" customFormat="1" x14ac:dyDescent="0.25">
      <c r="A400" s="271"/>
      <c r="B400" s="271">
        <v>1406</v>
      </c>
      <c r="C400" s="271">
        <v>200441</v>
      </c>
      <c r="D400" s="268" t="s">
        <v>894</v>
      </c>
      <c r="E400" s="268" t="s">
        <v>1278</v>
      </c>
      <c r="F400" s="268" t="s">
        <v>2362</v>
      </c>
      <c r="G400" s="268">
        <v>10</v>
      </c>
      <c r="H400" s="268" t="s">
        <v>2989</v>
      </c>
      <c r="I400" s="268" t="s">
        <v>2848</v>
      </c>
      <c r="J400" s="271">
        <v>255552</v>
      </c>
      <c r="K400" s="271">
        <f t="shared" si="48"/>
        <v>21296</v>
      </c>
      <c r="L400" s="271">
        <f t="shared" si="49"/>
        <v>12141.24</v>
      </c>
      <c r="M400" s="267">
        <v>0</v>
      </c>
      <c r="N400" s="271">
        <f t="shared" si="54"/>
        <v>129.60000000000002</v>
      </c>
      <c r="O400" s="276">
        <v>0</v>
      </c>
      <c r="P400" s="276">
        <f t="shared" si="50"/>
        <v>4472.1600000000008</v>
      </c>
      <c r="Q400" s="271">
        <f t="shared" si="51"/>
        <v>60084</v>
      </c>
      <c r="R400" s="271">
        <f t="shared" si="52"/>
        <v>46178.246399999996</v>
      </c>
      <c r="S400" s="271">
        <f t="shared" si="53"/>
        <v>2125.44</v>
      </c>
    </row>
    <row r="401" spans="1:21" s="270" customFormat="1" x14ac:dyDescent="0.25">
      <c r="A401" s="271"/>
      <c r="B401" s="271">
        <v>1406</v>
      </c>
      <c r="C401" s="271">
        <v>200444</v>
      </c>
      <c r="D401" s="268" t="s">
        <v>894</v>
      </c>
      <c r="E401" s="268" t="s">
        <v>1278</v>
      </c>
      <c r="F401" s="268" t="s">
        <v>894</v>
      </c>
      <c r="G401" s="268">
        <v>10</v>
      </c>
      <c r="H401" s="268" t="s">
        <v>2990</v>
      </c>
      <c r="I401" s="268" t="s">
        <v>2848</v>
      </c>
      <c r="J401" s="271">
        <v>255552</v>
      </c>
      <c r="K401" s="271">
        <f t="shared" si="48"/>
        <v>21296</v>
      </c>
      <c r="L401" s="271">
        <f t="shared" si="49"/>
        <v>12141.24</v>
      </c>
      <c r="M401" s="267">
        <v>0</v>
      </c>
      <c r="N401" s="271">
        <f t="shared" si="54"/>
        <v>129.60000000000002</v>
      </c>
      <c r="O401" s="276">
        <v>0</v>
      </c>
      <c r="P401" s="276">
        <f t="shared" si="50"/>
        <v>4472.1600000000008</v>
      </c>
      <c r="Q401" s="271">
        <f t="shared" si="51"/>
        <v>60084</v>
      </c>
      <c r="R401" s="271">
        <f t="shared" si="52"/>
        <v>46178.246399999996</v>
      </c>
      <c r="S401" s="271">
        <f t="shared" si="53"/>
        <v>2125.44</v>
      </c>
    </row>
    <row r="402" spans="1:21" s="270" customFormat="1" x14ac:dyDescent="0.25">
      <c r="A402" s="271">
        <v>501406</v>
      </c>
      <c r="B402" s="271">
        <v>1406</v>
      </c>
      <c r="C402" s="271">
        <v>34160</v>
      </c>
      <c r="D402" s="268" t="s">
        <v>894</v>
      </c>
      <c r="E402" s="268" t="s">
        <v>1290</v>
      </c>
      <c r="F402" s="268" t="s">
        <v>2991</v>
      </c>
      <c r="G402" s="268">
        <v>11</v>
      </c>
      <c r="H402" s="268" t="s">
        <v>2992</v>
      </c>
      <c r="I402" s="268" t="s">
        <v>2944</v>
      </c>
      <c r="J402" s="271">
        <v>255552</v>
      </c>
      <c r="K402" s="271">
        <f t="shared" si="48"/>
        <v>21296</v>
      </c>
      <c r="L402" s="271">
        <f t="shared" si="49"/>
        <v>12141.24</v>
      </c>
      <c r="M402" s="267">
        <v>0</v>
      </c>
      <c r="N402" s="271">
        <f t="shared" si="54"/>
        <v>129.60000000000002</v>
      </c>
      <c r="O402" s="276">
        <v>0</v>
      </c>
      <c r="P402" s="276">
        <f t="shared" si="50"/>
        <v>4472.1600000000008</v>
      </c>
      <c r="Q402" s="271">
        <f t="shared" si="51"/>
        <v>60084</v>
      </c>
      <c r="R402" s="271">
        <f t="shared" si="52"/>
        <v>46178.246399999996</v>
      </c>
      <c r="S402" s="271">
        <f t="shared" si="53"/>
        <v>2125.44</v>
      </c>
    </row>
    <row r="403" spans="1:21" s="270" customFormat="1" x14ac:dyDescent="0.25">
      <c r="A403" s="271">
        <v>501444</v>
      </c>
      <c r="B403" s="271">
        <v>1444</v>
      </c>
      <c r="C403" s="271">
        <v>35570</v>
      </c>
      <c r="D403" s="268" t="s">
        <v>894</v>
      </c>
      <c r="E403" s="268" t="s">
        <v>1290</v>
      </c>
      <c r="F403" s="268" t="s">
        <v>2993</v>
      </c>
      <c r="G403" s="268">
        <v>11</v>
      </c>
      <c r="H403" s="268" t="s">
        <v>2994</v>
      </c>
      <c r="I403" s="268" t="s">
        <v>2995</v>
      </c>
      <c r="J403" s="271">
        <v>255552</v>
      </c>
      <c r="K403" s="271">
        <f t="shared" si="48"/>
        <v>21296</v>
      </c>
      <c r="L403" s="271">
        <f t="shared" si="49"/>
        <v>12141.24</v>
      </c>
      <c r="M403" s="267">
        <v>0</v>
      </c>
      <c r="N403" s="271">
        <f t="shared" si="54"/>
        <v>129.60000000000002</v>
      </c>
      <c r="O403" s="276">
        <v>0</v>
      </c>
      <c r="P403" s="276">
        <f t="shared" si="50"/>
        <v>4472.1600000000008</v>
      </c>
      <c r="Q403" s="271">
        <f t="shared" si="51"/>
        <v>60084</v>
      </c>
      <c r="R403" s="271">
        <f t="shared" si="52"/>
        <v>46178.246399999996</v>
      </c>
      <c r="S403" s="271">
        <f t="shared" si="53"/>
        <v>2125.44</v>
      </c>
    </row>
    <row r="404" spans="1:21" s="270" customFormat="1" x14ac:dyDescent="0.25">
      <c r="A404" s="271">
        <v>501443</v>
      </c>
      <c r="B404" s="271">
        <v>1443</v>
      </c>
      <c r="C404" s="271">
        <v>38933</v>
      </c>
      <c r="D404" s="268" t="s">
        <v>894</v>
      </c>
      <c r="E404" s="268" t="s">
        <v>1290</v>
      </c>
      <c r="F404" s="268" t="s">
        <v>2996</v>
      </c>
      <c r="G404" s="268">
        <v>11</v>
      </c>
      <c r="H404" s="268" t="s">
        <v>2997</v>
      </c>
      <c r="I404" s="268" t="s">
        <v>2946</v>
      </c>
      <c r="J404" s="271">
        <v>255552</v>
      </c>
      <c r="K404" s="271">
        <f t="shared" si="48"/>
        <v>21296</v>
      </c>
      <c r="L404" s="271">
        <f t="shared" si="49"/>
        <v>12141.24</v>
      </c>
      <c r="M404" s="267">
        <v>0</v>
      </c>
      <c r="N404" s="271">
        <f t="shared" si="54"/>
        <v>129.60000000000002</v>
      </c>
      <c r="O404" s="276">
        <v>0</v>
      </c>
      <c r="P404" s="276">
        <f t="shared" si="50"/>
        <v>4472.1600000000008</v>
      </c>
      <c r="Q404" s="271">
        <f t="shared" si="51"/>
        <v>60084</v>
      </c>
      <c r="R404" s="271">
        <f t="shared" si="52"/>
        <v>46178.246399999996</v>
      </c>
      <c r="S404" s="271">
        <f t="shared" si="53"/>
        <v>2125.44</v>
      </c>
    </row>
    <row r="405" spans="1:21" s="270" customFormat="1" x14ac:dyDescent="0.25">
      <c r="A405" s="271">
        <v>501444</v>
      </c>
      <c r="B405" s="271">
        <v>1444</v>
      </c>
      <c r="C405" s="271">
        <v>44341</v>
      </c>
      <c r="D405" s="268" t="s">
        <v>894</v>
      </c>
      <c r="E405" s="268" t="s">
        <v>1290</v>
      </c>
      <c r="F405" s="268" t="s">
        <v>2998</v>
      </c>
      <c r="G405" s="268">
        <v>11</v>
      </c>
      <c r="H405" s="268" t="s">
        <v>2999</v>
      </c>
      <c r="I405" s="268" t="s">
        <v>2995</v>
      </c>
      <c r="J405" s="271">
        <v>255552</v>
      </c>
      <c r="K405" s="271">
        <f t="shared" si="48"/>
        <v>21296</v>
      </c>
      <c r="L405" s="271">
        <f t="shared" si="49"/>
        <v>12141.24</v>
      </c>
      <c r="M405" s="267">
        <v>0</v>
      </c>
      <c r="N405" s="271">
        <f t="shared" si="54"/>
        <v>129.60000000000002</v>
      </c>
      <c r="O405" s="276">
        <v>0</v>
      </c>
      <c r="P405" s="276">
        <f t="shared" si="50"/>
        <v>4472.1600000000008</v>
      </c>
      <c r="Q405" s="271">
        <f t="shared" si="51"/>
        <v>60084</v>
      </c>
      <c r="R405" s="271">
        <f t="shared" si="52"/>
        <v>46178.246399999996</v>
      </c>
      <c r="S405" s="271">
        <f t="shared" si="53"/>
        <v>2125.44</v>
      </c>
    </row>
    <row r="406" spans="1:21" s="270" customFormat="1" x14ac:dyDescent="0.25">
      <c r="A406" s="271">
        <v>501444</v>
      </c>
      <c r="B406" s="271">
        <v>1444</v>
      </c>
      <c r="C406" s="271">
        <v>51583</v>
      </c>
      <c r="D406" s="268" t="s">
        <v>894</v>
      </c>
      <c r="E406" s="268" t="s">
        <v>1290</v>
      </c>
      <c r="F406" s="268" t="s">
        <v>2381</v>
      </c>
      <c r="G406" s="268">
        <v>11</v>
      </c>
      <c r="H406" s="268" t="s">
        <v>3000</v>
      </c>
      <c r="I406" s="268" t="s">
        <v>2995</v>
      </c>
      <c r="J406" s="271">
        <v>255552</v>
      </c>
      <c r="K406" s="271">
        <f t="shared" si="48"/>
        <v>21296</v>
      </c>
      <c r="L406" s="271">
        <f t="shared" si="49"/>
        <v>12141.24</v>
      </c>
      <c r="M406" s="267">
        <v>0</v>
      </c>
      <c r="N406" s="271">
        <f t="shared" si="54"/>
        <v>129.60000000000002</v>
      </c>
      <c r="O406" s="276">
        <v>0</v>
      </c>
      <c r="P406" s="276">
        <f t="shared" si="50"/>
        <v>4472.1600000000008</v>
      </c>
      <c r="Q406" s="271">
        <f t="shared" si="51"/>
        <v>60084</v>
      </c>
      <c r="R406" s="271">
        <f t="shared" si="52"/>
        <v>46178.246399999996</v>
      </c>
      <c r="S406" s="271">
        <f t="shared" si="53"/>
        <v>2125.44</v>
      </c>
    </row>
    <row r="407" spans="1:21" s="270" customFormat="1" x14ac:dyDescent="0.25">
      <c r="A407" s="271">
        <v>501443</v>
      </c>
      <c r="B407" s="271">
        <v>1443</v>
      </c>
      <c r="C407" s="271">
        <v>51693</v>
      </c>
      <c r="D407" s="268" t="s">
        <v>894</v>
      </c>
      <c r="E407" s="268" t="s">
        <v>1290</v>
      </c>
      <c r="F407" s="268" t="s">
        <v>3001</v>
      </c>
      <c r="G407" s="268">
        <v>11</v>
      </c>
      <c r="H407" s="268" t="s">
        <v>3002</v>
      </c>
      <c r="I407" s="268" t="s">
        <v>2944</v>
      </c>
      <c r="J407" s="271">
        <v>255552</v>
      </c>
      <c r="K407" s="271">
        <f t="shared" si="48"/>
        <v>21296</v>
      </c>
      <c r="L407" s="271">
        <f t="shared" si="49"/>
        <v>12141.24</v>
      </c>
      <c r="M407" s="267">
        <v>0</v>
      </c>
      <c r="N407" s="271">
        <f t="shared" si="54"/>
        <v>129.60000000000002</v>
      </c>
      <c r="O407" s="276">
        <v>0</v>
      </c>
      <c r="P407" s="276">
        <f t="shared" si="50"/>
        <v>4472.1600000000008</v>
      </c>
      <c r="Q407" s="271">
        <f t="shared" si="51"/>
        <v>60084</v>
      </c>
      <c r="R407" s="271">
        <f t="shared" si="52"/>
        <v>46178.246399999996</v>
      </c>
      <c r="S407" s="271">
        <f t="shared" si="53"/>
        <v>2125.44</v>
      </c>
    </row>
    <row r="408" spans="1:21" s="270" customFormat="1" x14ac:dyDescent="0.25">
      <c r="A408" s="271">
        <v>501443</v>
      </c>
      <c r="B408" s="271">
        <v>1443</v>
      </c>
      <c r="C408" s="271">
        <v>51703</v>
      </c>
      <c r="D408" s="268" t="s">
        <v>894</v>
      </c>
      <c r="E408" s="268" t="s">
        <v>1290</v>
      </c>
      <c r="F408" s="268" t="s">
        <v>2637</v>
      </c>
      <c r="G408" s="268">
        <v>11</v>
      </c>
      <c r="H408" s="268" t="s">
        <v>3003</v>
      </c>
      <c r="I408" s="268" t="s">
        <v>2946</v>
      </c>
      <c r="J408" s="271">
        <v>255552</v>
      </c>
      <c r="K408" s="271">
        <f t="shared" si="48"/>
        <v>21296</v>
      </c>
      <c r="L408" s="271">
        <f t="shared" si="49"/>
        <v>12141.24</v>
      </c>
      <c r="M408" s="267">
        <v>0</v>
      </c>
      <c r="N408" s="271">
        <f t="shared" si="54"/>
        <v>129.60000000000002</v>
      </c>
      <c r="O408" s="276">
        <v>0</v>
      </c>
      <c r="P408" s="276">
        <f t="shared" si="50"/>
        <v>4472.1600000000008</v>
      </c>
      <c r="Q408" s="271">
        <f t="shared" si="51"/>
        <v>60084</v>
      </c>
      <c r="R408" s="271">
        <f t="shared" si="52"/>
        <v>46178.246399999996</v>
      </c>
      <c r="S408" s="271">
        <f t="shared" si="53"/>
        <v>2125.44</v>
      </c>
    </row>
    <row r="409" spans="1:21" s="270" customFormat="1" x14ac:dyDescent="0.25">
      <c r="A409" s="271">
        <v>501444</v>
      </c>
      <c r="B409" s="271">
        <v>1444</v>
      </c>
      <c r="C409" s="271">
        <v>57435</v>
      </c>
      <c r="D409" s="268" t="s">
        <v>894</v>
      </c>
      <c r="E409" s="268" t="s">
        <v>1290</v>
      </c>
      <c r="F409" s="268" t="s">
        <v>894</v>
      </c>
      <c r="G409" s="268">
        <v>11</v>
      </c>
      <c r="H409" s="268" t="s">
        <v>3004</v>
      </c>
      <c r="I409" s="268" t="s">
        <v>2995</v>
      </c>
      <c r="J409" s="271">
        <v>255552</v>
      </c>
      <c r="K409" s="271">
        <f t="shared" si="48"/>
        <v>21296</v>
      </c>
      <c r="L409" s="271">
        <f t="shared" si="49"/>
        <v>12141.24</v>
      </c>
      <c r="M409" s="267">
        <v>0</v>
      </c>
      <c r="N409" s="271">
        <f t="shared" si="54"/>
        <v>129.60000000000002</v>
      </c>
      <c r="O409" s="276">
        <v>0</v>
      </c>
      <c r="P409" s="276">
        <f t="shared" si="50"/>
        <v>4472.1600000000008</v>
      </c>
      <c r="Q409" s="271">
        <f t="shared" si="51"/>
        <v>60084</v>
      </c>
      <c r="R409" s="271">
        <f t="shared" si="52"/>
        <v>46178.246399999996</v>
      </c>
      <c r="S409" s="271">
        <f t="shared" si="53"/>
        <v>2125.44</v>
      </c>
    </row>
    <row r="410" spans="1:21" s="270" customFormat="1" x14ac:dyDescent="0.25">
      <c r="A410" s="271">
        <v>501444</v>
      </c>
      <c r="B410" s="271">
        <v>1444</v>
      </c>
      <c r="C410" s="271">
        <v>58971</v>
      </c>
      <c r="D410" s="268" t="s">
        <v>894</v>
      </c>
      <c r="E410" s="268" t="s">
        <v>1290</v>
      </c>
      <c r="F410" s="268" t="s">
        <v>2637</v>
      </c>
      <c r="G410" s="268">
        <v>11</v>
      </c>
      <c r="H410" s="268" t="s">
        <v>3005</v>
      </c>
      <c r="I410" s="268" t="s">
        <v>2995</v>
      </c>
      <c r="J410" s="271">
        <v>255552</v>
      </c>
      <c r="K410" s="271">
        <f t="shared" si="48"/>
        <v>21296</v>
      </c>
      <c r="L410" s="271">
        <f t="shared" si="49"/>
        <v>12141.24</v>
      </c>
      <c r="M410" s="267">
        <v>0</v>
      </c>
      <c r="N410" s="271">
        <f t="shared" si="54"/>
        <v>129.60000000000002</v>
      </c>
      <c r="O410" s="276">
        <v>0</v>
      </c>
      <c r="P410" s="276">
        <f t="shared" si="50"/>
        <v>4472.1600000000008</v>
      </c>
      <c r="Q410" s="271">
        <f t="shared" si="51"/>
        <v>60084</v>
      </c>
      <c r="R410" s="271">
        <f t="shared" si="52"/>
        <v>46178.246399999996</v>
      </c>
      <c r="S410" s="271">
        <f t="shared" si="53"/>
        <v>2125.44</v>
      </c>
    </row>
    <row r="411" spans="1:21" s="270" customFormat="1" x14ac:dyDescent="0.25">
      <c r="A411" s="271">
        <v>501206</v>
      </c>
      <c r="B411" s="271">
        <v>1206</v>
      </c>
      <c r="C411" s="271">
        <v>59501</v>
      </c>
      <c r="D411" s="268" t="s">
        <v>894</v>
      </c>
      <c r="E411" s="268" t="s">
        <v>1290</v>
      </c>
      <c r="F411" s="268" t="s">
        <v>3006</v>
      </c>
      <c r="G411" s="268">
        <v>11</v>
      </c>
      <c r="H411" s="268" t="s">
        <v>3007</v>
      </c>
      <c r="I411" s="268" t="s">
        <v>2840</v>
      </c>
      <c r="J411" s="271">
        <v>255552</v>
      </c>
      <c r="K411" s="271">
        <f t="shared" si="48"/>
        <v>21296</v>
      </c>
      <c r="L411" s="271">
        <f t="shared" si="49"/>
        <v>12141.24</v>
      </c>
      <c r="M411" s="267">
        <v>0</v>
      </c>
      <c r="N411" s="271">
        <f t="shared" si="54"/>
        <v>129.60000000000002</v>
      </c>
      <c r="O411" s="276">
        <v>0</v>
      </c>
      <c r="P411" s="276">
        <f t="shared" si="50"/>
        <v>4472.1600000000008</v>
      </c>
      <c r="Q411" s="271">
        <f t="shared" si="51"/>
        <v>60084</v>
      </c>
      <c r="R411" s="271">
        <f t="shared" si="52"/>
        <v>46178.246399999996</v>
      </c>
      <c r="S411" s="271">
        <f t="shared" si="53"/>
        <v>2125.44</v>
      </c>
    </row>
    <row r="412" spans="1:21" s="270" customFormat="1" x14ac:dyDescent="0.25">
      <c r="A412" s="276">
        <v>501444</v>
      </c>
      <c r="B412" s="276">
        <v>1444</v>
      </c>
      <c r="C412" s="276">
        <v>84615</v>
      </c>
      <c r="D412" s="268" t="s">
        <v>894</v>
      </c>
      <c r="E412" s="268" t="s">
        <v>1290</v>
      </c>
      <c r="F412" s="268" t="s">
        <v>3008</v>
      </c>
      <c r="G412" s="268">
        <v>11</v>
      </c>
      <c r="H412" s="268" t="s">
        <v>3009</v>
      </c>
      <c r="I412" s="268" t="s">
        <v>2995</v>
      </c>
      <c r="J412" s="267">
        <v>255552</v>
      </c>
      <c r="K412" s="276">
        <f t="shared" si="48"/>
        <v>21296</v>
      </c>
      <c r="L412" s="271">
        <f t="shared" si="49"/>
        <v>12141.24</v>
      </c>
      <c r="M412" s="267">
        <f>500*12</f>
        <v>6000</v>
      </c>
      <c r="N412" s="276">
        <f t="shared" si="54"/>
        <v>129.60000000000002</v>
      </c>
      <c r="O412" s="276">
        <v>0</v>
      </c>
      <c r="P412" s="276">
        <f t="shared" si="50"/>
        <v>4472.1600000000008</v>
      </c>
      <c r="Q412" s="271">
        <f t="shared" si="51"/>
        <v>60084</v>
      </c>
      <c r="R412" s="276">
        <f t="shared" si="52"/>
        <v>46178.246399999996</v>
      </c>
      <c r="S412" s="276">
        <f t="shared" si="53"/>
        <v>2125.44</v>
      </c>
      <c r="T412" s="277"/>
      <c r="U412" s="277"/>
    </row>
    <row r="413" spans="1:21" s="270" customFormat="1" x14ac:dyDescent="0.25">
      <c r="A413" s="271"/>
      <c r="B413" s="271">
        <v>1406</v>
      </c>
      <c r="C413" s="271">
        <v>200436</v>
      </c>
      <c r="D413" s="268" t="s">
        <v>894</v>
      </c>
      <c r="E413" s="268" t="s">
        <v>1278</v>
      </c>
      <c r="F413" s="268" t="s">
        <v>1306</v>
      </c>
      <c r="G413" s="268">
        <v>10</v>
      </c>
      <c r="H413" s="268" t="s">
        <v>3010</v>
      </c>
      <c r="I413" s="268" t="s">
        <v>2848</v>
      </c>
      <c r="J413" s="271">
        <v>249840</v>
      </c>
      <c r="K413" s="271">
        <f t="shared" si="48"/>
        <v>20820</v>
      </c>
      <c r="L413" s="271">
        <f t="shared" si="49"/>
        <v>12141.24</v>
      </c>
      <c r="M413" s="267">
        <v>0</v>
      </c>
      <c r="N413" s="271">
        <f t="shared" si="54"/>
        <v>129.60000000000002</v>
      </c>
      <c r="O413" s="276">
        <v>0</v>
      </c>
      <c r="P413" s="276">
        <f t="shared" si="50"/>
        <v>4372.2000000000007</v>
      </c>
      <c r="Q413" s="271">
        <f t="shared" si="51"/>
        <v>60084</v>
      </c>
      <c r="R413" s="271">
        <f t="shared" si="52"/>
        <v>45146.088000000003</v>
      </c>
      <c r="S413" s="271">
        <f t="shared" si="53"/>
        <v>2125.44</v>
      </c>
      <c r="T413" s="277"/>
      <c r="U413" s="277"/>
    </row>
    <row r="414" spans="1:21" s="270" customFormat="1" x14ac:dyDescent="0.25">
      <c r="A414" s="271"/>
      <c r="B414" s="271">
        <v>1406</v>
      </c>
      <c r="C414" s="271">
        <v>200437</v>
      </c>
      <c r="D414" s="268" t="s">
        <v>894</v>
      </c>
      <c r="E414" s="268" t="s">
        <v>1278</v>
      </c>
      <c r="F414" s="268" t="s">
        <v>3011</v>
      </c>
      <c r="G414" s="268">
        <v>10</v>
      </c>
      <c r="H414" s="268" t="s">
        <v>3012</v>
      </c>
      <c r="I414" s="268" t="s">
        <v>2848</v>
      </c>
      <c r="J414" s="271">
        <v>249840</v>
      </c>
      <c r="K414" s="271">
        <f t="shared" si="48"/>
        <v>20820</v>
      </c>
      <c r="L414" s="271">
        <f t="shared" si="49"/>
        <v>12141.24</v>
      </c>
      <c r="M414" s="267">
        <v>0</v>
      </c>
      <c r="N414" s="271">
        <f t="shared" si="54"/>
        <v>129.60000000000002</v>
      </c>
      <c r="O414" s="276">
        <v>0</v>
      </c>
      <c r="P414" s="276">
        <f t="shared" si="50"/>
        <v>4372.2000000000007</v>
      </c>
      <c r="Q414" s="271">
        <f t="shared" si="51"/>
        <v>60084</v>
      </c>
      <c r="R414" s="271">
        <f t="shared" si="52"/>
        <v>45146.088000000003</v>
      </c>
      <c r="S414" s="271">
        <f t="shared" si="53"/>
        <v>2125.44</v>
      </c>
    </row>
    <row r="415" spans="1:21" s="270" customFormat="1" x14ac:dyDescent="0.25">
      <c r="A415" s="271"/>
      <c r="B415" s="271">
        <v>1406</v>
      </c>
      <c r="C415" s="271">
        <v>200475</v>
      </c>
      <c r="D415" s="268" t="s">
        <v>894</v>
      </c>
      <c r="E415" s="268" t="s">
        <v>1290</v>
      </c>
      <c r="F415" s="268" t="s">
        <v>3013</v>
      </c>
      <c r="G415" s="268">
        <v>10</v>
      </c>
      <c r="H415" s="268" t="s">
        <v>3014</v>
      </c>
      <c r="I415" s="268" t="s">
        <v>2848</v>
      </c>
      <c r="J415" s="271">
        <v>249840</v>
      </c>
      <c r="K415" s="271">
        <f t="shared" si="48"/>
        <v>20820</v>
      </c>
      <c r="L415" s="271">
        <f t="shared" si="49"/>
        <v>12141.24</v>
      </c>
      <c r="M415" s="267">
        <v>0</v>
      </c>
      <c r="N415" s="271">
        <f t="shared" si="54"/>
        <v>129.60000000000002</v>
      </c>
      <c r="O415" s="276">
        <v>0</v>
      </c>
      <c r="P415" s="276">
        <f t="shared" si="50"/>
        <v>4372.2000000000007</v>
      </c>
      <c r="Q415" s="271">
        <f t="shared" si="51"/>
        <v>60084</v>
      </c>
      <c r="R415" s="271">
        <f t="shared" si="52"/>
        <v>45146.088000000003</v>
      </c>
      <c r="S415" s="271">
        <f t="shared" si="53"/>
        <v>2125.44</v>
      </c>
      <c r="T415" s="277"/>
      <c r="U415" s="277"/>
    </row>
    <row r="416" spans="1:21" s="270" customFormat="1" x14ac:dyDescent="0.25">
      <c r="A416" s="271">
        <v>501444</v>
      </c>
      <c r="B416" s="271">
        <v>1444</v>
      </c>
      <c r="C416" s="271">
        <v>1724</v>
      </c>
      <c r="D416" s="268" t="s">
        <v>894</v>
      </c>
      <c r="E416" s="268" t="s">
        <v>1290</v>
      </c>
      <c r="F416" s="268" t="s">
        <v>2971</v>
      </c>
      <c r="G416" s="268">
        <v>11</v>
      </c>
      <c r="H416" s="268" t="s">
        <v>3015</v>
      </c>
      <c r="I416" s="268" t="s">
        <v>2946</v>
      </c>
      <c r="J416" s="271">
        <v>249840</v>
      </c>
      <c r="K416" s="271">
        <f t="shared" si="48"/>
        <v>20820</v>
      </c>
      <c r="L416" s="271">
        <f t="shared" si="49"/>
        <v>12141.24</v>
      </c>
      <c r="M416" s="267">
        <v>0</v>
      </c>
      <c r="N416" s="271">
        <f t="shared" si="54"/>
        <v>129.60000000000002</v>
      </c>
      <c r="O416" s="276">
        <v>0</v>
      </c>
      <c r="P416" s="276">
        <f t="shared" si="50"/>
        <v>4372.2000000000007</v>
      </c>
      <c r="Q416" s="271">
        <f t="shared" si="51"/>
        <v>60084</v>
      </c>
      <c r="R416" s="271">
        <f t="shared" si="52"/>
        <v>45146.088000000003</v>
      </c>
      <c r="S416" s="271">
        <f t="shared" si="53"/>
        <v>2125.44</v>
      </c>
    </row>
    <row r="417" spans="1:19" s="270" customFormat="1" x14ac:dyDescent="0.25">
      <c r="A417" s="271">
        <v>501406</v>
      </c>
      <c r="B417" s="271">
        <v>1406</v>
      </c>
      <c r="C417" s="271">
        <v>44325</v>
      </c>
      <c r="D417" s="268" t="s">
        <v>894</v>
      </c>
      <c r="E417" s="268" t="s">
        <v>1290</v>
      </c>
      <c r="F417" s="268" t="s">
        <v>2838</v>
      </c>
      <c r="G417" s="268">
        <v>11</v>
      </c>
      <c r="H417" s="268" t="s">
        <v>3016</v>
      </c>
      <c r="I417" s="268" t="s">
        <v>2946</v>
      </c>
      <c r="J417" s="271">
        <v>249840</v>
      </c>
      <c r="K417" s="271">
        <f t="shared" si="48"/>
        <v>20820</v>
      </c>
      <c r="L417" s="271">
        <f t="shared" si="49"/>
        <v>12141.24</v>
      </c>
      <c r="M417" s="267">
        <v>0</v>
      </c>
      <c r="N417" s="271">
        <f t="shared" si="54"/>
        <v>129.60000000000002</v>
      </c>
      <c r="O417" s="276">
        <v>0</v>
      </c>
      <c r="P417" s="276">
        <f t="shared" si="50"/>
        <v>4372.2000000000007</v>
      </c>
      <c r="Q417" s="271">
        <f t="shared" si="51"/>
        <v>60084</v>
      </c>
      <c r="R417" s="271">
        <f t="shared" si="52"/>
        <v>45146.088000000003</v>
      </c>
      <c r="S417" s="271">
        <f t="shared" si="53"/>
        <v>2125.44</v>
      </c>
    </row>
    <row r="418" spans="1:19" s="270" customFormat="1" x14ac:dyDescent="0.25">
      <c r="A418" s="271">
        <v>501406</v>
      </c>
      <c r="B418" s="271">
        <v>1406</v>
      </c>
      <c r="C418" s="271">
        <v>200014</v>
      </c>
      <c r="D418" s="268" t="s">
        <v>894</v>
      </c>
      <c r="E418" s="268" t="s">
        <v>1278</v>
      </c>
      <c r="F418" s="268" t="s">
        <v>3017</v>
      </c>
      <c r="G418" s="268">
        <v>11</v>
      </c>
      <c r="H418" s="268" t="s">
        <v>3018</v>
      </c>
      <c r="I418" s="268" t="s">
        <v>2848</v>
      </c>
      <c r="J418" s="271">
        <v>249840</v>
      </c>
      <c r="K418" s="271">
        <f t="shared" si="48"/>
        <v>20820</v>
      </c>
      <c r="L418" s="271">
        <f t="shared" si="49"/>
        <v>12141.24</v>
      </c>
      <c r="M418" s="267">
        <v>0</v>
      </c>
      <c r="N418" s="271">
        <f t="shared" si="54"/>
        <v>129.60000000000002</v>
      </c>
      <c r="O418" s="276">
        <v>0</v>
      </c>
      <c r="P418" s="276">
        <f t="shared" si="50"/>
        <v>4372.2000000000007</v>
      </c>
      <c r="Q418" s="271">
        <f t="shared" si="51"/>
        <v>60084</v>
      </c>
      <c r="R418" s="271">
        <f t="shared" si="52"/>
        <v>45146.088000000003</v>
      </c>
      <c r="S418" s="271">
        <f t="shared" si="53"/>
        <v>2125.44</v>
      </c>
    </row>
    <row r="419" spans="1:19" s="270" customFormat="1" x14ac:dyDescent="0.25">
      <c r="A419" s="271">
        <v>501406</v>
      </c>
      <c r="B419" s="271">
        <v>1406</v>
      </c>
      <c r="C419" s="271">
        <v>200262</v>
      </c>
      <c r="D419" s="268" t="s">
        <v>894</v>
      </c>
      <c r="E419" s="268" t="s">
        <v>1278</v>
      </c>
      <c r="F419" s="268" t="s">
        <v>3006</v>
      </c>
      <c r="G419" s="268">
        <v>11</v>
      </c>
      <c r="H419" s="268" t="s">
        <v>3019</v>
      </c>
      <c r="I419" s="268" t="s">
        <v>2848</v>
      </c>
      <c r="J419" s="271">
        <v>249840</v>
      </c>
      <c r="K419" s="271">
        <f t="shared" si="48"/>
        <v>20820</v>
      </c>
      <c r="L419" s="271">
        <f t="shared" si="49"/>
        <v>12141.24</v>
      </c>
      <c r="M419" s="267">
        <v>0</v>
      </c>
      <c r="N419" s="271">
        <f t="shared" si="54"/>
        <v>129.60000000000002</v>
      </c>
      <c r="O419" s="276">
        <v>0</v>
      </c>
      <c r="P419" s="276">
        <f t="shared" si="50"/>
        <v>4372.2000000000007</v>
      </c>
      <c r="Q419" s="271">
        <f t="shared" si="51"/>
        <v>60084</v>
      </c>
      <c r="R419" s="271">
        <f t="shared" si="52"/>
        <v>45146.088000000003</v>
      </c>
      <c r="S419" s="271">
        <f t="shared" si="53"/>
        <v>2125.44</v>
      </c>
    </row>
    <row r="420" spans="1:19" s="270" customFormat="1" x14ac:dyDescent="0.25">
      <c r="A420" s="271"/>
      <c r="B420" s="271">
        <v>1406</v>
      </c>
      <c r="C420" s="271">
        <v>200513</v>
      </c>
      <c r="D420" s="268" t="s">
        <v>894</v>
      </c>
      <c r="E420" s="268" t="s">
        <v>1278</v>
      </c>
      <c r="F420" s="268" t="s">
        <v>3006</v>
      </c>
      <c r="G420" s="268">
        <v>11</v>
      </c>
      <c r="H420" s="268" t="s">
        <v>3020</v>
      </c>
      <c r="I420" s="268" t="s">
        <v>3021</v>
      </c>
      <c r="J420" s="271">
        <v>249840</v>
      </c>
      <c r="K420" s="271">
        <f t="shared" si="48"/>
        <v>20820</v>
      </c>
      <c r="L420" s="271">
        <f t="shared" si="49"/>
        <v>12141.24</v>
      </c>
      <c r="M420" s="267">
        <v>0</v>
      </c>
      <c r="N420" s="271">
        <f t="shared" si="54"/>
        <v>129.60000000000002</v>
      </c>
      <c r="O420" s="276">
        <v>0</v>
      </c>
      <c r="P420" s="276">
        <f t="shared" si="50"/>
        <v>4372.2000000000007</v>
      </c>
      <c r="Q420" s="271">
        <f t="shared" si="51"/>
        <v>60084</v>
      </c>
      <c r="R420" s="271">
        <f t="shared" si="52"/>
        <v>45146.088000000003</v>
      </c>
      <c r="S420" s="271">
        <f t="shared" si="53"/>
        <v>2125.44</v>
      </c>
    </row>
    <row r="421" spans="1:19" s="270" customFormat="1" x14ac:dyDescent="0.25">
      <c r="A421" s="271">
        <v>501406</v>
      </c>
      <c r="B421" s="271">
        <v>1406</v>
      </c>
      <c r="C421" s="271">
        <v>34089</v>
      </c>
      <c r="D421" s="268" t="s">
        <v>894</v>
      </c>
      <c r="E421" s="268" t="s">
        <v>1290</v>
      </c>
      <c r="F421" s="268" t="s">
        <v>2229</v>
      </c>
      <c r="G421" s="268">
        <v>12</v>
      </c>
      <c r="H421" s="268" t="s">
        <v>3022</v>
      </c>
      <c r="I421" s="268" t="s">
        <v>3023</v>
      </c>
      <c r="J421" s="271">
        <v>245388</v>
      </c>
      <c r="K421" s="271">
        <f t="shared" si="48"/>
        <v>20449</v>
      </c>
      <c r="L421" s="271">
        <f t="shared" si="49"/>
        <v>12141.24</v>
      </c>
      <c r="M421" s="267">
        <v>0</v>
      </c>
      <c r="N421" s="271">
        <f t="shared" si="54"/>
        <v>129.60000000000002</v>
      </c>
      <c r="O421" s="276">
        <v>0</v>
      </c>
      <c r="P421" s="276">
        <f t="shared" si="50"/>
        <v>4294.29</v>
      </c>
      <c r="Q421" s="271">
        <f t="shared" si="51"/>
        <v>60084</v>
      </c>
      <c r="R421" s="271">
        <f t="shared" si="52"/>
        <v>44341.611599999997</v>
      </c>
      <c r="S421" s="271">
        <f t="shared" si="53"/>
        <v>2125.44</v>
      </c>
    </row>
    <row r="422" spans="1:19" s="270" customFormat="1" x14ac:dyDescent="0.25">
      <c r="A422" s="271">
        <v>501206</v>
      </c>
      <c r="B422" s="271">
        <v>1206</v>
      </c>
      <c r="C422" s="271">
        <v>200037</v>
      </c>
      <c r="D422" s="268" t="s">
        <v>894</v>
      </c>
      <c r="E422" s="268" t="s">
        <v>1290</v>
      </c>
      <c r="F422" s="268" t="s">
        <v>2193</v>
      </c>
      <c r="G422" s="268">
        <v>12</v>
      </c>
      <c r="H422" s="268" t="s">
        <v>3024</v>
      </c>
      <c r="I422" s="268" t="s">
        <v>2840</v>
      </c>
      <c r="J422" s="271">
        <v>245388</v>
      </c>
      <c r="K422" s="271">
        <f t="shared" si="48"/>
        <v>20449</v>
      </c>
      <c r="L422" s="271">
        <f t="shared" si="49"/>
        <v>12141.24</v>
      </c>
      <c r="M422" s="267">
        <v>0</v>
      </c>
      <c r="N422" s="271">
        <f t="shared" si="54"/>
        <v>129.60000000000002</v>
      </c>
      <c r="O422" s="276">
        <v>0</v>
      </c>
      <c r="P422" s="276">
        <f t="shared" si="50"/>
        <v>4294.29</v>
      </c>
      <c r="Q422" s="271">
        <f t="shared" si="51"/>
        <v>60084</v>
      </c>
      <c r="R422" s="271">
        <f t="shared" si="52"/>
        <v>44341.611599999997</v>
      </c>
      <c r="S422" s="271">
        <f t="shared" si="53"/>
        <v>2125.44</v>
      </c>
    </row>
    <row r="423" spans="1:19" s="270" customFormat="1" x14ac:dyDescent="0.25">
      <c r="A423" s="271">
        <v>501503</v>
      </c>
      <c r="B423" s="271">
        <v>1503</v>
      </c>
      <c r="C423" s="271">
        <v>200091</v>
      </c>
      <c r="D423" s="268" t="s">
        <v>894</v>
      </c>
      <c r="E423" s="268" t="s">
        <v>1290</v>
      </c>
      <c r="F423" s="268" t="s">
        <v>3025</v>
      </c>
      <c r="G423" s="268">
        <v>12</v>
      </c>
      <c r="H423" s="268" t="s">
        <v>3026</v>
      </c>
      <c r="I423" s="268" t="s">
        <v>3027</v>
      </c>
      <c r="J423" s="271">
        <v>245388</v>
      </c>
      <c r="K423" s="271">
        <f t="shared" si="48"/>
        <v>20449</v>
      </c>
      <c r="L423" s="271">
        <f t="shared" si="49"/>
        <v>12141.24</v>
      </c>
      <c r="M423" s="267">
        <v>0</v>
      </c>
      <c r="N423" s="271">
        <f t="shared" si="54"/>
        <v>129.60000000000002</v>
      </c>
      <c r="O423" s="276">
        <v>0</v>
      </c>
      <c r="P423" s="276">
        <f t="shared" si="50"/>
        <v>4294.29</v>
      </c>
      <c r="Q423" s="271">
        <f t="shared" si="51"/>
        <v>60084</v>
      </c>
      <c r="R423" s="271">
        <f t="shared" si="52"/>
        <v>44341.611599999997</v>
      </c>
      <c r="S423" s="271">
        <f t="shared" si="53"/>
        <v>2125.44</v>
      </c>
    </row>
    <row r="424" spans="1:19" s="270" customFormat="1" x14ac:dyDescent="0.25">
      <c r="A424" s="271">
        <v>501503</v>
      </c>
      <c r="B424" s="271">
        <v>1503</v>
      </c>
      <c r="C424" s="271">
        <v>200095</v>
      </c>
      <c r="D424" s="268" t="s">
        <v>894</v>
      </c>
      <c r="E424" s="268" t="s">
        <v>1290</v>
      </c>
      <c r="F424" s="268" t="s">
        <v>3028</v>
      </c>
      <c r="G424" s="268">
        <v>12</v>
      </c>
      <c r="H424" s="268" t="s">
        <v>3029</v>
      </c>
      <c r="I424" s="268" t="s">
        <v>3027</v>
      </c>
      <c r="J424" s="271">
        <v>245388</v>
      </c>
      <c r="K424" s="271">
        <f t="shared" si="48"/>
        <v>20449</v>
      </c>
      <c r="L424" s="271">
        <f t="shared" si="49"/>
        <v>12141.24</v>
      </c>
      <c r="M424" s="267">
        <v>0</v>
      </c>
      <c r="N424" s="271">
        <f t="shared" si="54"/>
        <v>129.60000000000002</v>
      </c>
      <c r="O424" s="276">
        <v>0</v>
      </c>
      <c r="P424" s="276">
        <f t="shared" si="50"/>
        <v>4294.29</v>
      </c>
      <c r="Q424" s="271">
        <f t="shared" si="51"/>
        <v>60084</v>
      </c>
      <c r="R424" s="271">
        <f t="shared" si="52"/>
        <v>44341.611599999997</v>
      </c>
      <c r="S424" s="271">
        <f t="shared" si="53"/>
        <v>2125.44</v>
      </c>
    </row>
    <row r="425" spans="1:19" s="270" customFormat="1" x14ac:dyDescent="0.25">
      <c r="A425" s="271">
        <v>501408</v>
      </c>
      <c r="B425" s="271">
        <v>1408</v>
      </c>
      <c r="C425" s="271">
        <v>200204</v>
      </c>
      <c r="D425" s="268" t="s">
        <v>894</v>
      </c>
      <c r="E425" s="268" t="s">
        <v>1278</v>
      </c>
      <c r="F425" s="268" t="s">
        <v>2514</v>
      </c>
      <c r="G425" s="268">
        <v>12</v>
      </c>
      <c r="H425" s="268" t="s">
        <v>2209</v>
      </c>
      <c r="I425" s="268" t="s">
        <v>2847</v>
      </c>
      <c r="J425" s="271">
        <v>245388</v>
      </c>
      <c r="K425" s="271">
        <f t="shared" si="48"/>
        <v>20449</v>
      </c>
      <c r="L425" s="271">
        <f t="shared" si="49"/>
        <v>12141.24</v>
      </c>
      <c r="M425" s="267">
        <v>0</v>
      </c>
      <c r="N425" s="271">
        <f t="shared" si="54"/>
        <v>129.60000000000002</v>
      </c>
      <c r="O425" s="276">
        <v>0</v>
      </c>
      <c r="P425" s="276">
        <f t="shared" si="50"/>
        <v>4294.29</v>
      </c>
      <c r="Q425" s="271">
        <f t="shared" si="51"/>
        <v>60084</v>
      </c>
      <c r="R425" s="271">
        <f t="shared" si="52"/>
        <v>44341.611599999997</v>
      </c>
      <c r="S425" s="271">
        <f t="shared" si="53"/>
        <v>2125.44</v>
      </c>
    </row>
    <row r="426" spans="1:19" s="270" customFormat="1" x14ac:dyDescent="0.25">
      <c r="A426" s="271">
        <v>501503</v>
      </c>
      <c r="B426" s="271">
        <v>1503</v>
      </c>
      <c r="C426" s="271">
        <v>200350</v>
      </c>
      <c r="D426" s="268" t="s">
        <v>894</v>
      </c>
      <c r="E426" s="268" t="s">
        <v>1290</v>
      </c>
      <c r="F426" s="268" t="s">
        <v>2217</v>
      </c>
      <c r="G426" s="268">
        <v>12</v>
      </c>
      <c r="H426" s="268" t="s">
        <v>3030</v>
      </c>
      <c r="I426" s="268" t="s">
        <v>3031</v>
      </c>
      <c r="J426" s="271">
        <v>245388</v>
      </c>
      <c r="K426" s="271">
        <f t="shared" si="48"/>
        <v>20449</v>
      </c>
      <c r="L426" s="271">
        <f t="shared" si="49"/>
        <v>12141.24</v>
      </c>
      <c r="M426" s="267">
        <v>0</v>
      </c>
      <c r="N426" s="271">
        <f t="shared" si="54"/>
        <v>129.60000000000002</v>
      </c>
      <c r="O426" s="276">
        <v>0</v>
      </c>
      <c r="P426" s="276">
        <f t="shared" si="50"/>
        <v>4294.29</v>
      </c>
      <c r="Q426" s="271">
        <f t="shared" si="51"/>
        <v>60084</v>
      </c>
      <c r="R426" s="271">
        <f t="shared" si="52"/>
        <v>44341.611599999997</v>
      </c>
      <c r="S426" s="271">
        <f t="shared" si="53"/>
        <v>2125.44</v>
      </c>
    </row>
    <row r="427" spans="1:19" s="270" customFormat="1" x14ac:dyDescent="0.25">
      <c r="A427" s="271">
        <v>501406</v>
      </c>
      <c r="B427" s="271">
        <v>1406</v>
      </c>
      <c r="C427" s="271">
        <v>23375</v>
      </c>
      <c r="D427" s="268" t="s">
        <v>894</v>
      </c>
      <c r="E427" s="268" t="s">
        <v>1290</v>
      </c>
      <c r="F427" s="268" t="s">
        <v>2565</v>
      </c>
      <c r="G427" s="268">
        <v>12</v>
      </c>
      <c r="H427" s="268" t="s">
        <v>2943</v>
      </c>
      <c r="I427" s="268" t="s">
        <v>2890</v>
      </c>
      <c r="J427" s="271">
        <v>234276</v>
      </c>
      <c r="K427" s="271">
        <f t="shared" si="48"/>
        <v>19523</v>
      </c>
      <c r="L427" s="271">
        <f t="shared" si="49"/>
        <v>12141.24</v>
      </c>
      <c r="M427" s="267">
        <v>0</v>
      </c>
      <c r="N427" s="271">
        <f t="shared" si="54"/>
        <v>129.60000000000002</v>
      </c>
      <c r="O427" s="276">
        <v>0</v>
      </c>
      <c r="P427" s="276">
        <f t="shared" si="50"/>
        <v>4099.8300000000008</v>
      </c>
      <c r="Q427" s="271">
        <f t="shared" si="51"/>
        <v>60084</v>
      </c>
      <c r="R427" s="271">
        <f t="shared" si="52"/>
        <v>42333.673199999997</v>
      </c>
      <c r="S427" s="271">
        <f t="shared" si="53"/>
        <v>2125.44</v>
      </c>
    </row>
    <row r="428" spans="1:19" s="270" customFormat="1" x14ac:dyDescent="0.25">
      <c r="A428" s="271">
        <v>501444</v>
      </c>
      <c r="B428" s="271">
        <v>1444</v>
      </c>
      <c r="C428" s="271">
        <v>36061</v>
      </c>
      <c r="D428" s="268" t="s">
        <v>894</v>
      </c>
      <c r="E428" s="268" t="s">
        <v>1278</v>
      </c>
      <c r="F428" s="268" t="s">
        <v>2649</v>
      </c>
      <c r="G428" s="268">
        <v>12</v>
      </c>
      <c r="H428" s="268" t="s">
        <v>2496</v>
      </c>
      <c r="I428" s="268" t="s">
        <v>2890</v>
      </c>
      <c r="J428" s="271">
        <v>234276</v>
      </c>
      <c r="K428" s="271">
        <f t="shared" si="48"/>
        <v>19523</v>
      </c>
      <c r="L428" s="271">
        <f t="shared" si="49"/>
        <v>12141.24</v>
      </c>
      <c r="M428" s="267">
        <v>0</v>
      </c>
      <c r="N428" s="271">
        <f t="shared" si="54"/>
        <v>129.60000000000002</v>
      </c>
      <c r="O428" s="276">
        <v>0</v>
      </c>
      <c r="P428" s="276">
        <f t="shared" si="50"/>
        <v>4099.8300000000008</v>
      </c>
      <c r="Q428" s="271">
        <f t="shared" si="51"/>
        <v>60084</v>
      </c>
      <c r="R428" s="271">
        <f t="shared" si="52"/>
        <v>42333.673199999997</v>
      </c>
      <c r="S428" s="271">
        <f t="shared" si="53"/>
        <v>2125.44</v>
      </c>
    </row>
    <row r="429" spans="1:19" s="270" customFormat="1" x14ac:dyDescent="0.25">
      <c r="A429" s="271">
        <v>501444</v>
      </c>
      <c r="B429" s="271">
        <v>1444</v>
      </c>
      <c r="C429" s="271">
        <v>38098</v>
      </c>
      <c r="D429" s="268" t="s">
        <v>894</v>
      </c>
      <c r="E429" s="268" t="s">
        <v>1290</v>
      </c>
      <c r="F429" s="268" t="s">
        <v>2649</v>
      </c>
      <c r="G429" s="268">
        <v>12</v>
      </c>
      <c r="H429" s="268" t="s">
        <v>3032</v>
      </c>
      <c r="I429" s="268" t="s">
        <v>2890</v>
      </c>
      <c r="J429" s="271">
        <v>234276</v>
      </c>
      <c r="K429" s="271">
        <f t="shared" si="48"/>
        <v>19523</v>
      </c>
      <c r="L429" s="271">
        <f t="shared" si="49"/>
        <v>12141.24</v>
      </c>
      <c r="M429" s="267">
        <v>0</v>
      </c>
      <c r="N429" s="271">
        <f t="shared" si="54"/>
        <v>129.60000000000002</v>
      </c>
      <c r="O429" s="276">
        <v>0</v>
      </c>
      <c r="P429" s="276">
        <f t="shared" si="50"/>
        <v>4099.8300000000008</v>
      </c>
      <c r="Q429" s="271">
        <f t="shared" si="51"/>
        <v>60084</v>
      </c>
      <c r="R429" s="271">
        <f t="shared" si="52"/>
        <v>42333.673199999997</v>
      </c>
      <c r="S429" s="271">
        <f t="shared" si="53"/>
        <v>2125.44</v>
      </c>
    </row>
    <row r="430" spans="1:19" s="270" customFormat="1" x14ac:dyDescent="0.25">
      <c r="A430" s="271">
        <v>501406</v>
      </c>
      <c r="B430" s="271">
        <v>1406</v>
      </c>
      <c r="C430" s="271">
        <v>40811</v>
      </c>
      <c r="D430" s="268" t="s">
        <v>894</v>
      </c>
      <c r="E430" s="268" t="s">
        <v>1290</v>
      </c>
      <c r="F430" s="268" t="s">
        <v>2768</v>
      </c>
      <c r="G430" s="268">
        <v>12</v>
      </c>
      <c r="H430" s="268" t="s">
        <v>3033</v>
      </c>
      <c r="I430" s="268" t="s">
        <v>2890</v>
      </c>
      <c r="J430" s="271">
        <v>234276</v>
      </c>
      <c r="K430" s="271">
        <f t="shared" si="48"/>
        <v>19523</v>
      </c>
      <c r="L430" s="271">
        <f t="shared" si="49"/>
        <v>12141.24</v>
      </c>
      <c r="M430" s="267">
        <v>0</v>
      </c>
      <c r="N430" s="271">
        <f t="shared" si="54"/>
        <v>129.60000000000002</v>
      </c>
      <c r="O430" s="276">
        <v>0</v>
      </c>
      <c r="P430" s="276">
        <f t="shared" si="50"/>
        <v>4099.8300000000008</v>
      </c>
      <c r="Q430" s="271">
        <f t="shared" si="51"/>
        <v>60084</v>
      </c>
      <c r="R430" s="271">
        <f t="shared" si="52"/>
        <v>42333.673199999997</v>
      </c>
      <c r="S430" s="271">
        <f t="shared" si="53"/>
        <v>2125.44</v>
      </c>
    </row>
    <row r="431" spans="1:19" s="270" customFormat="1" x14ac:dyDescent="0.25">
      <c r="A431" s="271">
        <v>501443</v>
      </c>
      <c r="B431" s="271">
        <v>1443</v>
      </c>
      <c r="C431" s="271">
        <v>58968</v>
      </c>
      <c r="D431" s="268" t="s">
        <v>894</v>
      </c>
      <c r="E431" s="268" t="s">
        <v>1290</v>
      </c>
      <c r="F431" s="268" t="s">
        <v>2838</v>
      </c>
      <c r="G431" s="268">
        <v>12</v>
      </c>
      <c r="H431" s="268" t="s">
        <v>3034</v>
      </c>
      <c r="I431" s="268" t="s">
        <v>2890</v>
      </c>
      <c r="J431" s="271">
        <v>234276</v>
      </c>
      <c r="K431" s="271">
        <f t="shared" si="48"/>
        <v>19523</v>
      </c>
      <c r="L431" s="271">
        <f t="shared" si="49"/>
        <v>12141.24</v>
      </c>
      <c r="M431" s="267">
        <v>0</v>
      </c>
      <c r="N431" s="271">
        <f t="shared" si="54"/>
        <v>129.60000000000002</v>
      </c>
      <c r="O431" s="276">
        <v>0</v>
      </c>
      <c r="P431" s="276">
        <f t="shared" si="50"/>
        <v>4099.8300000000008</v>
      </c>
      <c r="Q431" s="271">
        <f t="shared" si="51"/>
        <v>60084</v>
      </c>
      <c r="R431" s="271">
        <f t="shared" si="52"/>
        <v>42333.673199999997</v>
      </c>
      <c r="S431" s="271">
        <f t="shared" si="53"/>
        <v>2125.44</v>
      </c>
    </row>
    <row r="432" spans="1:19" s="270" customFormat="1" x14ac:dyDescent="0.25">
      <c r="A432" s="271">
        <v>501443</v>
      </c>
      <c r="B432" s="271">
        <v>1443</v>
      </c>
      <c r="C432" s="271">
        <v>84880</v>
      </c>
      <c r="D432" s="268" t="s">
        <v>894</v>
      </c>
      <c r="E432" s="268" t="s">
        <v>1278</v>
      </c>
      <c r="F432" s="268" t="s">
        <v>3035</v>
      </c>
      <c r="G432" s="268">
        <v>12</v>
      </c>
      <c r="H432" s="268" t="s">
        <v>3036</v>
      </c>
      <c r="I432" s="268" t="s">
        <v>2890</v>
      </c>
      <c r="J432" s="271">
        <v>234276</v>
      </c>
      <c r="K432" s="271">
        <f t="shared" si="48"/>
        <v>19523</v>
      </c>
      <c r="L432" s="271">
        <f t="shared" si="49"/>
        <v>12141.24</v>
      </c>
      <c r="M432" s="267">
        <v>0</v>
      </c>
      <c r="N432" s="271">
        <f t="shared" si="54"/>
        <v>129.60000000000002</v>
      </c>
      <c r="O432" s="276">
        <v>0</v>
      </c>
      <c r="P432" s="276">
        <f t="shared" si="50"/>
        <v>4099.8300000000008</v>
      </c>
      <c r="Q432" s="271">
        <f t="shared" si="51"/>
        <v>60084</v>
      </c>
      <c r="R432" s="271">
        <f t="shared" si="52"/>
        <v>42333.673199999997</v>
      </c>
      <c r="S432" s="271">
        <f t="shared" si="53"/>
        <v>2125.44</v>
      </c>
    </row>
    <row r="433" spans="1:21" s="270" customFormat="1" x14ac:dyDescent="0.25">
      <c r="A433" s="271">
        <v>501443</v>
      </c>
      <c r="B433" s="271">
        <v>1443</v>
      </c>
      <c r="C433" s="271">
        <v>39246</v>
      </c>
      <c r="D433" s="268" t="s">
        <v>894</v>
      </c>
      <c r="E433" s="268" t="s">
        <v>1290</v>
      </c>
      <c r="F433" s="268" t="s">
        <v>1276</v>
      </c>
      <c r="G433" s="268">
        <v>12</v>
      </c>
      <c r="H433" s="268" t="s">
        <v>3037</v>
      </c>
      <c r="I433" s="268" t="s">
        <v>2890</v>
      </c>
      <c r="J433" s="271">
        <v>228756</v>
      </c>
      <c r="K433" s="271">
        <f t="shared" si="48"/>
        <v>19063</v>
      </c>
      <c r="L433" s="271">
        <f t="shared" si="49"/>
        <v>12141.24</v>
      </c>
      <c r="M433" s="267">
        <v>0</v>
      </c>
      <c r="N433" s="271">
        <f t="shared" si="54"/>
        <v>129.60000000000002</v>
      </c>
      <c r="O433" s="276">
        <v>0</v>
      </c>
      <c r="P433" s="276">
        <f t="shared" si="50"/>
        <v>4003.2300000000005</v>
      </c>
      <c r="Q433" s="271">
        <f t="shared" si="51"/>
        <v>60084</v>
      </c>
      <c r="R433" s="271">
        <f t="shared" si="52"/>
        <v>41336.209199999998</v>
      </c>
      <c r="S433" s="271">
        <f t="shared" si="53"/>
        <v>2125.44</v>
      </c>
    </row>
    <row r="434" spans="1:21" s="270" customFormat="1" x14ac:dyDescent="0.25">
      <c r="A434" s="271">
        <v>501444</v>
      </c>
      <c r="B434" s="271">
        <v>1444</v>
      </c>
      <c r="C434" s="271">
        <v>40468</v>
      </c>
      <c r="D434" s="268" t="s">
        <v>894</v>
      </c>
      <c r="E434" s="268" t="s">
        <v>1290</v>
      </c>
      <c r="F434" s="268" t="s">
        <v>2725</v>
      </c>
      <c r="G434" s="268">
        <v>12</v>
      </c>
      <c r="H434" s="268" t="s">
        <v>3038</v>
      </c>
      <c r="I434" s="268" t="s">
        <v>3039</v>
      </c>
      <c r="J434" s="271">
        <v>228756</v>
      </c>
      <c r="K434" s="271">
        <f t="shared" si="48"/>
        <v>19063</v>
      </c>
      <c r="L434" s="271">
        <f t="shared" si="49"/>
        <v>12141.24</v>
      </c>
      <c r="M434" s="267">
        <v>0</v>
      </c>
      <c r="N434" s="271">
        <f t="shared" si="54"/>
        <v>129.60000000000002</v>
      </c>
      <c r="O434" s="276">
        <v>0</v>
      </c>
      <c r="P434" s="276">
        <f t="shared" si="50"/>
        <v>4003.2300000000005</v>
      </c>
      <c r="Q434" s="271">
        <f t="shared" si="51"/>
        <v>60084</v>
      </c>
      <c r="R434" s="271">
        <f t="shared" si="52"/>
        <v>41336.209199999998</v>
      </c>
      <c r="S434" s="271">
        <f t="shared" si="53"/>
        <v>2125.44</v>
      </c>
    </row>
    <row r="435" spans="1:21" s="270" customFormat="1" x14ac:dyDescent="0.25">
      <c r="A435" s="271">
        <v>501443</v>
      </c>
      <c r="B435" s="271">
        <v>1443</v>
      </c>
      <c r="C435" s="271">
        <v>41315</v>
      </c>
      <c r="D435" s="268" t="s">
        <v>894</v>
      </c>
      <c r="E435" s="268" t="s">
        <v>1290</v>
      </c>
      <c r="F435" s="268" t="s">
        <v>2408</v>
      </c>
      <c r="G435" s="268">
        <v>12</v>
      </c>
      <c r="H435" s="268" t="s">
        <v>3040</v>
      </c>
      <c r="I435" s="268" t="s">
        <v>3039</v>
      </c>
      <c r="J435" s="271">
        <v>228756</v>
      </c>
      <c r="K435" s="271">
        <f t="shared" si="48"/>
        <v>19063</v>
      </c>
      <c r="L435" s="271">
        <f t="shared" si="49"/>
        <v>12141.24</v>
      </c>
      <c r="M435" s="267">
        <v>0</v>
      </c>
      <c r="N435" s="271">
        <f t="shared" si="54"/>
        <v>129.60000000000002</v>
      </c>
      <c r="O435" s="276">
        <v>0</v>
      </c>
      <c r="P435" s="276">
        <f t="shared" si="50"/>
        <v>4003.2300000000005</v>
      </c>
      <c r="Q435" s="271">
        <f t="shared" si="51"/>
        <v>60084</v>
      </c>
      <c r="R435" s="271">
        <f t="shared" si="52"/>
        <v>41336.209199999998</v>
      </c>
      <c r="S435" s="271">
        <f t="shared" si="53"/>
        <v>2125.44</v>
      </c>
    </row>
    <row r="436" spans="1:21" s="270" customFormat="1" x14ac:dyDescent="0.25">
      <c r="A436" s="271">
        <v>501443</v>
      </c>
      <c r="B436" s="271">
        <v>1443</v>
      </c>
      <c r="C436" s="271">
        <v>200061</v>
      </c>
      <c r="D436" s="268" t="s">
        <v>894</v>
      </c>
      <c r="E436" s="268" t="s">
        <v>1290</v>
      </c>
      <c r="F436" s="268" t="s">
        <v>2193</v>
      </c>
      <c r="G436" s="268">
        <v>12</v>
      </c>
      <c r="H436" s="268" t="s">
        <v>3041</v>
      </c>
      <c r="I436" s="268" t="s">
        <v>3039</v>
      </c>
      <c r="J436" s="271">
        <v>228756</v>
      </c>
      <c r="K436" s="271">
        <f t="shared" si="48"/>
        <v>19063</v>
      </c>
      <c r="L436" s="271">
        <f t="shared" si="49"/>
        <v>12141.24</v>
      </c>
      <c r="M436" s="267">
        <v>0</v>
      </c>
      <c r="N436" s="271">
        <f t="shared" si="54"/>
        <v>129.60000000000002</v>
      </c>
      <c r="O436" s="276">
        <v>0</v>
      </c>
      <c r="P436" s="276">
        <f t="shared" si="50"/>
        <v>4003.2300000000005</v>
      </c>
      <c r="Q436" s="271">
        <f t="shared" si="51"/>
        <v>60084</v>
      </c>
      <c r="R436" s="271">
        <f t="shared" si="52"/>
        <v>41336.209199999998</v>
      </c>
      <c r="S436" s="271">
        <f t="shared" si="53"/>
        <v>2125.44</v>
      </c>
    </row>
    <row r="437" spans="1:21" s="270" customFormat="1" x14ac:dyDescent="0.25">
      <c r="A437" s="271">
        <v>501444</v>
      </c>
      <c r="B437" s="271">
        <v>1444</v>
      </c>
      <c r="C437" s="271">
        <v>200140</v>
      </c>
      <c r="D437" s="268" t="s">
        <v>894</v>
      </c>
      <c r="E437" s="268" t="s">
        <v>1290</v>
      </c>
      <c r="F437" s="268" t="s">
        <v>3042</v>
      </c>
      <c r="G437" s="268">
        <v>12</v>
      </c>
      <c r="H437" s="268" t="s">
        <v>3043</v>
      </c>
      <c r="I437" s="268" t="s">
        <v>3044</v>
      </c>
      <c r="J437" s="271">
        <v>228756</v>
      </c>
      <c r="K437" s="271">
        <f t="shared" si="48"/>
        <v>19063</v>
      </c>
      <c r="L437" s="271">
        <f t="shared" si="49"/>
        <v>12141.24</v>
      </c>
      <c r="M437" s="267">
        <v>0</v>
      </c>
      <c r="N437" s="271">
        <f t="shared" si="54"/>
        <v>129.60000000000002</v>
      </c>
      <c r="O437" s="276">
        <v>0</v>
      </c>
      <c r="P437" s="276">
        <f t="shared" si="50"/>
        <v>4003.2300000000005</v>
      </c>
      <c r="Q437" s="271">
        <f t="shared" si="51"/>
        <v>60084</v>
      </c>
      <c r="R437" s="271">
        <f t="shared" si="52"/>
        <v>41336.209199999998</v>
      </c>
      <c r="S437" s="271">
        <f t="shared" si="53"/>
        <v>2125.44</v>
      </c>
    </row>
    <row r="438" spans="1:21" s="270" customFormat="1" x14ac:dyDescent="0.25">
      <c r="A438" s="271">
        <v>501444</v>
      </c>
      <c r="B438" s="271">
        <v>1444</v>
      </c>
      <c r="C438" s="271">
        <v>200144</v>
      </c>
      <c r="D438" s="268" t="s">
        <v>894</v>
      </c>
      <c r="E438" s="268" t="s">
        <v>1290</v>
      </c>
      <c r="F438" s="268" t="s">
        <v>3045</v>
      </c>
      <c r="G438" s="268">
        <v>12</v>
      </c>
      <c r="H438" s="268" t="s">
        <v>3046</v>
      </c>
      <c r="I438" s="268" t="s">
        <v>3044</v>
      </c>
      <c r="J438" s="271">
        <v>228756</v>
      </c>
      <c r="K438" s="271">
        <f t="shared" si="48"/>
        <v>19063</v>
      </c>
      <c r="L438" s="271">
        <f t="shared" si="49"/>
        <v>12141.24</v>
      </c>
      <c r="M438" s="267">
        <v>0</v>
      </c>
      <c r="N438" s="271">
        <f t="shared" si="54"/>
        <v>129.60000000000002</v>
      </c>
      <c r="O438" s="276">
        <v>0</v>
      </c>
      <c r="P438" s="276">
        <f t="shared" si="50"/>
        <v>4003.2300000000005</v>
      </c>
      <c r="Q438" s="271">
        <f t="shared" si="51"/>
        <v>60084</v>
      </c>
      <c r="R438" s="271">
        <f t="shared" si="52"/>
        <v>41336.209199999998</v>
      </c>
      <c r="S438" s="271">
        <f t="shared" si="53"/>
        <v>2125.44</v>
      </c>
      <c r="T438" s="277"/>
      <c r="U438" s="277"/>
    </row>
    <row r="439" spans="1:21" s="270" customFormat="1" x14ac:dyDescent="0.25">
      <c r="A439" s="271">
        <v>501444</v>
      </c>
      <c r="B439" s="271">
        <v>1444</v>
      </c>
      <c r="C439" s="271">
        <v>200146</v>
      </c>
      <c r="D439" s="268" t="s">
        <v>894</v>
      </c>
      <c r="E439" s="268" t="s">
        <v>1290</v>
      </c>
      <c r="F439" s="268" t="s">
        <v>2240</v>
      </c>
      <c r="G439" s="268">
        <v>12</v>
      </c>
      <c r="H439" s="268" t="s">
        <v>3047</v>
      </c>
      <c r="I439" s="268" t="s">
        <v>3048</v>
      </c>
      <c r="J439" s="271">
        <v>228756</v>
      </c>
      <c r="K439" s="271">
        <f t="shared" si="48"/>
        <v>19063</v>
      </c>
      <c r="L439" s="271">
        <f t="shared" si="49"/>
        <v>12141.24</v>
      </c>
      <c r="M439" s="267">
        <v>0</v>
      </c>
      <c r="N439" s="271">
        <f t="shared" si="54"/>
        <v>129.60000000000002</v>
      </c>
      <c r="O439" s="276">
        <v>0</v>
      </c>
      <c r="P439" s="276">
        <f t="shared" si="50"/>
        <v>4003.2300000000005</v>
      </c>
      <c r="Q439" s="271">
        <f t="shared" si="51"/>
        <v>60084</v>
      </c>
      <c r="R439" s="271">
        <f t="shared" si="52"/>
        <v>41336.209199999998</v>
      </c>
      <c r="S439" s="271">
        <f t="shared" si="53"/>
        <v>2125.44</v>
      </c>
    </row>
    <row r="440" spans="1:21" s="270" customFormat="1" x14ac:dyDescent="0.25">
      <c r="A440" s="271">
        <v>501444</v>
      </c>
      <c r="B440" s="271">
        <v>1444</v>
      </c>
      <c r="C440" s="271">
        <v>200288</v>
      </c>
      <c r="D440" s="268" t="s">
        <v>894</v>
      </c>
      <c r="E440" s="268" t="s">
        <v>1290</v>
      </c>
      <c r="F440" s="268" t="s">
        <v>2949</v>
      </c>
      <c r="G440" s="268">
        <v>12</v>
      </c>
      <c r="H440" s="268" t="s">
        <v>3049</v>
      </c>
      <c r="I440" s="268" t="s">
        <v>3039</v>
      </c>
      <c r="J440" s="271">
        <v>228756</v>
      </c>
      <c r="K440" s="271">
        <f t="shared" si="48"/>
        <v>19063</v>
      </c>
      <c r="L440" s="271">
        <f t="shared" si="49"/>
        <v>12141.24</v>
      </c>
      <c r="M440" s="267">
        <v>0</v>
      </c>
      <c r="N440" s="271">
        <f t="shared" si="54"/>
        <v>129.60000000000002</v>
      </c>
      <c r="O440" s="276">
        <v>0</v>
      </c>
      <c r="P440" s="276">
        <f t="shared" si="50"/>
        <v>4003.2300000000005</v>
      </c>
      <c r="Q440" s="271">
        <f t="shared" si="51"/>
        <v>60084</v>
      </c>
      <c r="R440" s="271">
        <f t="shared" si="52"/>
        <v>41336.209199999998</v>
      </c>
      <c r="S440" s="271">
        <f t="shared" si="53"/>
        <v>2125.44</v>
      </c>
    </row>
    <row r="441" spans="1:21" s="270" customFormat="1" x14ac:dyDescent="0.25">
      <c r="A441" s="271">
        <v>501505</v>
      </c>
      <c r="B441" s="271">
        <v>1505</v>
      </c>
      <c r="C441" s="271">
        <v>22842</v>
      </c>
      <c r="D441" s="268" t="s">
        <v>894</v>
      </c>
      <c r="E441" s="268" t="s">
        <v>1290</v>
      </c>
      <c r="F441" s="268" t="s">
        <v>2571</v>
      </c>
      <c r="G441" s="268">
        <v>13</v>
      </c>
      <c r="H441" s="268" t="s">
        <v>3050</v>
      </c>
      <c r="I441" s="268" t="s">
        <v>2831</v>
      </c>
      <c r="J441" s="271">
        <v>214884</v>
      </c>
      <c r="K441" s="271">
        <f t="shared" si="48"/>
        <v>17907</v>
      </c>
      <c r="L441" s="271">
        <f t="shared" si="49"/>
        <v>12141.24</v>
      </c>
      <c r="M441" s="267">
        <v>0</v>
      </c>
      <c r="N441" s="271">
        <f t="shared" si="54"/>
        <v>129.60000000000002</v>
      </c>
      <c r="O441" s="276">
        <v>0</v>
      </c>
      <c r="P441" s="276">
        <f t="shared" si="50"/>
        <v>3760.4700000000003</v>
      </c>
      <c r="Q441" s="271">
        <f t="shared" si="51"/>
        <v>60084</v>
      </c>
      <c r="R441" s="271">
        <f t="shared" si="52"/>
        <v>38829.538800000002</v>
      </c>
      <c r="S441" s="271">
        <f t="shared" si="53"/>
        <v>2125.44</v>
      </c>
    </row>
    <row r="442" spans="1:21" s="270" customFormat="1" x14ac:dyDescent="0.25">
      <c r="A442" s="271">
        <v>501444</v>
      </c>
      <c r="B442" s="271">
        <v>1444</v>
      </c>
      <c r="C442" s="271">
        <v>51570</v>
      </c>
      <c r="D442" s="268" t="s">
        <v>894</v>
      </c>
      <c r="E442" s="268" t="s">
        <v>1290</v>
      </c>
      <c r="F442" s="268" t="s">
        <v>3051</v>
      </c>
      <c r="G442" s="268">
        <v>13</v>
      </c>
      <c r="H442" s="268" t="s">
        <v>3052</v>
      </c>
      <c r="I442" s="268" t="s">
        <v>3053</v>
      </c>
      <c r="J442" s="271">
        <v>214884</v>
      </c>
      <c r="K442" s="271">
        <f t="shared" si="48"/>
        <v>17907</v>
      </c>
      <c r="L442" s="271">
        <f t="shared" si="49"/>
        <v>12141.24</v>
      </c>
      <c r="M442" s="267">
        <v>0</v>
      </c>
      <c r="N442" s="271">
        <f t="shared" si="54"/>
        <v>129.60000000000002</v>
      </c>
      <c r="O442" s="276">
        <v>0</v>
      </c>
      <c r="P442" s="276">
        <f t="shared" si="50"/>
        <v>3760.4700000000003</v>
      </c>
      <c r="Q442" s="271">
        <f t="shared" si="51"/>
        <v>60084</v>
      </c>
      <c r="R442" s="271">
        <f t="shared" si="52"/>
        <v>38829.538800000002</v>
      </c>
      <c r="S442" s="271">
        <f t="shared" si="53"/>
        <v>2125.44</v>
      </c>
    </row>
    <row r="443" spans="1:21" s="270" customFormat="1" x14ac:dyDescent="0.25">
      <c r="A443" s="271">
        <v>501505</v>
      </c>
      <c r="B443" s="271">
        <v>1505</v>
      </c>
      <c r="C443" s="271">
        <v>83771</v>
      </c>
      <c r="D443" s="268" t="s">
        <v>894</v>
      </c>
      <c r="E443" s="268" t="s">
        <v>1290</v>
      </c>
      <c r="F443" s="268" t="s">
        <v>3054</v>
      </c>
      <c r="G443" s="268">
        <v>13</v>
      </c>
      <c r="H443" s="268" t="s">
        <v>3055</v>
      </c>
      <c r="I443" s="268" t="s">
        <v>2978</v>
      </c>
      <c r="J443" s="271">
        <v>214884</v>
      </c>
      <c r="K443" s="271">
        <f t="shared" si="48"/>
        <v>17907</v>
      </c>
      <c r="L443" s="271">
        <f t="shared" si="49"/>
        <v>12141.24</v>
      </c>
      <c r="M443" s="267">
        <v>0</v>
      </c>
      <c r="N443" s="271">
        <f t="shared" si="54"/>
        <v>129.60000000000002</v>
      </c>
      <c r="O443" s="276">
        <v>0</v>
      </c>
      <c r="P443" s="276">
        <f t="shared" si="50"/>
        <v>3760.4700000000003</v>
      </c>
      <c r="Q443" s="271">
        <f t="shared" si="51"/>
        <v>60084</v>
      </c>
      <c r="R443" s="271">
        <f t="shared" si="52"/>
        <v>38829.538800000002</v>
      </c>
      <c r="S443" s="271">
        <f t="shared" si="53"/>
        <v>2125.44</v>
      </c>
    </row>
    <row r="444" spans="1:21" s="270" customFormat="1" x14ac:dyDescent="0.25">
      <c r="A444" s="271">
        <v>501503</v>
      </c>
      <c r="B444" s="271">
        <v>1503</v>
      </c>
      <c r="C444" s="271">
        <v>200068</v>
      </c>
      <c r="D444" s="268" t="s">
        <v>894</v>
      </c>
      <c r="E444" s="268" t="s">
        <v>1290</v>
      </c>
      <c r="F444" s="268" t="s">
        <v>2193</v>
      </c>
      <c r="G444" s="268">
        <v>13</v>
      </c>
      <c r="H444" s="268" t="s">
        <v>3056</v>
      </c>
      <c r="I444" s="268" t="s">
        <v>3057</v>
      </c>
      <c r="J444" s="271">
        <v>214884</v>
      </c>
      <c r="K444" s="271">
        <f t="shared" si="48"/>
        <v>17907</v>
      </c>
      <c r="L444" s="271">
        <f t="shared" si="49"/>
        <v>12141.24</v>
      </c>
      <c r="M444" s="267">
        <v>0</v>
      </c>
      <c r="N444" s="271">
        <f t="shared" si="54"/>
        <v>129.60000000000002</v>
      </c>
      <c r="O444" s="276">
        <v>0</v>
      </c>
      <c r="P444" s="276">
        <f t="shared" si="50"/>
        <v>3760.4700000000003</v>
      </c>
      <c r="Q444" s="271">
        <f t="shared" si="51"/>
        <v>60084</v>
      </c>
      <c r="R444" s="271">
        <f t="shared" si="52"/>
        <v>38829.538800000002</v>
      </c>
      <c r="S444" s="271">
        <f t="shared" si="53"/>
        <v>2125.44</v>
      </c>
    </row>
    <row r="445" spans="1:21" s="270" customFormat="1" x14ac:dyDescent="0.25">
      <c r="A445" s="271">
        <v>501503</v>
      </c>
      <c r="B445" s="271">
        <v>1503</v>
      </c>
      <c r="C445" s="271">
        <v>200069</v>
      </c>
      <c r="D445" s="268" t="s">
        <v>894</v>
      </c>
      <c r="E445" s="268" t="s">
        <v>1290</v>
      </c>
      <c r="F445" s="268" t="s">
        <v>2788</v>
      </c>
      <c r="G445" s="268">
        <v>13</v>
      </c>
      <c r="H445" s="268" t="s">
        <v>3058</v>
      </c>
      <c r="I445" s="268" t="s">
        <v>3027</v>
      </c>
      <c r="J445" s="271">
        <v>214884</v>
      </c>
      <c r="K445" s="271">
        <f t="shared" si="48"/>
        <v>17907</v>
      </c>
      <c r="L445" s="271">
        <f t="shared" si="49"/>
        <v>12141.24</v>
      </c>
      <c r="M445" s="267">
        <v>0</v>
      </c>
      <c r="N445" s="271">
        <f t="shared" si="54"/>
        <v>129.60000000000002</v>
      </c>
      <c r="O445" s="276">
        <v>0</v>
      </c>
      <c r="P445" s="276">
        <f t="shared" si="50"/>
        <v>3760.4700000000003</v>
      </c>
      <c r="Q445" s="271">
        <f t="shared" si="51"/>
        <v>60084</v>
      </c>
      <c r="R445" s="271">
        <f t="shared" si="52"/>
        <v>38829.538800000002</v>
      </c>
      <c r="S445" s="271">
        <f t="shared" si="53"/>
        <v>2125.44</v>
      </c>
    </row>
    <row r="446" spans="1:21" s="270" customFormat="1" x14ac:dyDescent="0.25">
      <c r="A446" s="271">
        <v>501503</v>
      </c>
      <c r="B446" s="271">
        <v>1503</v>
      </c>
      <c r="C446" s="271">
        <v>200070</v>
      </c>
      <c r="D446" s="268" t="s">
        <v>894</v>
      </c>
      <c r="E446" s="268" t="s">
        <v>1290</v>
      </c>
      <c r="F446" s="268" t="s">
        <v>3059</v>
      </c>
      <c r="G446" s="268">
        <v>13</v>
      </c>
      <c r="H446" s="268" t="s">
        <v>3060</v>
      </c>
      <c r="I446" s="268" t="s">
        <v>3057</v>
      </c>
      <c r="J446" s="271">
        <v>214884</v>
      </c>
      <c r="K446" s="271">
        <f t="shared" si="48"/>
        <v>17907</v>
      </c>
      <c r="L446" s="271">
        <f t="shared" si="49"/>
        <v>12141.24</v>
      </c>
      <c r="M446" s="267">
        <v>0</v>
      </c>
      <c r="N446" s="271">
        <f t="shared" si="54"/>
        <v>129.60000000000002</v>
      </c>
      <c r="O446" s="276">
        <v>0</v>
      </c>
      <c r="P446" s="276">
        <f t="shared" si="50"/>
        <v>3760.4700000000003</v>
      </c>
      <c r="Q446" s="271">
        <f t="shared" si="51"/>
        <v>60084</v>
      </c>
      <c r="R446" s="271">
        <f t="shared" si="52"/>
        <v>38829.538800000002</v>
      </c>
      <c r="S446" s="271">
        <f t="shared" si="53"/>
        <v>2125.44</v>
      </c>
    </row>
    <row r="447" spans="1:21" s="270" customFormat="1" x14ac:dyDescent="0.25">
      <c r="A447" s="271">
        <v>501503</v>
      </c>
      <c r="B447" s="271">
        <v>1503</v>
      </c>
      <c r="C447" s="271">
        <v>200071</v>
      </c>
      <c r="D447" s="268" t="s">
        <v>894</v>
      </c>
      <c r="E447" s="268" t="s">
        <v>1290</v>
      </c>
      <c r="F447" s="268" t="s">
        <v>2351</v>
      </c>
      <c r="G447" s="268">
        <v>13</v>
      </c>
      <c r="H447" s="268" t="s">
        <v>3061</v>
      </c>
      <c r="I447" s="268" t="s">
        <v>3057</v>
      </c>
      <c r="J447" s="271">
        <v>214884</v>
      </c>
      <c r="K447" s="271">
        <f t="shared" si="48"/>
        <v>17907</v>
      </c>
      <c r="L447" s="271">
        <f t="shared" si="49"/>
        <v>12141.24</v>
      </c>
      <c r="M447" s="267">
        <v>0</v>
      </c>
      <c r="N447" s="271">
        <f t="shared" si="54"/>
        <v>129.60000000000002</v>
      </c>
      <c r="O447" s="276">
        <v>0</v>
      </c>
      <c r="P447" s="276">
        <f t="shared" si="50"/>
        <v>3760.4700000000003</v>
      </c>
      <c r="Q447" s="271">
        <f t="shared" si="51"/>
        <v>60084</v>
      </c>
      <c r="R447" s="271">
        <f t="shared" si="52"/>
        <v>38829.538800000002</v>
      </c>
      <c r="S447" s="271">
        <f t="shared" si="53"/>
        <v>2125.44</v>
      </c>
    </row>
    <row r="448" spans="1:21" s="270" customFormat="1" x14ac:dyDescent="0.25">
      <c r="A448" s="271">
        <v>501503</v>
      </c>
      <c r="B448" s="271">
        <v>1503</v>
      </c>
      <c r="C448" s="271">
        <v>200072</v>
      </c>
      <c r="D448" s="268" t="s">
        <v>894</v>
      </c>
      <c r="E448" s="268" t="s">
        <v>1290</v>
      </c>
      <c r="F448" s="268" t="s">
        <v>2660</v>
      </c>
      <c r="G448" s="268">
        <v>13</v>
      </c>
      <c r="H448" s="268" t="s">
        <v>3062</v>
      </c>
      <c r="I448" s="268" t="s">
        <v>3057</v>
      </c>
      <c r="J448" s="271">
        <v>214884</v>
      </c>
      <c r="K448" s="271">
        <f t="shared" ref="K448:K511" si="55">J448/12</f>
        <v>17907</v>
      </c>
      <c r="L448" s="271">
        <f t="shared" ref="L448:L511" si="56">1011.77*12</f>
        <v>12141.24</v>
      </c>
      <c r="M448" s="267">
        <v>0</v>
      </c>
      <c r="N448" s="271">
        <f t="shared" si="54"/>
        <v>129.60000000000002</v>
      </c>
      <c r="O448" s="276">
        <v>0</v>
      </c>
      <c r="P448" s="276">
        <f t="shared" ref="P448:P511" si="57">J448*1.75%</f>
        <v>3760.4700000000003</v>
      </c>
      <c r="Q448" s="271">
        <f t="shared" ref="Q448:Q511" si="58">5007*12</f>
        <v>60084</v>
      </c>
      <c r="R448" s="271">
        <f t="shared" ref="R448:R511" si="59">18.07%*J448</f>
        <v>38829.538800000002</v>
      </c>
      <c r="S448" s="271">
        <f t="shared" si="53"/>
        <v>2125.44</v>
      </c>
    </row>
    <row r="449" spans="1:21" s="270" customFormat="1" x14ac:dyDescent="0.25">
      <c r="A449" s="271">
        <v>501503</v>
      </c>
      <c r="B449" s="271">
        <v>1503</v>
      </c>
      <c r="C449" s="271">
        <v>200073</v>
      </c>
      <c r="D449" s="268" t="s">
        <v>894</v>
      </c>
      <c r="E449" s="268" t="s">
        <v>1290</v>
      </c>
      <c r="F449" s="268" t="s">
        <v>3063</v>
      </c>
      <c r="G449" s="268">
        <v>13</v>
      </c>
      <c r="H449" s="268" t="s">
        <v>3064</v>
      </c>
      <c r="I449" s="268" t="s">
        <v>3057</v>
      </c>
      <c r="J449" s="271">
        <v>214884</v>
      </c>
      <c r="K449" s="271">
        <f t="shared" si="55"/>
        <v>17907</v>
      </c>
      <c r="L449" s="271">
        <f t="shared" si="56"/>
        <v>12141.24</v>
      </c>
      <c r="M449" s="267">
        <v>0</v>
      </c>
      <c r="N449" s="271">
        <f t="shared" si="54"/>
        <v>129.60000000000002</v>
      </c>
      <c r="O449" s="276">
        <v>0</v>
      </c>
      <c r="P449" s="276">
        <f t="shared" si="57"/>
        <v>3760.4700000000003</v>
      </c>
      <c r="Q449" s="271">
        <f t="shared" si="58"/>
        <v>60084</v>
      </c>
      <c r="R449" s="271">
        <f t="shared" si="59"/>
        <v>38829.538800000002</v>
      </c>
      <c r="S449" s="271">
        <f t="shared" ref="S449:S512" si="60">177.12*12</f>
        <v>2125.44</v>
      </c>
    </row>
    <row r="450" spans="1:21" s="270" customFormat="1" x14ac:dyDescent="0.25">
      <c r="A450" s="271">
        <v>501503</v>
      </c>
      <c r="B450" s="271">
        <v>1503</v>
      </c>
      <c r="C450" s="271">
        <v>200074</v>
      </c>
      <c r="D450" s="268" t="s">
        <v>894</v>
      </c>
      <c r="E450" s="268" t="s">
        <v>1290</v>
      </c>
      <c r="F450" s="268" t="s">
        <v>3065</v>
      </c>
      <c r="G450" s="268">
        <v>13</v>
      </c>
      <c r="H450" s="268" t="s">
        <v>3066</v>
      </c>
      <c r="I450" s="268" t="s">
        <v>3057</v>
      </c>
      <c r="J450" s="271">
        <v>214884</v>
      </c>
      <c r="K450" s="271">
        <f t="shared" si="55"/>
        <v>17907</v>
      </c>
      <c r="L450" s="271">
        <f t="shared" si="56"/>
        <v>12141.24</v>
      </c>
      <c r="M450" s="267">
        <v>0</v>
      </c>
      <c r="N450" s="271">
        <f t="shared" si="54"/>
        <v>129.60000000000002</v>
      </c>
      <c r="O450" s="276">
        <v>0</v>
      </c>
      <c r="P450" s="276">
        <f t="shared" si="57"/>
        <v>3760.4700000000003</v>
      </c>
      <c r="Q450" s="271">
        <f t="shared" si="58"/>
        <v>60084</v>
      </c>
      <c r="R450" s="271">
        <f t="shared" si="59"/>
        <v>38829.538800000002</v>
      </c>
      <c r="S450" s="271">
        <f t="shared" si="60"/>
        <v>2125.44</v>
      </c>
    </row>
    <row r="451" spans="1:21" s="270" customFormat="1" x14ac:dyDescent="0.25">
      <c r="A451" s="271">
        <v>501503</v>
      </c>
      <c r="B451" s="271">
        <v>1503</v>
      </c>
      <c r="C451" s="271">
        <v>200077</v>
      </c>
      <c r="D451" s="268" t="s">
        <v>894</v>
      </c>
      <c r="E451" s="268" t="s">
        <v>1290</v>
      </c>
      <c r="F451" s="268" t="s">
        <v>3067</v>
      </c>
      <c r="G451" s="268">
        <v>13</v>
      </c>
      <c r="H451" s="268" t="s">
        <v>2516</v>
      </c>
      <c r="I451" s="268" t="s">
        <v>3057</v>
      </c>
      <c r="J451" s="271">
        <v>214884</v>
      </c>
      <c r="K451" s="271">
        <f t="shared" si="55"/>
        <v>17907</v>
      </c>
      <c r="L451" s="271">
        <f t="shared" si="56"/>
        <v>12141.24</v>
      </c>
      <c r="M451" s="267">
        <v>0</v>
      </c>
      <c r="N451" s="271">
        <f t="shared" si="54"/>
        <v>129.60000000000002</v>
      </c>
      <c r="O451" s="276">
        <v>0</v>
      </c>
      <c r="P451" s="276">
        <f t="shared" si="57"/>
        <v>3760.4700000000003</v>
      </c>
      <c r="Q451" s="271">
        <f t="shared" si="58"/>
        <v>60084</v>
      </c>
      <c r="R451" s="271">
        <f t="shared" si="59"/>
        <v>38829.538800000002</v>
      </c>
      <c r="S451" s="271">
        <f t="shared" si="60"/>
        <v>2125.44</v>
      </c>
    </row>
    <row r="452" spans="1:21" s="270" customFormat="1" x14ac:dyDescent="0.25">
      <c r="A452" s="271">
        <v>501503</v>
      </c>
      <c r="B452" s="271">
        <v>1503</v>
      </c>
      <c r="C452" s="271">
        <v>200078</v>
      </c>
      <c r="D452" s="268" t="s">
        <v>894</v>
      </c>
      <c r="E452" s="268" t="s">
        <v>1290</v>
      </c>
      <c r="F452" s="268" t="s">
        <v>3068</v>
      </c>
      <c r="G452" s="268">
        <v>13</v>
      </c>
      <c r="H452" s="268" t="s">
        <v>3069</v>
      </c>
      <c r="I452" s="268" t="s">
        <v>3057</v>
      </c>
      <c r="J452" s="271">
        <v>214884</v>
      </c>
      <c r="K452" s="271">
        <f t="shared" si="55"/>
        <v>17907</v>
      </c>
      <c r="L452" s="271">
        <f t="shared" si="56"/>
        <v>12141.24</v>
      </c>
      <c r="M452" s="267">
        <v>0</v>
      </c>
      <c r="N452" s="271">
        <f t="shared" si="54"/>
        <v>129.60000000000002</v>
      </c>
      <c r="O452" s="276">
        <v>0</v>
      </c>
      <c r="P452" s="276">
        <f t="shared" si="57"/>
        <v>3760.4700000000003</v>
      </c>
      <c r="Q452" s="271">
        <f t="shared" si="58"/>
        <v>60084</v>
      </c>
      <c r="R452" s="271">
        <f t="shared" si="59"/>
        <v>38829.538800000002</v>
      </c>
      <c r="S452" s="271">
        <f t="shared" si="60"/>
        <v>2125.44</v>
      </c>
    </row>
    <row r="453" spans="1:21" s="270" customFormat="1" x14ac:dyDescent="0.25">
      <c r="A453" s="271">
        <v>501503</v>
      </c>
      <c r="B453" s="271">
        <v>1503</v>
      </c>
      <c r="C453" s="271">
        <v>200079</v>
      </c>
      <c r="D453" s="268" t="s">
        <v>894</v>
      </c>
      <c r="E453" s="268" t="s">
        <v>1290</v>
      </c>
      <c r="F453" s="268" t="s">
        <v>2193</v>
      </c>
      <c r="G453" s="268">
        <v>13</v>
      </c>
      <c r="H453" s="268" t="s">
        <v>3070</v>
      </c>
      <c r="I453" s="268" t="s">
        <v>3057</v>
      </c>
      <c r="J453" s="271">
        <v>214884</v>
      </c>
      <c r="K453" s="271">
        <f t="shared" si="55"/>
        <v>17907</v>
      </c>
      <c r="L453" s="271">
        <f t="shared" si="56"/>
        <v>12141.24</v>
      </c>
      <c r="M453" s="267">
        <v>0</v>
      </c>
      <c r="N453" s="271">
        <f t="shared" ref="N453:N516" si="61">10.8*12</f>
        <v>129.60000000000002</v>
      </c>
      <c r="O453" s="276">
        <v>0</v>
      </c>
      <c r="P453" s="276">
        <f t="shared" si="57"/>
        <v>3760.4700000000003</v>
      </c>
      <c r="Q453" s="271">
        <f t="shared" si="58"/>
        <v>60084</v>
      </c>
      <c r="R453" s="271">
        <f t="shared" si="59"/>
        <v>38829.538800000002</v>
      </c>
      <c r="S453" s="271">
        <f t="shared" si="60"/>
        <v>2125.44</v>
      </c>
    </row>
    <row r="454" spans="1:21" s="270" customFormat="1" x14ac:dyDescent="0.25">
      <c r="A454" s="271">
        <v>501503</v>
      </c>
      <c r="B454" s="271">
        <v>1503</v>
      </c>
      <c r="C454" s="271">
        <v>200080</v>
      </c>
      <c r="D454" s="268" t="s">
        <v>894</v>
      </c>
      <c r="E454" s="268" t="s">
        <v>1290</v>
      </c>
      <c r="F454" s="268" t="s">
        <v>2512</v>
      </c>
      <c r="G454" s="268">
        <v>13</v>
      </c>
      <c r="H454" s="268" t="s">
        <v>3071</v>
      </c>
      <c r="I454" s="268" t="s">
        <v>3057</v>
      </c>
      <c r="J454" s="271">
        <v>214884</v>
      </c>
      <c r="K454" s="271">
        <f t="shared" si="55"/>
        <v>17907</v>
      </c>
      <c r="L454" s="271">
        <f t="shared" si="56"/>
        <v>12141.24</v>
      </c>
      <c r="M454" s="267">
        <v>0</v>
      </c>
      <c r="N454" s="271">
        <f t="shared" si="61"/>
        <v>129.60000000000002</v>
      </c>
      <c r="O454" s="276">
        <v>0</v>
      </c>
      <c r="P454" s="276">
        <f t="shared" si="57"/>
        <v>3760.4700000000003</v>
      </c>
      <c r="Q454" s="271">
        <f t="shared" si="58"/>
        <v>60084</v>
      </c>
      <c r="R454" s="271">
        <f t="shared" si="59"/>
        <v>38829.538800000002</v>
      </c>
      <c r="S454" s="271">
        <f t="shared" si="60"/>
        <v>2125.44</v>
      </c>
    </row>
    <row r="455" spans="1:21" s="270" customFormat="1" x14ac:dyDescent="0.25">
      <c r="A455" s="271">
        <v>501503</v>
      </c>
      <c r="B455" s="271">
        <v>1503</v>
      </c>
      <c r="C455" s="271">
        <v>200081</v>
      </c>
      <c r="D455" s="268" t="s">
        <v>894</v>
      </c>
      <c r="E455" s="268" t="s">
        <v>1278</v>
      </c>
      <c r="F455" s="268" t="s">
        <v>1293</v>
      </c>
      <c r="G455" s="268">
        <v>13</v>
      </c>
      <c r="H455" s="268" t="s">
        <v>3069</v>
      </c>
      <c r="I455" s="268" t="s">
        <v>3057</v>
      </c>
      <c r="J455" s="271">
        <v>214884</v>
      </c>
      <c r="K455" s="271">
        <f t="shared" si="55"/>
        <v>17907</v>
      </c>
      <c r="L455" s="271">
        <f t="shared" si="56"/>
        <v>12141.24</v>
      </c>
      <c r="M455" s="267">
        <v>0</v>
      </c>
      <c r="N455" s="271">
        <f t="shared" si="61"/>
        <v>129.60000000000002</v>
      </c>
      <c r="O455" s="276">
        <v>0</v>
      </c>
      <c r="P455" s="276">
        <f t="shared" si="57"/>
        <v>3760.4700000000003</v>
      </c>
      <c r="Q455" s="271">
        <f t="shared" si="58"/>
        <v>60084</v>
      </c>
      <c r="R455" s="271">
        <f t="shared" si="59"/>
        <v>38829.538800000002</v>
      </c>
      <c r="S455" s="271">
        <f t="shared" si="60"/>
        <v>2125.44</v>
      </c>
    </row>
    <row r="456" spans="1:21" s="270" customFormat="1" x14ac:dyDescent="0.25">
      <c r="A456" s="271">
        <v>501503</v>
      </c>
      <c r="B456" s="271">
        <v>1503</v>
      </c>
      <c r="C456" s="271">
        <v>200082</v>
      </c>
      <c r="D456" s="268" t="s">
        <v>894</v>
      </c>
      <c r="E456" s="268" t="s">
        <v>1290</v>
      </c>
      <c r="F456" s="268" t="s">
        <v>2261</v>
      </c>
      <c r="G456" s="268">
        <v>13</v>
      </c>
      <c r="H456" s="268" t="s">
        <v>3026</v>
      </c>
      <c r="I456" s="268" t="s">
        <v>3027</v>
      </c>
      <c r="J456" s="271">
        <v>214884</v>
      </c>
      <c r="K456" s="271">
        <f t="shared" si="55"/>
        <v>17907</v>
      </c>
      <c r="L456" s="271">
        <f t="shared" si="56"/>
        <v>12141.24</v>
      </c>
      <c r="M456" s="267">
        <v>0</v>
      </c>
      <c r="N456" s="271">
        <f t="shared" si="61"/>
        <v>129.60000000000002</v>
      </c>
      <c r="O456" s="276">
        <v>0</v>
      </c>
      <c r="P456" s="276">
        <f t="shared" si="57"/>
        <v>3760.4700000000003</v>
      </c>
      <c r="Q456" s="271">
        <f t="shared" si="58"/>
        <v>60084</v>
      </c>
      <c r="R456" s="271">
        <f t="shared" si="59"/>
        <v>38829.538800000002</v>
      </c>
      <c r="S456" s="271">
        <f t="shared" si="60"/>
        <v>2125.44</v>
      </c>
    </row>
    <row r="457" spans="1:21" s="270" customFormat="1" x14ac:dyDescent="0.25">
      <c r="A457" s="271">
        <v>501503</v>
      </c>
      <c r="B457" s="271">
        <v>1503</v>
      </c>
      <c r="C457" s="271">
        <v>200083</v>
      </c>
      <c r="D457" s="268" t="s">
        <v>894</v>
      </c>
      <c r="E457" s="268" t="s">
        <v>1290</v>
      </c>
      <c r="F457" s="268" t="s">
        <v>2434</v>
      </c>
      <c r="G457" s="268">
        <v>13</v>
      </c>
      <c r="H457" s="268" t="s">
        <v>3072</v>
      </c>
      <c r="I457" s="268" t="s">
        <v>3057</v>
      </c>
      <c r="J457" s="271">
        <v>214884</v>
      </c>
      <c r="K457" s="271">
        <f t="shared" si="55"/>
        <v>17907</v>
      </c>
      <c r="L457" s="271">
        <f t="shared" si="56"/>
        <v>12141.24</v>
      </c>
      <c r="M457" s="267">
        <v>0</v>
      </c>
      <c r="N457" s="271">
        <f t="shared" si="61"/>
        <v>129.60000000000002</v>
      </c>
      <c r="O457" s="276">
        <v>0</v>
      </c>
      <c r="P457" s="276">
        <f t="shared" si="57"/>
        <v>3760.4700000000003</v>
      </c>
      <c r="Q457" s="271">
        <f t="shared" si="58"/>
        <v>60084</v>
      </c>
      <c r="R457" s="271">
        <f t="shared" si="59"/>
        <v>38829.538800000002</v>
      </c>
      <c r="S457" s="271">
        <f t="shared" si="60"/>
        <v>2125.44</v>
      </c>
    </row>
    <row r="458" spans="1:21" s="270" customFormat="1" x14ac:dyDescent="0.25">
      <c r="A458" s="271">
        <v>501503</v>
      </c>
      <c r="B458" s="271">
        <v>1503</v>
      </c>
      <c r="C458" s="271">
        <v>200084</v>
      </c>
      <c r="D458" s="268" t="s">
        <v>894</v>
      </c>
      <c r="E458" s="268" t="s">
        <v>1290</v>
      </c>
      <c r="F458" s="268" t="s">
        <v>2455</v>
      </c>
      <c r="G458" s="268">
        <v>13</v>
      </c>
      <c r="H458" s="268" t="s">
        <v>3073</v>
      </c>
      <c r="I458" s="268" t="s">
        <v>3057</v>
      </c>
      <c r="J458" s="271">
        <v>214884</v>
      </c>
      <c r="K458" s="271">
        <f t="shared" si="55"/>
        <v>17907</v>
      </c>
      <c r="L458" s="271">
        <f t="shared" si="56"/>
        <v>12141.24</v>
      </c>
      <c r="M458" s="267">
        <v>0</v>
      </c>
      <c r="N458" s="271">
        <f t="shared" si="61"/>
        <v>129.60000000000002</v>
      </c>
      <c r="O458" s="276">
        <v>0</v>
      </c>
      <c r="P458" s="276">
        <f t="shared" si="57"/>
        <v>3760.4700000000003</v>
      </c>
      <c r="Q458" s="271">
        <f t="shared" si="58"/>
        <v>60084</v>
      </c>
      <c r="R458" s="271">
        <f t="shared" si="59"/>
        <v>38829.538800000002</v>
      </c>
      <c r="S458" s="271">
        <f t="shared" si="60"/>
        <v>2125.44</v>
      </c>
    </row>
    <row r="459" spans="1:21" s="270" customFormat="1" x14ac:dyDescent="0.25">
      <c r="A459" s="271">
        <v>501503</v>
      </c>
      <c r="B459" s="271">
        <v>1503</v>
      </c>
      <c r="C459" s="271">
        <v>200085</v>
      </c>
      <c r="D459" s="268" t="s">
        <v>894</v>
      </c>
      <c r="E459" s="268" t="s">
        <v>1278</v>
      </c>
      <c r="F459" s="268" t="s">
        <v>3074</v>
      </c>
      <c r="G459" s="268">
        <v>13</v>
      </c>
      <c r="H459" s="268" t="s">
        <v>3075</v>
      </c>
      <c r="I459" s="268" t="s">
        <v>3057</v>
      </c>
      <c r="J459" s="271">
        <v>214884</v>
      </c>
      <c r="K459" s="271">
        <f t="shared" si="55"/>
        <v>17907</v>
      </c>
      <c r="L459" s="271">
        <f t="shared" si="56"/>
        <v>12141.24</v>
      </c>
      <c r="M459" s="267">
        <v>0</v>
      </c>
      <c r="N459" s="271">
        <f t="shared" si="61"/>
        <v>129.60000000000002</v>
      </c>
      <c r="O459" s="276">
        <v>0</v>
      </c>
      <c r="P459" s="276">
        <f t="shared" si="57"/>
        <v>3760.4700000000003</v>
      </c>
      <c r="Q459" s="271">
        <f t="shared" si="58"/>
        <v>60084</v>
      </c>
      <c r="R459" s="271">
        <f t="shared" si="59"/>
        <v>38829.538800000002</v>
      </c>
      <c r="S459" s="271">
        <f t="shared" si="60"/>
        <v>2125.44</v>
      </c>
    </row>
    <row r="460" spans="1:21" s="270" customFormat="1" x14ac:dyDescent="0.25">
      <c r="A460" s="271">
        <v>501503</v>
      </c>
      <c r="B460" s="271">
        <v>1503</v>
      </c>
      <c r="C460" s="271">
        <v>200087</v>
      </c>
      <c r="D460" s="268" t="s">
        <v>894</v>
      </c>
      <c r="E460" s="268" t="s">
        <v>1278</v>
      </c>
      <c r="F460" s="268" t="s">
        <v>2428</v>
      </c>
      <c r="G460" s="268">
        <v>13</v>
      </c>
      <c r="H460" s="268" t="s">
        <v>3076</v>
      </c>
      <c r="I460" s="268" t="s">
        <v>3057</v>
      </c>
      <c r="J460" s="271">
        <v>214884</v>
      </c>
      <c r="K460" s="271">
        <f t="shared" si="55"/>
        <v>17907</v>
      </c>
      <c r="L460" s="271">
        <f t="shared" si="56"/>
        <v>12141.24</v>
      </c>
      <c r="M460" s="267">
        <v>0</v>
      </c>
      <c r="N460" s="271">
        <f t="shared" si="61"/>
        <v>129.60000000000002</v>
      </c>
      <c r="O460" s="276">
        <v>0</v>
      </c>
      <c r="P460" s="276">
        <f t="shared" si="57"/>
        <v>3760.4700000000003</v>
      </c>
      <c r="Q460" s="271">
        <f t="shared" si="58"/>
        <v>60084</v>
      </c>
      <c r="R460" s="271">
        <f t="shared" si="59"/>
        <v>38829.538800000002</v>
      </c>
      <c r="S460" s="271">
        <f t="shared" si="60"/>
        <v>2125.44</v>
      </c>
    </row>
    <row r="461" spans="1:21" s="270" customFormat="1" x14ac:dyDescent="0.25">
      <c r="A461" s="271">
        <v>501503</v>
      </c>
      <c r="B461" s="271">
        <v>1503</v>
      </c>
      <c r="C461" s="271">
        <v>200089</v>
      </c>
      <c r="D461" s="268" t="s">
        <v>894</v>
      </c>
      <c r="E461" s="268" t="s">
        <v>1278</v>
      </c>
      <c r="F461" s="268" t="s">
        <v>3077</v>
      </c>
      <c r="G461" s="268">
        <v>13</v>
      </c>
      <c r="H461" s="268" t="s">
        <v>3078</v>
      </c>
      <c r="I461" s="268" t="s">
        <v>3057</v>
      </c>
      <c r="J461" s="271">
        <v>214884</v>
      </c>
      <c r="K461" s="271">
        <f t="shared" si="55"/>
        <v>17907</v>
      </c>
      <c r="L461" s="271">
        <f t="shared" si="56"/>
        <v>12141.24</v>
      </c>
      <c r="M461" s="267">
        <v>0</v>
      </c>
      <c r="N461" s="271">
        <f t="shared" si="61"/>
        <v>129.60000000000002</v>
      </c>
      <c r="O461" s="276">
        <v>0</v>
      </c>
      <c r="P461" s="276">
        <f t="shared" si="57"/>
        <v>3760.4700000000003</v>
      </c>
      <c r="Q461" s="271">
        <f t="shared" si="58"/>
        <v>60084</v>
      </c>
      <c r="R461" s="271">
        <f t="shared" si="59"/>
        <v>38829.538800000002</v>
      </c>
      <c r="S461" s="271">
        <f t="shared" si="60"/>
        <v>2125.44</v>
      </c>
    </row>
    <row r="462" spans="1:21" s="270" customFormat="1" x14ac:dyDescent="0.25">
      <c r="A462" s="271">
        <v>501503</v>
      </c>
      <c r="B462" s="271">
        <v>1503</v>
      </c>
      <c r="C462" s="271">
        <v>200092</v>
      </c>
      <c r="D462" s="268" t="s">
        <v>894</v>
      </c>
      <c r="E462" s="268" t="s">
        <v>1290</v>
      </c>
      <c r="F462" s="268" t="s">
        <v>2940</v>
      </c>
      <c r="G462" s="268">
        <v>13</v>
      </c>
      <c r="H462" s="268" t="s">
        <v>3002</v>
      </c>
      <c r="I462" s="268" t="s">
        <v>3057</v>
      </c>
      <c r="J462" s="271">
        <v>214884</v>
      </c>
      <c r="K462" s="271">
        <f t="shared" si="55"/>
        <v>17907</v>
      </c>
      <c r="L462" s="271">
        <f t="shared" si="56"/>
        <v>12141.24</v>
      </c>
      <c r="M462" s="267">
        <v>0</v>
      </c>
      <c r="N462" s="271">
        <f t="shared" si="61"/>
        <v>129.60000000000002</v>
      </c>
      <c r="O462" s="276">
        <v>0</v>
      </c>
      <c r="P462" s="276">
        <f t="shared" si="57"/>
        <v>3760.4700000000003</v>
      </c>
      <c r="Q462" s="271">
        <f t="shared" si="58"/>
        <v>60084</v>
      </c>
      <c r="R462" s="271">
        <f t="shared" si="59"/>
        <v>38829.538800000002</v>
      </c>
      <c r="S462" s="271">
        <f t="shared" si="60"/>
        <v>2125.44</v>
      </c>
      <c r="T462" s="277"/>
      <c r="U462" s="277"/>
    </row>
    <row r="463" spans="1:21" s="270" customFormat="1" x14ac:dyDescent="0.25">
      <c r="A463" s="271">
        <v>501503</v>
      </c>
      <c r="B463" s="271">
        <v>1503</v>
      </c>
      <c r="C463" s="271">
        <v>200093</v>
      </c>
      <c r="D463" s="268" t="s">
        <v>894</v>
      </c>
      <c r="E463" s="268" t="s">
        <v>1290</v>
      </c>
      <c r="F463" s="268" t="s">
        <v>2666</v>
      </c>
      <c r="G463" s="268">
        <v>13</v>
      </c>
      <c r="H463" s="268" t="s">
        <v>3079</v>
      </c>
      <c r="I463" s="268" t="s">
        <v>3057</v>
      </c>
      <c r="J463" s="271">
        <v>214884</v>
      </c>
      <c r="K463" s="271">
        <f t="shared" si="55"/>
        <v>17907</v>
      </c>
      <c r="L463" s="271">
        <f t="shared" si="56"/>
        <v>12141.24</v>
      </c>
      <c r="M463" s="267">
        <v>0</v>
      </c>
      <c r="N463" s="271">
        <f t="shared" si="61"/>
        <v>129.60000000000002</v>
      </c>
      <c r="O463" s="276">
        <v>0</v>
      </c>
      <c r="P463" s="276">
        <f t="shared" si="57"/>
        <v>3760.4700000000003</v>
      </c>
      <c r="Q463" s="271">
        <f t="shared" si="58"/>
        <v>60084</v>
      </c>
      <c r="R463" s="271">
        <f t="shared" si="59"/>
        <v>38829.538800000002</v>
      </c>
      <c r="S463" s="271">
        <f t="shared" si="60"/>
        <v>2125.44</v>
      </c>
    </row>
    <row r="464" spans="1:21" s="270" customFormat="1" x14ac:dyDescent="0.25">
      <c r="A464" s="271">
        <v>501503</v>
      </c>
      <c r="B464" s="271">
        <v>1503</v>
      </c>
      <c r="C464" s="271">
        <v>200094</v>
      </c>
      <c r="D464" s="268" t="s">
        <v>894</v>
      </c>
      <c r="E464" s="268" t="s">
        <v>1290</v>
      </c>
      <c r="F464" s="268" t="s">
        <v>2434</v>
      </c>
      <c r="G464" s="268">
        <v>13</v>
      </c>
      <c r="H464" s="268" t="s">
        <v>3080</v>
      </c>
      <c r="I464" s="268" t="s">
        <v>3057</v>
      </c>
      <c r="J464" s="271">
        <v>214884</v>
      </c>
      <c r="K464" s="271">
        <f t="shared" si="55"/>
        <v>17907</v>
      </c>
      <c r="L464" s="271">
        <f t="shared" si="56"/>
        <v>12141.24</v>
      </c>
      <c r="M464" s="267">
        <v>0</v>
      </c>
      <c r="N464" s="271">
        <f t="shared" si="61"/>
        <v>129.60000000000002</v>
      </c>
      <c r="O464" s="276">
        <v>0</v>
      </c>
      <c r="P464" s="276">
        <f t="shared" si="57"/>
        <v>3760.4700000000003</v>
      </c>
      <c r="Q464" s="271">
        <f t="shared" si="58"/>
        <v>60084</v>
      </c>
      <c r="R464" s="271">
        <f t="shared" si="59"/>
        <v>38829.538800000002</v>
      </c>
      <c r="S464" s="271">
        <f t="shared" si="60"/>
        <v>2125.44</v>
      </c>
    </row>
    <row r="465" spans="1:21" s="270" customFormat="1" x14ac:dyDescent="0.25">
      <c r="A465" s="271">
        <v>501503</v>
      </c>
      <c r="B465" s="271">
        <v>1503</v>
      </c>
      <c r="C465" s="271">
        <v>200096</v>
      </c>
      <c r="D465" s="268" t="s">
        <v>894</v>
      </c>
      <c r="E465" s="268" t="s">
        <v>1290</v>
      </c>
      <c r="F465" s="268" t="s">
        <v>3081</v>
      </c>
      <c r="G465" s="268">
        <v>13</v>
      </c>
      <c r="H465" s="268" t="s">
        <v>3082</v>
      </c>
      <c r="I465" s="268" t="s">
        <v>3057</v>
      </c>
      <c r="J465" s="271">
        <v>214884</v>
      </c>
      <c r="K465" s="271">
        <f t="shared" si="55"/>
        <v>17907</v>
      </c>
      <c r="L465" s="271">
        <f t="shared" si="56"/>
        <v>12141.24</v>
      </c>
      <c r="M465" s="267">
        <v>0</v>
      </c>
      <c r="N465" s="271">
        <f t="shared" si="61"/>
        <v>129.60000000000002</v>
      </c>
      <c r="O465" s="276">
        <v>0</v>
      </c>
      <c r="P465" s="276">
        <f t="shared" si="57"/>
        <v>3760.4700000000003</v>
      </c>
      <c r="Q465" s="271">
        <f t="shared" si="58"/>
        <v>60084</v>
      </c>
      <c r="R465" s="271">
        <f t="shared" si="59"/>
        <v>38829.538800000002</v>
      </c>
      <c r="S465" s="271">
        <f t="shared" si="60"/>
        <v>2125.44</v>
      </c>
    </row>
    <row r="466" spans="1:21" s="270" customFormat="1" x14ac:dyDescent="0.25">
      <c r="A466" s="271">
        <v>501503</v>
      </c>
      <c r="B466" s="271">
        <v>1503</v>
      </c>
      <c r="C466" s="271">
        <v>200097</v>
      </c>
      <c r="D466" s="268" t="s">
        <v>894</v>
      </c>
      <c r="E466" s="268" t="s">
        <v>1278</v>
      </c>
      <c r="F466" s="268" t="s">
        <v>3083</v>
      </c>
      <c r="G466" s="268">
        <v>13</v>
      </c>
      <c r="H466" s="268" t="s">
        <v>3084</v>
      </c>
      <c r="I466" s="268" t="s">
        <v>3057</v>
      </c>
      <c r="J466" s="271">
        <v>214884</v>
      </c>
      <c r="K466" s="271">
        <f t="shared" si="55"/>
        <v>17907</v>
      </c>
      <c r="L466" s="271">
        <f t="shared" si="56"/>
        <v>12141.24</v>
      </c>
      <c r="M466" s="267">
        <v>0</v>
      </c>
      <c r="N466" s="271">
        <f t="shared" si="61"/>
        <v>129.60000000000002</v>
      </c>
      <c r="O466" s="276">
        <v>0</v>
      </c>
      <c r="P466" s="276">
        <f t="shared" si="57"/>
        <v>3760.4700000000003</v>
      </c>
      <c r="Q466" s="271">
        <f t="shared" si="58"/>
        <v>60084</v>
      </c>
      <c r="R466" s="271">
        <f t="shared" si="59"/>
        <v>38829.538800000002</v>
      </c>
      <c r="S466" s="271">
        <f t="shared" si="60"/>
        <v>2125.44</v>
      </c>
    </row>
    <row r="467" spans="1:21" s="270" customFormat="1" x14ac:dyDescent="0.25">
      <c r="A467" s="271">
        <v>501503</v>
      </c>
      <c r="B467" s="271">
        <v>1503</v>
      </c>
      <c r="C467" s="271">
        <v>200098</v>
      </c>
      <c r="D467" s="268" t="s">
        <v>894</v>
      </c>
      <c r="E467" s="268" t="s">
        <v>1290</v>
      </c>
      <c r="F467" s="268" t="s">
        <v>3085</v>
      </c>
      <c r="G467" s="268">
        <v>13</v>
      </c>
      <c r="H467" s="268" t="s">
        <v>3086</v>
      </c>
      <c r="I467" s="268" t="s">
        <v>3057</v>
      </c>
      <c r="J467" s="271">
        <v>214884</v>
      </c>
      <c r="K467" s="271">
        <f t="shared" si="55"/>
        <v>17907</v>
      </c>
      <c r="L467" s="271">
        <f t="shared" si="56"/>
        <v>12141.24</v>
      </c>
      <c r="M467" s="267">
        <v>0</v>
      </c>
      <c r="N467" s="271">
        <f t="shared" si="61"/>
        <v>129.60000000000002</v>
      </c>
      <c r="O467" s="276">
        <v>0</v>
      </c>
      <c r="P467" s="276">
        <f t="shared" si="57"/>
        <v>3760.4700000000003</v>
      </c>
      <c r="Q467" s="271">
        <f t="shared" si="58"/>
        <v>60084</v>
      </c>
      <c r="R467" s="271">
        <f t="shared" si="59"/>
        <v>38829.538800000002</v>
      </c>
      <c r="S467" s="271">
        <f t="shared" si="60"/>
        <v>2125.44</v>
      </c>
    </row>
    <row r="468" spans="1:21" s="270" customFormat="1" x14ac:dyDescent="0.25">
      <c r="A468" s="271">
        <v>501503</v>
      </c>
      <c r="B468" s="271">
        <v>1503</v>
      </c>
      <c r="C468" s="271">
        <v>200099</v>
      </c>
      <c r="D468" s="268" t="s">
        <v>894</v>
      </c>
      <c r="E468" s="268" t="s">
        <v>1290</v>
      </c>
      <c r="F468" s="268" t="s">
        <v>2434</v>
      </c>
      <c r="G468" s="268">
        <v>13</v>
      </c>
      <c r="H468" s="268" t="s">
        <v>3087</v>
      </c>
      <c r="I468" s="268" t="s">
        <v>3057</v>
      </c>
      <c r="J468" s="271">
        <v>214884</v>
      </c>
      <c r="K468" s="271">
        <f t="shared" si="55"/>
        <v>17907</v>
      </c>
      <c r="L468" s="271">
        <f t="shared" si="56"/>
        <v>12141.24</v>
      </c>
      <c r="M468" s="267">
        <v>0</v>
      </c>
      <c r="N468" s="271">
        <f t="shared" si="61"/>
        <v>129.60000000000002</v>
      </c>
      <c r="O468" s="276">
        <v>0</v>
      </c>
      <c r="P468" s="276">
        <f t="shared" si="57"/>
        <v>3760.4700000000003</v>
      </c>
      <c r="Q468" s="271">
        <f t="shared" si="58"/>
        <v>60084</v>
      </c>
      <c r="R468" s="271">
        <f t="shared" si="59"/>
        <v>38829.538800000002</v>
      </c>
      <c r="S468" s="271">
        <f t="shared" si="60"/>
        <v>2125.44</v>
      </c>
    </row>
    <row r="469" spans="1:21" s="270" customFormat="1" x14ac:dyDescent="0.25">
      <c r="A469" s="271">
        <v>501503</v>
      </c>
      <c r="B469" s="271">
        <v>1503</v>
      </c>
      <c r="C469" s="271">
        <v>200100</v>
      </c>
      <c r="D469" s="268" t="s">
        <v>894</v>
      </c>
      <c r="E469" s="268" t="s">
        <v>1290</v>
      </c>
      <c r="F469" s="268" t="s">
        <v>2598</v>
      </c>
      <c r="G469" s="268">
        <v>13</v>
      </c>
      <c r="H469" s="268" t="s">
        <v>3088</v>
      </c>
      <c r="I469" s="268" t="s">
        <v>3057</v>
      </c>
      <c r="J469" s="271">
        <v>214884</v>
      </c>
      <c r="K469" s="271">
        <f t="shared" si="55"/>
        <v>17907</v>
      </c>
      <c r="L469" s="271">
        <f t="shared" si="56"/>
        <v>12141.24</v>
      </c>
      <c r="M469" s="267">
        <v>0</v>
      </c>
      <c r="N469" s="271">
        <f t="shared" si="61"/>
        <v>129.60000000000002</v>
      </c>
      <c r="O469" s="276">
        <v>0</v>
      </c>
      <c r="P469" s="276">
        <f t="shared" si="57"/>
        <v>3760.4700000000003</v>
      </c>
      <c r="Q469" s="271">
        <f t="shared" si="58"/>
        <v>60084</v>
      </c>
      <c r="R469" s="271">
        <f t="shared" si="59"/>
        <v>38829.538800000002</v>
      </c>
      <c r="S469" s="271">
        <f t="shared" si="60"/>
        <v>2125.44</v>
      </c>
    </row>
    <row r="470" spans="1:21" s="270" customFormat="1" x14ac:dyDescent="0.25">
      <c r="A470" s="271">
        <v>501503</v>
      </c>
      <c r="B470" s="271">
        <v>1503</v>
      </c>
      <c r="C470" s="271">
        <v>200101</v>
      </c>
      <c r="D470" s="268" t="s">
        <v>894</v>
      </c>
      <c r="E470" s="268" t="s">
        <v>1290</v>
      </c>
      <c r="F470" s="268" t="s">
        <v>3089</v>
      </c>
      <c r="G470" s="268">
        <v>13</v>
      </c>
      <c r="H470" s="268" t="s">
        <v>3090</v>
      </c>
      <c r="I470" s="268" t="s">
        <v>3057</v>
      </c>
      <c r="J470" s="271">
        <v>214884</v>
      </c>
      <c r="K470" s="271">
        <f t="shared" si="55"/>
        <v>17907</v>
      </c>
      <c r="L470" s="271">
        <f t="shared" si="56"/>
        <v>12141.24</v>
      </c>
      <c r="M470" s="267">
        <v>0</v>
      </c>
      <c r="N470" s="271">
        <f t="shared" si="61"/>
        <v>129.60000000000002</v>
      </c>
      <c r="O470" s="276">
        <v>0</v>
      </c>
      <c r="P470" s="276">
        <f t="shared" si="57"/>
        <v>3760.4700000000003</v>
      </c>
      <c r="Q470" s="271">
        <f t="shared" si="58"/>
        <v>60084</v>
      </c>
      <c r="R470" s="271">
        <f t="shared" si="59"/>
        <v>38829.538800000002</v>
      </c>
      <c r="S470" s="271">
        <f t="shared" si="60"/>
        <v>2125.44</v>
      </c>
    </row>
    <row r="471" spans="1:21" s="270" customFormat="1" x14ac:dyDescent="0.25">
      <c r="A471" s="271">
        <v>501503</v>
      </c>
      <c r="B471" s="271">
        <v>1503</v>
      </c>
      <c r="C471" s="271">
        <v>200102</v>
      </c>
      <c r="D471" s="268" t="s">
        <v>894</v>
      </c>
      <c r="E471" s="268" t="s">
        <v>1290</v>
      </c>
      <c r="F471" s="268" t="s">
        <v>2742</v>
      </c>
      <c r="G471" s="268">
        <v>13</v>
      </c>
      <c r="H471" s="268" t="s">
        <v>3091</v>
      </c>
      <c r="I471" s="268" t="s">
        <v>3057</v>
      </c>
      <c r="J471" s="271">
        <v>214884</v>
      </c>
      <c r="K471" s="271">
        <f t="shared" si="55"/>
        <v>17907</v>
      </c>
      <c r="L471" s="271">
        <f t="shared" si="56"/>
        <v>12141.24</v>
      </c>
      <c r="M471" s="267">
        <v>0</v>
      </c>
      <c r="N471" s="271">
        <f t="shared" si="61"/>
        <v>129.60000000000002</v>
      </c>
      <c r="O471" s="276">
        <v>0</v>
      </c>
      <c r="P471" s="276">
        <f t="shared" si="57"/>
        <v>3760.4700000000003</v>
      </c>
      <c r="Q471" s="271">
        <f t="shared" si="58"/>
        <v>60084</v>
      </c>
      <c r="R471" s="271">
        <f t="shared" si="59"/>
        <v>38829.538800000002</v>
      </c>
      <c r="S471" s="271">
        <f t="shared" si="60"/>
        <v>2125.44</v>
      </c>
      <c r="T471" s="277"/>
      <c r="U471" s="277"/>
    </row>
    <row r="472" spans="1:21" s="270" customFormat="1" x14ac:dyDescent="0.25">
      <c r="A472" s="271">
        <v>501503</v>
      </c>
      <c r="B472" s="271">
        <v>1503</v>
      </c>
      <c r="C472" s="271">
        <v>200103</v>
      </c>
      <c r="D472" s="268" t="s">
        <v>894</v>
      </c>
      <c r="E472" s="268" t="s">
        <v>1290</v>
      </c>
      <c r="F472" s="268" t="s">
        <v>2226</v>
      </c>
      <c r="G472" s="268">
        <v>13</v>
      </c>
      <c r="H472" s="268" t="s">
        <v>2238</v>
      </c>
      <c r="I472" s="268" t="s">
        <v>3057</v>
      </c>
      <c r="J472" s="271">
        <v>214884</v>
      </c>
      <c r="K472" s="271">
        <f t="shared" si="55"/>
        <v>17907</v>
      </c>
      <c r="L472" s="271">
        <f t="shared" si="56"/>
        <v>12141.24</v>
      </c>
      <c r="M472" s="267">
        <v>0</v>
      </c>
      <c r="N472" s="271">
        <f t="shared" si="61"/>
        <v>129.60000000000002</v>
      </c>
      <c r="O472" s="276">
        <v>0</v>
      </c>
      <c r="P472" s="276">
        <f t="shared" si="57"/>
        <v>3760.4700000000003</v>
      </c>
      <c r="Q472" s="271">
        <f t="shared" si="58"/>
        <v>60084</v>
      </c>
      <c r="R472" s="271">
        <f t="shared" si="59"/>
        <v>38829.538800000002</v>
      </c>
      <c r="S472" s="271">
        <f t="shared" si="60"/>
        <v>2125.44</v>
      </c>
    </row>
    <row r="473" spans="1:21" s="270" customFormat="1" x14ac:dyDescent="0.25">
      <c r="A473" s="271">
        <v>501503</v>
      </c>
      <c r="B473" s="271">
        <v>1503</v>
      </c>
      <c r="C473" s="271">
        <v>200104</v>
      </c>
      <c r="D473" s="268" t="s">
        <v>894</v>
      </c>
      <c r="E473" s="268" t="s">
        <v>1290</v>
      </c>
      <c r="F473" s="268" t="s">
        <v>2666</v>
      </c>
      <c r="G473" s="268">
        <v>13</v>
      </c>
      <c r="H473" s="268" t="s">
        <v>3092</v>
      </c>
      <c r="I473" s="268" t="s">
        <v>3057</v>
      </c>
      <c r="J473" s="271">
        <v>214884</v>
      </c>
      <c r="K473" s="271">
        <f t="shared" si="55"/>
        <v>17907</v>
      </c>
      <c r="L473" s="271">
        <f t="shared" si="56"/>
        <v>12141.24</v>
      </c>
      <c r="M473" s="267">
        <v>0</v>
      </c>
      <c r="N473" s="271">
        <f t="shared" si="61"/>
        <v>129.60000000000002</v>
      </c>
      <c r="O473" s="276">
        <v>0</v>
      </c>
      <c r="P473" s="276">
        <f t="shared" si="57"/>
        <v>3760.4700000000003</v>
      </c>
      <c r="Q473" s="271">
        <f t="shared" si="58"/>
        <v>60084</v>
      </c>
      <c r="R473" s="271">
        <f t="shared" si="59"/>
        <v>38829.538800000002</v>
      </c>
      <c r="S473" s="271">
        <f t="shared" si="60"/>
        <v>2125.44</v>
      </c>
    </row>
    <row r="474" spans="1:21" s="270" customFormat="1" x14ac:dyDescent="0.25">
      <c r="A474" s="271">
        <v>501503</v>
      </c>
      <c r="B474" s="271">
        <v>1503</v>
      </c>
      <c r="C474" s="271">
        <v>200264</v>
      </c>
      <c r="D474" s="268" t="s">
        <v>894</v>
      </c>
      <c r="E474" s="268" t="s">
        <v>1278</v>
      </c>
      <c r="F474" s="268" t="s">
        <v>2903</v>
      </c>
      <c r="G474" s="268">
        <v>13</v>
      </c>
      <c r="H474" s="268" t="s">
        <v>3093</v>
      </c>
      <c r="I474" s="268" t="s">
        <v>3057</v>
      </c>
      <c r="J474" s="271">
        <v>214884</v>
      </c>
      <c r="K474" s="271">
        <f t="shared" si="55"/>
        <v>17907</v>
      </c>
      <c r="L474" s="271">
        <f t="shared" si="56"/>
        <v>12141.24</v>
      </c>
      <c r="M474" s="267">
        <v>0</v>
      </c>
      <c r="N474" s="271">
        <f t="shared" si="61"/>
        <v>129.60000000000002</v>
      </c>
      <c r="O474" s="276">
        <v>0</v>
      </c>
      <c r="P474" s="276">
        <f t="shared" si="57"/>
        <v>3760.4700000000003</v>
      </c>
      <c r="Q474" s="271">
        <f t="shared" si="58"/>
        <v>60084</v>
      </c>
      <c r="R474" s="271">
        <f t="shared" si="59"/>
        <v>38829.538800000002</v>
      </c>
      <c r="S474" s="271">
        <f t="shared" si="60"/>
        <v>2125.44</v>
      </c>
    </row>
    <row r="475" spans="1:21" s="270" customFormat="1" x14ac:dyDescent="0.25">
      <c r="A475" s="271">
        <v>501503</v>
      </c>
      <c r="B475" s="271">
        <v>1503</v>
      </c>
      <c r="C475" s="271">
        <v>200282</v>
      </c>
      <c r="D475" s="268" t="s">
        <v>894</v>
      </c>
      <c r="E475" s="268" t="s">
        <v>1278</v>
      </c>
      <c r="F475" s="268" t="s">
        <v>2827</v>
      </c>
      <c r="G475" s="268">
        <v>13</v>
      </c>
      <c r="H475" s="268" t="s">
        <v>3094</v>
      </c>
      <c r="I475" s="268" t="s">
        <v>3057</v>
      </c>
      <c r="J475" s="271">
        <v>214884</v>
      </c>
      <c r="K475" s="271">
        <f t="shared" si="55"/>
        <v>17907</v>
      </c>
      <c r="L475" s="271">
        <f t="shared" si="56"/>
        <v>12141.24</v>
      </c>
      <c r="M475" s="267">
        <v>0</v>
      </c>
      <c r="N475" s="271">
        <f t="shared" si="61"/>
        <v>129.60000000000002</v>
      </c>
      <c r="O475" s="276">
        <v>0</v>
      </c>
      <c r="P475" s="276">
        <f t="shared" si="57"/>
        <v>3760.4700000000003</v>
      </c>
      <c r="Q475" s="271">
        <f t="shared" si="58"/>
        <v>60084</v>
      </c>
      <c r="R475" s="271">
        <f t="shared" si="59"/>
        <v>38829.538800000002</v>
      </c>
      <c r="S475" s="271">
        <f t="shared" si="60"/>
        <v>2125.44</v>
      </c>
    </row>
    <row r="476" spans="1:21" s="270" customFormat="1" x14ac:dyDescent="0.25">
      <c r="A476" s="271">
        <v>501443</v>
      </c>
      <c r="B476" s="271">
        <v>1443</v>
      </c>
      <c r="C476" s="271">
        <v>200290</v>
      </c>
      <c r="D476" s="268" t="s">
        <v>894</v>
      </c>
      <c r="E476" s="268" t="s">
        <v>1290</v>
      </c>
      <c r="F476" s="268" t="s">
        <v>2971</v>
      </c>
      <c r="G476" s="268">
        <v>11</v>
      </c>
      <c r="H476" s="268" t="s">
        <v>3095</v>
      </c>
      <c r="I476" s="268" t="s">
        <v>2978</v>
      </c>
      <c r="J476" s="271">
        <v>205440</v>
      </c>
      <c r="K476" s="271">
        <f t="shared" si="55"/>
        <v>17120</v>
      </c>
      <c r="L476" s="271">
        <f t="shared" si="56"/>
        <v>12141.24</v>
      </c>
      <c r="M476" s="267">
        <v>0</v>
      </c>
      <c r="N476" s="271">
        <f t="shared" si="61"/>
        <v>129.60000000000002</v>
      </c>
      <c r="O476" s="276">
        <v>0</v>
      </c>
      <c r="P476" s="276">
        <f t="shared" si="57"/>
        <v>3595.2000000000003</v>
      </c>
      <c r="Q476" s="271">
        <f t="shared" si="58"/>
        <v>60084</v>
      </c>
      <c r="R476" s="271">
        <f t="shared" si="59"/>
        <v>37123.008000000002</v>
      </c>
      <c r="S476" s="271">
        <f t="shared" si="60"/>
        <v>2125.44</v>
      </c>
    </row>
    <row r="477" spans="1:21" s="270" customFormat="1" x14ac:dyDescent="0.25">
      <c r="A477" s="271">
        <v>501503</v>
      </c>
      <c r="B477" s="271">
        <v>1503</v>
      </c>
      <c r="C477" s="271">
        <v>200295</v>
      </c>
      <c r="D477" s="268" t="s">
        <v>894</v>
      </c>
      <c r="E477" s="268" t="s">
        <v>1278</v>
      </c>
      <c r="F477" s="268" t="s">
        <v>2950</v>
      </c>
      <c r="G477" s="268">
        <v>12</v>
      </c>
      <c r="H477" s="268" t="s">
        <v>3096</v>
      </c>
      <c r="I477" s="268" t="s">
        <v>3057</v>
      </c>
      <c r="J477" s="271">
        <v>205440</v>
      </c>
      <c r="K477" s="271">
        <f t="shared" si="55"/>
        <v>17120</v>
      </c>
      <c r="L477" s="271">
        <f t="shared" si="56"/>
        <v>12141.24</v>
      </c>
      <c r="M477" s="267">
        <v>0</v>
      </c>
      <c r="N477" s="271">
        <f t="shared" si="61"/>
        <v>129.60000000000002</v>
      </c>
      <c r="O477" s="276">
        <v>0</v>
      </c>
      <c r="P477" s="276">
        <f t="shared" si="57"/>
        <v>3595.2000000000003</v>
      </c>
      <c r="Q477" s="271">
        <f t="shared" si="58"/>
        <v>60084</v>
      </c>
      <c r="R477" s="271">
        <f t="shared" si="59"/>
        <v>37123.008000000002</v>
      </c>
      <c r="S477" s="271">
        <f t="shared" si="60"/>
        <v>2125.44</v>
      </c>
    </row>
    <row r="478" spans="1:21" s="270" customFormat="1" x14ac:dyDescent="0.25">
      <c r="A478" s="271">
        <v>501503</v>
      </c>
      <c r="B478" s="271">
        <v>1503</v>
      </c>
      <c r="C478" s="271">
        <v>200298</v>
      </c>
      <c r="D478" s="268" t="s">
        <v>894</v>
      </c>
      <c r="E478" s="268" t="s">
        <v>1278</v>
      </c>
      <c r="F478" s="268" t="s">
        <v>3097</v>
      </c>
      <c r="G478" s="268">
        <v>12</v>
      </c>
      <c r="H478" s="268" t="s">
        <v>3098</v>
      </c>
      <c r="I478" s="268" t="s">
        <v>3057</v>
      </c>
      <c r="J478" s="271">
        <v>205440</v>
      </c>
      <c r="K478" s="271">
        <f t="shared" si="55"/>
        <v>17120</v>
      </c>
      <c r="L478" s="271">
        <f t="shared" si="56"/>
        <v>12141.24</v>
      </c>
      <c r="M478" s="267">
        <v>0</v>
      </c>
      <c r="N478" s="271">
        <f t="shared" si="61"/>
        <v>129.60000000000002</v>
      </c>
      <c r="O478" s="276">
        <v>0</v>
      </c>
      <c r="P478" s="276">
        <f t="shared" si="57"/>
        <v>3595.2000000000003</v>
      </c>
      <c r="Q478" s="271">
        <f t="shared" si="58"/>
        <v>60084</v>
      </c>
      <c r="R478" s="271">
        <f t="shared" si="59"/>
        <v>37123.008000000002</v>
      </c>
      <c r="S478" s="271">
        <f t="shared" si="60"/>
        <v>2125.44</v>
      </c>
    </row>
    <row r="479" spans="1:21" s="270" customFormat="1" x14ac:dyDescent="0.25">
      <c r="A479" s="271">
        <v>501503</v>
      </c>
      <c r="B479" s="271">
        <v>1503</v>
      </c>
      <c r="C479" s="271">
        <v>200447</v>
      </c>
      <c r="D479" s="268" t="s">
        <v>894</v>
      </c>
      <c r="E479" s="268" t="s">
        <v>1290</v>
      </c>
      <c r="F479" s="268" t="s">
        <v>3099</v>
      </c>
      <c r="G479" s="268">
        <v>12</v>
      </c>
      <c r="H479" s="268" t="s">
        <v>3100</v>
      </c>
      <c r="I479" s="268" t="s">
        <v>3057</v>
      </c>
      <c r="J479" s="271">
        <v>205440</v>
      </c>
      <c r="K479" s="271">
        <f t="shared" si="55"/>
        <v>17120</v>
      </c>
      <c r="L479" s="271">
        <f t="shared" si="56"/>
        <v>12141.24</v>
      </c>
      <c r="M479" s="267">
        <v>0</v>
      </c>
      <c r="N479" s="271">
        <f t="shared" si="61"/>
        <v>129.60000000000002</v>
      </c>
      <c r="O479" s="276">
        <v>0</v>
      </c>
      <c r="P479" s="276">
        <f t="shared" si="57"/>
        <v>3595.2000000000003</v>
      </c>
      <c r="Q479" s="271">
        <f t="shared" si="58"/>
        <v>60084</v>
      </c>
      <c r="R479" s="271">
        <f t="shared" si="59"/>
        <v>37123.008000000002</v>
      </c>
      <c r="S479" s="271">
        <f t="shared" si="60"/>
        <v>2125.44</v>
      </c>
    </row>
    <row r="480" spans="1:21" s="270" customFormat="1" x14ac:dyDescent="0.25">
      <c r="A480" s="271">
        <v>501503</v>
      </c>
      <c r="B480" s="271">
        <v>1503</v>
      </c>
      <c r="C480" s="271">
        <v>200453</v>
      </c>
      <c r="D480" s="268" t="s">
        <v>894</v>
      </c>
      <c r="E480" s="268" t="s">
        <v>1290</v>
      </c>
      <c r="F480" s="268" t="s">
        <v>3101</v>
      </c>
      <c r="G480" s="268">
        <v>12</v>
      </c>
      <c r="H480" s="268" t="s">
        <v>3102</v>
      </c>
      <c r="I480" s="268" t="s">
        <v>3057</v>
      </c>
      <c r="J480" s="271">
        <v>205440</v>
      </c>
      <c r="K480" s="271">
        <f t="shared" si="55"/>
        <v>17120</v>
      </c>
      <c r="L480" s="271">
        <f t="shared" si="56"/>
        <v>12141.24</v>
      </c>
      <c r="M480" s="267">
        <v>0</v>
      </c>
      <c r="N480" s="271">
        <f t="shared" si="61"/>
        <v>129.60000000000002</v>
      </c>
      <c r="O480" s="276">
        <v>0</v>
      </c>
      <c r="P480" s="276">
        <f t="shared" si="57"/>
        <v>3595.2000000000003</v>
      </c>
      <c r="Q480" s="271">
        <f t="shared" si="58"/>
        <v>60084</v>
      </c>
      <c r="R480" s="271">
        <f t="shared" si="59"/>
        <v>37123.008000000002</v>
      </c>
      <c r="S480" s="271">
        <f t="shared" si="60"/>
        <v>2125.44</v>
      </c>
    </row>
    <row r="481" spans="1:21" s="270" customFormat="1" x14ac:dyDescent="0.25">
      <c r="A481" s="271">
        <v>501503</v>
      </c>
      <c r="B481" s="271">
        <v>1503</v>
      </c>
      <c r="C481" s="271">
        <v>200454</v>
      </c>
      <c r="D481" s="268" t="s">
        <v>894</v>
      </c>
      <c r="E481" s="268" t="s">
        <v>1278</v>
      </c>
      <c r="F481" s="268" t="s">
        <v>2685</v>
      </c>
      <c r="G481" s="268">
        <v>12</v>
      </c>
      <c r="H481" s="268" t="s">
        <v>3103</v>
      </c>
      <c r="I481" s="268" t="s">
        <v>3057</v>
      </c>
      <c r="J481" s="271">
        <v>205440</v>
      </c>
      <c r="K481" s="271">
        <f t="shared" si="55"/>
        <v>17120</v>
      </c>
      <c r="L481" s="271">
        <f t="shared" si="56"/>
        <v>12141.24</v>
      </c>
      <c r="M481" s="267">
        <v>0</v>
      </c>
      <c r="N481" s="271">
        <f t="shared" si="61"/>
        <v>129.60000000000002</v>
      </c>
      <c r="O481" s="276">
        <v>0</v>
      </c>
      <c r="P481" s="276">
        <f t="shared" si="57"/>
        <v>3595.2000000000003</v>
      </c>
      <c r="Q481" s="271">
        <f t="shared" si="58"/>
        <v>60084</v>
      </c>
      <c r="R481" s="271">
        <f t="shared" si="59"/>
        <v>37123.008000000002</v>
      </c>
      <c r="S481" s="271">
        <f t="shared" si="60"/>
        <v>2125.44</v>
      </c>
    </row>
    <row r="482" spans="1:21" s="270" customFormat="1" x14ac:dyDescent="0.25">
      <c r="A482" s="271">
        <v>501503</v>
      </c>
      <c r="B482" s="271">
        <v>1503</v>
      </c>
      <c r="C482" s="271">
        <v>200458</v>
      </c>
      <c r="D482" s="268" t="s">
        <v>894</v>
      </c>
      <c r="E482" s="268" t="s">
        <v>1290</v>
      </c>
      <c r="F482" s="268" t="s">
        <v>2362</v>
      </c>
      <c r="G482" s="268">
        <v>12</v>
      </c>
      <c r="H482" s="268" t="s">
        <v>3104</v>
      </c>
      <c r="I482" s="268" t="s">
        <v>3057</v>
      </c>
      <c r="J482" s="271">
        <v>205440</v>
      </c>
      <c r="K482" s="271">
        <f t="shared" si="55"/>
        <v>17120</v>
      </c>
      <c r="L482" s="271">
        <f t="shared" si="56"/>
        <v>12141.24</v>
      </c>
      <c r="M482" s="267">
        <v>0</v>
      </c>
      <c r="N482" s="271">
        <f t="shared" si="61"/>
        <v>129.60000000000002</v>
      </c>
      <c r="O482" s="276">
        <v>0</v>
      </c>
      <c r="P482" s="276">
        <f t="shared" si="57"/>
        <v>3595.2000000000003</v>
      </c>
      <c r="Q482" s="271">
        <f t="shared" si="58"/>
        <v>60084</v>
      </c>
      <c r="R482" s="271">
        <f t="shared" si="59"/>
        <v>37123.008000000002</v>
      </c>
      <c r="S482" s="271">
        <f t="shared" si="60"/>
        <v>2125.44</v>
      </c>
    </row>
    <row r="483" spans="1:21" s="270" customFormat="1" x14ac:dyDescent="0.25">
      <c r="A483" s="271">
        <v>501503</v>
      </c>
      <c r="B483" s="271">
        <v>1503</v>
      </c>
      <c r="C483" s="271">
        <v>200459</v>
      </c>
      <c r="D483" s="268" t="s">
        <v>894</v>
      </c>
      <c r="E483" s="268" t="s">
        <v>1278</v>
      </c>
      <c r="F483" s="268" t="s">
        <v>3006</v>
      </c>
      <c r="G483" s="268">
        <v>12</v>
      </c>
      <c r="H483" s="268" t="s">
        <v>3105</v>
      </c>
      <c r="I483" s="268" t="s">
        <v>3057</v>
      </c>
      <c r="J483" s="271">
        <v>205440</v>
      </c>
      <c r="K483" s="271">
        <f t="shared" si="55"/>
        <v>17120</v>
      </c>
      <c r="L483" s="271">
        <f t="shared" si="56"/>
        <v>12141.24</v>
      </c>
      <c r="M483" s="267">
        <v>0</v>
      </c>
      <c r="N483" s="271">
        <f t="shared" si="61"/>
        <v>129.60000000000002</v>
      </c>
      <c r="O483" s="276">
        <v>0</v>
      </c>
      <c r="P483" s="276">
        <f t="shared" si="57"/>
        <v>3595.2000000000003</v>
      </c>
      <c r="Q483" s="271">
        <f t="shared" si="58"/>
        <v>60084</v>
      </c>
      <c r="R483" s="271">
        <f t="shared" si="59"/>
        <v>37123.008000000002</v>
      </c>
      <c r="S483" s="271">
        <f t="shared" si="60"/>
        <v>2125.44</v>
      </c>
    </row>
    <row r="484" spans="1:21" s="270" customFormat="1" x14ac:dyDescent="0.25">
      <c r="A484" s="271">
        <v>501503</v>
      </c>
      <c r="B484" s="271">
        <v>1503</v>
      </c>
      <c r="C484" s="271">
        <v>200464</v>
      </c>
      <c r="D484" s="268" t="s">
        <v>894</v>
      </c>
      <c r="E484" s="268" t="s">
        <v>1290</v>
      </c>
      <c r="F484" s="268" t="s">
        <v>2355</v>
      </c>
      <c r="G484" s="268">
        <v>12</v>
      </c>
      <c r="H484" s="268" t="s">
        <v>3106</v>
      </c>
      <c r="I484" s="268" t="s">
        <v>3057</v>
      </c>
      <c r="J484" s="271">
        <v>205440</v>
      </c>
      <c r="K484" s="271">
        <f t="shared" si="55"/>
        <v>17120</v>
      </c>
      <c r="L484" s="271">
        <f t="shared" si="56"/>
        <v>12141.24</v>
      </c>
      <c r="M484" s="267">
        <v>0</v>
      </c>
      <c r="N484" s="271">
        <f t="shared" si="61"/>
        <v>129.60000000000002</v>
      </c>
      <c r="O484" s="276">
        <v>0</v>
      </c>
      <c r="P484" s="276">
        <f t="shared" si="57"/>
        <v>3595.2000000000003</v>
      </c>
      <c r="Q484" s="271">
        <f t="shared" si="58"/>
        <v>60084</v>
      </c>
      <c r="R484" s="271">
        <f t="shared" si="59"/>
        <v>37123.008000000002</v>
      </c>
      <c r="S484" s="271">
        <f t="shared" si="60"/>
        <v>2125.44</v>
      </c>
    </row>
    <row r="485" spans="1:21" s="270" customFormat="1" x14ac:dyDescent="0.25">
      <c r="A485" s="271">
        <v>501503</v>
      </c>
      <c r="B485" s="271">
        <v>1503</v>
      </c>
      <c r="C485" s="271">
        <v>200471</v>
      </c>
      <c r="D485" s="268" t="s">
        <v>894</v>
      </c>
      <c r="E485" s="268" t="s">
        <v>1278</v>
      </c>
      <c r="F485" s="268" t="s">
        <v>2211</v>
      </c>
      <c r="G485" s="268">
        <v>12</v>
      </c>
      <c r="H485" s="268" t="s">
        <v>3107</v>
      </c>
      <c r="I485" s="268" t="s">
        <v>3057</v>
      </c>
      <c r="J485" s="271">
        <v>205440</v>
      </c>
      <c r="K485" s="271">
        <f t="shared" si="55"/>
        <v>17120</v>
      </c>
      <c r="L485" s="271">
        <f t="shared" si="56"/>
        <v>12141.24</v>
      </c>
      <c r="M485" s="267">
        <v>0</v>
      </c>
      <c r="N485" s="271">
        <f t="shared" si="61"/>
        <v>129.60000000000002</v>
      </c>
      <c r="O485" s="276">
        <v>0</v>
      </c>
      <c r="P485" s="276">
        <f t="shared" si="57"/>
        <v>3595.2000000000003</v>
      </c>
      <c r="Q485" s="271">
        <f t="shared" si="58"/>
        <v>60084</v>
      </c>
      <c r="R485" s="271">
        <f t="shared" si="59"/>
        <v>37123.008000000002</v>
      </c>
      <c r="S485" s="271">
        <f t="shared" si="60"/>
        <v>2125.44</v>
      </c>
    </row>
    <row r="486" spans="1:21" s="270" customFormat="1" x14ac:dyDescent="0.25">
      <c r="A486" s="271">
        <v>501503</v>
      </c>
      <c r="B486" s="271">
        <v>1503</v>
      </c>
      <c r="C486" s="271">
        <v>200477</v>
      </c>
      <c r="D486" s="268" t="s">
        <v>894</v>
      </c>
      <c r="E486" s="268" t="s">
        <v>1278</v>
      </c>
      <c r="F486" s="268" t="s">
        <v>2747</v>
      </c>
      <c r="G486" s="268">
        <v>12</v>
      </c>
      <c r="H486" s="268" t="s">
        <v>3108</v>
      </c>
      <c r="I486" s="268" t="s">
        <v>3057</v>
      </c>
      <c r="J486" s="271">
        <v>205440</v>
      </c>
      <c r="K486" s="271">
        <f t="shared" si="55"/>
        <v>17120</v>
      </c>
      <c r="L486" s="271">
        <f t="shared" si="56"/>
        <v>12141.24</v>
      </c>
      <c r="M486" s="267">
        <v>0</v>
      </c>
      <c r="N486" s="271">
        <f t="shared" si="61"/>
        <v>129.60000000000002</v>
      </c>
      <c r="O486" s="276">
        <v>0</v>
      </c>
      <c r="P486" s="276">
        <f t="shared" si="57"/>
        <v>3595.2000000000003</v>
      </c>
      <c r="Q486" s="271">
        <f t="shared" si="58"/>
        <v>60084</v>
      </c>
      <c r="R486" s="271">
        <f t="shared" si="59"/>
        <v>37123.008000000002</v>
      </c>
      <c r="S486" s="271">
        <f t="shared" si="60"/>
        <v>2125.44</v>
      </c>
    </row>
    <row r="487" spans="1:21" s="270" customFormat="1" x14ac:dyDescent="0.25">
      <c r="A487" s="271">
        <v>501503</v>
      </c>
      <c r="B487" s="271">
        <v>1503</v>
      </c>
      <c r="C487" s="271">
        <v>200478</v>
      </c>
      <c r="D487" s="268" t="s">
        <v>894</v>
      </c>
      <c r="E487" s="268" t="s">
        <v>1290</v>
      </c>
      <c r="F487" s="268" t="s">
        <v>2408</v>
      </c>
      <c r="G487" s="268">
        <v>12</v>
      </c>
      <c r="H487" s="268" t="s">
        <v>3109</v>
      </c>
      <c r="I487" s="268" t="s">
        <v>3057</v>
      </c>
      <c r="J487" s="271">
        <v>205440</v>
      </c>
      <c r="K487" s="271">
        <f t="shared" si="55"/>
        <v>17120</v>
      </c>
      <c r="L487" s="271">
        <f t="shared" si="56"/>
        <v>12141.24</v>
      </c>
      <c r="M487" s="267">
        <v>0</v>
      </c>
      <c r="N487" s="271">
        <f t="shared" si="61"/>
        <v>129.60000000000002</v>
      </c>
      <c r="O487" s="276">
        <v>0</v>
      </c>
      <c r="P487" s="276">
        <f t="shared" si="57"/>
        <v>3595.2000000000003</v>
      </c>
      <c r="Q487" s="271">
        <f t="shared" si="58"/>
        <v>60084</v>
      </c>
      <c r="R487" s="271">
        <f t="shared" si="59"/>
        <v>37123.008000000002</v>
      </c>
      <c r="S487" s="271">
        <f t="shared" si="60"/>
        <v>2125.44</v>
      </c>
      <c r="T487" s="277"/>
      <c r="U487" s="277"/>
    </row>
    <row r="488" spans="1:21" s="270" customFormat="1" x14ac:dyDescent="0.25">
      <c r="A488" s="271">
        <v>501503</v>
      </c>
      <c r="B488" s="271">
        <v>1503</v>
      </c>
      <c r="C488" s="271">
        <v>200494</v>
      </c>
      <c r="D488" s="268" t="s">
        <v>894</v>
      </c>
      <c r="E488" s="268" t="s">
        <v>1278</v>
      </c>
      <c r="F488" s="268" t="s">
        <v>2976</v>
      </c>
      <c r="G488" s="268">
        <v>12</v>
      </c>
      <c r="H488" s="268" t="s">
        <v>3110</v>
      </c>
      <c r="I488" s="268" t="s">
        <v>3057</v>
      </c>
      <c r="J488" s="271">
        <v>205440</v>
      </c>
      <c r="K488" s="271">
        <f t="shared" si="55"/>
        <v>17120</v>
      </c>
      <c r="L488" s="271">
        <f t="shared" si="56"/>
        <v>12141.24</v>
      </c>
      <c r="M488" s="267">
        <v>0</v>
      </c>
      <c r="N488" s="271">
        <f t="shared" si="61"/>
        <v>129.60000000000002</v>
      </c>
      <c r="O488" s="276">
        <v>0</v>
      </c>
      <c r="P488" s="276">
        <f t="shared" si="57"/>
        <v>3595.2000000000003</v>
      </c>
      <c r="Q488" s="271">
        <f t="shared" si="58"/>
        <v>60084</v>
      </c>
      <c r="R488" s="271">
        <f t="shared" si="59"/>
        <v>37123.008000000002</v>
      </c>
      <c r="S488" s="271">
        <f t="shared" si="60"/>
        <v>2125.44</v>
      </c>
    </row>
    <row r="489" spans="1:21" s="270" customFormat="1" x14ac:dyDescent="0.25">
      <c r="A489" s="271">
        <v>501503</v>
      </c>
      <c r="B489" s="271">
        <v>1503</v>
      </c>
      <c r="C489" s="271">
        <v>200512</v>
      </c>
      <c r="D489" s="268" t="s">
        <v>894</v>
      </c>
      <c r="E489" s="268" t="s">
        <v>1290</v>
      </c>
      <c r="F489" s="268" t="s">
        <v>2810</v>
      </c>
      <c r="G489" s="268">
        <v>12</v>
      </c>
      <c r="H489" s="268" t="s">
        <v>3111</v>
      </c>
      <c r="I489" s="268" t="s">
        <v>3057</v>
      </c>
      <c r="J489" s="271">
        <v>205440</v>
      </c>
      <c r="K489" s="271">
        <f t="shared" si="55"/>
        <v>17120</v>
      </c>
      <c r="L489" s="271">
        <f t="shared" si="56"/>
        <v>12141.24</v>
      </c>
      <c r="M489" s="267">
        <v>0</v>
      </c>
      <c r="N489" s="271">
        <f t="shared" si="61"/>
        <v>129.60000000000002</v>
      </c>
      <c r="O489" s="276">
        <v>0</v>
      </c>
      <c r="P489" s="276">
        <f t="shared" si="57"/>
        <v>3595.2000000000003</v>
      </c>
      <c r="Q489" s="271">
        <f t="shared" si="58"/>
        <v>60084</v>
      </c>
      <c r="R489" s="271">
        <f t="shared" si="59"/>
        <v>37123.008000000002</v>
      </c>
      <c r="S489" s="271">
        <f t="shared" si="60"/>
        <v>2125.44</v>
      </c>
    </row>
    <row r="490" spans="1:21" s="270" customFormat="1" x14ac:dyDescent="0.25">
      <c r="A490" s="271">
        <v>501503</v>
      </c>
      <c r="B490" s="271">
        <v>1503</v>
      </c>
      <c r="C490" s="271">
        <v>200525</v>
      </c>
      <c r="D490" s="268" t="s">
        <v>894</v>
      </c>
      <c r="E490" s="268" t="s">
        <v>1278</v>
      </c>
      <c r="F490" s="268" t="s">
        <v>2362</v>
      </c>
      <c r="G490" s="268">
        <v>12</v>
      </c>
      <c r="H490" s="268" t="s">
        <v>3112</v>
      </c>
      <c r="I490" s="268" t="s">
        <v>3057</v>
      </c>
      <c r="J490" s="271">
        <v>205440</v>
      </c>
      <c r="K490" s="271">
        <f t="shared" si="55"/>
        <v>17120</v>
      </c>
      <c r="L490" s="271">
        <f t="shared" si="56"/>
        <v>12141.24</v>
      </c>
      <c r="M490" s="267">
        <v>0</v>
      </c>
      <c r="N490" s="271">
        <f t="shared" si="61"/>
        <v>129.60000000000002</v>
      </c>
      <c r="O490" s="276">
        <v>0</v>
      </c>
      <c r="P490" s="276">
        <f t="shared" si="57"/>
        <v>3595.2000000000003</v>
      </c>
      <c r="Q490" s="271">
        <f t="shared" si="58"/>
        <v>60084</v>
      </c>
      <c r="R490" s="271">
        <f t="shared" si="59"/>
        <v>37123.008000000002</v>
      </c>
      <c r="S490" s="271">
        <f t="shared" si="60"/>
        <v>2125.44</v>
      </c>
    </row>
    <row r="491" spans="1:21" s="270" customFormat="1" x14ac:dyDescent="0.25">
      <c r="A491" s="271">
        <v>501503</v>
      </c>
      <c r="B491" s="271">
        <v>1503</v>
      </c>
      <c r="C491" s="271">
        <v>200535</v>
      </c>
      <c r="D491" s="268" t="s">
        <v>894</v>
      </c>
      <c r="E491" s="268" t="s">
        <v>1290</v>
      </c>
      <c r="F491" s="268" t="s">
        <v>2553</v>
      </c>
      <c r="G491" s="268">
        <v>12</v>
      </c>
      <c r="H491" s="268" t="s">
        <v>3113</v>
      </c>
      <c r="I491" s="268" t="s">
        <v>3057</v>
      </c>
      <c r="J491" s="271">
        <v>205440</v>
      </c>
      <c r="K491" s="271">
        <f t="shared" si="55"/>
        <v>17120</v>
      </c>
      <c r="L491" s="271">
        <f t="shared" si="56"/>
        <v>12141.24</v>
      </c>
      <c r="M491" s="267">
        <v>0</v>
      </c>
      <c r="N491" s="271">
        <f t="shared" si="61"/>
        <v>129.60000000000002</v>
      </c>
      <c r="O491" s="276">
        <v>0</v>
      </c>
      <c r="P491" s="276">
        <f t="shared" si="57"/>
        <v>3595.2000000000003</v>
      </c>
      <c r="Q491" s="271">
        <f t="shared" si="58"/>
        <v>60084</v>
      </c>
      <c r="R491" s="271">
        <f t="shared" si="59"/>
        <v>37123.008000000002</v>
      </c>
      <c r="S491" s="271">
        <f t="shared" si="60"/>
        <v>2125.44</v>
      </c>
    </row>
    <row r="492" spans="1:21" s="270" customFormat="1" x14ac:dyDescent="0.25">
      <c r="A492" s="271">
        <v>501502</v>
      </c>
      <c r="B492" s="271">
        <v>1503</v>
      </c>
      <c r="C492" s="271">
        <v>200542</v>
      </c>
      <c r="D492" s="268" t="s">
        <v>894</v>
      </c>
      <c r="E492" s="268" t="s">
        <v>1290</v>
      </c>
      <c r="F492" s="268" t="s">
        <v>2768</v>
      </c>
      <c r="G492" s="268">
        <v>12</v>
      </c>
      <c r="H492" s="268" t="s">
        <v>3114</v>
      </c>
      <c r="I492" s="268" t="s">
        <v>3057</v>
      </c>
      <c r="J492" s="271">
        <v>205440</v>
      </c>
      <c r="K492" s="271">
        <f t="shared" si="55"/>
        <v>17120</v>
      </c>
      <c r="L492" s="271">
        <f t="shared" si="56"/>
        <v>12141.24</v>
      </c>
      <c r="M492" s="267">
        <v>0</v>
      </c>
      <c r="N492" s="271">
        <f t="shared" si="61"/>
        <v>129.60000000000002</v>
      </c>
      <c r="O492" s="276">
        <v>0</v>
      </c>
      <c r="P492" s="276">
        <f t="shared" si="57"/>
        <v>3595.2000000000003</v>
      </c>
      <c r="Q492" s="271">
        <f t="shared" si="58"/>
        <v>60084</v>
      </c>
      <c r="R492" s="271">
        <f t="shared" si="59"/>
        <v>37123.008000000002</v>
      </c>
      <c r="S492" s="271">
        <f t="shared" si="60"/>
        <v>2125.44</v>
      </c>
    </row>
    <row r="493" spans="1:21" s="270" customFormat="1" x14ac:dyDescent="0.25">
      <c r="A493" s="271">
        <v>501503</v>
      </c>
      <c r="B493" s="271">
        <v>1503</v>
      </c>
      <c r="C493" s="271">
        <v>200543</v>
      </c>
      <c r="D493" s="268" t="s">
        <v>894</v>
      </c>
      <c r="E493" s="268" t="s">
        <v>1278</v>
      </c>
      <c r="F493" s="268" t="s">
        <v>2768</v>
      </c>
      <c r="G493" s="268">
        <v>12</v>
      </c>
      <c r="H493" s="268" t="s">
        <v>3115</v>
      </c>
      <c r="I493" s="268" t="s">
        <v>3057</v>
      </c>
      <c r="J493" s="271">
        <v>205440</v>
      </c>
      <c r="K493" s="271">
        <f t="shared" si="55"/>
        <v>17120</v>
      </c>
      <c r="L493" s="271">
        <f t="shared" si="56"/>
        <v>12141.24</v>
      </c>
      <c r="M493" s="267">
        <v>0</v>
      </c>
      <c r="N493" s="271">
        <f t="shared" si="61"/>
        <v>129.60000000000002</v>
      </c>
      <c r="O493" s="276">
        <v>0</v>
      </c>
      <c r="P493" s="276">
        <f t="shared" si="57"/>
        <v>3595.2000000000003</v>
      </c>
      <c r="Q493" s="271">
        <f t="shared" si="58"/>
        <v>60084</v>
      </c>
      <c r="R493" s="271">
        <f t="shared" si="59"/>
        <v>37123.008000000002</v>
      </c>
      <c r="S493" s="271">
        <f t="shared" si="60"/>
        <v>2125.44</v>
      </c>
    </row>
    <row r="494" spans="1:21" s="270" customFormat="1" x14ac:dyDescent="0.25">
      <c r="A494" s="271">
        <v>501503</v>
      </c>
      <c r="B494" s="271">
        <v>1503</v>
      </c>
      <c r="C494" s="271">
        <v>200590</v>
      </c>
      <c r="D494" s="268" t="s">
        <v>894</v>
      </c>
      <c r="E494" s="268" t="s">
        <v>1290</v>
      </c>
      <c r="F494" s="268" t="s">
        <v>3116</v>
      </c>
      <c r="G494" s="268">
        <v>12</v>
      </c>
      <c r="H494" s="268" t="s">
        <v>3117</v>
      </c>
      <c r="I494" s="268" t="s">
        <v>3057</v>
      </c>
      <c r="J494" s="271">
        <v>205440</v>
      </c>
      <c r="K494" s="271">
        <f t="shared" si="55"/>
        <v>17120</v>
      </c>
      <c r="L494" s="271">
        <f t="shared" si="56"/>
        <v>12141.24</v>
      </c>
      <c r="M494" s="267">
        <v>0</v>
      </c>
      <c r="N494" s="271">
        <f t="shared" si="61"/>
        <v>129.60000000000002</v>
      </c>
      <c r="O494" s="276">
        <v>0</v>
      </c>
      <c r="P494" s="276">
        <f t="shared" si="57"/>
        <v>3595.2000000000003</v>
      </c>
      <c r="Q494" s="271">
        <f t="shared" si="58"/>
        <v>60084</v>
      </c>
      <c r="R494" s="271">
        <f t="shared" si="59"/>
        <v>37123.008000000002</v>
      </c>
      <c r="S494" s="271">
        <f t="shared" si="60"/>
        <v>2125.44</v>
      </c>
      <c r="T494" s="277"/>
      <c r="U494" s="277"/>
    </row>
    <row r="495" spans="1:21" s="270" customFormat="1" x14ac:dyDescent="0.25">
      <c r="A495" s="271">
        <v>501503</v>
      </c>
      <c r="B495" s="271">
        <v>1503</v>
      </c>
      <c r="C495" s="271">
        <v>200591</v>
      </c>
      <c r="D495" s="268" t="s">
        <v>894</v>
      </c>
      <c r="E495" s="268" t="s">
        <v>1290</v>
      </c>
      <c r="F495" s="268" t="s">
        <v>2355</v>
      </c>
      <c r="G495" s="268">
        <v>12</v>
      </c>
      <c r="H495" s="268" t="s">
        <v>3118</v>
      </c>
      <c r="I495" s="268" t="s">
        <v>3057</v>
      </c>
      <c r="J495" s="271">
        <v>205440</v>
      </c>
      <c r="K495" s="271">
        <f t="shared" si="55"/>
        <v>17120</v>
      </c>
      <c r="L495" s="271">
        <f t="shared" si="56"/>
        <v>12141.24</v>
      </c>
      <c r="M495" s="267">
        <v>0</v>
      </c>
      <c r="N495" s="271">
        <f t="shared" si="61"/>
        <v>129.60000000000002</v>
      </c>
      <c r="O495" s="276">
        <v>0</v>
      </c>
      <c r="P495" s="276">
        <f t="shared" si="57"/>
        <v>3595.2000000000003</v>
      </c>
      <c r="Q495" s="271">
        <f t="shared" si="58"/>
        <v>60084</v>
      </c>
      <c r="R495" s="271">
        <f t="shared" si="59"/>
        <v>37123.008000000002</v>
      </c>
      <c r="S495" s="271">
        <f t="shared" si="60"/>
        <v>2125.44</v>
      </c>
      <c r="T495" s="277"/>
      <c r="U495" s="277"/>
    </row>
    <row r="496" spans="1:21" s="270" customFormat="1" x14ac:dyDescent="0.25">
      <c r="A496" s="271">
        <v>501101</v>
      </c>
      <c r="B496" s="271">
        <v>1445</v>
      </c>
      <c r="C496" s="271">
        <v>200273</v>
      </c>
      <c r="D496" s="268" t="s">
        <v>894</v>
      </c>
      <c r="E496" s="268" t="s">
        <v>1290</v>
      </c>
      <c r="F496" s="268" t="s">
        <v>3119</v>
      </c>
      <c r="G496" s="268">
        <v>13</v>
      </c>
      <c r="H496" s="268" t="s">
        <v>3120</v>
      </c>
      <c r="I496" s="268" t="s">
        <v>3121</v>
      </c>
      <c r="J496" s="271">
        <v>205440</v>
      </c>
      <c r="K496" s="271">
        <f t="shared" si="55"/>
        <v>17120</v>
      </c>
      <c r="L496" s="271">
        <f t="shared" si="56"/>
        <v>12141.24</v>
      </c>
      <c r="M496" s="267">
        <v>0</v>
      </c>
      <c r="N496" s="271">
        <f t="shared" si="61"/>
        <v>129.60000000000002</v>
      </c>
      <c r="O496" s="276">
        <v>0</v>
      </c>
      <c r="P496" s="276">
        <f t="shared" si="57"/>
        <v>3595.2000000000003</v>
      </c>
      <c r="Q496" s="271">
        <f t="shared" si="58"/>
        <v>60084</v>
      </c>
      <c r="R496" s="271">
        <f t="shared" si="59"/>
        <v>37123.008000000002</v>
      </c>
      <c r="S496" s="271">
        <f t="shared" si="60"/>
        <v>2125.44</v>
      </c>
    </row>
    <row r="497" spans="1:21" s="270" customFormat="1" x14ac:dyDescent="0.25">
      <c r="A497" s="271">
        <v>501444</v>
      </c>
      <c r="B497" s="271">
        <v>1444</v>
      </c>
      <c r="C497" s="271">
        <v>200434</v>
      </c>
      <c r="D497" s="268" t="s">
        <v>894</v>
      </c>
      <c r="E497" s="268" t="s">
        <v>1290</v>
      </c>
      <c r="F497" s="268" t="s">
        <v>3122</v>
      </c>
      <c r="G497" s="268">
        <v>13</v>
      </c>
      <c r="H497" s="268" t="s">
        <v>3123</v>
      </c>
      <c r="I497" s="268" t="s">
        <v>2978</v>
      </c>
      <c r="J497" s="271">
        <v>201816</v>
      </c>
      <c r="K497" s="271">
        <f t="shared" si="55"/>
        <v>16818</v>
      </c>
      <c r="L497" s="271">
        <f t="shared" si="56"/>
        <v>12141.24</v>
      </c>
      <c r="M497" s="267">
        <v>0</v>
      </c>
      <c r="N497" s="271">
        <f t="shared" si="61"/>
        <v>129.60000000000002</v>
      </c>
      <c r="O497" s="276">
        <v>0</v>
      </c>
      <c r="P497" s="276">
        <f t="shared" si="57"/>
        <v>3531.78</v>
      </c>
      <c r="Q497" s="271">
        <f t="shared" si="58"/>
        <v>60084</v>
      </c>
      <c r="R497" s="271">
        <f t="shared" si="59"/>
        <v>36468.1512</v>
      </c>
      <c r="S497" s="271">
        <f t="shared" si="60"/>
        <v>2125.44</v>
      </c>
    </row>
    <row r="498" spans="1:21" s="270" customFormat="1" x14ac:dyDescent="0.25">
      <c r="A498" s="271">
        <v>501305</v>
      </c>
      <c r="B498" s="271">
        <v>1305</v>
      </c>
      <c r="C498" s="271">
        <v>200143</v>
      </c>
      <c r="D498" s="268" t="s">
        <v>894</v>
      </c>
      <c r="E498" s="268" t="s">
        <v>1290</v>
      </c>
      <c r="F498" s="268" t="s">
        <v>3124</v>
      </c>
      <c r="G498" s="268">
        <v>14</v>
      </c>
      <c r="H498" s="268" t="s">
        <v>3125</v>
      </c>
      <c r="I498" s="268" t="s">
        <v>3126</v>
      </c>
      <c r="J498" s="271">
        <v>201816</v>
      </c>
      <c r="K498" s="271">
        <f t="shared" si="55"/>
        <v>16818</v>
      </c>
      <c r="L498" s="271">
        <f t="shared" si="56"/>
        <v>12141.24</v>
      </c>
      <c r="M498" s="267">
        <v>0</v>
      </c>
      <c r="N498" s="271">
        <f t="shared" si="61"/>
        <v>129.60000000000002</v>
      </c>
      <c r="O498" s="276">
        <v>0</v>
      </c>
      <c r="P498" s="276">
        <f t="shared" si="57"/>
        <v>3531.78</v>
      </c>
      <c r="Q498" s="271">
        <f t="shared" si="58"/>
        <v>60084</v>
      </c>
      <c r="R498" s="271">
        <f t="shared" si="59"/>
        <v>36468.1512</v>
      </c>
      <c r="S498" s="271">
        <f t="shared" si="60"/>
        <v>2125.44</v>
      </c>
    </row>
    <row r="499" spans="1:21" s="270" customFormat="1" x14ac:dyDescent="0.25">
      <c r="A499" s="271"/>
      <c r="B499" s="271">
        <v>1305</v>
      </c>
      <c r="C499" s="271">
        <v>200310</v>
      </c>
      <c r="D499" s="268" t="s">
        <v>894</v>
      </c>
      <c r="E499" s="268" t="s">
        <v>1290</v>
      </c>
      <c r="F499" s="268" t="s">
        <v>3122</v>
      </c>
      <c r="G499" s="268">
        <v>14</v>
      </c>
      <c r="H499" s="268" t="s">
        <v>3127</v>
      </c>
      <c r="I499" s="268" t="s">
        <v>3128</v>
      </c>
      <c r="J499" s="271">
        <v>201816</v>
      </c>
      <c r="K499" s="271">
        <f t="shared" si="55"/>
        <v>16818</v>
      </c>
      <c r="L499" s="271">
        <f t="shared" si="56"/>
        <v>12141.24</v>
      </c>
      <c r="M499" s="267">
        <v>0</v>
      </c>
      <c r="N499" s="271">
        <f t="shared" si="61"/>
        <v>129.60000000000002</v>
      </c>
      <c r="O499" s="276">
        <v>0</v>
      </c>
      <c r="P499" s="276">
        <f t="shared" si="57"/>
        <v>3531.78</v>
      </c>
      <c r="Q499" s="271">
        <f t="shared" si="58"/>
        <v>60084</v>
      </c>
      <c r="R499" s="271">
        <f t="shared" si="59"/>
        <v>36468.1512</v>
      </c>
      <c r="S499" s="271">
        <f t="shared" si="60"/>
        <v>2125.44</v>
      </c>
      <c r="T499" s="277"/>
      <c r="U499" s="277"/>
    </row>
    <row r="500" spans="1:21" s="270" customFormat="1" x14ac:dyDescent="0.25">
      <c r="A500" s="271">
        <v>501443</v>
      </c>
      <c r="B500" s="271">
        <v>1443</v>
      </c>
      <c r="C500" s="271">
        <v>3984</v>
      </c>
      <c r="D500" s="268" t="s">
        <v>1698</v>
      </c>
      <c r="E500" s="268" t="s">
        <v>1290</v>
      </c>
      <c r="F500" s="268" t="s">
        <v>3129</v>
      </c>
      <c r="G500" s="268">
        <v>15</v>
      </c>
      <c r="H500" s="268" t="s">
        <v>3130</v>
      </c>
      <c r="I500" s="268" t="s">
        <v>3131</v>
      </c>
      <c r="J500" s="271">
        <v>187104</v>
      </c>
      <c r="K500" s="271">
        <f t="shared" si="55"/>
        <v>15592</v>
      </c>
      <c r="L500" s="271">
        <f t="shared" si="56"/>
        <v>12141.24</v>
      </c>
      <c r="M500" s="267">
        <v>0</v>
      </c>
      <c r="N500" s="271">
        <f t="shared" si="61"/>
        <v>129.60000000000002</v>
      </c>
      <c r="O500" s="276">
        <v>0</v>
      </c>
      <c r="P500" s="276">
        <f t="shared" si="57"/>
        <v>3274.32</v>
      </c>
      <c r="Q500" s="271">
        <f t="shared" si="58"/>
        <v>60084</v>
      </c>
      <c r="R500" s="271">
        <f t="shared" si="59"/>
        <v>33809.692799999997</v>
      </c>
      <c r="S500" s="271">
        <f t="shared" si="60"/>
        <v>2125.44</v>
      </c>
    </row>
    <row r="501" spans="1:21" s="270" customFormat="1" x14ac:dyDescent="0.25">
      <c r="A501" s="271">
        <v>501444</v>
      </c>
      <c r="B501" s="271">
        <v>1444</v>
      </c>
      <c r="C501" s="271">
        <v>16528</v>
      </c>
      <c r="D501" s="268" t="s">
        <v>894</v>
      </c>
      <c r="E501" s="268" t="s">
        <v>1290</v>
      </c>
      <c r="F501" s="268" t="s">
        <v>2362</v>
      </c>
      <c r="G501" s="268">
        <v>15</v>
      </c>
      <c r="H501" s="268" t="s">
        <v>3132</v>
      </c>
      <c r="I501" s="268" t="s">
        <v>3133</v>
      </c>
      <c r="J501" s="271">
        <v>187104</v>
      </c>
      <c r="K501" s="271">
        <f t="shared" si="55"/>
        <v>15592</v>
      </c>
      <c r="L501" s="271">
        <f t="shared" si="56"/>
        <v>12141.24</v>
      </c>
      <c r="M501" s="267">
        <v>0</v>
      </c>
      <c r="N501" s="271">
        <f t="shared" si="61"/>
        <v>129.60000000000002</v>
      </c>
      <c r="O501" s="276">
        <v>0</v>
      </c>
      <c r="P501" s="276">
        <f t="shared" si="57"/>
        <v>3274.32</v>
      </c>
      <c r="Q501" s="271">
        <f t="shared" si="58"/>
        <v>60084</v>
      </c>
      <c r="R501" s="271">
        <f t="shared" si="59"/>
        <v>33809.692799999997</v>
      </c>
      <c r="S501" s="271">
        <f t="shared" si="60"/>
        <v>2125.44</v>
      </c>
    </row>
    <row r="502" spans="1:21" s="270" customFormat="1" x14ac:dyDescent="0.25">
      <c r="A502" s="271">
        <v>501444</v>
      </c>
      <c r="B502" s="271">
        <v>1444</v>
      </c>
      <c r="C502" s="271">
        <v>23566</v>
      </c>
      <c r="D502" s="268" t="s">
        <v>894</v>
      </c>
      <c r="E502" s="268" t="s">
        <v>1290</v>
      </c>
      <c r="F502" s="268" t="s">
        <v>3134</v>
      </c>
      <c r="G502" s="268">
        <v>15</v>
      </c>
      <c r="H502" s="268" t="s">
        <v>3135</v>
      </c>
      <c r="I502" s="268" t="s">
        <v>3133</v>
      </c>
      <c r="J502" s="271">
        <v>187104</v>
      </c>
      <c r="K502" s="271">
        <f t="shared" si="55"/>
        <v>15592</v>
      </c>
      <c r="L502" s="271">
        <f t="shared" si="56"/>
        <v>12141.24</v>
      </c>
      <c r="M502" s="267">
        <v>0</v>
      </c>
      <c r="N502" s="271">
        <f t="shared" si="61"/>
        <v>129.60000000000002</v>
      </c>
      <c r="O502" s="276">
        <v>0</v>
      </c>
      <c r="P502" s="276">
        <f t="shared" si="57"/>
        <v>3274.32</v>
      </c>
      <c r="Q502" s="271">
        <f t="shared" si="58"/>
        <v>60084</v>
      </c>
      <c r="R502" s="271">
        <f t="shared" si="59"/>
        <v>33809.692799999997</v>
      </c>
      <c r="S502" s="271">
        <f t="shared" si="60"/>
        <v>2125.44</v>
      </c>
    </row>
    <row r="503" spans="1:21" s="270" customFormat="1" x14ac:dyDescent="0.25">
      <c r="A503" s="271">
        <v>501444</v>
      </c>
      <c r="B503" s="271">
        <v>1444</v>
      </c>
      <c r="C503" s="271">
        <v>24471</v>
      </c>
      <c r="D503" s="268" t="s">
        <v>894</v>
      </c>
      <c r="E503" s="268" t="s">
        <v>1290</v>
      </c>
      <c r="F503" s="268" t="s">
        <v>2484</v>
      </c>
      <c r="G503" s="268">
        <v>15</v>
      </c>
      <c r="H503" s="268" t="s">
        <v>3136</v>
      </c>
      <c r="I503" s="268" t="s">
        <v>3133</v>
      </c>
      <c r="J503" s="271">
        <v>187104</v>
      </c>
      <c r="K503" s="271">
        <f t="shared" si="55"/>
        <v>15592</v>
      </c>
      <c r="L503" s="271">
        <f t="shared" si="56"/>
        <v>12141.24</v>
      </c>
      <c r="M503" s="267">
        <v>0</v>
      </c>
      <c r="N503" s="271">
        <f t="shared" si="61"/>
        <v>129.60000000000002</v>
      </c>
      <c r="O503" s="276">
        <v>0</v>
      </c>
      <c r="P503" s="276">
        <f t="shared" si="57"/>
        <v>3274.32</v>
      </c>
      <c r="Q503" s="271">
        <f t="shared" si="58"/>
        <v>60084</v>
      </c>
      <c r="R503" s="271">
        <f t="shared" si="59"/>
        <v>33809.692799999997</v>
      </c>
      <c r="S503" s="271">
        <f t="shared" si="60"/>
        <v>2125.44</v>
      </c>
    </row>
    <row r="504" spans="1:21" s="270" customFormat="1" x14ac:dyDescent="0.25">
      <c r="A504" s="271">
        <v>501444</v>
      </c>
      <c r="B504" s="271">
        <v>1444</v>
      </c>
      <c r="C504" s="271">
        <v>26958</v>
      </c>
      <c r="D504" s="268" t="s">
        <v>894</v>
      </c>
      <c r="E504" s="268" t="s">
        <v>1290</v>
      </c>
      <c r="F504" s="268" t="s">
        <v>2725</v>
      </c>
      <c r="G504" s="268">
        <v>15</v>
      </c>
      <c r="H504" s="268" t="s">
        <v>3137</v>
      </c>
      <c r="I504" s="268" t="s">
        <v>3133</v>
      </c>
      <c r="J504" s="271">
        <v>187104</v>
      </c>
      <c r="K504" s="271">
        <f t="shared" si="55"/>
        <v>15592</v>
      </c>
      <c r="L504" s="271">
        <f t="shared" si="56"/>
        <v>12141.24</v>
      </c>
      <c r="M504" s="267">
        <v>0</v>
      </c>
      <c r="N504" s="271">
        <f t="shared" si="61"/>
        <v>129.60000000000002</v>
      </c>
      <c r="O504" s="276">
        <v>0</v>
      </c>
      <c r="P504" s="276">
        <f t="shared" si="57"/>
        <v>3274.32</v>
      </c>
      <c r="Q504" s="271">
        <f t="shared" si="58"/>
        <v>60084</v>
      </c>
      <c r="R504" s="271">
        <f t="shared" si="59"/>
        <v>33809.692799999997</v>
      </c>
      <c r="S504" s="271">
        <f t="shared" si="60"/>
        <v>2125.44</v>
      </c>
    </row>
    <row r="505" spans="1:21" s="270" customFormat="1" x14ac:dyDescent="0.25">
      <c r="A505" s="271">
        <v>501444</v>
      </c>
      <c r="B505" s="271">
        <v>1444</v>
      </c>
      <c r="C505" s="271">
        <v>30795</v>
      </c>
      <c r="D505" s="268" t="s">
        <v>894</v>
      </c>
      <c r="E505" s="268" t="s">
        <v>1290</v>
      </c>
      <c r="F505" s="268" t="s">
        <v>2571</v>
      </c>
      <c r="G505" s="268">
        <v>15</v>
      </c>
      <c r="H505" s="268" t="s">
        <v>2545</v>
      </c>
      <c r="I505" s="268" t="s">
        <v>3133</v>
      </c>
      <c r="J505" s="271">
        <v>187104</v>
      </c>
      <c r="K505" s="271">
        <f t="shared" si="55"/>
        <v>15592</v>
      </c>
      <c r="L505" s="271">
        <f t="shared" si="56"/>
        <v>12141.24</v>
      </c>
      <c r="M505" s="267">
        <v>0</v>
      </c>
      <c r="N505" s="271">
        <f t="shared" si="61"/>
        <v>129.60000000000002</v>
      </c>
      <c r="O505" s="276">
        <v>0</v>
      </c>
      <c r="P505" s="276">
        <f t="shared" si="57"/>
        <v>3274.32</v>
      </c>
      <c r="Q505" s="271">
        <f t="shared" si="58"/>
        <v>60084</v>
      </c>
      <c r="R505" s="271">
        <f t="shared" si="59"/>
        <v>33809.692799999997</v>
      </c>
      <c r="S505" s="271">
        <f t="shared" si="60"/>
        <v>2125.44</v>
      </c>
    </row>
    <row r="506" spans="1:21" s="270" customFormat="1" x14ac:dyDescent="0.25">
      <c r="A506" s="271">
        <v>501407</v>
      </c>
      <c r="B506" s="271">
        <v>1407</v>
      </c>
      <c r="C506" s="271">
        <v>35046</v>
      </c>
      <c r="D506" s="268" t="s">
        <v>894</v>
      </c>
      <c r="E506" s="268" t="s">
        <v>1290</v>
      </c>
      <c r="F506" s="268" t="s">
        <v>2261</v>
      </c>
      <c r="G506" s="268">
        <v>15</v>
      </c>
      <c r="H506" s="268" t="s">
        <v>3070</v>
      </c>
      <c r="I506" s="268" t="s">
        <v>3133</v>
      </c>
      <c r="J506" s="271">
        <v>187104</v>
      </c>
      <c r="K506" s="271">
        <f t="shared" si="55"/>
        <v>15592</v>
      </c>
      <c r="L506" s="271">
        <f t="shared" si="56"/>
        <v>12141.24</v>
      </c>
      <c r="M506" s="267">
        <v>0</v>
      </c>
      <c r="N506" s="271">
        <f t="shared" si="61"/>
        <v>129.60000000000002</v>
      </c>
      <c r="O506" s="276">
        <v>0</v>
      </c>
      <c r="P506" s="276">
        <f t="shared" si="57"/>
        <v>3274.32</v>
      </c>
      <c r="Q506" s="271">
        <f t="shared" si="58"/>
        <v>60084</v>
      </c>
      <c r="R506" s="271">
        <f t="shared" si="59"/>
        <v>33809.692799999997</v>
      </c>
      <c r="S506" s="271">
        <f t="shared" si="60"/>
        <v>2125.44</v>
      </c>
    </row>
    <row r="507" spans="1:21" s="270" customFormat="1" x14ac:dyDescent="0.25">
      <c r="A507" s="271">
        <v>501206</v>
      </c>
      <c r="B507" s="271">
        <v>1206</v>
      </c>
      <c r="C507" s="271">
        <v>35415</v>
      </c>
      <c r="D507" s="268" t="s">
        <v>894</v>
      </c>
      <c r="E507" s="268" t="s">
        <v>1290</v>
      </c>
      <c r="F507" s="268" t="s">
        <v>3138</v>
      </c>
      <c r="G507" s="268">
        <v>15</v>
      </c>
      <c r="H507" s="268" t="s">
        <v>3139</v>
      </c>
      <c r="I507" s="268" t="s">
        <v>3140</v>
      </c>
      <c r="J507" s="271">
        <v>187104</v>
      </c>
      <c r="K507" s="271">
        <f t="shared" si="55"/>
        <v>15592</v>
      </c>
      <c r="L507" s="271">
        <f t="shared" si="56"/>
        <v>12141.24</v>
      </c>
      <c r="M507" s="267">
        <v>0</v>
      </c>
      <c r="N507" s="271">
        <f t="shared" si="61"/>
        <v>129.60000000000002</v>
      </c>
      <c r="O507" s="276">
        <v>0</v>
      </c>
      <c r="P507" s="276">
        <f t="shared" si="57"/>
        <v>3274.32</v>
      </c>
      <c r="Q507" s="271">
        <f t="shared" si="58"/>
        <v>60084</v>
      </c>
      <c r="R507" s="271">
        <f t="shared" si="59"/>
        <v>33809.692799999997</v>
      </c>
      <c r="S507" s="271">
        <f t="shared" si="60"/>
        <v>2125.44</v>
      </c>
    </row>
    <row r="508" spans="1:21" s="270" customFormat="1" x14ac:dyDescent="0.25">
      <c r="A508" s="271">
        <v>501443</v>
      </c>
      <c r="B508" s="271">
        <v>1443</v>
      </c>
      <c r="C508" s="271">
        <v>35457</v>
      </c>
      <c r="D508" s="268" t="s">
        <v>894</v>
      </c>
      <c r="E508" s="268" t="s">
        <v>1290</v>
      </c>
      <c r="F508" s="268" t="s">
        <v>2900</v>
      </c>
      <c r="G508" s="268">
        <v>15</v>
      </c>
      <c r="H508" s="268" t="s">
        <v>2466</v>
      </c>
      <c r="I508" s="268" t="s">
        <v>3133</v>
      </c>
      <c r="J508" s="271">
        <v>187104</v>
      </c>
      <c r="K508" s="271">
        <f t="shared" si="55"/>
        <v>15592</v>
      </c>
      <c r="L508" s="271">
        <f t="shared" si="56"/>
        <v>12141.24</v>
      </c>
      <c r="M508" s="267">
        <v>0</v>
      </c>
      <c r="N508" s="271">
        <f t="shared" si="61"/>
        <v>129.60000000000002</v>
      </c>
      <c r="O508" s="276">
        <v>0</v>
      </c>
      <c r="P508" s="276">
        <f t="shared" si="57"/>
        <v>3274.32</v>
      </c>
      <c r="Q508" s="271">
        <f t="shared" si="58"/>
        <v>60084</v>
      </c>
      <c r="R508" s="271">
        <f t="shared" si="59"/>
        <v>33809.692799999997</v>
      </c>
      <c r="S508" s="271">
        <f t="shared" si="60"/>
        <v>2125.44</v>
      </c>
    </row>
    <row r="509" spans="1:21" s="270" customFormat="1" x14ac:dyDescent="0.25">
      <c r="A509" s="271">
        <v>501443</v>
      </c>
      <c r="B509" s="271">
        <v>1443</v>
      </c>
      <c r="C509" s="271">
        <v>37125</v>
      </c>
      <c r="D509" s="268" t="s">
        <v>894</v>
      </c>
      <c r="E509" s="268" t="s">
        <v>1290</v>
      </c>
      <c r="F509" s="268" t="s">
        <v>3141</v>
      </c>
      <c r="G509" s="268">
        <v>15</v>
      </c>
      <c r="H509" s="268" t="s">
        <v>3142</v>
      </c>
      <c r="I509" s="268" t="s">
        <v>3133</v>
      </c>
      <c r="J509" s="271">
        <v>187104</v>
      </c>
      <c r="K509" s="271">
        <f t="shared" si="55"/>
        <v>15592</v>
      </c>
      <c r="L509" s="271">
        <f t="shared" si="56"/>
        <v>12141.24</v>
      </c>
      <c r="M509" s="267">
        <v>0</v>
      </c>
      <c r="N509" s="271">
        <f t="shared" si="61"/>
        <v>129.60000000000002</v>
      </c>
      <c r="O509" s="276">
        <v>0</v>
      </c>
      <c r="P509" s="276">
        <f t="shared" si="57"/>
        <v>3274.32</v>
      </c>
      <c r="Q509" s="271">
        <f t="shared" si="58"/>
        <v>60084</v>
      </c>
      <c r="R509" s="271">
        <f t="shared" si="59"/>
        <v>33809.692799999997</v>
      </c>
      <c r="S509" s="271">
        <f t="shared" si="60"/>
        <v>2125.44</v>
      </c>
    </row>
    <row r="510" spans="1:21" s="270" customFormat="1" x14ac:dyDescent="0.25">
      <c r="A510" s="271">
        <v>501444</v>
      </c>
      <c r="B510" s="271">
        <v>1444</v>
      </c>
      <c r="C510" s="271">
        <v>39725</v>
      </c>
      <c r="D510" s="268" t="s">
        <v>894</v>
      </c>
      <c r="E510" s="268" t="s">
        <v>1290</v>
      </c>
      <c r="F510" s="268" t="s">
        <v>2553</v>
      </c>
      <c r="G510" s="268">
        <v>15</v>
      </c>
      <c r="H510" s="268" t="s">
        <v>3143</v>
      </c>
      <c r="I510" s="268" t="s">
        <v>3133</v>
      </c>
      <c r="J510" s="271">
        <v>187104</v>
      </c>
      <c r="K510" s="271">
        <f t="shared" si="55"/>
        <v>15592</v>
      </c>
      <c r="L510" s="271">
        <f t="shared" si="56"/>
        <v>12141.24</v>
      </c>
      <c r="M510" s="267">
        <v>0</v>
      </c>
      <c r="N510" s="271">
        <f t="shared" si="61"/>
        <v>129.60000000000002</v>
      </c>
      <c r="O510" s="276">
        <v>0</v>
      </c>
      <c r="P510" s="276">
        <f t="shared" si="57"/>
        <v>3274.32</v>
      </c>
      <c r="Q510" s="271">
        <f t="shared" si="58"/>
        <v>60084</v>
      </c>
      <c r="R510" s="271">
        <f t="shared" si="59"/>
        <v>33809.692799999997</v>
      </c>
      <c r="S510" s="271">
        <f t="shared" si="60"/>
        <v>2125.44</v>
      </c>
    </row>
    <row r="511" spans="1:21" s="270" customFormat="1" x14ac:dyDescent="0.25">
      <c r="A511" s="271">
        <v>501443</v>
      </c>
      <c r="B511" s="271">
        <v>1443</v>
      </c>
      <c r="C511" s="271">
        <v>40219</v>
      </c>
      <c r="D511" s="268" t="s">
        <v>894</v>
      </c>
      <c r="E511" s="268" t="s">
        <v>1290</v>
      </c>
      <c r="F511" s="268" t="s">
        <v>2820</v>
      </c>
      <c r="G511" s="268">
        <v>15</v>
      </c>
      <c r="H511" s="268" t="s">
        <v>3144</v>
      </c>
      <c r="I511" s="268" t="s">
        <v>3133</v>
      </c>
      <c r="J511" s="271">
        <v>187104</v>
      </c>
      <c r="K511" s="271">
        <f t="shared" si="55"/>
        <v>15592</v>
      </c>
      <c r="L511" s="271">
        <f t="shared" si="56"/>
        <v>12141.24</v>
      </c>
      <c r="M511" s="267">
        <v>0</v>
      </c>
      <c r="N511" s="271">
        <f t="shared" si="61"/>
        <v>129.60000000000002</v>
      </c>
      <c r="O511" s="276">
        <v>0</v>
      </c>
      <c r="P511" s="276">
        <f t="shared" si="57"/>
        <v>3274.32</v>
      </c>
      <c r="Q511" s="271">
        <f t="shared" si="58"/>
        <v>60084</v>
      </c>
      <c r="R511" s="271">
        <f t="shared" si="59"/>
        <v>33809.692799999997</v>
      </c>
      <c r="S511" s="271">
        <f t="shared" si="60"/>
        <v>2125.44</v>
      </c>
    </row>
    <row r="512" spans="1:21" s="270" customFormat="1" x14ac:dyDescent="0.25">
      <c r="A512" s="271">
        <v>501444</v>
      </c>
      <c r="B512" s="271">
        <v>1444</v>
      </c>
      <c r="C512" s="271">
        <v>40235</v>
      </c>
      <c r="D512" s="268" t="s">
        <v>894</v>
      </c>
      <c r="E512" s="268" t="s">
        <v>1290</v>
      </c>
      <c r="F512" s="268" t="s">
        <v>2993</v>
      </c>
      <c r="G512" s="268">
        <v>15</v>
      </c>
      <c r="H512" s="268" t="s">
        <v>3145</v>
      </c>
      <c r="I512" s="268" t="s">
        <v>3146</v>
      </c>
      <c r="J512" s="271">
        <v>187104</v>
      </c>
      <c r="K512" s="271">
        <f t="shared" ref="K512:K575" si="62">J512/12</f>
        <v>15592</v>
      </c>
      <c r="L512" s="271">
        <f t="shared" ref="L512:L575" si="63">1011.77*12</f>
        <v>12141.24</v>
      </c>
      <c r="M512" s="267">
        <v>0</v>
      </c>
      <c r="N512" s="271">
        <f t="shared" si="61"/>
        <v>129.60000000000002</v>
      </c>
      <c r="O512" s="276">
        <v>0</v>
      </c>
      <c r="P512" s="276">
        <f t="shared" ref="P512:P575" si="64">J512*1.75%</f>
        <v>3274.32</v>
      </c>
      <c r="Q512" s="271">
        <f t="shared" ref="Q512:Q575" si="65">5007*12</f>
        <v>60084</v>
      </c>
      <c r="R512" s="271">
        <f t="shared" ref="R512:R575" si="66">18.07%*J512</f>
        <v>33809.692799999997</v>
      </c>
      <c r="S512" s="271">
        <f t="shared" si="60"/>
        <v>2125.44</v>
      </c>
    </row>
    <row r="513" spans="1:21" s="270" customFormat="1" x14ac:dyDescent="0.25">
      <c r="A513" s="271">
        <v>501444</v>
      </c>
      <c r="B513" s="271">
        <v>1444</v>
      </c>
      <c r="C513" s="271">
        <v>40316</v>
      </c>
      <c r="D513" s="268" t="s">
        <v>894</v>
      </c>
      <c r="E513" s="268" t="s">
        <v>1290</v>
      </c>
      <c r="F513" s="268" t="s">
        <v>2362</v>
      </c>
      <c r="G513" s="268">
        <v>15</v>
      </c>
      <c r="H513" s="268" t="s">
        <v>3147</v>
      </c>
      <c r="I513" s="268" t="s">
        <v>3133</v>
      </c>
      <c r="J513" s="271">
        <v>187104</v>
      </c>
      <c r="K513" s="271">
        <f t="shared" si="62"/>
        <v>15592</v>
      </c>
      <c r="L513" s="271">
        <f t="shared" si="63"/>
        <v>12141.24</v>
      </c>
      <c r="M513" s="267">
        <v>0</v>
      </c>
      <c r="N513" s="271">
        <f t="shared" si="61"/>
        <v>129.60000000000002</v>
      </c>
      <c r="O513" s="276">
        <v>0</v>
      </c>
      <c r="P513" s="276">
        <f t="shared" si="64"/>
        <v>3274.32</v>
      </c>
      <c r="Q513" s="271">
        <f t="shared" si="65"/>
        <v>60084</v>
      </c>
      <c r="R513" s="271">
        <f t="shared" si="66"/>
        <v>33809.692799999997</v>
      </c>
      <c r="S513" s="271">
        <f t="shared" ref="S513:S576" si="67">177.12*12</f>
        <v>2125.44</v>
      </c>
    </row>
    <row r="514" spans="1:21" s="270" customFormat="1" x14ac:dyDescent="0.25">
      <c r="A514" s="271">
        <v>501443</v>
      </c>
      <c r="B514" s="271">
        <v>1443</v>
      </c>
      <c r="C514" s="271">
        <v>40662</v>
      </c>
      <c r="D514" s="268" t="s">
        <v>894</v>
      </c>
      <c r="E514" s="268" t="s">
        <v>1290</v>
      </c>
      <c r="F514" s="268" t="s">
        <v>1290</v>
      </c>
      <c r="G514" s="268">
        <v>15</v>
      </c>
      <c r="H514" s="268" t="s">
        <v>3148</v>
      </c>
      <c r="I514" s="268" t="s">
        <v>3133</v>
      </c>
      <c r="J514" s="271">
        <v>187104</v>
      </c>
      <c r="K514" s="271">
        <f t="shared" si="62"/>
        <v>15592</v>
      </c>
      <c r="L514" s="271">
        <f t="shared" si="63"/>
        <v>12141.24</v>
      </c>
      <c r="M514" s="267">
        <v>0</v>
      </c>
      <c r="N514" s="271">
        <f t="shared" si="61"/>
        <v>129.60000000000002</v>
      </c>
      <c r="O514" s="276">
        <v>0</v>
      </c>
      <c r="P514" s="276">
        <f t="shared" si="64"/>
        <v>3274.32</v>
      </c>
      <c r="Q514" s="271">
        <f t="shared" si="65"/>
        <v>60084</v>
      </c>
      <c r="R514" s="271">
        <f t="shared" si="66"/>
        <v>33809.692799999997</v>
      </c>
      <c r="S514" s="271">
        <f t="shared" si="67"/>
        <v>2125.44</v>
      </c>
      <c r="T514" s="277"/>
      <c r="U514" s="277"/>
    </row>
    <row r="515" spans="1:21" s="270" customFormat="1" x14ac:dyDescent="0.25">
      <c r="A515" s="271">
        <v>501444</v>
      </c>
      <c r="B515" s="271">
        <v>1444</v>
      </c>
      <c r="C515" s="271">
        <v>40714</v>
      </c>
      <c r="D515" s="268" t="s">
        <v>894</v>
      </c>
      <c r="E515" s="268" t="s">
        <v>1290</v>
      </c>
      <c r="F515" s="268" t="s">
        <v>2768</v>
      </c>
      <c r="G515" s="268">
        <v>15</v>
      </c>
      <c r="H515" s="268" t="s">
        <v>2525</v>
      </c>
      <c r="I515" s="268" t="s">
        <v>3133</v>
      </c>
      <c r="J515" s="271">
        <v>187104</v>
      </c>
      <c r="K515" s="271">
        <f t="shared" si="62"/>
        <v>15592</v>
      </c>
      <c r="L515" s="271">
        <f t="shared" si="63"/>
        <v>12141.24</v>
      </c>
      <c r="M515" s="267">
        <v>0</v>
      </c>
      <c r="N515" s="271">
        <f t="shared" si="61"/>
        <v>129.60000000000002</v>
      </c>
      <c r="O515" s="276">
        <v>0</v>
      </c>
      <c r="P515" s="276">
        <f t="shared" si="64"/>
        <v>3274.32</v>
      </c>
      <c r="Q515" s="271">
        <f t="shared" si="65"/>
        <v>60084</v>
      </c>
      <c r="R515" s="271">
        <f t="shared" si="66"/>
        <v>33809.692799999997</v>
      </c>
      <c r="S515" s="271">
        <f t="shared" si="67"/>
        <v>2125.44</v>
      </c>
      <c r="T515" s="277"/>
      <c r="U515" s="277"/>
    </row>
    <row r="516" spans="1:21" s="270" customFormat="1" x14ac:dyDescent="0.25">
      <c r="A516" s="271">
        <v>501443</v>
      </c>
      <c r="B516" s="271">
        <v>1443</v>
      </c>
      <c r="C516" s="271">
        <v>41661</v>
      </c>
      <c r="D516" s="268" t="s">
        <v>894</v>
      </c>
      <c r="E516" s="268" t="s">
        <v>1290</v>
      </c>
      <c r="F516" s="268" t="s">
        <v>426</v>
      </c>
      <c r="G516" s="268">
        <v>15</v>
      </c>
      <c r="H516" s="268" t="s">
        <v>3149</v>
      </c>
      <c r="I516" s="268" t="s">
        <v>3133</v>
      </c>
      <c r="J516" s="271">
        <v>187104</v>
      </c>
      <c r="K516" s="271">
        <f t="shared" si="62"/>
        <v>15592</v>
      </c>
      <c r="L516" s="271">
        <f t="shared" si="63"/>
        <v>12141.24</v>
      </c>
      <c r="M516" s="267">
        <v>0</v>
      </c>
      <c r="N516" s="271">
        <f t="shared" si="61"/>
        <v>129.60000000000002</v>
      </c>
      <c r="O516" s="276">
        <v>0</v>
      </c>
      <c r="P516" s="276">
        <f t="shared" si="64"/>
        <v>3274.32</v>
      </c>
      <c r="Q516" s="271">
        <f t="shared" si="65"/>
        <v>60084</v>
      </c>
      <c r="R516" s="271">
        <f t="shared" si="66"/>
        <v>33809.692799999997</v>
      </c>
      <c r="S516" s="271">
        <f t="shared" si="67"/>
        <v>2125.44</v>
      </c>
    </row>
    <row r="517" spans="1:21" s="270" customFormat="1" x14ac:dyDescent="0.25">
      <c r="A517" s="271">
        <v>501444</v>
      </c>
      <c r="B517" s="271">
        <v>1444</v>
      </c>
      <c r="C517" s="271">
        <v>44354</v>
      </c>
      <c r="D517" s="268" t="s">
        <v>894</v>
      </c>
      <c r="E517" s="268" t="s">
        <v>1290</v>
      </c>
      <c r="F517" s="268" t="s">
        <v>2381</v>
      </c>
      <c r="G517" s="268">
        <v>15</v>
      </c>
      <c r="H517" s="268" t="s">
        <v>3150</v>
      </c>
      <c r="I517" s="268" t="s">
        <v>3133</v>
      </c>
      <c r="J517" s="271">
        <v>187104</v>
      </c>
      <c r="K517" s="271">
        <f t="shared" si="62"/>
        <v>15592</v>
      </c>
      <c r="L517" s="271">
        <f t="shared" si="63"/>
        <v>12141.24</v>
      </c>
      <c r="M517" s="267">
        <v>0</v>
      </c>
      <c r="N517" s="271">
        <f t="shared" ref="N517:N580" si="68">10.8*12</f>
        <v>129.60000000000002</v>
      </c>
      <c r="O517" s="276">
        <v>0</v>
      </c>
      <c r="P517" s="276">
        <f t="shared" si="64"/>
        <v>3274.32</v>
      </c>
      <c r="Q517" s="271">
        <f t="shared" si="65"/>
        <v>60084</v>
      </c>
      <c r="R517" s="271">
        <f t="shared" si="66"/>
        <v>33809.692799999997</v>
      </c>
      <c r="S517" s="271">
        <f t="shared" si="67"/>
        <v>2125.44</v>
      </c>
    </row>
    <row r="518" spans="1:21" s="270" customFormat="1" x14ac:dyDescent="0.25">
      <c r="A518" s="271">
        <v>501443</v>
      </c>
      <c r="B518" s="271">
        <v>1443</v>
      </c>
      <c r="C518" s="271">
        <v>45227</v>
      </c>
      <c r="D518" s="268" t="s">
        <v>894</v>
      </c>
      <c r="E518" s="268" t="s">
        <v>1290</v>
      </c>
      <c r="F518" s="268" t="s">
        <v>2744</v>
      </c>
      <c r="G518" s="268">
        <v>15</v>
      </c>
      <c r="H518" s="268" t="s">
        <v>3151</v>
      </c>
      <c r="I518" s="268" t="s">
        <v>3133</v>
      </c>
      <c r="J518" s="271">
        <v>187104</v>
      </c>
      <c r="K518" s="271">
        <f t="shared" si="62"/>
        <v>15592</v>
      </c>
      <c r="L518" s="271">
        <f t="shared" si="63"/>
        <v>12141.24</v>
      </c>
      <c r="M518" s="267">
        <v>0</v>
      </c>
      <c r="N518" s="271">
        <f t="shared" si="68"/>
        <v>129.60000000000002</v>
      </c>
      <c r="O518" s="276">
        <v>0</v>
      </c>
      <c r="P518" s="276">
        <f t="shared" si="64"/>
        <v>3274.32</v>
      </c>
      <c r="Q518" s="271">
        <f t="shared" si="65"/>
        <v>60084</v>
      </c>
      <c r="R518" s="271">
        <f t="shared" si="66"/>
        <v>33809.692799999997</v>
      </c>
      <c r="S518" s="271">
        <f t="shared" si="67"/>
        <v>2125.44</v>
      </c>
    </row>
    <row r="519" spans="1:21" s="270" customFormat="1" x14ac:dyDescent="0.25">
      <c r="A519" s="271">
        <v>501505</v>
      </c>
      <c r="B519" s="271">
        <v>1505</v>
      </c>
      <c r="C519" s="271">
        <v>46763</v>
      </c>
      <c r="D519" s="268" t="s">
        <v>894</v>
      </c>
      <c r="E519" s="268" t="s">
        <v>1290</v>
      </c>
      <c r="F519" s="268" t="s">
        <v>2949</v>
      </c>
      <c r="G519" s="268">
        <v>15</v>
      </c>
      <c r="H519" s="268" t="s">
        <v>3152</v>
      </c>
      <c r="I519" s="268" t="s">
        <v>3153</v>
      </c>
      <c r="J519" s="271">
        <v>187104</v>
      </c>
      <c r="K519" s="271">
        <f t="shared" si="62"/>
        <v>15592</v>
      </c>
      <c r="L519" s="271">
        <f t="shared" si="63"/>
        <v>12141.24</v>
      </c>
      <c r="M519" s="267">
        <v>0</v>
      </c>
      <c r="N519" s="271">
        <f t="shared" si="68"/>
        <v>129.60000000000002</v>
      </c>
      <c r="O519" s="276">
        <v>0</v>
      </c>
      <c r="P519" s="276">
        <f t="shared" si="64"/>
        <v>3274.32</v>
      </c>
      <c r="Q519" s="271">
        <f t="shared" si="65"/>
        <v>60084</v>
      </c>
      <c r="R519" s="271">
        <f t="shared" si="66"/>
        <v>33809.692799999997</v>
      </c>
      <c r="S519" s="271">
        <f t="shared" si="67"/>
        <v>2125.44</v>
      </c>
    </row>
    <row r="520" spans="1:21" s="270" customFormat="1" x14ac:dyDescent="0.25">
      <c r="A520" s="271">
        <v>501443</v>
      </c>
      <c r="B520" s="271">
        <v>1443</v>
      </c>
      <c r="C520" s="271">
        <v>51758</v>
      </c>
      <c r="D520" s="268" t="s">
        <v>894</v>
      </c>
      <c r="E520" s="268" t="s">
        <v>1278</v>
      </c>
      <c r="F520" s="268" t="s">
        <v>1293</v>
      </c>
      <c r="G520" s="268">
        <v>15</v>
      </c>
      <c r="H520" s="268" t="s">
        <v>3154</v>
      </c>
      <c r="I520" s="268" t="s">
        <v>3133</v>
      </c>
      <c r="J520" s="271">
        <v>187104</v>
      </c>
      <c r="K520" s="271">
        <f t="shared" si="62"/>
        <v>15592</v>
      </c>
      <c r="L520" s="271">
        <f t="shared" si="63"/>
        <v>12141.24</v>
      </c>
      <c r="M520" s="267">
        <v>0</v>
      </c>
      <c r="N520" s="271">
        <f t="shared" si="68"/>
        <v>129.60000000000002</v>
      </c>
      <c r="O520" s="276">
        <v>0</v>
      </c>
      <c r="P520" s="276">
        <f t="shared" si="64"/>
        <v>3274.32</v>
      </c>
      <c r="Q520" s="271">
        <f t="shared" si="65"/>
        <v>60084</v>
      </c>
      <c r="R520" s="271">
        <f t="shared" si="66"/>
        <v>33809.692799999997</v>
      </c>
      <c r="S520" s="271">
        <f t="shared" si="67"/>
        <v>2125.44</v>
      </c>
    </row>
    <row r="521" spans="1:21" s="270" customFormat="1" x14ac:dyDescent="0.25">
      <c r="A521" s="271">
        <v>501445</v>
      </c>
      <c r="B521" s="271">
        <v>1445</v>
      </c>
      <c r="C521" s="271">
        <v>51787</v>
      </c>
      <c r="D521" s="268" t="s">
        <v>894</v>
      </c>
      <c r="E521" s="268" t="s">
        <v>1290</v>
      </c>
      <c r="F521" s="268" t="s">
        <v>731</v>
      </c>
      <c r="G521" s="268">
        <v>15</v>
      </c>
      <c r="H521" s="268" t="s">
        <v>3155</v>
      </c>
      <c r="I521" s="268" t="s">
        <v>3133</v>
      </c>
      <c r="J521" s="271">
        <v>187104</v>
      </c>
      <c r="K521" s="271">
        <f t="shared" si="62"/>
        <v>15592</v>
      </c>
      <c r="L521" s="271">
        <f t="shared" si="63"/>
        <v>12141.24</v>
      </c>
      <c r="M521" s="267">
        <v>0</v>
      </c>
      <c r="N521" s="271">
        <f t="shared" si="68"/>
        <v>129.60000000000002</v>
      </c>
      <c r="O521" s="276">
        <v>0</v>
      </c>
      <c r="P521" s="276">
        <f t="shared" si="64"/>
        <v>3274.32</v>
      </c>
      <c r="Q521" s="271">
        <f t="shared" si="65"/>
        <v>60084</v>
      </c>
      <c r="R521" s="271">
        <f t="shared" si="66"/>
        <v>33809.692799999997</v>
      </c>
      <c r="S521" s="271">
        <f t="shared" si="67"/>
        <v>2125.44</v>
      </c>
    </row>
    <row r="522" spans="1:21" s="270" customFormat="1" x14ac:dyDescent="0.25">
      <c r="A522" s="271">
        <v>501444</v>
      </c>
      <c r="B522" s="271">
        <v>1444</v>
      </c>
      <c r="C522" s="271">
        <v>51790</v>
      </c>
      <c r="D522" s="268" t="s">
        <v>894</v>
      </c>
      <c r="E522" s="268" t="s">
        <v>1290</v>
      </c>
      <c r="F522" s="268" t="s">
        <v>3156</v>
      </c>
      <c r="G522" s="268">
        <v>15</v>
      </c>
      <c r="H522" s="268" t="s">
        <v>3157</v>
      </c>
      <c r="I522" s="268" t="s">
        <v>3133</v>
      </c>
      <c r="J522" s="271">
        <v>187104</v>
      </c>
      <c r="K522" s="271">
        <f t="shared" si="62"/>
        <v>15592</v>
      </c>
      <c r="L522" s="271">
        <f t="shared" si="63"/>
        <v>12141.24</v>
      </c>
      <c r="M522" s="267">
        <v>0</v>
      </c>
      <c r="N522" s="271">
        <f t="shared" si="68"/>
        <v>129.60000000000002</v>
      </c>
      <c r="O522" s="276">
        <v>0</v>
      </c>
      <c r="P522" s="276">
        <f t="shared" si="64"/>
        <v>3274.32</v>
      </c>
      <c r="Q522" s="271">
        <f t="shared" si="65"/>
        <v>60084</v>
      </c>
      <c r="R522" s="271">
        <f t="shared" si="66"/>
        <v>33809.692799999997</v>
      </c>
      <c r="S522" s="271">
        <f t="shared" si="67"/>
        <v>2125.44</v>
      </c>
    </row>
    <row r="523" spans="1:21" s="270" customFormat="1" x14ac:dyDescent="0.25">
      <c r="A523" s="271">
        <v>501443</v>
      </c>
      <c r="B523" s="271">
        <v>1443</v>
      </c>
      <c r="C523" s="271">
        <v>51871</v>
      </c>
      <c r="D523" s="268" t="s">
        <v>894</v>
      </c>
      <c r="E523" s="268" t="s">
        <v>1290</v>
      </c>
      <c r="F523" s="268" t="s">
        <v>3158</v>
      </c>
      <c r="G523" s="268">
        <v>15</v>
      </c>
      <c r="H523" s="268" t="s">
        <v>3159</v>
      </c>
      <c r="I523" s="268" t="s">
        <v>3133</v>
      </c>
      <c r="J523" s="271">
        <v>187104</v>
      </c>
      <c r="K523" s="271">
        <f t="shared" si="62"/>
        <v>15592</v>
      </c>
      <c r="L523" s="271">
        <f t="shared" si="63"/>
        <v>12141.24</v>
      </c>
      <c r="M523" s="267">
        <v>0</v>
      </c>
      <c r="N523" s="271">
        <f t="shared" si="68"/>
        <v>129.60000000000002</v>
      </c>
      <c r="O523" s="276">
        <v>0</v>
      </c>
      <c r="P523" s="276">
        <f t="shared" si="64"/>
        <v>3274.32</v>
      </c>
      <c r="Q523" s="271">
        <f t="shared" si="65"/>
        <v>60084</v>
      </c>
      <c r="R523" s="271">
        <f t="shared" si="66"/>
        <v>33809.692799999997</v>
      </c>
      <c r="S523" s="271">
        <f t="shared" si="67"/>
        <v>2125.44</v>
      </c>
    </row>
    <row r="524" spans="1:21" s="270" customFormat="1" x14ac:dyDescent="0.25">
      <c r="A524" s="271">
        <v>501444</v>
      </c>
      <c r="B524" s="271">
        <v>1444</v>
      </c>
      <c r="C524" s="271">
        <v>59420</v>
      </c>
      <c r="D524" s="268" t="s">
        <v>894</v>
      </c>
      <c r="E524" s="268" t="s">
        <v>1290</v>
      </c>
      <c r="F524" s="268" t="s">
        <v>1290</v>
      </c>
      <c r="G524" s="268">
        <v>15</v>
      </c>
      <c r="H524" s="268" t="s">
        <v>3003</v>
      </c>
      <c r="I524" s="268" t="s">
        <v>3133</v>
      </c>
      <c r="J524" s="271">
        <v>187104</v>
      </c>
      <c r="K524" s="271">
        <f t="shared" si="62"/>
        <v>15592</v>
      </c>
      <c r="L524" s="271">
        <f t="shared" si="63"/>
        <v>12141.24</v>
      </c>
      <c r="M524" s="267">
        <v>0</v>
      </c>
      <c r="N524" s="271">
        <f t="shared" si="68"/>
        <v>129.60000000000002</v>
      </c>
      <c r="O524" s="276">
        <v>0</v>
      </c>
      <c r="P524" s="276">
        <f t="shared" si="64"/>
        <v>3274.32</v>
      </c>
      <c r="Q524" s="271">
        <f t="shared" si="65"/>
        <v>60084</v>
      </c>
      <c r="R524" s="271">
        <f t="shared" si="66"/>
        <v>33809.692799999997</v>
      </c>
      <c r="S524" s="271">
        <f t="shared" si="67"/>
        <v>2125.44</v>
      </c>
    </row>
    <row r="525" spans="1:21" s="270" customFormat="1" x14ac:dyDescent="0.25">
      <c r="A525" s="271">
        <v>501443</v>
      </c>
      <c r="B525" s="271">
        <v>1443</v>
      </c>
      <c r="C525" s="271">
        <v>59462</v>
      </c>
      <c r="D525" s="268" t="s">
        <v>894</v>
      </c>
      <c r="E525" s="268" t="s">
        <v>1278</v>
      </c>
      <c r="F525" s="268" t="s">
        <v>2627</v>
      </c>
      <c r="G525" s="268">
        <v>15</v>
      </c>
      <c r="H525" s="268" t="s">
        <v>3160</v>
      </c>
      <c r="I525" s="268" t="s">
        <v>3133</v>
      </c>
      <c r="J525" s="271">
        <v>187104</v>
      </c>
      <c r="K525" s="271">
        <f t="shared" si="62"/>
        <v>15592</v>
      </c>
      <c r="L525" s="271">
        <f t="shared" si="63"/>
        <v>12141.24</v>
      </c>
      <c r="M525" s="267">
        <v>0</v>
      </c>
      <c r="N525" s="271">
        <f t="shared" si="68"/>
        <v>129.60000000000002</v>
      </c>
      <c r="O525" s="276">
        <v>0</v>
      </c>
      <c r="P525" s="276">
        <f t="shared" si="64"/>
        <v>3274.32</v>
      </c>
      <c r="Q525" s="271">
        <f t="shared" si="65"/>
        <v>60084</v>
      </c>
      <c r="R525" s="271">
        <f t="shared" si="66"/>
        <v>33809.692799999997</v>
      </c>
      <c r="S525" s="271">
        <f t="shared" si="67"/>
        <v>2125.44</v>
      </c>
    </row>
    <row r="526" spans="1:21" s="270" customFormat="1" x14ac:dyDescent="0.25">
      <c r="A526" s="271">
        <v>501406</v>
      </c>
      <c r="B526" s="271">
        <v>1406</v>
      </c>
      <c r="C526" s="271">
        <v>59585</v>
      </c>
      <c r="D526" s="268" t="s">
        <v>894</v>
      </c>
      <c r="E526" s="268" t="s">
        <v>1278</v>
      </c>
      <c r="F526" s="268" t="s">
        <v>2415</v>
      </c>
      <c r="G526" s="268">
        <v>15</v>
      </c>
      <c r="H526" s="268" t="s">
        <v>3161</v>
      </c>
      <c r="I526" s="268" t="s">
        <v>3133</v>
      </c>
      <c r="J526" s="271">
        <v>187104</v>
      </c>
      <c r="K526" s="271">
        <f t="shared" si="62"/>
        <v>15592</v>
      </c>
      <c r="L526" s="271">
        <f t="shared" si="63"/>
        <v>12141.24</v>
      </c>
      <c r="M526" s="267">
        <v>0</v>
      </c>
      <c r="N526" s="271">
        <f t="shared" si="68"/>
        <v>129.60000000000002</v>
      </c>
      <c r="O526" s="276">
        <v>0</v>
      </c>
      <c r="P526" s="276">
        <f t="shared" si="64"/>
        <v>3274.32</v>
      </c>
      <c r="Q526" s="271">
        <f t="shared" si="65"/>
        <v>60084</v>
      </c>
      <c r="R526" s="271">
        <f t="shared" si="66"/>
        <v>33809.692799999997</v>
      </c>
      <c r="S526" s="271">
        <f t="shared" si="67"/>
        <v>2125.44</v>
      </c>
    </row>
    <row r="527" spans="1:21" s="270" customFormat="1" x14ac:dyDescent="0.25">
      <c r="A527" s="271">
        <v>501444</v>
      </c>
      <c r="B527" s="271">
        <v>1444</v>
      </c>
      <c r="C527" s="271">
        <v>59828</v>
      </c>
      <c r="D527" s="268" t="s">
        <v>894</v>
      </c>
      <c r="E527" s="268" t="s">
        <v>1278</v>
      </c>
      <c r="F527" s="268" t="s">
        <v>2768</v>
      </c>
      <c r="G527" s="268">
        <v>15</v>
      </c>
      <c r="H527" s="268" t="s">
        <v>3162</v>
      </c>
      <c r="I527" s="268" t="s">
        <v>3133</v>
      </c>
      <c r="J527" s="271">
        <v>187104</v>
      </c>
      <c r="K527" s="271">
        <f t="shared" si="62"/>
        <v>15592</v>
      </c>
      <c r="L527" s="271">
        <f t="shared" si="63"/>
        <v>12141.24</v>
      </c>
      <c r="M527" s="267">
        <v>0</v>
      </c>
      <c r="N527" s="271">
        <f t="shared" si="68"/>
        <v>129.60000000000002</v>
      </c>
      <c r="O527" s="276">
        <v>0</v>
      </c>
      <c r="P527" s="276">
        <f t="shared" si="64"/>
        <v>3274.32</v>
      </c>
      <c r="Q527" s="271">
        <f t="shared" si="65"/>
        <v>60084</v>
      </c>
      <c r="R527" s="271">
        <f t="shared" si="66"/>
        <v>33809.692799999997</v>
      </c>
      <c r="S527" s="271">
        <f t="shared" si="67"/>
        <v>2125.44</v>
      </c>
    </row>
    <row r="528" spans="1:21" s="270" customFormat="1" x14ac:dyDescent="0.25">
      <c r="A528" s="271">
        <v>501443</v>
      </c>
      <c r="B528" s="271">
        <v>1443</v>
      </c>
      <c r="C528" s="271">
        <v>83661</v>
      </c>
      <c r="D528" s="268" t="s">
        <v>894</v>
      </c>
      <c r="E528" s="268" t="s">
        <v>1290</v>
      </c>
      <c r="F528" s="268" t="s">
        <v>3163</v>
      </c>
      <c r="G528" s="268">
        <v>15</v>
      </c>
      <c r="H528" s="268" t="s">
        <v>3164</v>
      </c>
      <c r="I528" s="268" t="s">
        <v>3133</v>
      </c>
      <c r="J528" s="271">
        <v>187104</v>
      </c>
      <c r="K528" s="271">
        <f t="shared" si="62"/>
        <v>15592</v>
      </c>
      <c r="L528" s="271">
        <f t="shared" si="63"/>
        <v>12141.24</v>
      </c>
      <c r="M528" s="267">
        <v>0</v>
      </c>
      <c r="N528" s="271">
        <f t="shared" si="68"/>
        <v>129.60000000000002</v>
      </c>
      <c r="O528" s="276">
        <v>0</v>
      </c>
      <c r="P528" s="276">
        <f t="shared" si="64"/>
        <v>3274.32</v>
      </c>
      <c r="Q528" s="271">
        <f t="shared" si="65"/>
        <v>60084</v>
      </c>
      <c r="R528" s="271">
        <f t="shared" si="66"/>
        <v>33809.692799999997</v>
      </c>
      <c r="S528" s="271">
        <f t="shared" si="67"/>
        <v>2125.44</v>
      </c>
    </row>
    <row r="529" spans="1:19" s="270" customFormat="1" x14ac:dyDescent="0.25">
      <c r="A529" s="271">
        <v>501444</v>
      </c>
      <c r="B529" s="271">
        <v>1444</v>
      </c>
      <c r="C529" s="271">
        <v>84592</v>
      </c>
      <c r="D529" s="268" t="s">
        <v>876</v>
      </c>
      <c r="E529" s="268" t="s">
        <v>1290</v>
      </c>
      <c r="F529" s="268" t="s">
        <v>3165</v>
      </c>
      <c r="G529" s="268">
        <v>15</v>
      </c>
      <c r="H529" s="268" t="s">
        <v>3166</v>
      </c>
      <c r="I529" s="268" t="s">
        <v>3133</v>
      </c>
      <c r="J529" s="271">
        <v>187104</v>
      </c>
      <c r="K529" s="271">
        <f t="shared" si="62"/>
        <v>15592</v>
      </c>
      <c r="L529" s="271">
        <f t="shared" si="63"/>
        <v>12141.24</v>
      </c>
      <c r="M529" s="267">
        <v>0</v>
      </c>
      <c r="N529" s="271">
        <f t="shared" si="68"/>
        <v>129.60000000000002</v>
      </c>
      <c r="O529" s="276">
        <v>0</v>
      </c>
      <c r="P529" s="276">
        <f t="shared" si="64"/>
        <v>3274.32</v>
      </c>
      <c r="Q529" s="271">
        <f t="shared" si="65"/>
        <v>60084</v>
      </c>
      <c r="R529" s="271">
        <f t="shared" si="66"/>
        <v>33809.692799999997</v>
      </c>
      <c r="S529" s="271">
        <f t="shared" si="67"/>
        <v>2125.44</v>
      </c>
    </row>
    <row r="530" spans="1:19" s="270" customFormat="1" x14ac:dyDescent="0.25">
      <c r="A530" s="271">
        <v>501444</v>
      </c>
      <c r="B530" s="271">
        <v>1444</v>
      </c>
      <c r="C530" s="271">
        <v>84602</v>
      </c>
      <c r="D530" s="268" t="s">
        <v>894</v>
      </c>
      <c r="E530" s="268" t="s">
        <v>1290</v>
      </c>
      <c r="F530" s="268" t="s">
        <v>1304</v>
      </c>
      <c r="G530" s="268">
        <v>15</v>
      </c>
      <c r="H530" s="268" t="s">
        <v>3167</v>
      </c>
      <c r="I530" s="268" t="s">
        <v>3133</v>
      </c>
      <c r="J530" s="271">
        <v>187104</v>
      </c>
      <c r="K530" s="271">
        <f t="shared" si="62"/>
        <v>15592</v>
      </c>
      <c r="L530" s="271">
        <f t="shared" si="63"/>
        <v>12141.24</v>
      </c>
      <c r="M530" s="267">
        <v>0</v>
      </c>
      <c r="N530" s="271">
        <f t="shared" si="68"/>
        <v>129.60000000000002</v>
      </c>
      <c r="O530" s="276">
        <v>0</v>
      </c>
      <c r="P530" s="276">
        <f t="shared" si="64"/>
        <v>3274.32</v>
      </c>
      <c r="Q530" s="271">
        <f t="shared" si="65"/>
        <v>60084</v>
      </c>
      <c r="R530" s="271">
        <f t="shared" si="66"/>
        <v>33809.692799999997</v>
      </c>
      <c r="S530" s="271">
        <f t="shared" si="67"/>
        <v>2125.44</v>
      </c>
    </row>
    <row r="531" spans="1:19" s="270" customFormat="1" x14ac:dyDescent="0.25">
      <c r="A531" s="271">
        <v>501443</v>
      </c>
      <c r="B531" s="271">
        <v>1443</v>
      </c>
      <c r="C531" s="271">
        <v>200009</v>
      </c>
      <c r="D531" s="268" t="s">
        <v>894</v>
      </c>
      <c r="E531" s="268" t="s">
        <v>1278</v>
      </c>
      <c r="F531" s="268" t="s">
        <v>2273</v>
      </c>
      <c r="G531" s="268">
        <v>15</v>
      </c>
      <c r="H531" s="268" t="s">
        <v>2853</v>
      </c>
      <c r="I531" s="268" t="s">
        <v>3133</v>
      </c>
      <c r="J531" s="271">
        <v>187104</v>
      </c>
      <c r="K531" s="271">
        <f t="shared" si="62"/>
        <v>15592</v>
      </c>
      <c r="L531" s="271">
        <f t="shared" si="63"/>
        <v>12141.24</v>
      </c>
      <c r="M531" s="267">
        <v>0</v>
      </c>
      <c r="N531" s="271">
        <f t="shared" si="68"/>
        <v>129.60000000000002</v>
      </c>
      <c r="O531" s="276">
        <v>0</v>
      </c>
      <c r="P531" s="276">
        <f t="shared" si="64"/>
        <v>3274.32</v>
      </c>
      <c r="Q531" s="271">
        <f t="shared" si="65"/>
        <v>60084</v>
      </c>
      <c r="R531" s="271">
        <f t="shared" si="66"/>
        <v>33809.692799999997</v>
      </c>
      <c r="S531" s="271">
        <f t="shared" si="67"/>
        <v>2125.44</v>
      </c>
    </row>
    <row r="532" spans="1:19" s="270" customFormat="1" x14ac:dyDescent="0.25">
      <c r="A532" s="271">
        <v>501443</v>
      </c>
      <c r="B532" s="271">
        <v>1443</v>
      </c>
      <c r="C532" s="271">
        <v>200010</v>
      </c>
      <c r="D532" s="268" t="s">
        <v>894</v>
      </c>
      <c r="E532" s="268" t="s">
        <v>1278</v>
      </c>
      <c r="F532" s="268" t="s">
        <v>3168</v>
      </c>
      <c r="G532" s="268">
        <v>15</v>
      </c>
      <c r="H532" s="268" t="s">
        <v>2664</v>
      </c>
      <c r="I532" s="268" t="s">
        <v>3133</v>
      </c>
      <c r="J532" s="271">
        <v>187104</v>
      </c>
      <c r="K532" s="271">
        <f t="shared" si="62"/>
        <v>15592</v>
      </c>
      <c r="L532" s="271">
        <f t="shared" si="63"/>
        <v>12141.24</v>
      </c>
      <c r="M532" s="267">
        <v>0</v>
      </c>
      <c r="N532" s="271">
        <f t="shared" si="68"/>
        <v>129.60000000000002</v>
      </c>
      <c r="O532" s="276">
        <v>0</v>
      </c>
      <c r="P532" s="276">
        <f t="shared" si="64"/>
        <v>3274.32</v>
      </c>
      <c r="Q532" s="271">
        <f t="shared" si="65"/>
        <v>60084</v>
      </c>
      <c r="R532" s="271">
        <f t="shared" si="66"/>
        <v>33809.692799999997</v>
      </c>
      <c r="S532" s="271">
        <f t="shared" si="67"/>
        <v>2125.44</v>
      </c>
    </row>
    <row r="533" spans="1:19" s="270" customFormat="1" x14ac:dyDescent="0.25">
      <c r="A533" s="271">
        <v>501443</v>
      </c>
      <c r="B533" s="271">
        <v>1443</v>
      </c>
      <c r="C533" s="271">
        <v>200016</v>
      </c>
      <c r="D533" s="268" t="s">
        <v>894</v>
      </c>
      <c r="E533" s="268" t="s">
        <v>1278</v>
      </c>
      <c r="F533" s="268" t="s">
        <v>2660</v>
      </c>
      <c r="G533" s="268">
        <v>15</v>
      </c>
      <c r="H533" s="268" t="s">
        <v>2559</v>
      </c>
      <c r="I533" s="268" t="s">
        <v>3133</v>
      </c>
      <c r="J533" s="271">
        <v>187104</v>
      </c>
      <c r="K533" s="271">
        <f t="shared" si="62"/>
        <v>15592</v>
      </c>
      <c r="L533" s="271">
        <f t="shared" si="63"/>
        <v>12141.24</v>
      </c>
      <c r="M533" s="267">
        <v>0</v>
      </c>
      <c r="N533" s="271">
        <f t="shared" si="68"/>
        <v>129.60000000000002</v>
      </c>
      <c r="O533" s="276">
        <v>0</v>
      </c>
      <c r="P533" s="276">
        <f t="shared" si="64"/>
        <v>3274.32</v>
      </c>
      <c r="Q533" s="271">
        <f t="shared" si="65"/>
        <v>60084</v>
      </c>
      <c r="R533" s="271">
        <f t="shared" si="66"/>
        <v>33809.692799999997</v>
      </c>
      <c r="S533" s="271">
        <f t="shared" si="67"/>
        <v>2125.44</v>
      </c>
    </row>
    <row r="534" spans="1:19" s="270" customFormat="1" x14ac:dyDescent="0.25">
      <c r="A534" s="271">
        <v>501444</v>
      </c>
      <c r="B534" s="271">
        <v>1444</v>
      </c>
      <c r="C534" s="271">
        <v>200019</v>
      </c>
      <c r="D534" s="268" t="s">
        <v>894</v>
      </c>
      <c r="E534" s="268" t="s">
        <v>1290</v>
      </c>
      <c r="F534" s="268" t="s">
        <v>3169</v>
      </c>
      <c r="G534" s="268">
        <v>15</v>
      </c>
      <c r="H534" s="268" t="s">
        <v>3170</v>
      </c>
      <c r="I534" s="268" t="s">
        <v>3133</v>
      </c>
      <c r="J534" s="271">
        <v>187104</v>
      </c>
      <c r="K534" s="271">
        <f t="shared" si="62"/>
        <v>15592</v>
      </c>
      <c r="L534" s="271">
        <f t="shared" si="63"/>
        <v>12141.24</v>
      </c>
      <c r="M534" s="267">
        <v>0</v>
      </c>
      <c r="N534" s="271">
        <f t="shared" si="68"/>
        <v>129.60000000000002</v>
      </c>
      <c r="O534" s="276">
        <v>0</v>
      </c>
      <c r="P534" s="276">
        <f t="shared" si="64"/>
        <v>3274.32</v>
      </c>
      <c r="Q534" s="271">
        <f t="shared" si="65"/>
        <v>60084</v>
      </c>
      <c r="R534" s="271">
        <f t="shared" si="66"/>
        <v>33809.692799999997</v>
      </c>
      <c r="S534" s="271">
        <f t="shared" si="67"/>
        <v>2125.44</v>
      </c>
    </row>
    <row r="535" spans="1:19" s="270" customFormat="1" x14ac:dyDescent="0.25">
      <c r="A535" s="271">
        <v>501444</v>
      </c>
      <c r="B535" s="271">
        <v>1444</v>
      </c>
      <c r="C535" s="271">
        <v>200020</v>
      </c>
      <c r="D535" s="268" t="s">
        <v>894</v>
      </c>
      <c r="E535" s="268" t="s">
        <v>1290</v>
      </c>
      <c r="F535" s="268" t="s">
        <v>2506</v>
      </c>
      <c r="G535" s="268">
        <v>15</v>
      </c>
      <c r="H535" s="268" t="s">
        <v>3171</v>
      </c>
      <c r="I535" s="268" t="s">
        <v>3172</v>
      </c>
      <c r="J535" s="271">
        <v>187104</v>
      </c>
      <c r="K535" s="271">
        <f t="shared" si="62"/>
        <v>15592</v>
      </c>
      <c r="L535" s="271">
        <f t="shared" si="63"/>
        <v>12141.24</v>
      </c>
      <c r="M535" s="267">
        <v>0</v>
      </c>
      <c r="N535" s="271">
        <f t="shared" si="68"/>
        <v>129.60000000000002</v>
      </c>
      <c r="O535" s="276">
        <v>0</v>
      </c>
      <c r="P535" s="276">
        <f t="shared" si="64"/>
        <v>3274.32</v>
      </c>
      <c r="Q535" s="271">
        <f t="shared" si="65"/>
        <v>60084</v>
      </c>
      <c r="R535" s="271">
        <f t="shared" si="66"/>
        <v>33809.692799999997</v>
      </c>
      <c r="S535" s="271">
        <f t="shared" si="67"/>
        <v>2125.44</v>
      </c>
    </row>
    <row r="536" spans="1:19" s="270" customFormat="1" x14ac:dyDescent="0.25">
      <c r="A536" s="271">
        <v>501443</v>
      </c>
      <c r="B536" s="271">
        <v>1443</v>
      </c>
      <c r="C536" s="271">
        <v>200034</v>
      </c>
      <c r="D536" s="268" t="s">
        <v>894</v>
      </c>
      <c r="E536" s="268" t="s">
        <v>1290</v>
      </c>
      <c r="F536" s="268" t="s">
        <v>2742</v>
      </c>
      <c r="G536" s="268">
        <v>15</v>
      </c>
      <c r="H536" s="268" t="s">
        <v>3173</v>
      </c>
      <c r="I536" s="268" t="s">
        <v>3133</v>
      </c>
      <c r="J536" s="271">
        <v>187104</v>
      </c>
      <c r="K536" s="271">
        <f t="shared" si="62"/>
        <v>15592</v>
      </c>
      <c r="L536" s="271">
        <f t="shared" si="63"/>
        <v>12141.24</v>
      </c>
      <c r="M536" s="267">
        <v>0</v>
      </c>
      <c r="N536" s="271">
        <f t="shared" si="68"/>
        <v>129.60000000000002</v>
      </c>
      <c r="O536" s="276">
        <v>0</v>
      </c>
      <c r="P536" s="276">
        <f t="shared" si="64"/>
        <v>3274.32</v>
      </c>
      <c r="Q536" s="271">
        <f t="shared" si="65"/>
        <v>60084</v>
      </c>
      <c r="R536" s="271">
        <f t="shared" si="66"/>
        <v>33809.692799999997</v>
      </c>
      <c r="S536" s="271">
        <f t="shared" si="67"/>
        <v>2125.44</v>
      </c>
    </row>
    <row r="537" spans="1:19" s="270" customFormat="1" x14ac:dyDescent="0.25">
      <c r="A537" s="271">
        <v>501406</v>
      </c>
      <c r="B537" s="271">
        <v>1406</v>
      </c>
      <c r="C537" s="271">
        <v>200116</v>
      </c>
      <c r="D537" s="268" t="s">
        <v>894</v>
      </c>
      <c r="E537" s="268" t="s">
        <v>1278</v>
      </c>
      <c r="F537" s="268" t="s">
        <v>3174</v>
      </c>
      <c r="G537" s="268">
        <v>15</v>
      </c>
      <c r="H537" s="268" t="s">
        <v>3175</v>
      </c>
      <c r="I537" s="268" t="s">
        <v>3133</v>
      </c>
      <c r="J537" s="271">
        <v>187104</v>
      </c>
      <c r="K537" s="271">
        <f t="shared" si="62"/>
        <v>15592</v>
      </c>
      <c r="L537" s="271">
        <f t="shared" si="63"/>
        <v>12141.24</v>
      </c>
      <c r="M537" s="267">
        <v>0</v>
      </c>
      <c r="N537" s="271">
        <f t="shared" si="68"/>
        <v>129.60000000000002</v>
      </c>
      <c r="O537" s="276">
        <v>0</v>
      </c>
      <c r="P537" s="276">
        <f t="shared" si="64"/>
        <v>3274.32</v>
      </c>
      <c r="Q537" s="271">
        <f t="shared" si="65"/>
        <v>60084</v>
      </c>
      <c r="R537" s="271">
        <f t="shared" si="66"/>
        <v>33809.692799999997</v>
      </c>
      <c r="S537" s="271">
        <f t="shared" si="67"/>
        <v>2125.44</v>
      </c>
    </row>
    <row r="538" spans="1:19" s="270" customFormat="1" x14ac:dyDescent="0.25">
      <c r="A538" s="271">
        <v>501406</v>
      </c>
      <c r="B538" s="271">
        <v>1406</v>
      </c>
      <c r="C538" s="271">
        <v>200128</v>
      </c>
      <c r="D538" s="268" t="s">
        <v>894</v>
      </c>
      <c r="E538" s="268" t="s">
        <v>1290</v>
      </c>
      <c r="F538" s="268" t="s">
        <v>2584</v>
      </c>
      <c r="G538" s="268">
        <v>15</v>
      </c>
      <c r="H538" s="268" t="s">
        <v>3176</v>
      </c>
      <c r="I538" s="268" t="s">
        <v>3133</v>
      </c>
      <c r="J538" s="271">
        <v>187104</v>
      </c>
      <c r="K538" s="271">
        <f t="shared" si="62"/>
        <v>15592</v>
      </c>
      <c r="L538" s="271">
        <f t="shared" si="63"/>
        <v>12141.24</v>
      </c>
      <c r="M538" s="267">
        <v>0</v>
      </c>
      <c r="N538" s="271">
        <f t="shared" si="68"/>
        <v>129.60000000000002</v>
      </c>
      <c r="O538" s="276">
        <v>0</v>
      </c>
      <c r="P538" s="276">
        <f t="shared" si="64"/>
        <v>3274.32</v>
      </c>
      <c r="Q538" s="271">
        <f t="shared" si="65"/>
        <v>60084</v>
      </c>
      <c r="R538" s="271">
        <f t="shared" si="66"/>
        <v>33809.692799999997</v>
      </c>
      <c r="S538" s="271">
        <f t="shared" si="67"/>
        <v>2125.44</v>
      </c>
    </row>
    <row r="539" spans="1:19" s="270" customFormat="1" x14ac:dyDescent="0.25">
      <c r="A539" s="271">
        <v>501406</v>
      </c>
      <c r="B539" s="271">
        <v>1406</v>
      </c>
      <c r="C539" s="271">
        <v>200130</v>
      </c>
      <c r="D539" s="268" t="s">
        <v>894</v>
      </c>
      <c r="E539" s="268" t="s">
        <v>1290</v>
      </c>
      <c r="F539" s="268" t="s">
        <v>3177</v>
      </c>
      <c r="G539" s="268">
        <v>15</v>
      </c>
      <c r="H539" s="268" t="s">
        <v>3178</v>
      </c>
      <c r="I539" s="268" t="s">
        <v>3133</v>
      </c>
      <c r="J539" s="271">
        <v>187104</v>
      </c>
      <c r="K539" s="271">
        <f t="shared" si="62"/>
        <v>15592</v>
      </c>
      <c r="L539" s="271">
        <f t="shared" si="63"/>
        <v>12141.24</v>
      </c>
      <c r="M539" s="267">
        <v>0</v>
      </c>
      <c r="N539" s="271">
        <f t="shared" si="68"/>
        <v>129.60000000000002</v>
      </c>
      <c r="O539" s="276">
        <v>0</v>
      </c>
      <c r="P539" s="276">
        <f t="shared" si="64"/>
        <v>3274.32</v>
      </c>
      <c r="Q539" s="271">
        <f t="shared" si="65"/>
        <v>60084</v>
      </c>
      <c r="R539" s="271">
        <f t="shared" si="66"/>
        <v>33809.692799999997</v>
      </c>
      <c r="S539" s="271">
        <f t="shared" si="67"/>
        <v>2125.44</v>
      </c>
    </row>
    <row r="540" spans="1:19" s="270" customFormat="1" x14ac:dyDescent="0.25">
      <c r="A540" s="271">
        <v>501506</v>
      </c>
      <c r="B540" s="271">
        <v>1506</v>
      </c>
      <c r="C540" s="271">
        <v>200131</v>
      </c>
      <c r="D540" s="268" t="s">
        <v>894</v>
      </c>
      <c r="E540" s="268" t="s">
        <v>1290</v>
      </c>
      <c r="F540" s="268" t="s">
        <v>3179</v>
      </c>
      <c r="G540" s="268">
        <v>15</v>
      </c>
      <c r="H540" s="268" t="s">
        <v>3180</v>
      </c>
      <c r="I540" s="268" t="s">
        <v>3133</v>
      </c>
      <c r="J540" s="271">
        <v>187104</v>
      </c>
      <c r="K540" s="271">
        <f t="shared" si="62"/>
        <v>15592</v>
      </c>
      <c r="L540" s="271">
        <f t="shared" si="63"/>
        <v>12141.24</v>
      </c>
      <c r="M540" s="267">
        <v>0</v>
      </c>
      <c r="N540" s="271">
        <f t="shared" si="68"/>
        <v>129.60000000000002</v>
      </c>
      <c r="O540" s="276">
        <v>0</v>
      </c>
      <c r="P540" s="276">
        <f t="shared" si="64"/>
        <v>3274.32</v>
      </c>
      <c r="Q540" s="271">
        <f t="shared" si="65"/>
        <v>60084</v>
      </c>
      <c r="R540" s="271">
        <f t="shared" si="66"/>
        <v>33809.692799999997</v>
      </c>
      <c r="S540" s="271">
        <f t="shared" si="67"/>
        <v>2125.44</v>
      </c>
    </row>
    <row r="541" spans="1:19" s="270" customFormat="1" x14ac:dyDescent="0.25">
      <c r="A541" s="271">
        <v>501406</v>
      </c>
      <c r="B541" s="271">
        <v>1406</v>
      </c>
      <c r="C541" s="271">
        <v>200134</v>
      </c>
      <c r="D541" s="268" t="s">
        <v>894</v>
      </c>
      <c r="E541" s="268" t="s">
        <v>1290</v>
      </c>
      <c r="F541" s="268" t="s">
        <v>3181</v>
      </c>
      <c r="G541" s="268">
        <v>15</v>
      </c>
      <c r="H541" s="268" t="s">
        <v>3182</v>
      </c>
      <c r="I541" s="268" t="s">
        <v>3133</v>
      </c>
      <c r="J541" s="271">
        <v>187104</v>
      </c>
      <c r="K541" s="271">
        <f t="shared" si="62"/>
        <v>15592</v>
      </c>
      <c r="L541" s="271">
        <f t="shared" si="63"/>
        <v>12141.24</v>
      </c>
      <c r="M541" s="267">
        <v>0</v>
      </c>
      <c r="N541" s="271">
        <f t="shared" si="68"/>
        <v>129.60000000000002</v>
      </c>
      <c r="O541" s="276">
        <v>0</v>
      </c>
      <c r="P541" s="276">
        <f t="shared" si="64"/>
        <v>3274.32</v>
      </c>
      <c r="Q541" s="271">
        <f t="shared" si="65"/>
        <v>60084</v>
      </c>
      <c r="R541" s="271">
        <f t="shared" si="66"/>
        <v>33809.692799999997</v>
      </c>
      <c r="S541" s="271">
        <f t="shared" si="67"/>
        <v>2125.44</v>
      </c>
    </row>
    <row r="542" spans="1:19" s="270" customFormat="1" x14ac:dyDescent="0.25">
      <c r="A542" s="271">
        <v>501506</v>
      </c>
      <c r="B542" s="271">
        <v>1506</v>
      </c>
      <c r="C542" s="271">
        <v>200148</v>
      </c>
      <c r="D542" s="268" t="s">
        <v>894</v>
      </c>
      <c r="E542" s="268" t="s">
        <v>1278</v>
      </c>
      <c r="F542" s="268" t="s">
        <v>1293</v>
      </c>
      <c r="G542" s="268">
        <v>15</v>
      </c>
      <c r="H542" s="268" t="s">
        <v>3183</v>
      </c>
      <c r="I542" s="268" t="s">
        <v>3133</v>
      </c>
      <c r="J542" s="271">
        <v>187104</v>
      </c>
      <c r="K542" s="271">
        <f t="shared" si="62"/>
        <v>15592</v>
      </c>
      <c r="L542" s="271">
        <f t="shared" si="63"/>
        <v>12141.24</v>
      </c>
      <c r="M542" s="267">
        <v>0</v>
      </c>
      <c r="N542" s="271">
        <f t="shared" si="68"/>
        <v>129.60000000000002</v>
      </c>
      <c r="O542" s="276">
        <v>0</v>
      </c>
      <c r="P542" s="276">
        <f t="shared" si="64"/>
        <v>3274.32</v>
      </c>
      <c r="Q542" s="271">
        <f t="shared" si="65"/>
        <v>60084</v>
      </c>
      <c r="R542" s="271">
        <f t="shared" si="66"/>
        <v>33809.692799999997</v>
      </c>
      <c r="S542" s="271">
        <f t="shared" si="67"/>
        <v>2125.44</v>
      </c>
    </row>
    <row r="543" spans="1:19" s="270" customFormat="1" x14ac:dyDescent="0.25">
      <c r="A543" s="271">
        <v>501506</v>
      </c>
      <c r="B543" s="271">
        <v>1506</v>
      </c>
      <c r="C543" s="271">
        <v>200149</v>
      </c>
      <c r="D543" s="268" t="s">
        <v>894</v>
      </c>
      <c r="E543" s="268" t="s">
        <v>1278</v>
      </c>
      <c r="F543" s="268" t="s">
        <v>3184</v>
      </c>
      <c r="G543" s="268">
        <v>15</v>
      </c>
      <c r="H543" s="268" t="s">
        <v>3185</v>
      </c>
      <c r="I543" s="268" t="s">
        <v>3133</v>
      </c>
      <c r="J543" s="271">
        <v>187104</v>
      </c>
      <c r="K543" s="271">
        <f t="shared" si="62"/>
        <v>15592</v>
      </c>
      <c r="L543" s="271">
        <f t="shared" si="63"/>
        <v>12141.24</v>
      </c>
      <c r="M543" s="267">
        <v>0</v>
      </c>
      <c r="N543" s="271">
        <f t="shared" si="68"/>
        <v>129.60000000000002</v>
      </c>
      <c r="O543" s="276">
        <v>0</v>
      </c>
      <c r="P543" s="276">
        <f t="shared" si="64"/>
        <v>3274.32</v>
      </c>
      <c r="Q543" s="271">
        <f t="shared" si="65"/>
        <v>60084</v>
      </c>
      <c r="R543" s="271">
        <f t="shared" si="66"/>
        <v>33809.692799999997</v>
      </c>
      <c r="S543" s="271">
        <f t="shared" si="67"/>
        <v>2125.44</v>
      </c>
    </row>
    <row r="544" spans="1:19" s="270" customFormat="1" x14ac:dyDescent="0.25">
      <c r="A544" s="271">
        <v>501506</v>
      </c>
      <c r="B544" s="271">
        <v>1506</v>
      </c>
      <c r="C544" s="271">
        <v>200151</v>
      </c>
      <c r="D544" s="268" t="s">
        <v>894</v>
      </c>
      <c r="E544" s="268" t="s">
        <v>1290</v>
      </c>
      <c r="F544" s="268" t="s">
        <v>2742</v>
      </c>
      <c r="G544" s="268">
        <v>15</v>
      </c>
      <c r="H544" s="268" t="s">
        <v>3186</v>
      </c>
      <c r="I544" s="268" t="s">
        <v>3133</v>
      </c>
      <c r="J544" s="271">
        <v>187104</v>
      </c>
      <c r="K544" s="271">
        <f t="shared" si="62"/>
        <v>15592</v>
      </c>
      <c r="L544" s="271">
        <f t="shared" si="63"/>
        <v>12141.24</v>
      </c>
      <c r="M544" s="267">
        <v>0</v>
      </c>
      <c r="N544" s="271">
        <f t="shared" si="68"/>
        <v>129.60000000000002</v>
      </c>
      <c r="O544" s="276">
        <v>0</v>
      </c>
      <c r="P544" s="276">
        <f t="shared" si="64"/>
        <v>3274.32</v>
      </c>
      <c r="Q544" s="271">
        <f t="shared" si="65"/>
        <v>60084</v>
      </c>
      <c r="R544" s="271">
        <f t="shared" si="66"/>
        <v>33809.692799999997</v>
      </c>
      <c r="S544" s="271">
        <f t="shared" si="67"/>
        <v>2125.44</v>
      </c>
    </row>
    <row r="545" spans="1:21" s="270" customFormat="1" x14ac:dyDescent="0.25">
      <c r="A545" s="271">
        <v>501506</v>
      </c>
      <c r="B545" s="271">
        <v>1506</v>
      </c>
      <c r="C545" s="271">
        <v>200152</v>
      </c>
      <c r="D545" s="268" t="s">
        <v>894</v>
      </c>
      <c r="E545" s="268" t="s">
        <v>1290</v>
      </c>
      <c r="F545" s="268" t="s">
        <v>2311</v>
      </c>
      <c r="G545" s="268">
        <v>15</v>
      </c>
      <c r="H545" s="268" t="s">
        <v>3187</v>
      </c>
      <c r="I545" s="268" t="s">
        <v>3133</v>
      </c>
      <c r="J545" s="271">
        <v>187104</v>
      </c>
      <c r="K545" s="271">
        <f t="shared" si="62"/>
        <v>15592</v>
      </c>
      <c r="L545" s="271">
        <f t="shared" si="63"/>
        <v>12141.24</v>
      </c>
      <c r="M545" s="267">
        <v>0</v>
      </c>
      <c r="N545" s="271">
        <f t="shared" si="68"/>
        <v>129.60000000000002</v>
      </c>
      <c r="O545" s="276">
        <v>0</v>
      </c>
      <c r="P545" s="276">
        <f t="shared" si="64"/>
        <v>3274.32</v>
      </c>
      <c r="Q545" s="271">
        <f t="shared" si="65"/>
        <v>60084</v>
      </c>
      <c r="R545" s="271">
        <f t="shared" si="66"/>
        <v>33809.692799999997</v>
      </c>
      <c r="S545" s="271">
        <f t="shared" si="67"/>
        <v>2125.44</v>
      </c>
    </row>
    <row r="546" spans="1:21" s="270" customFormat="1" x14ac:dyDescent="0.25">
      <c r="A546" s="271">
        <v>501445</v>
      </c>
      <c r="B546" s="271">
        <v>1445</v>
      </c>
      <c r="C546" s="271">
        <v>200153</v>
      </c>
      <c r="D546" s="268" t="s">
        <v>894</v>
      </c>
      <c r="E546" s="268" t="s">
        <v>1278</v>
      </c>
      <c r="F546" s="268" t="s">
        <v>3188</v>
      </c>
      <c r="G546" s="268">
        <v>15</v>
      </c>
      <c r="H546" s="268" t="s">
        <v>3189</v>
      </c>
      <c r="I546" s="268" t="s">
        <v>3133</v>
      </c>
      <c r="J546" s="271">
        <v>187104</v>
      </c>
      <c r="K546" s="271">
        <f t="shared" si="62"/>
        <v>15592</v>
      </c>
      <c r="L546" s="271">
        <f t="shared" si="63"/>
        <v>12141.24</v>
      </c>
      <c r="M546" s="267">
        <v>0</v>
      </c>
      <c r="N546" s="271">
        <f t="shared" si="68"/>
        <v>129.60000000000002</v>
      </c>
      <c r="O546" s="276">
        <v>0</v>
      </c>
      <c r="P546" s="276">
        <f t="shared" si="64"/>
        <v>3274.32</v>
      </c>
      <c r="Q546" s="271">
        <f t="shared" si="65"/>
        <v>60084</v>
      </c>
      <c r="R546" s="271">
        <f t="shared" si="66"/>
        <v>33809.692799999997</v>
      </c>
      <c r="S546" s="271">
        <f t="shared" si="67"/>
        <v>2125.44</v>
      </c>
    </row>
    <row r="547" spans="1:21" s="270" customFormat="1" x14ac:dyDescent="0.25">
      <c r="A547" s="271">
        <v>501506</v>
      </c>
      <c r="B547" s="271">
        <v>1506</v>
      </c>
      <c r="C547" s="271">
        <v>200154</v>
      </c>
      <c r="D547" s="268" t="s">
        <v>894</v>
      </c>
      <c r="E547" s="268" t="s">
        <v>1290</v>
      </c>
      <c r="F547" s="268" t="s">
        <v>3190</v>
      </c>
      <c r="G547" s="268">
        <v>15</v>
      </c>
      <c r="H547" s="268" t="s">
        <v>2839</v>
      </c>
      <c r="I547" s="268" t="s">
        <v>3133</v>
      </c>
      <c r="J547" s="271">
        <v>187104</v>
      </c>
      <c r="K547" s="271">
        <f t="shared" si="62"/>
        <v>15592</v>
      </c>
      <c r="L547" s="271">
        <f t="shared" si="63"/>
        <v>12141.24</v>
      </c>
      <c r="M547" s="267">
        <v>0</v>
      </c>
      <c r="N547" s="271">
        <f t="shared" si="68"/>
        <v>129.60000000000002</v>
      </c>
      <c r="O547" s="276">
        <v>0</v>
      </c>
      <c r="P547" s="276">
        <f t="shared" si="64"/>
        <v>3274.32</v>
      </c>
      <c r="Q547" s="271">
        <f t="shared" si="65"/>
        <v>60084</v>
      </c>
      <c r="R547" s="271">
        <f t="shared" si="66"/>
        <v>33809.692799999997</v>
      </c>
      <c r="S547" s="271">
        <f t="shared" si="67"/>
        <v>2125.44</v>
      </c>
    </row>
    <row r="548" spans="1:21" s="270" customFormat="1" x14ac:dyDescent="0.25">
      <c r="A548" s="271">
        <v>117101</v>
      </c>
      <c r="B548" s="271">
        <v>1406</v>
      </c>
      <c r="C548" s="271">
        <v>200159</v>
      </c>
      <c r="D548" s="268" t="s">
        <v>894</v>
      </c>
      <c r="E548" s="268" t="s">
        <v>1278</v>
      </c>
      <c r="F548" s="268" t="s">
        <v>3191</v>
      </c>
      <c r="G548" s="268">
        <v>15</v>
      </c>
      <c r="H548" s="268" t="s">
        <v>3192</v>
      </c>
      <c r="I548" s="268" t="s">
        <v>3133</v>
      </c>
      <c r="J548" s="271">
        <v>187104</v>
      </c>
      <c r="K548" s="271">
        <f t="shared" si="62"/>
        <v>15592</v>
      </c>
      <c r="L548" s="271">
        <f t="shared" si="63"/>
        <v>12141.24</v>
      </c>
      <c r="M548" s="267">
        <v>0</v>
      </c>
      <c r="N548" s="271">
        <f t="shared" si="68"/>
        <v>129.60000000000002</v>
      </c>
      <c r="O548" s="276">
        <v>0</v>
      </c>
      <c r="P548" s="276">
        <f t="shared" si="64"/>
        <v>3274.32</v>
      </c>
      <c r="Q548" s="271">
        <f t="shared" si="65"/>
        <v>60084</v>
      </c>
      <c r="R548" s="271">
        <f t="shared" si="66"/>
        <v>33809.692799999997</v>
      </c>
      <c r="S548" s="271">
        <f t="shared" si="67"/>
        <v>2125.44</v>
      </c>
    </row>
    <row r="549" spans="1:21" s="270" customFormat="1" x14ac:dyDescent="0.25">
      <c r="A549" s="271">
        <v>501406</v>
      </c>
      <c r="B549" s="271">
        <v>1406</v>
      </c>
      <c r="C549" s="271">
        <v>200174</v>
      </c>
      <c r="D549" s="268" t="s">
        <v>894</v>
      </c>
      <c r="E549" s="268" t="s">
        <v>1278</v>
      </c>
      <c r="F549" s="268" t="s">
        <v>2266</v>
      </c>
      <c r="G549" s="268">
        <v>15</v>
      </c>
      <c r="H549" s="268" t="s">
        <v>3193</v>
      </c>
      <c r="I549" s="268" t="s">
        <v>3133</v>
      </c>
      <c r="J549" s="271">
        <v>187104</v>
      </c>
      <c r="K549" s="271">
        <f t="shared" si="62"/>
        <v>15592</v>
      </c>
      <c r="L549" s="271">
        <f t="shared" si="63"/>
        <v>12141.24</v>
      </c>
      <c r="M549" s="267">
        <v>0</v>
      </c>
      <c r="N549" s="271">
        <f t="shared" si="68"/>
        <v>129.60000000000002</v>
      </c>
      <c r="O549" s="276">
        <v>0</v>
      </c>
      <c r="P549" s="276">
        <f t="shared" si="64"/>
        <v>3274.32</v>
      </c>
      <c r="Q549" s="271">
        <f t="shared" si="65"/>
        <v>60084</v>
      </c>
      <c r="R549" s="271">
        <f t="shared" si="66"/>
        <v>33809.692799999997</v>
      </c>
      <c r="S549" s="271">
        <f t="shared" si="67"/>
        <v>2125.44</v>
      </c>
    </row>
    <row r="550" spans="1:21" s="270" customFormat="1" x14ac:dyDescent="0.25">
      <c r="A550" s="271">
        <v>501506</v>
      </c>
      <c r="B550" s="271">
        <v>1506</v>
      </c>
      <c r="C550" s="271">
        <v>200406</v>
      </c>
      <c r="D550" s="268" t="s">
        <v>894</v>
      </c>
      <c r="E550" s="268" t="s">
        <v>1290</v>
      </c>
      <c r="F550" s="268" t="s">
        <v>2753</v>
      </c>
      <c r="G550" s="268">
        <v>15</v>
      </c>
      <c r="H550" s="268" t="s">
        <v>3194</v>
      </c>
      <c r="I550" s="268" t="s">
        <v>3195</v>
      </c>
      <c r="J550" s="271">
        <v>187104</v>
      </c>
      <c r="K550" s="271">
        <f t="shared" si="62"/>
        <v>15592</v>
      </c>
      <c r="L550" s="271">
        <f t="shared" si="63"/>
        <v>12141.24</v>
      </c>
      <c r="M550" s="267">
        <v>0</v>
      </c>
      <c r="N550" s="271">
        <f t="shared" si="68"/>
        <v>129.60000000000002</v>
      </c>
      <c r="O550" s="276">
        <v>0</v>
      </c>
      <c r="P550" s="276">
        <f t="shared" si="64"/>
        <v>3274.32</v>
      </c>
      <c r="Q550" s="271">
        <f t="shared" si="65"/>
        <v>60084</v>
      </c>
      <c r="R550" s="271">
        <f t="shared" si="66"/>
        <v>33809.692799999997</v>
      </c>
      <c r="S550" s="271">
        <f t="shared" si="67"/>
        <v>2125.44</v>
      </c>
    </row>
    <row r="551" spans="1:21" s="270" customFormat="1" x14ac:dyDescent="0.25">
      <c r="A551" s="271"/>
      <c r="B551" s="271">
        <v>1443</v>
      </c>
      <c r="C551" s="271">
        <v>200300</v>
      </c>
      <c r="D551" s="268" t="s">
        <v>894</v>
      </c>
      <c r="E551" s="268" t="s">
        <v>1290</v>
      </c>
      <c r="F551" s="268" t="s">
        <v>2725</v>
      </c>
      <c r="G551" s="268">
        <v>13</v>
      </c>
      <c r="H551" s="268" t="s">
        <v>3196</v>
      </c>
      <c r="I551" s="268" t="s">
        <v>3197</v>
      </c>
      <c r="J551" s="271">
        <v>183336</v>
      </c>
      <c r="K551" s="271">
        <f t="shared" si="62"/>
        <v>15278</v>
      </c>
      <c r="L551" s="271">
        <f t="shared" si="63"/>
        <v>12141.24</v>
      </c>
      <c r="M551" s="267">
        <v>0</v>
      </c>
      <c r="N551" s="271">
        <f t="shared" si="68"/>
        <v>129.60000000000002</v>
      </c>
      <c r="O551" s="276">
        <v>0</v>
      </c>
      <c r="P551" s="276">
        <f t="shared" si="64"/>
        <v>3208.38</v>
      </c>
      <c r="Q551" s="271">
        <f t="shared" si="65"/>
        <v>60084</v>
      </c>
      <c r="R551" s="271">
        <f t="shared" si="66"/>
        <v>33128.815199999997</v>
      </c>
      <c r="S551" s="271">
        <f t="shared" si="67"/>
        <v>2125.44</v>
      </c>
    </row>
    <row r="552" spans="1:21" s="270" customFormat="1" x14ac:dyDescent="0.25">
      <c r="A552" s="271"/>
      <c r="B552" s="271">
        <v>1445</v>
      </c>
      <c r="C552" s="271">
        <v>200440</v>
      </c>
      <c r="D552" s="268" t="s">
        <v>894</v>
      </c>
      <c r="E552" s="268" t="s">
        <v>1290</v>
      </c>
      <c r="F552" s="268" t="s">
        <v>2411</v>
      </c>
      <c r="G552" s="268">
        <v>13</v>
      </c>
      <c r="H552" s="268" t="s">
        <v>3198</v>
      </c>
      <c r="I552" s="268" t="s">
        <v>3197</v>
      </c>
      <c r="J552" s="271">
        <v>183336</v>
      </c>
      <c r="K552" s="271">
        <f t="shared" si="62"/>
        <v>15278</v>
      </c>
      <c r="L552" s="271">
        <f t="shared" si="63"/>
        <v>12141.24</v>
      </c>
      <c r="M552" s="267">
        <v>0</v>
      </c>
      <c r="N552" s="271">
        <f t="shared" si="68"/>
        <v>129.60000000000002</v>
      </c>
      <c r="O552" s="276">
        <v>0</v>
      </c>
      <c r="P552" s="276">
        <f t="shared" si="64"/>
        <v>3208.38</v>
      </c>
      <c r="Q552" s="271">
        <f t="shared" si="65"/>
        <v>60084</v>
      </c>
      <c r="R552" s="271">
        <f t="shared" si="66"/>
        <v>33128.815199999997</v>
      </c>
      <c r="S552" s="271">
        <f t="shared" si="67"/>
        <v>2125.44</v>
      </c>
    </row>
    <row r="553" spans="1:21" s="270" customFormat="1" x14ac:dyDescent="0.25">
      <c r="A553" s="271">
        <v>501505</v>
      </c>
      <c r="B553" s="271">
        <v>1505</v>
      </c>
      <c r="C553" s="271">
        <v>8277</v>
      </c>
      <c r="D553" s="268" t="s">
        <v>894</v>
      </c>
      <c r="E553" s="268" t="s">
        <v>1290</v>
      </c>
      <c r="F553" s="268" t="s">
        <v>3199</v>
      </c>
      <c r="G553" s="268">
        <v>15</v>
      </c>
      <c r="H553" s="268" t="s">
        <v>3200</v>
      </c>
      <c r="I553" s="268" t="s">
        <v>3201</v>
      </c>
      <c r="J553" s="271">
        <v>179496</v>
      </c>
      <c r="K553" s="271">
        <f t="shared" si="62"/>
        <v>14958</v>
      </c>
      <c r="L553" s="271">
        <f t="shared" si="63"/>
        <v>12141.24</v>
      </c>
      <c r="M553" s="267">
        <v>0</v>
      </c>
      <c r="N553" s="271">
        <f t="shared" si="68"/>
        <v>129.60000000000002</v>
      </c>
      <c r="O553" s="276">
        <v>0</v>
      </c>
      <c r="P553" s="276">
        <f t="shared" si="64"/>
        <v>3141.1800000000003</v>
      </c>
      <c r="Q553" s="271">
        <f t="shared" si="65"/>
        <v>60084</v>
      </c>
      <c r="R553" s="271">
        <f t="shared" si="66"/>
        <v>32434.927199999998</v>
      </c>
      <c r="S553" s="271">
        <f t="shared" si="67"/>
        <v>2125.44</v>
      </c>
      <c r="T553" s="277"/>
      <c r="U553" s="277"/>
    </row>
    <row r="554" spans="1:21" s="270" customFormat="1" x14ac:dyDescent="0.25">
      <c r="A554" s="271">
        <v>501443</v>
      </c>
      <c r="B554" s="271">
        <v>1443</v>
      </c>
      <c r="C554" s="271">
        <v>83616</v>
      </c>
      <c r="D554" s="268" t="s">
        <v>894</v>
      </c>
      <c r="E554" s="268" t="s">
        <v>1290</v>
      </c>
      <c r="F554" s="268" t="s">
        <v>2731</v>
      </c>
      <c r="G554" s="268">
        <v>15</v>
      </c>
      <c r="H554" s="268" t="s">
        <v>3202</v>
      </c>
      <c r="I554" s="268" t="s">
        <v>3201</v>
      </c>
      <c r="J554" s="271">
        <v>179496</v>
      </c>
      <c r="K554" s="271">
        <f t="shared" si="62"/>
        <v>14958</v>
      </c>
      <c r="L554" s="271">
        <f t="shared" si="63"/>
        <v>12141.24</v>
      </c>
      <c r="M554" s="267">
        <v>0</v>
      </c>
      <c r="N554" s="271">
        <f t="shared" si="68"/>
        <v>129.60000000000002</v>
      </c>
      <c r="O554" s="276">
        <v>0</v>
      </c>
      <c r="P554" s="276">
        <f t="shared" si="64"/>
        <v>3141.1800000000003</v>
      </c>
      <c r="Q554" s="271">
        <f t="shared" si="65"/>
        <v>60084</v>
      </c>
      <c r="R554" s="271">
        <f t="shared" si="66"/>
        <v>32434.927199999998</v>
      </c>
      <c r="S554" s="271">
        <f t="shared" si="67"/>
        <v>2125.44</v>
      </c>
    </row>
    <row r="555" spans="1:21" s="270" customFormat="1" x14ac:dyDescent="0.25">
      <c r="A555" s="271">
        <v>501443</v>
      </c>
      <c r="B555" s="271">
        <v>1443</v>
      </c>
      <c r="C555" s="271">
        <v>83713</v>
      </c>
      <c r="D555" s="268" t="s">
        <v>894</v>
      </c>
      <c r="E555" s="268" t="s">
        <v>1278</v>
      </c>
      <c r="F555" s="268" t="s">
        <v>3203</v>
      </c>
      <c r="G555" s="268">
        <v>15</v>
      </c>
      <c r="H555" s="268" t="s">
        <v>3204</v>
      </c>
      <c r="I555" s="268" t="s">
        <v>3201</v>
      </c>
      <c r="J555" s="271">
        <v>179496</v>
      </c>
      <c r="K555" s="271">
        <f t="shared" si="62"/>
        <v>14958</v>
      </c>
      <c r="L555" s="271">
        <f t="shared" si="63"/>
        <v>12141.24</v>
      </c>
      <c r="M555" s="267">
        <v>0</v>
      </c>
      <c r="N555" s="271">
        <f t="shared" si="68"/>
        <v>129.60000000000002</v>
      </c>
      <c r="O555" s="276">
        <v>0</v>
      </c>
      <c r="P555" s="276">
        <f t="shared" si="64"/>
        <v>3141.1800000000003</v>
      </c>
      <c r="Q555" s="271">
        <f t="shared" si="65"/>
        <v>60084</v>
      </c>
      <c r="R555" s="271">
        <f t="shared" si="66"/>
        <v>32434.927199999998</v>
      </c>
      <c r="S555" s="271">
        <f t="shared" si="67"/>
        <v>2125.44</v>
      </c>
    </row>
    <row r="556" spans="1:21" s="270" customFormat="1" x14ac:dyDescent="0.25">
      <c r="A556" s="271">
        <v>501444</v>
      </c>
      <c r="B556" s="271">
        <v>1444</v>
      </c>
      <c r="C556" s="271">
        <v>85591</v>
      </c>
      <c r="D556" s="268" t="s">
        <v>894</v>
      </c>
      <c r="E556" s="268" t="s">
        <v>1278</v>
      </c>
      <c r="F556" s="268" t="s">
        <v>2768</v>
      </c>
      <c r="G556" s="268">
        <v>15</v>
      </c>
      <c r="H556" s="268" t="s">
        <v>3205</v>
      </c>
      <c r="I556" s="268" t="s">
        <v>3201</v>
      </c>
      <c r="J556" s="271">
        <v>179496</v>
      </c>
      <c r="K556" s="271">
        <f t="shared" si="62"/>
        <v>14958</v>
      </c>
      <c r="L556" s="271">
        <f t="shared" si="63"/>
        <v>12141.24</v>
      </c>
      <c r="M556" s="267">
        <v>0</v>
      </c>
      <c r="N556" s="271">
        <f t="shared" si="68"/>
        <v>129.60000000000002</v>
      </c>
      <c r="O556" s="276">
        <v>0</v>
      </c>
      <c r="P556" s="276">
        <f t="shared" si="64"/>
        <v>3141.1800000000003</v>
      </c>
      <c r="Q556" s="271">
        <f t="shared" si="65"/>
        <v>60084</v>
      </c>
      <c r="R556" s="271">
        <f t="shared" si="66"/>
        <v>32434.927199999998</v>
      </c>
      <c r="S556" s="271">
        <f t="shared" si="67"/>
        <v>2125.44</v>
      </c>
    </row>
    <row r="557" spans="1:21" s="270" customFormat="1" x14ac:dyDescent="0.25">
      <c r="A557" s="271">
        <v>501406</v>
      </c>
      <c r="B557" s="271">
        <v>1406</v>
      </c>
      <c r="C557" s="271">
        <v>85821</v>
      </c>
      <c r="D557" s="268" t="s">
        <v>894</v>
      </c>
      <c r="E557" s="268" t="s">
        <v>1278</v>
      </c>
      <c r="F557" s="268" t="s">
        <v>3206</v>
      </c>
      <c r="G557" s="268">
        <v>15</v>
      </c>
      <c r="H557" s="268" t="s">
        <v>3207</v>
      </c>
      <c r="I557" s="268" t="s">
        <v>3201</v>
      </c>
      <c r="J557" s="271">
        <v>179496</v>
      </c>
      <c r="K557" s="271">
        <f t="shared" si="62"/>
        <v>14958</v>
      </c>
      <c r="L557" s="271">
        <f t="shared" si="63"/>
        <v>12141.24</v>
      </c>
      <c r="M557" s="267">
        <v>0</v>
      </c>
      <c r="N557" s="271">
        <f t="shared" si="68"/>
        <v>129.60000000000002</v>
      </c>
      <c r="O557" s="276">
        <v>0</v>
      </c>
      <c r="P557" s="276">
        <f t="shared" si="64"/>
        <v>3141.1800000000003</v>
      </c>
      <c r="Q557" s="271">
        <f t="shared" si="65"/>
        <v>60084</v>
      </c>
      <c r="R557" s="271">
        <f t="shared" si="66"/>
        <v>32434.927199999998</v>
      </c>
      <c r="S557" s="271">
        <f t="shared" si="67"/>
        <v>2125.44</v>
      </c>
    </row>
    <row r="558" spans="1:21" s="270" customFormat="1" x14ac:dyDescent="0.25">
      <c r="A558" s="271">
        <v>501443</v>
      </c>
      <c r="B558" s="271">
        <v>1443</v>
      </c>
      <c r="C558" s="271">
        <v>200031</v>
      </c>
      <c r="D558" s="268" t="s">
        <v>894</v>
      </c>
      <c r="E558" s="268" t="s">
        <v>1290</v>
      </c>
      <c r="F558" s="268" t="s">
        <v>1304</v>
      </c>
      <c r="G558" s="268">
        <v>15</v>
      </c>
      <c r="H558" s="268" t="s">
        <v>3208</v>
      </c>
      <c r="I558" s="268" t="s">
        <v>3133</v>
      </c>
      <c r="J558" s="271">
        <v>179496</v>
      </c>
      <c r="K558" s="271">
        <f t="shared" si="62"/>
        <v>14958</v>
      </c>
      <c r="L558" s="271">
        <f t="shared" si="63"/>
        <v>12141.24</v>
      </c>
      <c r="M558" s="267">
        <v>0</v>
      </c>
      <c r="N558" s="271">
        <f t="shared" si="68"/>
        <v>129.60000000000002</v>
      </c>
      <c r="O558" s="276">
        <v>0</v>
      </c>
      <c r="P558" s="276">
        <f t="shared" si="64"/>
        <v>3141.1800000000003</v>
      </c>
      <c r="Q558" s="271">
        <f t="shared" si="65"/>
        <v>60084</v>
      </c>
      <c r="R558" s="271">
        <f t="shared" si="66"/>
        <v>32434.927199999998</v>
      </c>
      <c r="S558" s="271">
        <f t="shared" si="67"/>
        <v>2125.44</v>
      </c>
    </row>
    <row r="559" spans="1:21" s="270" customFormat="1" x14ac:dyDescent="0.25">
      <c r="A559" s="271">
        <v>501443</v>
      </c>
      <c r="B559" s="271">
        <v>1443</v>
      </c>
      <c r="C559" s="271">
        <v>54784</v>
      </c>
      <c r="D559" s="268" t="s">
        <v>894</v>
      </c>
      <c r="E559" s="268" t="s">
        <v>1290</v>
      </c>
      <c r="F559" s="268" t="s">
        <v>2508</v>
      </c>
      <c r="G559" s="268">
        <v>15</v>
      </c>
      <c r="H559" s="268" t="s">
        <v>3209</v>
      </c>
      <c r="I559" s="268" t="s">
        <v>3201</v>
      </c>
      <c r="J559" s="271">
        <v>179496</v>
      </c>
      <c r="K559" s="271">
        <f t="shared" si="62"/>
        <v>14958</v>
      </c>
      <c r="L559" s="271">
        <f t="shared" si="63"/>
        <v>12141.24</v>
      </c>
      <c r="M559" s="267">
        <v>0</v>
      </c>
      <c r="N559" s="271">
        <f t="shared" si="68"/>
        <v>129.60000000000002</v>
      </c>
      <c r="O559" s="276">
        <v>0</v>
      </c>
      <c r="P559" s="276">
        <f t="shared" si="64"/>
        <v>3141.1800000000003</v>
      </c>
      <c r="Q559" s="271">
        <f t="shared" si="65"/>
        <v>60084</v>
      </c>
      <c r="R559" s="271">
        <f t="shared" si="66"/>
        <v>32434.927199999998</v>
      </c>
      <c r="S559" s="271">
        <f t="shared" si="67"/>
        <v>2125.44</v>
      </c>
    </row>
    <row r="560" spans="1:21" s="270" customFormat="1" x14ac:dyDescent="0.25">
      <c r="A560" s="271">
        <v>501443</v>
      </c>
      <c r="B560" s="271">
        <v>1443</v>
      </c>
      <c r="C560" s="271">
        <v>41276</v>
      </c>
      <c r="D560" s="268" t="s">
        <v>894</v>
      </c>
      <c r="E560" s="268" t="s">
        <v>1290</v>
      </c>
      <c r="F560" s="268" t="s">
        <v>3210</v>
      </c>
      <c r="G560" s="268">
        <v>16</v>
      </c>
      <c r="H560" s="268" t="s">
        <v>3211</v>
      </c>
      <c r="I560" s="268" t="s">
        <v>3201</v>
      </c>
      <c r="J560" s="271">
        <v>179112</v>
      </c>
      <c r="K560" s="271">
        <f t="shared" si="62"/>
        <v>14926</v>
      </c>
      <c r="L560" s="271">
        <f t="shared" si="63"/>
        <v>12141.24</v>
      </c>
      <c r="M560" s="267">
        <v>0</v>
      </c>
      <c r="N560" s="271">
        <f t="shared" si="68"/>
        <v>129.60000000000002</v>
      </c>
      <c r="O560" s="276">
        <v>0</v>
      </c>
      <c r="P560" s="276">
        <f t="shared" si="64"/>
        <v>3134.4600000000005</v>
      </c>
      <c r="Q560" s="271">
        <f t="shared" si="65"/>
        <v>60084</v>
      </c>
      <c r="R560" s="271">
        <f t="shared" si="66"/>
        <v>32365.538400000001</v>
      </c>
      <c r="S560" s="271">
        <f t="shared" si="67"/>
        <v>2125.44</v>
      </c>
    </row>
    <row r="561" spans="1:21" s="270" customFormat="1" x14ac:dyDescent="0.25">
      <c r="A561" s="271">
        <v>501443</v>
      </c>
      <c r="B561" s="271">
        <v>1443</v>
      </c>
      <c r="C561" s="271">
        <v>44370</v>
      </c>
      <c r="D561" s="268" t="s">
        <v>894</v>
      </c>
      <c r="E561" s="268" t="s">
        <v>1290</v>
      </c>
      <c r="F561" s="268" t="s">
        <v>2950</v>
      </c>
      <c r="G561" s="268">
        <v>16</v>
      </c>
      <c r="H561" s="268" t="s">
        <v>3212</v>
      </c>
      <c r="I561" s="268" t="s">
        <v>3201</v>
      </c>
      <c r="J561" s="271">
        <v>179112</v>
      </c>
      <c r="K561" s="271">
        <f t="shared" si="62"/>
        <v>14926</v>
      </c>
      <c r="L561" s="271">
        <f t="shared" si="63"/>
        <v>12141.24</v>
      </c>
      <c r="M561" s="267">
        <v>0</v>
      </c>
      <c r="N561" s="271">
        <f t="shared" si="68"/>
        <v>129.60000000000002</v>
      </c>
      <c r="O561" s="276">
        <v>0</v>
      </c>
      <c r="P561" s="276">
        <f t="shared" si="64"/>
        <v>3134.4600000000005</v>
      </c>
      <c r="Q561" s="271">
        <f t="shared" si="65"/>
        <v>60084</v>
      </c>
      <c r="R561" s="271">
        <f t="shared" si="66"/>
        <v>32365.538400000001</v>
      </c>
      <c r="S561" s="271">
        <f t="shared" si="67"/>
        <v>2125.44</v>
      </c>
    </row>
    <row r="562" spans="1:21" s="270" customFormat="1" x14ac:dyDescent="0.25">
      <c r="A562" s="271">
        <v>501443</v>
      </c>
      <c r="B562" s="271">
        <v>1443</v>
      </c>
      <c r="C562" s="271">
        <v>47623</v>
      </c>
      <c r="D562" s="268" t="s">
        <v>894</v>
      </c>
      <c r="E562" s="268" t="s">
        <v>1290</v>
      </c>
      <c r="F562" s="268" t="s">
        <v>2558</v>
      </c>
      <c r="G562" s="268">
        <v>16</v>
      </c>
      <c r="H562" s="268" t="s">
        <v>3213</v>
      </c>
      <c r="I562" s="268" t="s">
        <v>3201</v>
      </c>
      <c r="J562" s="271">
        <v>179112</v>
      </c>
      <c r="K562" s="271">
        <f t="shared" si="62"/>
        <v>14926</v>
      </c>
      <c r="L562" s="271">
        <f t="shared" si="63"/>
        <v>12141.24</v>
      </c>
      <c r="M562" s="267">
        <v>0</v>
      </c>
      <c r="N562" s="271">
        <f t="shared" si="68"/>
        <v>129.60000000000002</v>
      </c>
      <c r="O562" s="276">
        <v>0</v>
      </c>
      <c r="P562" s="276">
        <f t="shared" si="64"/>
        <v>3134.4600000000005</v>
      </c>
      <c r="Q562" s="271">
        <f t="shared" si="65"/>
        <v>60084</v>
      </c>
      <c r="R562" s="271">
        <f t="shared" si="66"/>
        <v>32365.538400000001</v>
      </c>
      <c r="S562" s="271">
        <f t="shared" si="67"/>
        <v>2125.44</v>
      </c>
    </row>
    <row r="563" spans="1:21" s="270" customFormat="1" x14ac:dyDescent="0.25">
      <c r="A563" s="271">
        <v>501443</v>
      </c>
      <c r="B563" s="271">
        <v>1443</v>
      </c>
      <c r="C563" s="271">
        <v>58450</v>
      </c>
      <c r="D563" s="268" t="s">
        <v>894</v>
      </c>
      <c r="E563" s="268" t="s">
        <v>1290</v>
      </c>
      <c r="F563" s="268" t="s">
        <v>2768</v>
      </c>
      <c r="G563" s="268">
        <v>16</v>
      </c>
      <c r="H563" s="268" t="s">
        <v>3214</v>
      </c>
      <c r="I563" s="268" t="s">
        <v>3201</v>
      </c>
      <c r="J563" s="271">
        <v>179112</v>
      </c>
      <c r="K563" s="271">
        <f t="shared" si="62"/>
        <v>14926</v>
      </c>
      <c r="L563" s="271">
        <f t="shared" si="63"/>
        <v>12141.24</v>
      </c>
      <c r="M563" s="267">
        <v>0</v>
      </c>
      <c r="N563" s="271">
        <f t="shared" si="68"/>
        <v>129.60000000000002</v>
      </c>
      <c r="O563" s="276">
        <v>0</v>
      </c>
      <c r="P563" s="276">
        <f t="shared" si="64"/>
        <v>3134.4600000000005</v>
      </c>
      <c r="Q563" s="271">
        <f t="shared" si="65"/>
        <v>60084</v>
      </c>
      <c r="R563" s="271">
        <f t="shared" si="66"/>
        <v>32365.538400000001</v>
      </c>
      <c r="S563" s="271">
        <f t="shared" si="67"/>
        <v>2125.44</v>
      </c>
    </row>
    <row r="564" spans="1:21" s="270" customFormat="1" x14ac:dyDescent="0.25">
      <c r="A564" s="271">
        <v>501443</v>
      </c>
      <c r="B564" s="271">
        <v>1443</v>
      </c>
      <c r="C564" s="271">
        <v>83674</v>
      </c>
      <c r="D564" s="268" t="s">
        <v>894</v>
      </c>
      <c r="E564" s="268" t="s">
        <v>1290</v>
      </c>
      <c r="F564" s="268" t="s">
        <v>3215</v>
      </c>
      <c r="G564" s="268">
        <v>16</v>
      </c>
      <c r="H564" s="268" t="s">
        <v>2638</v>
      </c>
      <c r="I564" s="268" t="s">
        <v>3201</v>
      </c>
      <c r="J564" s="271">
        <v>179112</v>
      </c>
      <c r="K564" s="271">
        <f t="shared" si="62"/>
        <v>14926</v>
      </c>
      <c r="L564" s="271">
        <f t="shared" si="63"/>
        <v>12141.24</v>
      </c>
      <c r="M564" s="267">
        <v>0</v>
      </c>
      <c r="N564" s="271">
        <f t="shared" si="68"/>
        <v>129.60000000000002</v>
      </c>
      <c r="O564" s="276">
        <v>0</v>
      </c>
      <c r="P564" s="276">
        <f t="shared" si="64"/>
        <v>3134.4600000000005</v>
      </c>
      <c r="Q564" s="271">
        <f t="shared" si="65"/>
        <v>60084</v>
      </c>
      <c r="R564" s="271">
        <f t="shared" si="66"/>
        <v>32365.538400000001</v>
      </c>
      <c r="S564" s="271">
        <f t="shared" si="67"/>
        <v>2125.44</v>
      </c>
    </row>
    <row r="565" spans="1:21" s="270" customFormat="1" x14ac:dyDescent="0.25">
      <c r="A565" s="271">
        <v>501443</v>
      </c>
      <c r="B565" s="271">
        <v>1443</v>
      </c>
      <c r="C565" s="271">
        <v>83687</v>
      </c>
      <c r="D565" s="268" t="s">
        <v>894</v>
      </c>
      <c r="E565" s="268" t="s">
        <v>1290</v>
      </c>
      <c r="F565" s="268" t="s">
        <v>2565</v>
      </c>
      <c r="G565" s="268">
        <v>16</v>
      </c>
      <c r="H565" s="268" t="s">
        <v>3216</v>
      </c>
      <c r="I565" s="268" t="s">
        <v>3201</v>
      </c>
      <c r="J565" s="271">
        <v>179112</v>
      </c>
      <c r="K565" s="271">
        <f t="shared" si="62"/>
        <v>14926</v>
      </c>
      <c r="L565" s="271">
        <f t="shared" si="63"/>
        <v>12141.24</v>
      </c>
      <c r="M565" s="267">
        <v>0</v>
      </c>
      <c r="N565" s="271">
        <f t="shared" si="68"/>
        <v>129.60000000000002</v>
      </c>
      <c r="O565" s="276">
        <v>0</v>
      </c>
      <c r="P565" s="276">
        <f t="shared" si="64"/>
        <v>3134.4600000000005</v>
      </c>
      <c r="Q565" s="271">
        <f t="shared" si="65"/>
        <v>60084</v>
      </c>
      <c r="R565" s="271">
        <f t="shared" si="66"/>
        <v>32365.538400000001</v>
      </c>
      <c r="S565" s="271">
        <f t="shared" si="67"/>
        <v>2125.44</v>
      </c>
    </row>
    <row r="566" spans="1:21" s="270" customFormat="1" x14ac:dyDescent="0.25">
      <c r="A566" s="271">
        <v>501101</v>
      </c>
      <c r="B566" s="271">
        <v>1101</v>
      </c>
      <c r="C566" s="271">
        <v>200015</v>
      </c>
      <c r="D566" s="268" t="s">
        <v>894</v>
      </c>
      <c r="E566" s="268" t="s">
        <v>1278</v>
      </c>
      <c r="F566" s="268" t="s">
        <v>2653</v>
      </c>
      <c r="G566" s="268">
        <v>16</v>
      </c>
      <c r="H566" s="268" t="s">
        <v>2609</v>
      </c>
      <c r="I566" s="268" t="s">
        <v>3201</v>
      </c>
      <c r="J566" s="271">
        <v>179112</v>
      </c>
      <c r="K566" s="271">
        <f t="shared" si="62"/>
        <v>14926</v>
      </c>
      <c r="L566" s="271">
        <f t="shared" si="63"/>
        <v>12141.24</v>
      </c>
      <c r="M566" s="267">
        <v>0</v>
      </c>
      <c r="N566" s="271">
        <f t="shared" si="68"/>
        <v>129.60000000000002</v>
      </c>
      <c r="O566" s="276">
        <v>0</v>
      </c>
      <c r="P566" s="276">
        <f t="shared" si="64"/>
        <v>3134.4600000000005</v>
      </c>
      <c r="Q566" s="271">
        <f t="shared" si="65"/>
        <v>60084</v>
      </c>
      <c r="R566" s="271">
        <f t="shared" si="66"/>
        <v>32365.538400000001</v>
      </c>
      <c r="S566" s="271">
        <f t="shared" si="67"/>
        <v>2125.44</v>
      </c>
    </row>
    <row r="567" spans="1:21" s="270" customFormat="1" x14ac:dyDescent="0.25">
      <c r="A567" s="271">
        <v>501443</v>
      </c>
      <c r="B567" s="271">
        <v>1443</v>
      </c>
      <c r="C567" s="271">
        <v>200022</v>
      </c>
      <c r="D567" s="268" t="s">
        <v>894</v>
      </c>
      <c r="E567" s="268" t="s">
        <v>1290</v>
      </c>
      <c r="F567" s="268" t="s">
        <v>894</v>
      </c>
      <c r="G567" s="268">
        <v>16</v>
      </c>
      <c r="H567" s="268" t="s">
        <v>3217</v>
      </c>
      <c r="I567" s="268" t="s">
        <v>3201</v>
      </c>
      <c r="J567" s="271">
        <v>179112</v>
      </c>
      <c r="K567" s="271">
        <f t="shared" si="62"/>
        <v>14926</v>
      </c>
      <c r="L567" s="271">
        <f t="shared" si="63"/>
        <v>12141.24</v>
      </c>
      <c r="M567" s="267">
        <v>0</v>
      </c>
      <c r="N567" s="271">
        <f t="shared" si="68"/>
        <v>129.60000000000002</v>
      </c>
      <c r="O567" s="276">
        <v>0</v>
      </c>
      <c r="P567" s="276">
        <f t="shared" si="64"/>
        <v>3134.4600000000005</v>
      </c>
      <c r="Q567" s="271">
        <f t="shared" si="65"/>
        <v>60084</v>
      </c>
      <c r="R567" s="271">
        <f t="shared" si="66"/>
        <v>32365.538400000001</v>
      </c>
      <c r="S567" s="271">
        <f t="shared" si="67"/>
        <v>2125.44</v>
      </c>
      <c r="T567" s="277"/>
      <c r="U567" s="277"/>
    </row>
    <row r="568" spans="1:21" s="270" customFormat="1" x14ac:dyDescent="0.25">
      <c r="A568" s="271">
        <v>501443</v>
      </c>
      <c r="B568" s="271">
        <v>1443</v>
      </c>
      <c r="C568" s="271">
        <v>200054</v>
      </c>
      <c r="D568" s="268" t="s">
        <v>894</v>
      </c>
      <c r="E568" s="268" t="s">
        <v>1290</v>
      </c>
      <c r="F568" s="268" t="s">
        <v>3218</v>
      </c>
      <c r="G568" s="268">
        <v>16</v>
      </c>
      <c r="H568" s="268" t="s">
        <v>3219</v>
      </c>
      <c r="I568" s="268" t="s">
        <v>3201</v>
      </c>
      <c r="J568" s="271">
        <v>179112</v>
      </c>
      <c r="K568" s="271">
        <f t="shared" si="62"/>
        <v>14926</v>
      </c>
      <c r="L568" s="271">
        <f t="shared" si="63"/>
        <v>12141.24</v>
      </c>
      <c r="M568" s="267">
        <v>0</v>
      </c>
      <c r="N568" s="271">
        <f t="shared" si="68"/>
        <v>129.60000000000002</v>
      </c>
      <c r="O568" s="276">
        <v>0</v>
      </c>
      <c r="P568" s="276">
        <f t="shared" si="64"/>
        <v>3134.4600000000005</v>
      </c>
      <c r="Q568" s="271">
        <f t="shared" si="65"/>
        <v>60084</v>
      </c>
      <c r="R568" s="271">
        <f t="shared" si="66"/>
        <v>32365.538400000001</v>
      </c>
      <c r="S568" s="271">
        <f t="shared" si="67"/>
        <v>2125.44</v>
      </c>
    </row>
    <row r="569" spans="1:21" s="270" customFormat="1" x14ac:dyDescent="0.25">
      <c r="A569" s="271">
        <v>501406</v>
      </c>
      <c r="B569" s="271">
        <v>1406</v>
      </c>
      <c r="C569" s="271">
        <v>200055</v>
      </c>
      <c r="D569" s="268" t="s">
        <v>894</v>
      </c>
      <c r="E569" s="268" t="s">
        <v>1278</v>
      </c>
      <c r="F569" s="268" t="s">
        <v>2243</v>
      </c>
      <c r="G569" s="268">
        <v>16</v>
      </c>
      <c r="H569" s="268" t="s">
        <v>3220</v>
      </c>
      <c r="I569" s="268" t="s">
        <v>3201</v>
      </c>
      <c r="J569" s="271">
        <v>179112</v>
      </c>
      <c r="K569" s="271">
        <f t="shared" si="62"/>
        <v>14926</v>
      </c>
      <c r="L569" s="271">
        <f t="shared" si="63"/>
        <v>12141.24</v>
      </c>
      <c r="M569" s="267">
        <v>0</v>
      </c>
      <c r="N569" s="271">
        <f t="shared" si="68"/>
        <v>129.60000000000002</v>
      </c>
      <c r="O569" s="276">
        <v>0</v>
      </c>
      <c r="P569" s="276">
        <f t="shared" si="64"/>
        <v>3134.4600000000005</v>
      </c>
      <c r="Q569" s="271">
        <f t="shared" si="65"/>
        <v>60084</v>
      </c>
      <c r="R569" s="271">
        <f t="shared" si="66"/>
        <v>32365.538400000001</v>
      </c>
      <c r="S569" s="271">
        <f t="shared" si="67"/>
        <v>2125.44</v>
      </c>
    </row>
    <row r="570" spans="1:21" s="270" customFormat="1" x14ac:dyDescent="0.25">
      <c r="A570" s="271">
        <v>501101</v>
      </c>
      <c r="B570" s="271">
        <v>1101</v>
      </c>
      <c r="C570" s="271">
        <v>200107</v>
      </c>
      <c r="D570" s="268" t="s">
        <v>894</v>
      </c>
      <c r="E570" s="268" t="s">
        <v>1278</v>
      </c>
      <c r="F570" s="268" t="s">
        <v>2193</v>
      </c>
      <c r="G570" s="268">
        <v>16</v>
      </c>
      <c r="H570" s="268" t="s">
        <v>3221</v>
      </c>
      <c r="I570" s="268" t="s">
        <v>3201</v>
      </c>
      <c r="J570" s="271">
        <v>179112</v>
      </c>
      <c r="K570" s="271">
        <f t="shared" si="62"/>
        <v>14926</v>
      </c>
      <c r="L570" s="271">
        <f t="shared" si="63"/>
        <v>12141.24</v>
      </c>
      <c r="M570" s="267">
        <v>0</v>
      </c>
      <c r="N570" s="271">
        <f t="shared" si="68"/>
        <v>129.60000000000002</v>
      </c>
      <c r="O570" s="276">
        <v>0</v>
      </c>
      <c r="P570" s="276">
        <f t="shared" si="64"/>
        <v>3134.4600000000005</v>
      </c>
      <c r="Q570" s="271">
        <f t="shared" si="65"/>
        <v>60084</v>
      </c>
      <c r="R570" s="271">
        <f t="shared" si="66"/>
        <v>32365.538400000001</v>
      </c>
      <c r="S570" s="271">
        <f t="shared" si="67"/>
        <v>2125.44</v>
      </c>
    </row>
    <row r="571" spans="1:21" s="270" customFormat="1" x14ac:dyDescent="0.25">
      <c r="A571" s="271">
        <v>501445</v>
      </c>
      <c r="B571" s="271">
        <v>1445</v>
      </c>
      <c r="C571" s="271">
        <v>200108</v>
      </c>
      <c r="D571" s="268" t="s">
        <v>894</v>
      </c>
      <c r="E571" s="268" t="s">
        <v>1278</v>
      </c>
      <c r="F571" s="268" t="s">
        <v>3222</v>
      </c>
      <c r="G571" s="268">
        <v>16</v>
      </c>
      <c r="H571" s="268" t="s">
        <v>2664</v>
      </c>
      <c r="I571" s="268" t="s">
        <v>3201</v>
      </c>
      <c r="J571" s="271">
        <v>179112</v>
      </c>
      <c r="K571" s="271">
        <f t="shared" si="62"/>
        <v>14926</v>
      </c>
      <c r="L571" s="271">
        <f t="shared" si="63"/>
        <v>12141.24</v>
      </c>
      <c r="M571" s="267">
        <v>0</v>
      </c>
      <c r="N571" s="271">
        <f t="shared" si="68"/>
        <v>129.60000000000002</v>
      </c>
      <c r="O571" s="276">
        <v>0</v>
      </c>
      <c r="P571" s="276">
        <f t="shared" si="64"/>
        <v>3134.4600000000005</v>
      </c>
      <c r="Q571" s="271">
        <f t="shared" si="65"/>
        <v>60084</v>
      </c>
      <c r="R571" s="271">
        <f t="shared" si="66"/>
        <v>32365.538400000001</v>
      </c>
      <c r="S571" s="271">
        <f t="shared" si="67"/>
        <v>2125.44</v>
      </c>
    </row>
    <row r="572" spans="1:21" s="270" customFormat="1" x14ac:dyDescent="0.25">
      <c r="A572" s="271">
        <v>501101</v>
      </c>
      <c r="B572" s="271">
        <v>1101</v>
      </c>
      <c r="C572" s="271">
        <v>200109</v>
      </c>
      <c r="D572" s="268" t="s">
        <v>894</v>
      </c>
      <c r="E572" s="268" t="s">
        <v>1278</v>
      </c>
      <c r="F572" s="268" t="s">
        <v>3223</v>
      </c>
      <c r="G572" s="268">
        <v>16</v>
      </c>
      <c r="H572" s="268" t="s">
        <v>3066</v>
      </c>
      <c r="I572" s="268" t="s">
        <v>3201</v>
      </c>
      <c r="J572" s="271">
        <v>179112</v>
      </c>
      <c r="K572" s="271">
        <f t="shared" si="62"/>
        <v>14926</v>
      </c>
      <c r="L572" s="271">
        <f t="shared" si="63"/>
        <v>12141.24</v>
      </c>
      <c r="M572" s="267">
        <v>0</v>
      </c>
      <c r="N572" s="271">
        <f t="shared" si="68"/>
        <v>129.60000000000002</v>
      </c>
      <c r="O572" s="276">
        <v>0</v>
      </c>
      <c r="P572" s="276">
        <f t="shared" si="64"/>
        <v>3134.4600000000005</v>
      </c>
      <c r="Q572" s="271">
        <f t="shared" si="65"/>
        <v>60084</v>
      </c>
      <c r="R572" s="271">
        <f t="shared" si="66"/>
        <v>32365.538400000001</v>
      </c>
      <c r="S572" s="271">
        <f t="shared" si="67"/>
        <v>2125.44</v>
      </c>
    </row>
    <row r="573" spans="1:21" s="270" customFormat="1" x14ac:dyDescent="0.25">
      <c r="A573" s="271">
        <v>501406</v>
      </c>
      <c r="B573" s="271">
        <v>1406</v>
      </c>
      <c r="C573" s="271">
        <v>200110</v>
      </c>
      <c r="D573" s="268" t="s">
        <v>894</v>
      </c>
      <c r="E573" s="268" t="s">
        <v>1278</v>
      </c>
      <c r="F573" s="268" t="s">
        <v>2592</v>
      </c>
      <c r="G573" s="268">
        <v>16</v>
      </c>
      <c r="H573" s="268" t="s">
        <v>3224</v>
      </c>
      <c r="I573" s="268" t="s">
        <v>3201</v>
      </c>
      <c r="J573" s="271">
        <v>179112</v>
      </c>
      <c r="K573" s="271">
        <f t="shared" si="62"/>
        <v>14926</v>
      </c>
      <c r="L573" s="271">
        <f t="shared" si="63"/>
        <v>12141.24</v>
      </c>
      <c r="M573" s="267">
        <v>0</v>
      </c>
      <c r="N573" s="271">
        <f t="shared" si="68"/>
        <v>129.60000000000002</v>
      </c>
      <c r="O573" s="276">
        <v>0</v>
      </c>
      <c r="P573" s="276">
        <f t="shared" si="64"/>
        <v>3134.4600000000005</v>
      </c>
      <c r="Q573" s="271">
        <f t="shared" si="65"/>
        <v>60084</v>
      </c>
      <c r="R573" s="271">
        <f t="shared" si="66"/>
        <v>32365.538400000001</v>
      </c>
      <c r="S573" s="271">
        <f t="shared" si="67"/>
        <v>2125.44</v>
      </c>
    </row>
    <row r="574" spans="1:21" s="270" customFormat="1" x14ac:dyDescent="0.25">
      <c r="A574" s="271">
        <v>501506</v>
      </c>
      <c r="B574" s="271">
        <v>1506</v>
      </c>
      <c r="C574" s="271">
        <v>200111</v>
      </c>
      <c r="D574" s="268" t="s">
        <v>894</v>
      </c>
      <c r="E574" s="268" t="s">
        <v>1278</v>
      </c>
      <c r="F574" s="268" t="s">
        <v>3225</v>
      </c>
      <c r="G574" s="268">
        <v>16</v>
      </c>
      <c r="H574" s="268" t="s">
        <v>3226</v>
      </c>
      <c r="I574" s="268" t="s">
        <v>3201</v>
      </c>
      <c r="J574" s="271">
        <v>179112</v>
      </c>
      <c r="K574" s="271">
        <f t="shared" si="62"/>
        <v>14926</v>
      </c>
      <c r="L574" s="271">
        <f t="shared" si="63"/>
        <v>12141.24</v>
      </c>
      <c r="M574" s="267">
        <v>0</v>
      </c>
      <c r="N574" s="271">
        <f t="shared" si="68"/>
        <v>129.60000000000002</v>
      </c>
      <c r="O574" s="276">
        <v>0</v>
      </c>
      <c r="P574" s="276">
        <f t="shared" si="64"/>
        <v>3134.4600000000005</v>
      </c>
      <c r="Q574" s="271">
        <f t="shared" si="65"/>
        <v>60084</v>
      </c>
      <c r="R574" s="271">
        <f t="shared" si="66"/>
        <v>32365.538400000001</v>
      </c>
      <c r="S574" s="271">
        <f t="shared" si="67"/>
        <v>2125.44</v>
      </c>
    </row>
    <row r="575" spans="1:21" s="270" customFormat="1" x14ac:dyDescent="0.25">
      <c r="A575" s="271">
        <v>501506</v>
      </c>
      <c r="B575" s="271">
        <v>1506</v>
      </c>
      <c r="C575" s="271">
        <v>200112</v>
      </c>
      <c r="D575" s="268" t="s">
        <v>894</v>
      </c>
      <c r="E575" s="268" t="s">
        <v>1278</v>
      </c>
      <c r="F575" s="268" t="s">
        <v>2450</v>
      </c>
      <c r="G575" s="268">
        <v>16</v>
      </c>
      <c r="H575" s="268" t="s">
        <v>3182</v>
      </c>
      <c r="I575" s="268" t="s">
        <v>3201</v>
      </c>
      <c r="J575" s="271">
        <v>179112</v>
      </c>
      <c r="K575" s="271">
        <f t="shared" si="62"/>
        <v>14926</v>
      </c>
      <c r="L575" s="271">
        <f t="shared" si="63"/>
        <v>12141.24</v>
      </c>
      <c r="M575" s="267">
        <v>0</v>
      </c>
      <c r="N575" s="271">
        <f t="shared" si="68"/>
        <v>129.60000000000002</v>
      </c>
      <c r="O575" s="276">
        <v>0</v>
      </c>
      <c r="P575" s="276">
        <f t="shared" si="64"/>
        <v>3134.4600000000005</v>
      </c>
      <c r="Q575" s="271">
        <f t="shared" si="65"/>
        <v>60084</v>
      </c>
      <c r="R575" s="271">
        <f t="shared" si="66"/>
        <v>32365.538400000001</v>
      </c>
      <c r="S575" s="271">
        <f t="shared" si="67"/>
        <v>2125.44</v>
      </c>
    </row>
    <row r="576" spans="1:21" s="270" customFormat="1" x14ac:dyDescent="0.25">
      <c r="A576" s="271">
        <v>501101</v>
      </c>
      <c r="B576" s="271">
        <v>1101</v>
      </c>
      <c r="C576" s="271">
        <v>200113</v>
      </c>
      <c r="D576" s="268" t="s">
        <v>894</v>
      </c>
      <c r="E576" s="268" t="s">
        <v>1278</v>
      </c>
      <c r="F576" s="268" t="s">
        <v>2261</v>
      </c>
      <c r="G576" s="268">
        <v>16</v>
      </c>
      <c r="H576" s="268" t="s">
        <v>3227</v>
      </c>
      <c r="I576" s="268" t="s">
        <v>3201</v>
      </c>
      <c r="J576" s="271">
        <v>179112</v>
      </c>
      <c r="K576" s="271">
        <f t="shared" ref="K576:K639" si="69">J576/12</f>
        <v>14926</v>
      </c>
      <c r="L576" s="271">
        <f t="shared" ref="L576:L639" si="70">1011.77*12</f>
        <v>12141.24</v>
      </c>
      <c r="M576" s="267">
        <v>0</v>
      </c>
      <c r="N576" s="271">
        <f t="shared" si="68"/>
        <v>129.60000000000002</v>
      </c>
      <c r="O576" s="276">
        <v>0</v>
      </c>
      <c r="P576" s="276">
        <f t="shared" ref="P576:P639" si="71">J576*1.75%</f>
        <v>3134.4600000000005</v>
      </c>
      <c r="Q576" s="271">
        <f t="shared" ref="Q576:Q639" si="72">5007*12</f>
        <v>60084</v>
      </c>
      <c r="R576" s="271">
        <f t="shared" ref="R576:R639" si="73">18.07%*J576</f>
        <v>32365.538400000001</v>
      </c>
      <c r="S576" s="271">
        <f t="shared" si="67"/>
        <v>2125.44</v>
      </c>
    </row>
    <row r="577" spans="1:21" s="270" customFormat="1" x14ac:dyDescent="0.25">
      <c r="A577" s="271">
        <v>501101</v>
      </c>
      <c r="B577" s="271">
        <v>1101</v>
      </c>
      <c r="C577" s="271">
        <v>200115</v>
      </c>
      <c r="D577" s="268" t="s">
        <v>894</v>
      </c>
      <c r="E577" s="268" t="s">
        <v>1278</v>
      </c>
      <c r="F577" s="268" t="s">
        <v>3228</v>
      </c>
      <c r="G577" s="268">
        <v>16</v>
      </c>
      <c r="H577" s="268" t="s">
        <v>3229</v>
      </c>
      <c r="I577" s="268" t="s">
        <v>3201</v>
      </c>
      <c r="J577" s="271">
        <v>179112</v>
      </c>
      <c r="K577" s="271">
        <f t="shared" si="69"/>
        <v>14926</v>
      </c>
      <c r="L577" s="271">
        <f t="shared" si="70"/>
        <v>12141.24</v>
      </c>
      <c r="M577" s="267">
        <v>0</v>
      </c>
      <c r="N577" s="271">
        <f t="shared" si="68"/>
        <v>129.60000000000002</v>
      </c>
      <c r="O577" s="276">
        <v>0</v>
      </c>
      <c r="P577" s="276">
        <f t="shared" si="71"/>
        <v>3134.4600000000005</v>
      </c>
      <c r="Q577" s="271">
        <f t="shared" si="72"/>
        <v>60084</v>
      </c>
      <c r="R577" s="271">
        <f t="shared" si="73"/>
        <v>32365.538400000001</v>
      </c>
      <c r="S577" s="271">
        <f t="shared" ref="S577:S640" si="74">177.12*12</f>
        <v>2125.44</v>
      </c>
    </row>
    <row r="578" spans="1:21" s="270" customFormat="1" x14ac:dyDescent="0.25">
      <c r="A578" s="271">
        <v>501101</v>
      </c>
      <c r="B578" s="271">
        <v>1101</v>
      </c>
      <c r="C578" s="271">
        <v>200117</v>
      </c>
      <c r="D578" s="268" t="s">
        <v>894</v>
      </c>
      <c r="E578" s="268" t="s">
        <v>1278</v>
      </c>
      <c r="F578" s="268" t="s">
        <v>2506</v>
      </c>
      <c r="G578" s="268">
        <v>16</v>
      </c>
      <c r="H578" s="268" t="s">
        <v>3230</v>
      </c>
      <c r="I578" s="268" t="s">
        <v>3201</v>
      </c>
      <c r="J578" s="271">
        <v>179112</v>
      </c>
      <c r="K578" s="271">
        <f t="shared" si="69"/>
        <v>14926</v>
      </c>
      <c r="L578" s="271">
        <f t="shared" si="70"/>
        <v>12141.24</v>
      </c>
      <c r="M578" s="267">
        <v>0</v>
      </c>
      <c r="N578" s="271">
        <f t="shared" si="68"/>
        <v>129.60000000000002</v>
      </c>
      <c r="O578" s="276">
        <v>0</v>
      </c>
      <c r="P578" s="276">
        <f t="shared" si="71"/>
        <v>3134.4600000000005</v>
      </c>
      <c r="Q578" s="271">
        <f t="shared" si="72"/>
        <v>60084</v>
      </c>
      <c r="R578" s="271">
        <f t="shared" si="73"/>
        <v>32365.538400000001</v>
      </c>
      <c r="S578" s="271">
        <f t="shared" si="74"/>
        <v>2125.44</v>
      </c>
    </row>
    <row r="579" spans="1:21" s="270" customFormat="1" x14ac:dyDescent="0.25">
      <c r="A579" s="271">
        <v>501101</v>
      </c>
      <c r="B579" s="271">
        <v>1101</v>
      </c>
      <c r="C579" s="271">
        <v>200118</v>
      </c>
      <c r="D579" s="268" t="s">
        <v>894</v>
      </c>
      <c r="E579" s="268" t="s">
        <v>1278</v>
      </c>
      <c r="F579" s="268" t="s">
        <v>2266</v>
      </c>
      <c r="G579" s="268">
        <v>16</v>
      </c>
      <c r="H579" s="268" t="s">
        <v>3231</v>
      </c>
      <c r="I579" s="268" t="s">
        <v>3201</v>
      </c>
      <c r="J579" s="271">
        <v>179112</v>
      </c>
      <c r="K579" s="271">
        <f t="shared" si="69"/>
        <v>14926</v>
      </c>
      <c r="L579" s="271">
        <f t="shared" si="70"/>
        <v>12141.24</v>
      </c>
      <c r="M579" s="267">
        <v>0</v>
      </c>
      <c r="N579" s="271">
        <f t="shared" si="68"/>
        <v>129.60000000000002</v>
      </c>
      <c r="O579" s="276">
        <v>0</v>
      </c>
      <c r="P579" s="276">
        <f t="shared" si="71"/>
        <v>3134.4600000000005</v>
      </c>
      <c r="Q579" s="271">
        <f t="shared" si="72"/>
        <v>60084</v>
      </c>
      <c r="R579" s="271">
        <f t="shared" si="73"/>
        <v>32365.538400000001</v>
      </c>
      <c r="S579" s="271">
        <f t="shared" si="74"/>
        <v>2125.44</v>
      </c>
    </row>
    <row r="580" spans="1:21" s="270" customFormat="1" x14ac:dyDescent="0.25">
      <c r="A580" s="271">
        <v>501101</v>
      </c>
      <c r="B580" s="271">
        <v>1101</v>
      </c>
      <c r="C580" s="271">
        <v>200120</v>
      </c>
      <c r="D580" s="268" t="s">
        <v>894</v>
      </c>
      <c r="E580" s="268" t="s">
        <v>1278</v>
      </c>
      <c r="F580" s="268" t="s">
        <v>2266</v>
      </c>
      <c r="G580" s="268">
        <v>16</v>
      </c>
      <c r="H580" s="268" t="s">
        <v>3232</v>
      </c>
      <c r="I580" s="268" t="s">
        <v>3201</v>
      </c>
      <c r="J580" s="271">
        <v>179112</v>
      </c>
      <c r="K580" s="271">
        <f t="shared" si="69"/>
        <v>14926</v>
      </c>
      <c r="L580" s="271">
        <f t="shared" si="70"/>
        <v>12141.24</v>
      </c>
      <c r="M580" s="267">
        <v>0</v>
      </c>
      <c r="N580" s="271">
        <f t="shared" si="68"/>
        <v>129.60000000000002</v>
      </c>
      <c r="O580" s="276">
        <v>0</v>
      </c>
      <c r="P580" s="276">
        <f t="shared" si="71"/>
        <v>3134.4600000000005</v>
      </c>
      <c r="Q580" s="271">
        <f t="shared" si="72"/>
        <v>60084</v>
      </c>
      <c r="R580" s="271">
        <f t="shared" si="73"/>
        <v>32365.538400000001</v>
      </c>
      <c r="S580" s="271">
        <f t="shared" si="74"/>
        <v>2125.44</v>
      </c>
    </row>
    <row r="581" spans="1:21" s="270" customFormat="1" x14ac:dyDescent="0.25">
      <c r="A581" s="271">
        <v>501506</v>
      </c>
      <c r="B581" s="271">
        <v>1506</v>
      </c>
      <c r="C581" s="271">
        <v>200121</v>
      </c>
      <c r="D581" s="268" t="s">
        <v>894</v>
      </c>
      <c r="E581" s="268" t="s">
        <v>1278</v>
      </c>
      <c r="F581" s="268" t="s">
        <v>2336</v>
      </c>
      <c r="G581" s="268">
        <v>16</v>
      </c>
      <c r="H581" s="268" t="s">
        <v>3233</v>
      </c>
      <c r="I581" s="268" t="s">
        <v>3201</v>
      </c>
      <c r="J581" s="271">
        <v>179112</v>
      </c>
      <c r="K581" s="271">
        <f t="shared" si="69"/>
        <v>14926</v>
      </c>
      <c r="L581" s="271">
        <f t="shared" si="70"/>
        <v>12141.24</v>
      </c>
      <c r="M581" s="267">
        <v>0</v>
      </c>
      <c r="N581" s="271">
        <f t="shared" ref="N581:N644" si="75">10.8*12</f>
        <v>129.60000000000002</v>
      </c>
      <c r="O581" s="276">
        <v>0</v>
      </c>
      <c r="P581" s="276">
        <f t="shared" si="71"/>
        <v>3134.4600000000005</v>
      </c>
      <c r="Q581" s="271">
        <f t="shared" si="72"/>
        <v>60084</v>
      </c>
      <c r="R581" s="271">
        <f t="shared" si="73"/>
        <v>32365.538400000001</v>
      </c>
      <c r="S581" s="271">
        <f t="shared" si="74"/>
        <v>2125.44</v>
      </c>
    </row>
    <row r="582" spans="1:21" s="270" customFormat="1" x14ac:dyDescent="0.25">
      <c r="A582" s="271">
        <v>501101</v>
      </c>
      <c r="B582" s="271">
        <v>1101</v>
      </c>
      <c r="C582" s="271">
        <v>200122</v>
      </c>
      <c r="D582" s="268" t="s">
        <v>894</v>
      </c>
      <c r="E582" s="268" t="s">
        <v>1278</v>
      </c>
      <c r="F582" s="268" t="s">
        <v>3234</v>
      </c>
      <c r="G582" s="268">
        <v>16</v>
      </c>
      <c r="H582" s="268" t="s">
        <v>3235</v>
      </c>
      <c r="I582" s="268" t="s">
        <v>3201</v>
      </c>
      <c r="J582" s="271">
        <v>179112</v>
      </c>
      <c r="K582" s="271">
        <f t="shared" si="69"/>
        <v>14926</v>
      </c>
      <c r="L582" s="271">
        <f t="shared" si="70"/>
        <v>12141.24</v>
      </c>
      <c r="M582" s="267">
        <v>0</v>
      </c>
      <c r="N582" s="271">
        <f t="shared" si="75"/>
        <v>129.60000000000002</v>
      </c>
      <c r="O582" s="276">
        <v>0</v>
      </c>
      <c r="P582" s="276">
        <f t="shared" si="71"/>
        <v>3134.4600000000005</v>
      </c>
      <c r="Q582" s="271">
        <f t="shared" si="72"/>
        <v>60084</v>
      </c>
      <c r="R582" s="271">
        <f t="shared" si="73"/>
        <v>32365.538400000001</v>
      </c>
      <c r="S582" s="271">
        <f t="shared" si="74"/>
        <v>2125.44</v>
      </c>
    </row>
    <row r="583" spans="1:21" s="270" customFormat="1" x14ac:dyDescent="0.25">
      <c r="A583" s="271">
        <v>501445</v>
      </c>
      <c r="B583" s="271">
        <v>1445</v>
      </c>
      <c r="C583" s="271">
        <v>200125</v>
      </c>
      <c r="D583" s="268" t="s">
        <v>894</v>
      </c>
      <c r="E583" s="268" t="s">
        <v>1278</v>
      </c>
      <c r="F583" s="268" t="s">
        <v>3236</v>
      </c>
      <c r="G583" s="268">
        <v>16</v>
      </c>
      <c r="H583" s="268" t="s">
        <v>2495</v>
      </c>
      <c r="I583" s="268" t="s">
        <v>3201</v>
      </c>
      <c r="J583" s="271">
        <v>179112</v>
      </c>
      <c r="K583" s="271">
        <f t="shared" si="69"/>
        <v>14926</v>
      </c>
      <c r="L583" s="271">
        <f t="shared" si="70"/>
        <v>12141.24</v>
      </c>
      <c r="M583" s="267">
        <v>0</v>
      </c>
      <c r="N583" s="271">
        <f t="shared" si="75"/>
        <v>129.60000000000002</v>
      </c>
      <c r="O583" s="276">
        <v>0</v>
      </c>
      <c r="P583" s="276">
        <f t="shared" si="71"/>
        <v>3134.4600000000005</v>
      </c>
      <c r="Q583" s="271">
        <f t="shared" si="72"/>
        <v>60084</v>
      </c>
      <c r="R583" s="271">
        <f t="shared" si="73"/>
        <v>32365.538400000001</v>
      </c>
      <c r="S583" s="271">
        <f t="shared" si="74"/>
        <v>2125.44</v>
      </c>
    </row>
    <row r="584" spans="1:21" s="270" customFormat="1" x14ac:dyDescent="0.25">
      <c r="A584" s="271">
        <v>501445</v>
      </c>
      <c r="B584" s="271">
        <v>1445</v>
      </c>
      <c r="C584" s="271">
        <v>200126</v>
      </c>
      <c r="D584" s="268" t="s">
        <v>894</v>
      </c>
      <c r="E584" s="268" t="s">
        <v>1278</v>
      </c>
      <c r="F584" s="268" t="s">
        <v>2588</v>
      </c>
      <c r="G584" s="268">
        <v>16</v>
      </c>
      <c r="H584" s="268" t="s">
        <v>3237</v>
      </c>
      <c r="I584" s="268" t="s">
        <v>3201</v>
      </c>
      <c r="J584" s="271">
        <v>179112</v>
      </c>
      <c r="K584" s="271">
        <f t="shared" si="69"/>
        <v>14926</v>
      </c>
      <c r="L584" s="271">
        <f t="shared" si="70"/>
        <v>12141.24</v>
      </c>
      <c r="M584" s="267">
        <v>0</v>
      </c>
      <c r="N584" s="271">
        <f t="shared" si="75"/>
        <v>129.60000000000002</v>
      </c>
      <c r="O584" s="276">
        <v>0</v>
      </c>
      <c r="P584" s="276">
        <f t="shared" si="71"/>
        <v>3134.4600000000005</v>
      </c>
      <c r="Q584" s="271">
        <f t="shared" si="72"/>
        <v>60084</v>
      </c>
      <c r="R584" s="271">
        <f t="shared" si="73"/>
        <v>32365.538400000001</v>
      </c>
      <c r="S584" s="271">
        <f t="shared" si="74"/>
        <v>2125.44</v>
      </c>
    </row>
    <row r="585" spans="1:21" s="270" customFormat="1" x14ac:dyDescent="0.25">
      <c r="A585" s="271">
        <v>501406</v>
      </c>
      <c r="B585" s="271">
        <v>1406</v>
      </c>
      <c r="C585" s="271">
        <v>200132</v>
      </c>
      <c r="D585" s="268" t="s">
        <v>894</v>
      </c>
      <c r="E585" s="268" t="s">
        <v>1290</v>
      </c>
      <c r="F585" s="268" t="s">
        <v>3238</v>
      </c>
      <c r="G585" s="268">
        <v>16</v>
      </c>
      <c r="H585" s="268" t="s">
        <v>3239</v>
      </c>
      <c r="I585" s="268" t="s">
        <v>3201</v>
      </c>
      <c r="J585" s="271">
        <v>179112</v>
      </c>
      <c r="K585" s="271">
        <f t="shared" si="69"/>
        <v>14926</v>
      </c>
      <c r="L585" s="271">
        <f t="shared" si="70"/>
        <v>12141.24</v>
      </c>
      <c r="M585" s="267">
        <v>0</v>
      </c>
      <c r="N585" s="271">
        <f t="shared" si="75"/>
        <v>129.60000000000002</v>
      </c>
      <c r="O585" s="276">
        <v>0</v>
      </c>
      <c r="P585" s="276">
        <f t="shared" si="71"/>
        <v>3134.4600000000005</v>
      </c>
      <c r="Q585" s="271">
        <f t="shared" si="72"/>
        <v>60084</v>
      </c>
      <c r="R585" s="271">
        <f t="shared" si="73"/>
        <v>32365.538400000001</v>
      </c>
      <c r="S585" s="271">
        <f t="shared" si="74"/>
        <v>2125.44</v>
      </c>
    </row>
    <row r="586" spans="1:21" s="270" customFormat="1" x14ac:dyDescent="0.25">
      <c r="A586" s="271">
        <v>501506</v>
      </c>
      <c r="B586" s="271">
        <v>1506</v>
      </c>
      <c r="C586" s="271">
        <v>200133</v>
      </c>
      <c r="D586" s="268" t="s">
        <v>894</v>
      </c>
      <c r="E586" s="268" t="s">
        <v>1290</v>
      </c>
      <c r="F586" s="268" t="s">
        <v>2660</v>
      </c>
      <c r="G586" s="268">
        <v>16</v>
      </c>
      <c r="H586" s="268" t="s">
        <v>3240</v>
      </c>
      <c r="I586" s="268" t="s">
        <v>3201</v>
      </c>
      <c r="J586" s="271">
        <v>179112</v>
      </c>
      <c r="K586" s="271">
        <f t="shared" si="69"/>
        <v>14926</v>
      </c>
      <c r="L586" s="271">
        <f t="shared" si="70"/>
        <v>12141.24</v>
      </c>
      <c r="M586" s="267">
        <v>0</v>
      </c>
      <c r="N586" s="271">
        <f t="shared" si="75"/>
        <v>129.60000000000002</v>
      </c>
      <c r="O586" s="276">
        <v>0</v>
      </c>
      <c r="P586" s="276">
        <f t="shared" si="71"/>
        <v>3134.4600000000005</v>
      </c>
      <c r="Q586" s="271">
        <f t="shared" si="72"/>
        <v>60084</v>
      </c>
      <c r="R586" s="271">
        <f t="shared" si="73"/>
        <v>32365.538400000001</v>
      </c>
      <c r="S586" s="271">
        <f t="shared" si="74"/>
        <v>2125.44</v>
      </c>
    </row>
    <row r="587" spans="1:21" x14ac:dyDescent="0.25">
      <c r="A587" s="271">
        <v>501444</v>
      </c>
      <c r="B587" s="271">
        <v>1444</v>
      </c>
      <c r="C587" s="271">
        <v>200135</v>
      </c>
      <c r="D587" s="268" t="s">
        <v>894</v>
      </c>
      <c r="E587" s="268" t="s">
        <v>1290</v>
      </c>
      <c r="F587" s="268" t="s">
        <v>2588</v>
      </c>
      <c r="G587" s="268">
        <v>16</v>
      </c>
      <c r="H587" s="268" t="s">
        <v>3241</v>
      </c>
      <c r="I587" s="268" t="s">
        <v>3201</v>
      </c>
      <c r="J587" s="271">
        <v>179112</v>
      </c>
      <c r="K587" s="271">
        <f t="shared" si="69"/>
        <v>14926</v>
      </c>
      <c r="L587" s="271">
        <f t="shared" si="70"/>
        <v>12141.24</v>
      </c>
      <c r="M587" s="267">
        <v>0</v>
      </c>
      <c r="N587" s="271">
        <f t="shared" si="75"/>
        <v>129.60000000000002</v>
      </c>
      <c r="O587" s="276">
        <v>0</v>
      </c>
      <c r="P587" s="276">
        <f t="shared" si="71"/>
        <v>3134.4600000000005</v>
      </c>
      <c r="Q587" s="271">
        <f t="shared" si="72"/>
        <v>60084</v>
      </c>
      <c r="R587" s="271">
        <f t="shared" si="73"/>
        <v>32365.538400000001</v>
      </c>
      <c r="S587" s="271">
        <f t="shared" si="74"/>
        <v>2125.44</v>
      </c>
      <c r="T587" s="270"/>
      <c r="U587" s="270"/>
    </row>
    <row r="588" spans="1:21" s="270" customFormat="1" x14ac:dyDescent="0.25">
      <c r="A588" s="271">
        <v>501444</v>
      </c>
      <c r="B588" s="271">
        <v>1444</v>
      </c>
      <c r="C588" s="271">
        <v>200137</v>
      </c>
      <c r="D588" s="268" t="s">
        <v>894</v>
      </c>
      <c r="E588" s="268" t="s">
        <v>1290</v>
      </c>
      <c r="F588" s="268" t="s">
        <v>2243</v>
      </c>
      <c r="G588" s="268">
        <v>16</v>
      </c>
      <c r="H588" s="268" t="s">
        <v>3242</v>
      </c>
      <c r="I588" s="268" t="s">
        <v>3201</v>
      </c>
      <c r="J588" s="271">
        <v>179112</v>
      </c>
      <c r="K588" s="271">
        <f t="shared" si="69"/>
        <v>14926</v>
      </c>
      <c r="L588" s="271">
        <f t="shared" si="70"/>
        <v>12141.24</v>
      </c>
      <c r="M588" s="267">
        <v>0</v>
      </c>
      <c r="N588" s="271">
        <f t="shared" si="75"/>
        <v>129.60000000000002</v>
      </c>
      <c r="O588" s="276">
        <v>0</v>
      </c>
      <c r="P588" s="276">
        <f t="shared" si="71"/>
        <v>3134.4600000000005</v>
      </c>
      <c r="Q588" s="271">
        <f t="shared" si="72"/>
        <v>60084</v>
      </c>
      <c r="R588" s="271">
        <f t="shared" si="73"/>
        <v>32365.538400000001</v>
      </c>
      <c r="S588" s="271">
        <f t="shared" si="74"/>
        <v>2125.44</v>
      </c>
    </row>
    <row r="589" spans="1:21" s="270" customFormat="1" x14ac:dyDescent="0.25">
      <c r="A589" s="271">
        <v>501443</v>
      </c>
      <c r="B589" s="271">
        <v>1443</v>
      </c>
      <c r="C589" s="271">
        <v>200141</v>
      </c>
      <c r="D589" s="268" t="s">
        <v>894</v>
      </c>
      <c r="E589" s="268" t="s">
        <v>1290</v>
      </c>
      <c r="F589" s="268" t="s">
        <v>3085</v>
      </c>
      <c r="G589" s="268">
        <v>16</v>
      </c>
      <c r="H589" s="268" t="s">
        <v>3243</v>
      </c>
      <c r="I589" s="268" t="s">
        <v>3201</v>
      </c>
      <c r="J589" s="271">
        <v>179112</v>
      </c>
      <c r="K589" s="271">
        <f t="shared" si="69"/>
        <v>14926</v>
      </c>
      <c r="L589" s="271">
        <f t="shared" si="70"/>
        <v>12141.24</v>
      </c>
      <c r="M589" s="267">
        <v>0</v>
      </c>
      <c r="N589" s="271">
        <f t="shared" si="75"/>
        <v>129.60000000000002</v>
      </c>
      <c r="O589" s="276">
        <v>0</v>
      </c>
      <c r="P589" s="276">
        <f t="shared" si="71"/>
        <v>3134.4600000000005</v>
      </c>
      <c r="Q589" s="271">
        <f t="shared" si="72"/>
        <v>60084</v>
      </c>
      <c r="R589" s="271">
        <f t="shared" si="73"/>
        <v>32365.538400000001</v>
      </c>
      <c r="S589" s="271">
        <f t="shared" si="74"/>
        <v>2125.44</v>
      </c>
    </row>
    <row r="590" spans="1:21" s="270" customFormat="1" x14ac:dyDescent="0.25">
      <c r="A590" s="271">
        <v>501452</v>
      </c>
      <c r="B590" s="271">
        <v>1452</v>
      </c>
      <c r="C590" s="271">
        <v>200145</v>
      </c>
      <c r="D590" s="268" t="s">
        <v>894</v>
      </c>
      <c r="E590" s="268" t="s">
        <v>1290</v>
      </c>
      <c r="F590" s="268" t="s">
        <v>3244</v>
      </c>
      <c r="G590" s="268">
        <v>16</v>
      </c>
      <c r="H590" s="268" t="s">
        <v>3211</v>
      </c>
      <c r="I590" s="268" t="s">
        <v>3201</v>
      </c>
      <c r="J590" s="271">
        <v>179112</v>
      </c>
      <c r="K590" s="271">
        <f t="shared" si="69"/>
        <v>14926</v>
      </c>
      <c r="L590" s="271">
        <f t="shared" si="70"/>
        <v>12141.24</v>
      </c>
      <c r="M590" s="267">
        <v>0</v>
      </c>
      <c r="N590" s="271">
        <f t="shared" si="75"/>
        <v>129.60000000000002</v>
      </c>
      <c r="O590" s="276">
        <v>0</v>
      </c>
      <c r="P590" s="276">
        <f t="shared" si="71"/>
        <v>3134.4600000000005</v>
      </c>
      <c r="Q590" s="271">
        <f t="shared" si="72"/>
        <v>60084</v>
      </c>
      <c r="R590" s="271">
        <f t="shared" si="73"/>
        <v>32365.538400000001</v>
      </c>
      <c r="S590" s="271">
        <f t="shared" si="74"/>
        <v>2125.44</v>
      </c>
    </row>
    <row r="591" spans="1:21" s="270" customFormat="1" x14ac:dyDescent="0.25">
      <c r="A591" s="271">
        <v>501406</v>
      </c>
      <c r="B591" s="271">
        <v>1406</v>
      </c>
      <c r="C591" s="271">
        <v>200158</v>
      </c>
      <c r="D591" s="268" t="s">
        <v>894</v>
      </c>
      <c r="E591" s="268" t="s">
        <v>1278</v>
      </c>
      <c r="F591" s="268" t="s">
        <v>3245</v>
      </c>
      <c r="G591" s="268">
        <v>16</v>
      </c>
      <c r="H591" s="268" t="s">
        <v>3246</v>
      </c>
      <c r="I591" s="268" t="s">
        <v>3201</v>
      </c>
      <c r="J591" s="271">
        <v>179112</v>
      </c>
      <c r="K591" s="271">
        <f t="shared" si="69"/>
        <v>14926</v>
      </c>
      <c r="L591" s="271">
        <f t="shared" si="70"/>
        <v>12141.24</v>
      </c>
      <c r="M591" s="267">
        <v>0</v>
      </c>
      <c r="N591" s="271">
        <f t="shared" si="75"/>
        <v>129.60000000000002</v>
      </c>
      <c r="O591" s="276">
        <v>0</v>
      </c>
      <c r="P591" s="276">
        <f t="shared" si="71"/>
        <v>3134.4600000000005</v>
      </c>
      <c r="Q591" s="271">
        <f t="shared" si="72"/>
        <v>60084</v>
      </c>
      <c r="R591" s="271">
        <f t="shared" si="73"/>
        <v>32365.538400000001</v>
      </c>
      <c r="S591" s="271">
        <f t="shared" si="74"/>
        <v>2125.44</v>
      </c>
      <c r="T591" s="277"/>
      <c r="U591" s="277"/>
    </row>
    <row r="592" spans="1:21" s="270" customFormat="1" x14ac:dyDescent="0.25">
      <c r="A592" s="271">
        <v>501506</v>
      </c>
      <c r="B592" s="271">
        <v>1506</v>
      </c>
      <c r="C592" s="271">
        <v>200161</v>
      </c>
      <c r="D592" s="268" t="s">
        <v>894</v>
      </c>
      <c r="E592" s="268" t="s">
        <v>1278</v>
      </c>
      <c r="F592" s="268" t="s">
        <v>2461</v>
      </c>
      <c r="G592" s="268">
        <v>16</v>
      </c>
      <c r="H592" s="268" t="s">
        <v>3247</v>
      </c>
      <c r="I592" s="268" t="s">
        <v>3201</v>
      </c>
      <c r="J592" s="271">
        <v>179112</v>
      </c>
      <c r="K592" s="271">
        <f t="shared" si="69"/>
        <v>14926</v>
      </c>
      <c r="L592" s="271">
        <f t="shared" si="70"/>
        <v>12141.24</v>
      </c>
      <c r="M592" s="267">
        <v>0</v>
      </c>
      <c r="N592" s="271">
        <f t="shared" si="75"/>
        <v>129.60000000000002</v>
      </c>
      <c r="O592" s="276">
        <v>0</v>
      </c>
      <c r="P592" s="276">
        <f t="shared" si="71"/>
        <v>3134.4600000000005</v>
      </c>
      <c r="Q592" s="271">
        <f t="shared" si="72"/>
        <v>60084</v>
      </c>
      <c r="R592" s="271">
        <f t="shared" si="73"/>
        <v>32365.538400000001</v>
      </c>
      <c r="S592" s="271">
        <f t="shared" si="74"/>
        <v>2125.44</v>
      </c>
    </row>
    <row r="593" spans="1:21" s="270" customFormat="1" x14ac:dyDescent="0.25">
      <c r="A593" s="271">
        <v>501506</v>
      </c>
      <c r="B593" s="271">
        <v>1506</v>
      </c>
      <c r="C593" s="271">
        <v>200163</v>
      </c>
      <c r="D593" s="268" t="s">
        <v>894</v>
      </c>
      <c r="E593" s="268" t="s">
        <v>1290</v>
      </c>
      <c r="F593" s="268" t="s">
        <v>2333</v>
      </c>
      <c r="G593" s="268">
        <v>16</v>
      </c>
      <c r="H593" s="268" t="s">
        <v>3248</v>
      </c>
      <c r="I593" s="268" t="s">
        <v>3201</v>
      </c>
      <c r="J593" s="271">
        <v>179112</v>
      </c>
      <c r="K593" s="271">
        <f t="shared" si="69"/>
        <v>14926</v>
      </c>
      <c r="L593" s="271">
        <f t="shared" si="70"/>
        <v>12141.24</v>
      </c>
      <c r="M593" s="267">
        <v>0</v>
      </c>
      <c r="N593" s="271">
        <f t="shared" si="75"/>
        <v>129.60000000000002</v>
      </c>
      <c r="O593" s="276">
        <v>0</v>
      </c>
      <c r="P593" s="276">
        <f t="shared" si="71"/>
        <v>3134.4600000000005</v>
      </c>
      <c r="Q593" s="271">
        <f t="shared" si="72"/>
        <v>60084</v>
      </c>
      <c r="R593" s="271">
        <f t="shared" si="73"/>
        <v>32365.538400000001</v>
      </c>
      <c r="S593" s="271">
        <f t="shared" si="74"/>
        <v>2125.44</v>
      </c>
    </row>
    <row r="594" spans="1:21" s="270" customFormat="1" x14ac:dyDescent="0.25">
      <c r="A594" s="271">
        <v>501406</v>
      </c>
      <c r="B594" s="271">
        <v>1406</v>
      </c>
      <c r="C594" s="271">
        <v>200165</v>
      </c>
      <c r="D594" s="268" t="s">
        <v>894</v>
      </c>
      <c r="E594" s="268" t="s">
        <v>1290</v>
      </c>
      <c r="F594" s="268" t="s">
        <v>3249</v>
      </c>
      <c r="G594" s="268">
        <v>16</v>
      </c>
      <c r="H594" s="268" t="s">
        <v>3250</v>
      </c>
      <c r="I594" s="268" t="s">
        <v>3201</v>
      </c>
      <c r="J594" s="271">
        <v>179112</v>
      </c>
      <c r="K594" s="271">
        <f t="shared" si="69"/>
        <v>14926</v>
      </c>
      <c r="L594" s="271">
        <f t="shared" si="70"/>
        <v>12141.24</v>
      </c>
      <c r="M594" s="267">
        <v>0</v>
      </c>
      <c r="N594" s="271">
        <f t="shared" si="75"/>
        <v>129.60000000000002</v>
      </c>
      <c r="O594" s="276">
        <v>0</v>
      </c>
      <c r="P594" s="276">
        <f t="shared" si="71"/>
        <v>3134.4600000000005</v>
      </c>
      <c r="Q594" s="271">
        <f t="shared" si="72"/>
        <v>60084</v>
      </c>
      <c r="R594" s="271">
        <f t="shared" si="73"/>
        <v>32365.538400000001</v>
      </c>
      <c r="S594" s="271">
        <f t="shared" si="74"/>
        <v>2125.44</v>
      </c>
    </row>
    <row r="595" spans="1:21" s="270" customFormat="1" x14ac:dyDescent="0.25">
      <c r="A595" s="271">
        <v>501506</v>
      </c>
      <c r="B595" s="271">
        <v>1506</v>
      </c>
      <c r="C595" s="271">
        <v>200166</v>
      </c>
      <c r="D595" s="268" t="s">
        <v>894</v>
      </c>
      <c r="E595" s="268" t="s">
        <v>1278</v>
      </c>
      <c r="F595" s="268" t="s">
        <v>2422</v>
      </c>
      <c r="G595" s="268">
        <v>16</v>
      </c>
      <c r="H595" s="268" t="s">
        <v>2881</v>
      </c>
      <c r="I595" s="268" t="s">
        <v>3201</v>
      </c>
      <c r="J595" s="271">
        <v>179112</v>
      </c>
      <c r="K595" s="271">
        <f t="shared" si="69"/>
        <v>14926</v>
      </c>
      <c r="L595" s="271">
        <f t="shared" si="70"/>
        <v>12141.24</v>
      </c>
      <c r="M595" s="267">
        <v>0</v>
      </c>
      <c r="N595" s="271">
        <f t="shared" si="75"/>
        <v>129.60000000000002</v>
      </c>
      <c r="O595" s="276">
        <v>0</v>
      </c>
      <c r="P595" s="276">
        <f t="shared" si="71"/>
        <v>3134.4600000000005</v>
      </c>
      <c r="Q595" s="271">
        <f t="shared" si="72"/>
        <v>60084</v>
      </c>
      <c r="R595" s="271">
        <f t="shared" si="73"/>
        <v>32365.538400000001</v>
      </c>
      <c r="S595" s="271">
        <f t="shared" si="74"/>
        <v>2125.44</v>
      </c>
    </row>
    <row r="596" spans="1:21" s="270" customFormat="1" x14ac:dyDescent="0.25">
      <c r="A596" s="271">
        <v>501443</v>
      </c>
      <c r="B596" s="271">
        <v>1443</v>
      </c>
      <c r="C596" s="271">
        <v>200167</v>
      </c>
      <c r="D596" s="268" t="s">
        <v>894</v>
      </c>
      <c r="E596" s="268" t="s">
        <v>1290</v>
      </c>
      <c r="F596" s="268" t="s">
        <v>2984</v>
      </c>
      <c r="G596" s="268">
        <v>16</v>
      </c>
      <c r="H596" s="268" t="s">
        <v>3251</v>
      </c>
      <c r="I596" s="268" t="s">
        <v>3201</v>
      </c>
      <c r="J596" s="271">
        <v>179112</v>
      </c>
      <c r="K596" s="271">
        <f t="shared" si="69"/>
        <v>14926</v>
      </c>
      <c r="L596" s="271">
        <f t="shared" si="70"/>
        <v>12141.24</v>
      </c>
      <c r="M596" s="267">
        <v>0</v>
      </c>
      <c r="N596" s="271">
        <f t="shared" si="75"/>
        <v>129.60000000000002</v>
      </c>
      <c r="O596" s="276">
        <v>0</v>
      </c>
      <c r="P596" s="276">
        <f t="shared" si="71"/>
        <v>3134.4600000000005</v>
      </c>
      <c r="Q596" s="271">
        <f t="shared" si="72"/>
        <v>60084</v>
      </c>
      <c r="R596" s="271">
        <f t="shared" si="73"/>
        <v>32365.538400000001</v>
      </c>
      <c r="S596" s="271">
        <f t="shared" si="74"/>
        <v>2125.44</v>
      </c>
    </row>
    <row r="597" spans="1:21" s="270" customFormat="1" x14ac:dyDescent="0.25">
      <c r="A597" s="271">
        <v>501506</v>
      </c>
      <c r="B597" s="271">
        <v>1506</v>
      </c>
      <c r="C597" s="271">
        <v>200168</v>
      </c>
      <c r="D597" s="268" t="s">
        <v>894</v>
      </c>
      <c r="E597" s="268" t="s">
        <v>1278</v>
      </c>
      <c r="F597" s="268" t="s">
        <v>3067</v>
      </c>
      <c r="G597" s="268">
        <v>16</v>
      </c>
      <c r="H597" s="268" t="s">
        <v>3252</v>
      </c>
      <c r="I597" s="268" t="s">
        <v>3201</v>
      </c>
      <c r="J597" s="271">
        <v>179112</v>
      </c>
      <c r="K597" s="271">
        <f t="shared" si="69"/>
        <v>14926</v>
      </c>
      <c r="L597" s="271">
        <f t="shared" si="70"/>
        <v>12141.24</v>
      </c>
      <c r="M597" s="267">
        <v>0</v>
      </c>
      <c r="N597" s="271">
        <f t="shared" si="75"/>
        <v>129.60000000000002</v>
      </c>
      <c r="O597" s="276">
        <v>0</v>
      </c>
      <c r="P597" s="276">
        <f t="shared" si="71"/>
        <v>3134.4600000000005</v>
      </c>
      <c r="Q597" s="271">
        <f t="shared" si="72"/>
        <v>60084</v>
      </c>
      <c r="R597" s="271">
        <f t="shared" si="73"/>
        <v>32365.538400000001</v>
      </c>
      <c r="S597" s="271">
        <f t="shared" si="74"/>
        <v>2125.44</v>
      </c>
    </row>
    <row r="598" spans="1:21" s="270" customFormat="1" x14ac:dyDescent="0.25">
      <c r="A598" s="271">
        <v>501406</v>
      </c>
      <c r="B598" s="271">
        <v>1406</v>
      </c>
      <c r="C598" s="271">
        <v>200171</v>
      </c>
      <c r="D598" s="268" t="s">
        <v>894</v>
      </c>
      <c r="E598" s="268" t="s">
        <v>1278</v>
      </c>
      <c r="F598" s="268" t="s">
        <v>2751</v>
      </c>
      <c r="G598" s="268">
        <v>16</v>
      </c>
      <c r="H598" s="268" t="s">
        <v>3253</v>
      </c>
      <c r="I598" s="268" t="s">
        <v>3201</v>
      </c>
      <c r="J598" s="271">
        <v>179112</v>
      </c>
      <c r="K598" s="271">
        <f t="shared" si="69"/>
        <v>14926</v>
      </c>
      <c r="L598" s="271">
        <f t="shared" si="70"/>
        <v>12141.24</v>
      </c>
      <c r="M598" s="267">
        <v>0</v>
      </c>
      <c r="N598" s="271">
        <f t="shared" si="75"/>
        <v>129.60000000000002</v>
      </c>
      <c r="O598" s="276">
        <v>0</v>
      </c>
      <c r="P598" s="276">
        <f t="shared" si="71"/>
        <v>3134.4600000000005</v>
      </c>
      <c r="Q598" s="271">
        <f t="shared" si="72"/>
        <v>60084</v>
      </c>
      <c r="R598" s="271">
        <f t="shared" si="73"/>
        <v>32365.538400000001</v>
      </c>
      <c r="S598" s="271">
        <f t="shared" si="74"/>
        <v>2125.44</v>
      </c>
    </row>
    <row r="599" spans="1:21" s="270" customFormat="1" x14ac:dyDescent="0.25">
      <c r="A599" s="271">
        <v>501506</v>
      </c>
      <c r="B599" s="271">
        <v>1506</v>
      </c>
      <c r="C599" s="271">
        <v>200172</v>
      </c>
      <c r="D599" s="268" t="s">
        <v>894</v>
      </c>
      <c r="E599" s="268" t="s">
        <v>1278</v>
      </c>
      <c r="F599" s="268" t="s">
        <v>2701</v>
      </c>
      <c r="G599" s="268">
        <v>16</v>
      </c>
      <c r="H599" s="268" t="s">
        <v>3254</v>
      </c>
      <c r="I599" s="268" t="s">
        <v>3201</v>
      </c>
      <c r="J599" s="271">
        <v>179112</v>
      </c>
      <c r="K599" s="271">
        <f t="shared" si="69"/>
        <v>14926</v>
      </c>
      <c r="L599" s="271">
        <f t="shared" si="70"/>
        <v>12141.24</v>
      </c>
      <c r="M599" s="267">
        <v>0</v>
      </c>
      <c r="N599" s="271">
        <f t="shared" si="75"/>
        <v>129.60000000000002</v>
      </c>
      <c r="O599" s="276">
        <v>0</v>
      </c>
      <c r="P599" s="276">
        <f t="shared" si="71"/>
        <v>3134.4600000000005</v>
      </c>
      <c r="Q599" s="271">
        <f t="shared" si="72"/>
        <v>60084</v>
      </c>
      <c r="R599" s="271">
        <f t="shared" si="73"/>
        <v>32365.538400000001</v>
      </c>
      <c r="S599" s="271">
        <f t="shared" si="74"/>
        <v>2125.44</v>
      </c>
    </row>
    <row r="600" spans="1:21" s="270" customFormat="1" x14ac:dyDescent="0.25">
      <c r="A600" s="271">
        <v>501101</v>
      </c>
      <c r="B600" s="271">
        <v>1101</v>
      </c>
      <c r="C600" s="271">
        <v>200175</v>
      </c>
      <c r="D600" s="268" t="s">
        <v>894</v>
      </c>
      <c r="E600" s="268" t="s">
        <v>1290</v>
      </c>
      <c r="F600" s="268" t="s">
        <v>3025</v>
      </c>
      <c r="G600" s="268">
        <v>16</v>
      </c>
      <c r="H600" s="268" t="s">
        <v>3255</v>
      </c>
      <c r="I600" s="268" t="s">
        <v>3201</v>
      </c>
      <c r="J600" s="271">
        <v>179112</v>
      </c>
      <c r="K600" s="271">
        <f t="shared" si="69"/>
        <v>14926</v>
      </c>
      <c r="L600" s="271">
        <f t="shared" si="70"/>
        <v>12141.24</v>
      </c>
      <c r="M600" s="267">
        <v>0</v>
      </c>
      <c r="N600" s="271">
        <f t="shared" si="75"/>
        <v>129.60000000000002</v>
      </c>
      <c r="O600" s="276">
        <v>0</v>
      </c>
      <c r="P600" s="276">
        <f t="shared" si="71"/>
        <v>3134.4600000000005</v>
      </c>
      <c r="Q600" s="271">
        <f t="shared" si="72"/>
        <v>60084</v>
      </c>
      <c r="R600" s="271">
        <f t="shared" si="73"/>
        <v>32365.538400000001</v>
      </c>
      <c r="S600" s="271">
        <f t="shared" si="74"/>
        <v>2125.44</v>
      </c>
    </row>
    <row r="601" spans="1:21" s="270" customFormat="1" x14ac:dyDescent="0.25">
      <c r="A601" s="271">
        <v>501443</v>
      </c>
      <c r="B601" s="271">
        <v>1443</v>
      </c>
      <c r="C601" s="271">
        <v>200261</v>
      </c>
      <c r="D601" s="268" t="s">
        <v>894</v>
      </c>
      <c r="E601" s="268" t="s">
        <v>1290</v>
      </c>
      <c r="F601" s="268" t="s">
        <v>3256</v>
      </c>
      <c r="G601" s="268">
        <v>16</v>
      </c>
      <c r="H601" s="268" t="s">
        <v>3257</v>
      </c>
      <c r="I601" s="268" t="s">
        <v>3201</v>
      </c>
      <c r="J601" s="271">
        <v>179112</v>
      </c>
      <c r="K601" s="271">
        <f t="shared" si="69"/>
        <v>14926</v>
      </c>
      <c r="L601" s="271">
        <f t="shared" si="70"/>
        <v>12141.24</v>
      </c>
      <c r="M601" s="267">
        <v>0</v>
      </c>
      <c r="N601" s="271">
        <f t="shared" si="75"/>
        <v>129.60000000000002</v>
      </c>
      <c r="O601" s="276">
        <v>0</v>
      </c>
      <c r="P601" s="276">
        <f t="shared" si="71"/>
        <v>3134.4600000000005</v>
      </c>
      <c r="Q601" s="271">
        <f t="shared" si="72"/>
        <v>60084</v>
      </c>
      <c r="R601" s="271">
        <f t="shared" si="73"/>
        <v>32365.538400000001</v>
      </c>
      <c r="S601" s="271">
        <f t="shared" si="74"/>
        <v>2125.44</v>
      </c>
    </row>
    <row r="602" spans="1:21" s="270" customFormat="1" x14ac:dyDescent="0.25">
      <c r="A602" s="271">
        <v>501444</v>
      </c>
      <c r="B602" s="271">
        <v>1444</v>
      </c>
      <c r="C602" s="271">
        <v>200265</v>
      </c>
      <c r="D602" s="268" t="s">
        <v>894</v>
      </c>
      <c r="E602" s="268" t="s">
        <v>1290</v>
      </c>
      <c r="F602" s="268" t="s">
        <v>3258</v>
      </c>
      <c r="G602" s="268">
        <v>16</v>
      </c>
      <c r="H602" s="268" t="s">
        <v>3259</v>
      </c>
      <c r="I602" s="268" t="s">
        <v>3201</v>
      </c>
      <c r="J602" s="271">
        <v>179112</v>
      </c>
      <c r="K602" s="271">
        <f t="shared" si="69"/>
        <v>14926</v>
      </c>
      <c r="L602" s="271">
        <f t="shared" si="70"/>
        <v>12141.24</v>
      </c>
      <c r="M602" s="267">
        <v>0</v>
      </c>
      <c r="N602" s="271">
        <f t="shared" si="75"/>
        <v>129.60000000000002</v>
      </c>
      <c r="O602" s="276">
        <v>0</v>
      </c>
      <c r="P602" s="276">
        <f t="shared" si="71"/>
        <v>3134.4600000000005</v>
      </c>
      <c r="Q602" s="271">
        <f t="shared" si="72"/>
        <v>60084</v>
      </c>
      <c r="R602" s="271">
        <f t="shared" si="73"/>
        <v>32365.538400000001</v>
      </c>
      <c r="S602" s="271">
        <f t="shared" si="74"/>
        <v>2125.44</v>
      </c>
    </row>
    <row r="603" spans="1:21" s="270" customFormat="1" x14ac:dyDescent="0.25">
      <c r="A603" s="271">
        <v>501444</v>
      </c>
      <c r="B603" s="271">
        <v>1444</v>
      </c>
      <c r="C603" s="271">
        <v>200268</v>
      </c>
      <c r="D603" s="268" t="s">
        <v>894</v>
      </c>
      <c r="E603" s="268" t="s">
        <v>1290</v>
      </c>
      <c r="F603" s="268" t="s">
        <v>3260</v>
      </c>
      <c r="G603" s="268">
        <v>16</v>
      </c>
      <c r="H603" s="268" t="s">
        <v>3261</v>
      </c>
      <c r="I603" s="268" t="s">
        <v>3201</v>
      </c>
      <c r="J603" s="271">
        <v>179112</v>
      </c>
      <c r="K603" s="271">
        <f t="shared" si="69"/>
        <v>14926</v>
      </c>
      <c r="L603" s="271">
        <f t="shared" si="70"/>
        <v>12141.24</v>
      </c>
      <c r="M603" s="267">
        <v>0</v>
      </c>
      <c r="N603" s="271">
        <f t="shared" si="75"/>
        <v>129.60000000000002</v>
      </c>
      <c r="O603" s="276">
        <v>0</v>
      </c>
      <c r="P603" s="276">
        <f t="shared" si="71"/>
        <v>3134.4600000000005</v>
      </c>
      <c r="Q603" s="271">
        <f t="shared" si="72"/>
        <v>60084</v>
      </c>
      <c r="R603" s="271">
        <f t="shared" si="73"/>
        <v>32365.538400000001</v>
      </c>
      <c r="S603" s="271">
        <f t="shared" si="74"/>
        <v>2125.44</v>
      </c>
    </row>
    <row r="604" spans="1:21" s="270" customFormat="1" x14ac:dyDescent="0.25">
      <c r="A604" s="271">
        <v>501445</v>
      </c>
      <c r="B604" s="271">
        <v>1445</v>
      </c>
      <c r="C604" s="271">
        <v>200269</v>
      </c>
      <c r="D604" s="268" t="s">
        <v>894</v>
      </c>
      <c r="E604" s="268" t="s">
        <v>1290</v>
      </c>
      <c r="F604" s="268" t="s">
        <v>2768</v>
      </c>
      <c r="G604" s="268">
        <v>16</v>
      </c>
      <c r="H604" s="268" t="s">
        <v>3262</v>
      </c>
      <c r="I604" s="268" t="s">
        <v>3201</v>
      </c>
      <c r="J604" s="271">
        <v>179112</v>
      </c>
      <c r="K604" s="271">
        <f t="shared" si="69"/>
        <v>14926</v>
      </c>
      <c r="L604" s="271">
        <f t="shared" si="70"/>
        <v>12141.24</v>
      </c>
      <c r="M604" s="267">
        <v>0</v>
      </c>
      <c r="N604" s="271">
        <f t="shared" si="75"/>
        <v>129.60000000000002</v>
      </c>
      <c r="O604" s="276">
        <v>0</v>
      </c>
      <c r="P604" s="276">
        <f t="shared" si="71"/>
        <v>3134.4600000000005</v>
      </c>
      <c r="Q604" s="271">
        <f t="shared" si="72"/>
        <v>60084</v>
      </c>
      <c r="R604" s="271">
        <f t="shared" si="73"/>
        <v>32365.538400000001</v>
      </c>
      <c r="S604" s="271">
        <f t="shared" si="74"/>
        <v>2125.44</v>
      </c>
    </row>
    <row r="605" spans="1:21" s="270" customFormat="1" x14ac:dyDescent="0.25">
      <c r="A605" s="271">
        <v>501443</v>
      </c>
      <c r="B605" s="271">
        <v>1443</v>
      </c>
      <c r="C605" s="271">
        <v>200270</v>
      </c>
      <c r="D605" s="268" t="s">
        <v>894</v>
      </c>
      <c r="E605" s="268" t="s">
        <v>1278</v>
      </c>
      <c r="F605" s="268" t="s">
        <v>2764</v>
      </c>
      <c r="G605" s="268">
        <v>16</v>
      </c>
      <c r="H605" s="268" t="s">
        <v>3263</v>
      </c>
      <c r="I605" s="268" t="s">
        <v>3201</v>
      </c>
      <c r="J605" s="271">
        <v>179112</v>
      </c>
      <c r="K605" s="271">
        <f t="shared" si="69"/>
        <v>14926</v>
      </c>
      <c r="L605" s="271">
        <f t="shared" si="70"/>
        <v>12141.24</v>
      </c>
      <c r="M605" s="267">
        <v>0</v>
      </c>
      <c r="N605" s="271">
        <f t="shared" si="75"/>
        <v>129.60000000000002</v>
      </c>
      <c r="O605" s="276">
        <v>0</v>
      </c>
      <c r="P605" s="276">
        <f t="shared" si="71"/>
        <v>3134.4600000000005</v>
      </c>
      <c r="Q605" s="271">
        <f t="shared" si="72"/>
        <v>60084</v>
      </c>
      <c r="R605" s="271">
        <f t="shared" si="73"/>
        <v>32365.538400000001</v>
      </c>
      <c r="S605" s="271">
        <f t="shared" si="74"/>
        <v>2125.44</v>
      </c>
      <c r="T605" s="277"/>
      <c r="U605" s="277"/>
    </row>
    <row r="606" spans="1:21" s="270" customFormat="1" x14ac:dyDescent="0.25">
      <c r="A606" s="271">
        <v>501444</v>
      </c>
      <c r="B606" s="271">
        <v>1444</v>
      </c>
      <c r="C606" s="271">
        <v>200271</v>
      </c>
      <c r="D606" s="268" t="s">
        <v>894</v>
      </c>
      <c r="E606" s="268" t="s">
        <v>1290</v>
      </c>
      <c r="F606" s="268" t="s">
        <v>3264</v>
      </c>
      <c r="G606" s="268">
        <v>16</v>
      </c>
      <c r="H606" s="268" t="s">
        <v>3265</v>
      </c>
      <c r="I606" s="268" t="s">
        <v>3201</v>
      </c>
      <c r="J606" s="271">
        <v>179112</v>
      </c>
      <c r="K606" s="271">
        <f t="shared" si="69"/>
        <v>14926</v>
      </c>
      <c r="L606" s="271">
        <f t="shared" si="70"/>
        <v>12141.24</v>
      </c>
      <c r="M606" s="267">
        <v>0</v>
      </c>
      <c r="N606" s="271">
        <f t="shared" si="75"/>
        <v>129.60000000000002</v>
      </c>
      <c r="O606" s="276">
        <v>0</v>
      </c>
      <c r="P606" s="276">
        <f t="shared" si="71"/>
        <v>3134.4600000000005</v>
      </c>
      <c r="Q606" s="271">
        <f t="shared" si="72"/>
        <v>60084</v>
      </c>
      <c r="R606" s="271">
        <f t="shared" si="73"/>
        <v>32365.538400000001</v>
      </c>
      <c r="S606" s="271">
        <f t="shared" si="74"/>
        <v>2125.44</v>
      </c>
    </row>
    <row r="607" spans="1:21" x14ac:dyDescent="0.25">
      <c r="A607" s="271">
        <v>501506</v>
      </c>
      <c r="B607" s="271">
        <v>1506</v>
      </c>
      <c r="C607" s="271">
        <v>200272</v>
      </c>
      <c r="D607" s="268" t="s">
        <v>894</v>
      </c>
      <c r="E607" s="268" t="s">
        <v>1290</v>
      </c>
      <c r="F607" s="268" t="s">
        <v>1304</v>
      </c>
      <c r="G607" s="268">
        <v>16</v>
      </c>
      <c r="H607" s="268" t="s">
        <v>3205</v>
      </c>
      <c r="I607" s="268" t="s">
        <v>3201</v>
      </c>
      <c r="J607" s="271">
        <v>179112</v>
      </c>
      <c r="K607" s="271">
        <f t="shared" si="69"/>
        <v>14926</v>
      </c>
      <c r="L607" s="271">
        <f t="shared" si="70"/>
        <v>12141.24</v>
      </c>
      <c r="M607" s="267">
        <v>0</v>
      </c>
      <c r="N607" s="271">
        <f t="shared" si="75"/>
        <v>129.60000000000002</v>
      </c>
      <c r="O607" s="276">
        <v>0</v>
      </c>
      <c r="P607" s="276">
        <f t="shared" si="71"/>
        <v>3134.4600000000005</v>
      </c>
      <c r="Q607" s="271">
        <f t="shared" si="72"/>
        <v>60084</v>
      </c>
      <c r="R607" s="271">
        <f t="shared" si="73"/>
        <v>32365.538400000001</v>
      </c>
      <c r="S607" s="271">
        <f t="shared" si="74"/>
        <v>2125.44</v>
      </c>
      <c r="T607" s="270"/>
      <c r="U607" s="270"/>
    </row>
    <row r="608" spans="1:21" s="270" customFormat="1" x14ac:dyDescent="0.25">
      <c r="A608" s="271">
        <v>501444</v>
      </c>
      <c r="B608" s="271">
        <v>1444</v>
      </c>
      <c r="C608" s="271">
        <v>200274</v>
      </c>
      <c r="D608" s="268" t="s">
        <v>894</v>
      </c>
      <c r="E608" s="268" t="s">
        <v>1290</v>
      </c>
      <c r="F608" s="268" t="s">
        <v>2490</v>
      </c>
      <c r="G608" s="268">
        <v>16</v>
      </c>
      <c r="H608" s="268" t="s">
        <v>3266</v>
      </c>
      <c r="I608" s="268" t="s">
        <v>3201</v>
      </c>
      <c r="J608" s="271">
        <v>179112</v>
      </c>
      <c r="K608" s="271">
        <f t="shared" si="69"/>
        <v>14926</v>
      </c>
      <c r="L608" s="271">
        <f t="shared" si="70"/>
        <v>12141.24</v>
      </c>
      <c r="M608" s="267">
        <v>0</v>
      </c>
      <c r="N608" s="271">
        <f t="shared" si="75"/>
        <v>129.60000000000002</v>
      </c>
      <c r="O608" s="276">
        <v>0</v>
      </c>
      <c r="P608" s="276">
        <f t="shared" si="71"/>
        <v>3134.4600000000005</v>
      </c>
      <c r="Q608" s="271">
        <f t="shared" si="72"/>
        <v>60084</v>
      </c>
      <c r="R608" s="271">
        <f t="shared" si="73"/>
        <v>32365.538400000001</v>
      </c>
      <c r="S608" s="271">
        <f t="shared" si="74"/>
        <v>2125.44</v>
      </c>
    </row>
    <row r="609" spans="1:21" s="270" customFormat="1" x14ac:dyDescent="0.25">
      <c r="A609" s="271">
        <v>501443</v>
      </c>
      <c r="B609" s="271">
        <v>1443</v>
      </c>
      <c r="C609" s="271">
        <v>200275</v>
      </c>
      <c r="D609" s="268" t="s">
        <v>894</v>
      </c>
      <c r="E609" s="268" t="s">
        <v>1290</v>
      </c>
      <c r="F609" s="268" t="s">
        <v>2306</v>
      </c>
      <c r="G609" s="268">
        <v>16</v>
      </c>
      <c r="H609" s="268" t="s">
        <v>3267</v>
      </c>
      <c r="I609" s="268" t="s">
        <v>3201</v>
      </c>
      <c r="J609" s="271">
        <v>179112</v>
      </c>
      <c r="K609" s="271">
        <f t="shared" si="69"/>
        <v>14926</v>
      </c>
      <c r="L609" s="271">
        <f t="shared" si="70"/>
        <v>12141.24</v>
      </c>
      <c r="M609" s="267">
        <v>0</v>
      </c>
      <c r="N609" s="271">
        <f t="shared" si="75"/>
        <v>129.60000000000002</v>
      </c>
      <c r="O609" s="276">
        <v>0</v>
      </c>
      <c r="P609" s="276">
        <f t="shared" si="71"/>
        <v>3134.4600000000005</v>
      </c>
      <c r="Q609" s="271">
        <f t="shared" si="72"/>
        <v>60084</v>
      </c>
      <c r="R609" s="271">
        <f t="shared" si="73"/>
        <v>32365.538400000001</v>
      </c>
      <c r="S609" s="271">
        <f t="shared" si="74"/>
        <v>2125.44</v>
      </c>
    </row>
    <row r="610" spans="1:21" s="270" customFormat="1" x14ac:dyDescent="0.25">
      <c r="A610" s="271">
        <v>501506</v>
      </c>
      <c r="B610" s="271">
        <v>1506</v>
      </c>
      <c r="C610" s="271">
        <v>200276</v>
      </c>
      <c r="D610" s="268" t="s">
        <v>894</v>
      </c>
      <c r="E610" s="268" t="s">
        <v>1278</v>
      </c>
      <c r="F610" s="268" t="s">
        <v>3268</v>
      </c>
      <c r="G610" s="268">
        <v>16</v>
      </c>
      <c r="H610" s="268" t="s">
        <v>3269</v>
      </c>
      <c r="I610" s="268" t="s">
        <v>3201</v>
      </c>
      <c r="J610" s="271">
        <v>179112</v>
      </c>
      <c r="K610" s="271">
        <f t="shared" si="69"/>
        <v>14926</v>
      </c>
      <c r="L610" s="271">
        <f t="shared" si="70"/>
        <v>12141.24</v>
      </c>
      <c r="M610" s="267">
        <v>0</v>
      </c>
      <c r="N610" s="271">
        <f t="shared" si="75"/>
        <v>129.60000000000002</v>
      </c>
      <c r="O610" s="276">
        <v>0</v>
      </c>
      <c r="P610" s="276">
        <f t="shared" si="71"/>
        <v>3134.4600000000005</v>
      </c>
      <c r="Q610" s="271">
        <f t="shared" si="72"/>
        <v>60084</v>
      </c>
      <c r="R610" s="271">
        <f t="shared" si="73"/>
        <v>32365.538400000001</v>
      </c>
      <c r="S610" s="271">
        <f t="shared" si="74"/>
        <v>2125.44</v>
      </c>
    </row>
    <row r="611" spans="1:21" s="270" customFormat="1" x14ac:dyDescent="0.25">
      <c r="A611" s="271">
        <v>501445</v>
      </c>
      <c r="B611" s="271">
        <v>1445</v>
      </c>
      <c r="C611" s="271">
        <v>200278</v>
      </c>
      <c r="D611" s="268" t="s">
        <v>894</v>
      </c>
      <c r="E611" s="268" t="s">
        <v>1278</v>
      </c>
      <c r="F611" s="268" t="s">
        <v>3097</v>
      </c>
      <c r="G611" s="268">
        <v>16</v>
      </c>
      <c r="H611" s="268" t="s">
        <v>3270</v>
      </c>
      <c r="I611" s="268" t="s">
        <v>3201</v>
      </c>
      <c r="J611" s="271">
        <v>179112</v>
      </c>
      <c r="K611" s="271">
        <f t="shared" si="69"/>
        <v>14926</v>
      </c>
      <c r="L611" s="271">
        <f t="shared" si="70"/>
        <v>12141.24</v>
      </c>
      <c r="M611" s="267">
        <v>0</v>
      </c>
      <c r="N611" s="271">
        <f t="shared" si="75"/>
        <v>129.60000000000002</v>
      </c>
      <c r="O611" s="276">
        <v>0</v>
      </c>
      <c r="P611" s="276">
        <f t="shared" si="71"/>
        <v>3134.4600000000005</v>
      </c>
      <c r="Q611" s="271">
        <f t="shared" si="72"/>
        <v>60084</v>
      </c>
      <c r="R611" s="271">
        <f t="shared" si="73"/>
        <v>32365.538400000001</v>
      </c>
      <c r="S611" s="271">
        <f t="shared" si="74"/>
        <v>2125.44</v>
      </c>
    </row>
    <row r="612" spans="1:21" s="270" customFormat="1" x14ac:dyDescent="0.25">
      <c r="A612" s="271">
        <v>501443</v>
      </c>
      <c r="B612" s="271">
        <v>1443</v>
      </c>
      <c r="C612" s="271">
        <v>200279</v>
      </c>
      <c r="D612" s="268" t="s">
        <v>894</v>
      </c>
      <c r="E612" s="268" t="s">
        <v>1290</v>
      </c>
      <c r="F612" s="268" t="s">
        <v>2508</v>
      </c>
      <c r="G612" s="268">
        <v>16</v>
      </c>
      <c r="H612" s="268" t="s">
        <v>3271</v>
      </c>
      <c r="I612" s="268" t="s">
        <v>3201</v>
      </c>
      <c r="J612" s="271">
        <v>179112</v>
      </c>
      <c r="K612" s="271">
        <f t="shared" si="69"/>
        <v>14926</v>
      </c>
      <c r="L612" s="271">
        <f t="shared" si="70"/>
        <v>12141.24</v>
      </c>
      <c r="M612" s="267">
        <v>0</v>
      </c>
      <c r="N612" s="271">
        <f t="shared" si="75"/>
        <v>129.60000000000002</v>
      </c>
      <c r="O612" s="276">
        <v>0</v>
      </c>
      <c r="P612" s="276">
        <f t="shared" si="71"/>
        <v>3134.4600000000005</v>
      </c>
      <c r="Q612" s="271">
        <f t="shared" si="72"/>
        <v>60084</v>
      </c>
      <c r="R612" s="271">
        <f t="shared" si="73"/>
        <v>32365.538400000001</v>
      </c>
      <c r="S612" s="271">
        <f t="shared" si="74"/>
        <v>2125.44</v>
      </c>
    </row>
    <row r="613" spans="1:21" s="270" customFormat="1" x14ac:dyDescent="0.25">
      <c r="A613" s="271">
        <v>501444</v>
      </c>
      <c r="B613" s="271">
        <v>1444</v>
      </c>
      <c r="C613" s="271">
        <v>200280</v>
      </c>
      <c r="D613" s="268" t="s">
        <v>894</v>
      </c>
      <c r="E613" s="268" t="s">
        <v>1278</v>
      </c>
      <c r="F613" s="268" t="s">
        <v>3272</v>
      </c>
      <c r="G613" s="268">
        <v>16</v>
      </c>
      <c r="H613" s="268" t="s">
        <v>3273</v>
      </c>
      <c r="I613" s="268" t="s">
        <v>3201</v>
      </c>
      <c r="J613" s="271">
        <v>179112</v>
      </c>
      <c r="K613" s="271">
        <f t="shared" si="69"/>
        <v>14926</v>
      </c>
      <c r="L613" s="271">
        <f t="shared" si="70"/>
        <v>12141.24</v>
      </c>
      <c r="M613" s="267">
        <v>0</v>
      </c>
      <c r="N613" s="271">
        <f t="shared" si="75"/>
        <v>129.60000000000002</v>
      </c>
      <c r="O613" s="276">
        <v>0</v>
      </c>
      <c r="P613" s="276">
        <f t="shared" si="71"/>
        <v>3134.4600000000005</v>
      </c>
      <c r="Q613" s="271">
        <f t="shared" si="72"/>
        <v>60084</v>
      </c>
      <c r="R613" s="271">
        <f t="shared" si="73"/>
        <v>32365.538400000001</v>
      </c>
      <c r="S613" s="271">
        <f t="shared" si="74"/>
        <v>2125.44</v>
      </c>
    </row>
    <row r="614" spans="1:21" s="270" customFormat="1" x14ac:dyDescent="0.25">
      <c r="A614" s="271">
        <v>501443</v>
      </c>
      <c r="B614" s="271">
        <v>1443</v>
      </c>
      <c r="C614" s="271">
        <v>200281</v>
      </c>
      <c r="D614" s="268" t="s">
        <v>894</v>
      </c>
      <c r="E614" s="268" t="s">
        <v>1290</v>
      </c>
      <c r="F614" s="268" t="s">
        <v>3059</v>
      </c>
      <c r="G614" s="268">
        <v>16</v>
      </c>
      <c r="H614" s="268" t="s">
        <v>3274</v>
      </c>
      <c r="I614" s="268" t="s">
        <v>3201</v>
      </c>
      <c r="J614" s="271">
        <v>179112</v>
      </c>
      <c r="K614" s="271">
        <f t="shared" si="69"/>
        <v>14926</v>
      </c>
      <c r="L614" s="271">
        <f t="shared" si="70"/>
        <v>12141.24</v>
      </c>
      <c r="M614" s="267">
        <v>0</v>
      </c>
      <c r="N614" s="271">
        <f t="shared" si="75"/>
        <v>129.60000000000002</v>
      </c>
      <c r="O614" s="276">
        <v>0</v>
      </c>
      <c r="P614" s="276">
        <f t="shared" si="71"/>
        <v>3134.4600000000005</v>
      </c>
      <c r="Q614" s="271">
        <f t="shared" si="72"/>
        <v>60084</v>
      </c>
      <c r="R614" s="271">
        <f t="shared" si="73"/>
        <v>32365.538400000001</v>
      </c>
      <c r="S614" s="271">
        <f t="shared" si="74"/>
        <v>2125.44</v>
      </c>
    </row>
    <row r="615" spans="1:21" s="270" customFormat="1" x14ac:dyDescent="0.25">
      <c r="A615" s="271">
        <v>501444</v>
      </c>
      <c r="B615" s="271">
        <v>1444</v>
      </c>
      <c r="C615" s="271">
        <v>200283</v>
      </c>
      <c r="D615" s="268" t="s">
        <v>894</v>
      </c>
      <c r="E615" s="268" t="s">
        <v>1278</v>
      </c>
      <c r="F615" s="268" t="s">
        <v>2971</v>
      </c>
      <c r="G615" s="268">
        <v>16</v>
      </c>
      <c r="H615" s="268" t="s">
        <v>3275</v>
      </c>
      <c r="I615" s="268" t="s">
        <v>3201</v>
      </c>
      <c r="J615" s="271">
        <v>179112</v>
      </c>
      <c r="K615" s="271">
        <f t="shared" si="69"/>
        <v>14926</v>
      </c>
      <c r="L615" s="271">
        <f t="shared" si="70"/>
        <v>12141.24</v>
      </c>
      <c r="M615" s="267">
        <v>0</v>
      </c>
      <c r="N615" s="271">
        <f t="shared" si="75"/>
        <v>129.60000000000002</v>
      </c>
      <c r="O615" s="276">
        <v>0</v>
      </c>
      <c r="P615" s="276">
        <f t="shared" si="71"/>
        <v>3134.4600000000005</v>
      </c>
      <c r="Q615" s="271">
        <f t="shared" si="72"/>
        <v>60084</v>
      </c>
      <c r="R615" s="271">
        <f t="shared" si="73"/>
        <v>32365.538400000001</v>
      </c>
      <c r="S615" s="271">
        <f t="shared" si="74"/>
        <v>2125.44</v>
      </c>
    </row>
    <row r="616" spans="1:21" s="270" customFormat="1" x14ac:dyDescent="0.25">
      <c r="A616" s="271">
        <v>501445</v>
      </c>
      <c r="B616" s="271">
        <v>1445</v>
      </c>
      <c r="C616" s="271">
        <v>200284</v>
      </c>
      <c r="D616" s="268" t="s">
        <v>894</v>
      </c>
      <c r="E616" s="268" t="s">
        <v>1278</v>
      </c>
      <c r="F616" s="268" t="s">
        <v>2362</v>
      </c>
      <c r="G616" s="268">
        <v>16</v>
      </c>
      <c r="H616" s="268" t="s">
        <v>3276</v>
      </c>
      <c r="I616" s="268" t="s">
        <v>3201</v>
      </c>
      <c r="J616" s="271">
        <v>179112</v>
      </c>
      <c r="K616" s="271">
        <f t="shared" si="69"/>
        <v>14926</v>
      </c>
      <c r="L616" s="271">
        <f t="shared" si="70"/>
        <v>12141.24</v>
      </c>
      <c r="M616" s="267">
        <v>0</v>
      </c>
      <c r="N616" s="271">
        <f t="shared" si="75"/>
        <v>129.60000000000002</v>
      </c>
      <c r="O616" s="276">
        <v>0</v>
      </c>
      <c r="P616" s="276">
        <f t="shared" si="71"/>
        <v>3134.4600000000005</v>
      </c>
      <c r="Q616" s="271">
        <f t="shared" si="72"/>
        <v>60084</v>
      </c>
      <c r="R616" s="271">
        <f t="shared" si="73"/>
        <v>32365.538400000001</v>
      </c>
      <c r="S616" s="271">
        <f t="shared" si="74"/>
        <v>2125.44</v>
      </c>
    </row>
    <row r="617" spans="1:21" x14ac:dyDescent="0.25">
      <c r="A617" s="271">
        <v>501443</v>
      </c>
      <c r="B617" s="271">
        <v>1443</v>
      </c>
      <c r="C617" s="271">
        <v>200285</v>
      </c>
      <c r="D617" s="268" t="s">
        <v>894</v>
      </c>
      <c r="E617" s="268" t="s">
        <v>1290</v>
      </c>
      <c r="F617" s="268" t="s">
        <v>3277</v>
      </c>
      <c r="G617" s="268">
        <v>16</v>
      </c>
      <c r="H617" s="268" t="s">
        <v>3265</v>
      </c>
      <c r="I617" s="268" t="s">
        <v>3201</v>
      </c>
      <c r="J617" s="271">
        <v>179112</v>
      </c>
      <c r="K617" s="271">
        <f t="shared" si="69"/>
        <v>14926</v>
      </c>
      <c r="L617" s="271">
        <f t="shared" si="70"/>
        <v>12141.24</v>
      </c>
      <c r="M617" s="267">
        <v>0</v>
      </c>
      <c r="N617" s="271">
        <f t="shared" si="75"/>
        <v>129.60000000000002</v>
      </c>
      <c r="O617" s="276">
        <v>0</v>
      </c>
      <c r="P617" s="276">
        <f t="shared" si="71"/>
        <v>3134.4600000000005</v>
      </c>
      <c r="Q617" s="271">
        <f t="shared" si="72"/>
        <v>60084</v>
      </c>
      <c r="R617" s="271">
        <f t="shared" si="73"/>
        <v>32365.538400000001</v>
      </c>
      <c r="S617" s="271">
        <f t="shared" si="74"/>
        <v>2125.44</v>
      </c>
      <c r="T617" s="270"/>
      <c r="U617" s="270"/>
    </row>
    <row r="618" spans="1:21" s="270" customFormat="1" x14ac:dyDescent="0.25">
      <c r="A618" s="271">
        <v>501406</v>
      </c>
      <c r="B618" s="271">
        <v>1406</v>
      </c>
      <c r="C618" s="271">
        <v>200286</v>
      </c>
      <c r="D618" s="268" t="s">
        <v>894</v>
      </c>
      <c r="E618" s="268" t="s">
        <v>1290</v>
      </c>
      <c r="F618" s="268" t="s">
        <v>3278</v>
      </c>
      <c r="G618" s="268">
        <v>16</v>
      </c>
      <c r="H618" s="268" t="s">
        <v>2438</v>
      </c>
      <c r="I618" s="268" t="s">
        <v>3201</v>
      </c>
      <c r="J618" s="271">
        <v>179112</v>
      </c>
      <c r="K618" s="271">
        <f t="shared" si="69"/>
        <v>14926</v>
      </c>
      <c r="L618" s="271">
        <f t="shared" si="70"/>
        <v>12141.24</v>
      </c>
      <c r="M618" s="267">
        <v>0</v>
      </c>
      <c r="N618" s="271">
        <f t="shared" si="75"/>
        <v>129.60000000000002</v>
      </c>
      <c r="O618" s="276">
        <v>0</v>
      </c>
      <c r="P618" s="276">
        <f t="shared" si="71"/>
        <v>3134.4600000000005</v>
      </c>
      <c r="Q618" s="271">
        <f t="shared" si="72"/>
        <v>60084</v>
      </c>
      <c r="R618" s="271">
        <f t="shared" si="73"/>
        <v>32365.538400000001</v>
      </c>
      <c r="S618" s="271">
        <f t="shared" si="74"/>
        <v>2125.44</v>
      </c>
    </row>
    <row r="619" spans="1:21" s="270" customFormat="1" x14ac:dyDescent="0.25">
      <c r="A619" s="271">
        <v>501443</v>
      </c>
      <c r="B619" s="271">
        <v>1443</v>
      </c>
      <c r="C619" s="271">
        <v>200287</v>
      </c>
      <c r="D619" s="268" t="s">
        <v>894</v>
      </c>
      <c r="E619" s="268" t="s">
        <v>1290</v>
      </c>
      <c r="F619" s="268" t="s">
        <v>2549</v>
      </c>
      <c r="G619" s="268">
        <v>16</v>
      </c>
      <c r="H619" s="268" t="s">
        <v>2196</v>
      </c>
      <c r="I619" s="268" t="s">
        <v>3201</v>
      </c>
      <c r="J619" s="271">
        <v>179112</v>
      </c>
      <c r="K619" s="271">
        <f t="shared" si="69"/>
        <v>14926</v>
      </c>
      <c r="L619" s="271">
        <f t="shared" si="70"/>
        <v>12141.24</v>
      </c>
      <c r="M619" s="267">
        <v>0</v>
      </c>
      <c r="N619" s="271">
        <f t="shared" si="75"/>
        <v>129.60000000000002</v>
      </c>
      <c r="O619" s="276">
        <v>0</v>
      </c>
      <c r="P619" s="276">
        <f t="shared" si="71"/>
        <v>3134.4600000000005</v>
      </c>
      <c r="Q619" s="271">
        <f t="shared" si="72"/>
        <v>60084</v>
      </c>
      <c r="R619" s="271">
        <f t="shared" si="73"/>
        <v>32365.538400000001</v>
      </c>
      <c r="S619" s="271">
        <f t="shared" si="74"/>
        <v>2125.44</v>
      </c>
    </row>
    <row r="620" spans="1:21" s="270" customFormat="1" x14ac:dyDescent="0.25">
      <c r="A620" s="271">
        <v>501445</v>
      </c>
      <c r="B620" s="271">
        <v>1445</v>
      </c>
      <c r="C620" s="271">
        <v>200289</v>
      </c>
      <c r="D620" s="268" t="s">
        <v>894</v>
      </c>
      <c r="E620" s="268" t="s">
        <v>1290</v>
      </c>
      <c r="F620" s="268" t="s">
        <v>1306</v>
      </c>
      <c r="G620" s="268">
        <v>16</v>
      </c>
      <c r="H620" s="268" t="s">
        <v>3279</v>
      </c>
      <c r="I620" s="268" t="s">
        <v>3201</v>
      </c>
      <c r="J620" s="271">
        <v>179112</v>
      </c>
      <c r="K620" s="271">
        <f t="shared" si="69"/>
        <v>14926</v>
      </c>
      <c r="L620" s="271">
        <f t="shared" si="70"/>
        <v>12141.24</v>
      </c>
      <c r="M620" s="267">
        <v>0</v>
      </c>
      <c r="N620" s="271">
        <f t="shared" si="75"/>
        <v>129.60000000000002</v>
      </c>
      <c r="O620" s="276">
        <v>0</v>
      </c>
      <c r="P620" s="276">
        <f t="shared" si="71"/>
        <v>3134.4600000000005</v>
      </c>
      <c r="Q620" s="271">
        <f t="shared" si="72"/>
        <v>60084</v>
      </c>
      <c r="R620" s="271">
        <f t="shared" si="73"/>
        <v>32365.538400000001</v>
      </c>
      <c r="S620" s="271">
        <f t="shared" si="74"/>
        <v>2125.44</v>
      </c>
    </row>
    <row r="621" spans="1:21" s="270" customFormat="1" x14ac:dyDescent="0.25">
      <c r="A621" s="271">
        <v>501445</v>
      </c>
      <c r="B621" s="271">
        <v>1445</v>
      </c>
      <c r="C621" s="271">
        <v>200291</v>
      </c>
      <c r="D621" s="268" t="s">
        <v>894</v>
      </c>
      <c r="E621" s="268" t="s">
        <v>1290</v>
      </c>
      <c r="F621" s="268" t="s">
        <v>2362</v>
      </c>
      <c r="G621" s="268">
        <v>16</v>
      </c>
      <c r="H621" s="268" t="s">
        <v>3280</v>
      </c>
      <c r="I621" s="268" t="s">
        <v>3201</v>
      </c>
      <c r="J621" s="271">
        <v>179112</v>
      </c>
      <c r="K621" s="271">
        <f t="shared" si="69"/>
        <v>14926</v>
      </c>
      <c r="L621" s="271">
        <f t="shared" si="70"/>
        <v>12141.24</v>
      </c>
      <c r="M621" s="267">
        <v>0</v>
      </c>
      <c r="N621" s="271">
        <f t="shared" si="75"/>
        <v>129.60000000000002</v>
      </c>
      <c r="O621" s="276">
        <v>0</v>
      </c>
      <c r="P621" s="276">
        <f t="shared" si="71"/>
        <v>3134.4600000000005</v>
      </c>
      <c r="Q621" s="271">
        <f t="shared" si="72"/>
        <v>60084</v>
      </c>
      <c r="R621" s="271">
        <f t="shared" si="73"/>
        <v>32365.538400000001</v>
      </c>
      <c r="S621" s="271">
        <f t="shared" si="74"/>
        <v>2125.44</v>
      </c>
    </row>
    <row r="622" spans="1:21" s="270" customFormat="1" x14ac:dyDescent="0.25">
      <c r="A622" s="271">
        <v>501444</v>
      </c>
      <c r="B622" s="271">
        <v>1444</v>
      </c>
      <c r="C622" s="271">
        <v>200292</v>
      </c>
      <c r="D622" s="268" t="s">
        <v>894</v>
      </c>
      <c r="E622" s="268" t="s">
        <v>1278</v>
      </c>
      <c r="F622" s="268" t="s">
        <v>2211</v>
      </c>
      <c r="G622" s="268">
        <v>16</v>
      </c>
      <c r="H622" s="268" t="s">
        <v>2659</v>
      </c>
      <c r="I622" s="268" t="s">
        <v>3201</v>
      </c>
      <c r="J622" s="271">
        <v>179112</v>
      </c>
      <c r="K622" s="271">
        <f t="shared" si="69"/>
        <v>14926</v>
      </c>
      <c r="L622" s="271">
        <f t="shared" si="70"/>
        <v>12141.24</v>
      </c>
      <c r="M622" s="267">
        <v>0</v>
      </c>
      <c r="N622" s="271">
        <f t="shared" si="75"/>
        <v>129.60000000000002</v>
      </c>
      <c r="O622" s="276">
        <v>0</v>
      </c>
      <c r="P622" s="276">
        <f t="shared" si="71"/>
        <v>3134.4600000000005</v>
      </c>
      <c r="Q622" s="271">
        <f t="shared" si="72"/>
        <v>60084</v>
      </c>
      <c r="R622" s="271">
        <f t="shared" si="73"/>
        <v>32365.538400000001</v>
      </c>
      <c r="S622" s="271">
        <f t="shared" si="74"/>
        <v>2125.44</v>
      </c>
    </row>
    <row r="623" spans="1:21" s="270" customFormat="1" x14ac:dyDescent="0.25">
      <c r="A623" s="271">
        <v>501443</v>
      </c>
      <c r="B623" s="271">
        <v>1443</v>
      </c>
      <c r="C623" s="271">
        <v>200293</v>
      </c>
      <c r="D623" s="268" t="s">
        <v>894</v>
      </c>
      <c r="E623" s="268" t="s">
        <v>1290</v>
      </c>
      <c r="F623" s="268" t="s">
        <v>3281</v>
      </c>
      <c r="G623" s="268">
        <v>16</v>
      </c>
      <c r="H623" s="268" t="s">
        <v>3282</v>
      </c>
      <c r="I623" s="268" t="s">
        <v>3201</v>
      </c>
      <c r="J623" s="271">
        <v>179112</v>
      </c>
      <c r="K623" s="271">
        <f t="shared" si="69"/>
        <v>14926</v>
      </c>
      <c r="L623" s="271">
        <f t="shared" si="70"/>
        <v>12141.24</v>
      </c>
      <c r="M623" s="267">
        <v>0</v>
      </c>
      <c r="N623" s="271">
        <f t="shared" si="75"/>
        <v>129.60000000000002</v>
      </c>
      <c r="O623" s="267">
        <v>0</v>
      </c>
      <c r="P623" s="276">
        <f t="shared" si="71"/>
        <v>3134.4600000000005</v>
      </c>
      <c r="Q623" s="271">
        <f t="shared" si="72"/>
        <v>60084</v>
      </c>
      <c r="R623" s="271">
        <f t="shared" si="73"/>
        <v>32365.538400000001</v>
      </c>
      <c r="S623" s="271">
        <f t="shared" si="74"/>
        <v>2125.44</v>
      </c>
    </row>
    <row r="624" spans="1:21" s="270" customFormat="1" x14ac:dyDescent="0.25">
      <c r="A624" s="271">
        <v>501443</v>
      </c>
      <c r="B624" s="271">
        <v>1443</v>
      </c>
      <c r="C624" s="271">
        <v>200296</v>
      </c>
      <c r="D624" s="268" t="s">
        <v>894</v>
      </c>
      <c r="E624" s="268" t="s">
        <v>1278</v>
      </c>
      <c r="F624" s="268" t="s">
        <v>3006</v>
      </c>
      <c r="G624" s="268">
        <v>16</v>
      </c>
      <c r="H624" s="268" t="s">
        <v>3283</v>
      </c>
      <c r="I624" s="268" t="s">
        <v>3201</v>
      </c>
      <c r="J624" s="271">
        <v>179112</v>
      </c>
      <c r="K624" s="271">
        <f t="shared" si="69"/>
        <v>14926</v>
      </c>
      <c r="L624" s="271">
        <f t="shared" si="70"/>
        <v>12141.24</v>
      </c>
      <c r="M624" s="267">
        <v>0</v>
      </c>
      <c r="N624" s="271">
        <f t="shared" si="75"/>
        <v>129.60000000000002</v>
      </c>
      <c r="O624" s="267">
        <v>0</v>
      </c>
      <c r="P624" s="276">
        <f t="shared" si="71"/>
        <v>3134.4600000000005</v>
      </c>
      <c r="Q624" s="271">
        <f t="shared" si="72"/>
        <v>60084</v>
      </c>
      <c r="R624" s="271">
        <f t="shared" si="73"/>
        <v>32365.538400000001</v>
      </c>
      <c r="S624" s="271">
        <f t="shared" si="74"/>
        <v>2125.44</v>
      </c>
    </row>
    <row r="625" spans="1:21" s="270" customFormat="1" x14ac:dyDescent="0.25">
      <c r="A625" s="271">
        <v>501443</v>
      </c>
      <c r="B625" s="271">
        <v>1443</v>
      </c>
      <c r="C625" s="271">
        <v>200297</v>
      </c>
      <c r="D625" s="268" t="s">
        <v>894</v>
      </c>
      <c r="E625" s="268" t="s">
        <v>1278</v>
      </c>
      <c r="F625" s="268" t="s">
        <v>3284</v>
      </c>
      <c r="G625" s="268">
        <v>16</v>
      </c>
      <c r="H625" s="268" t="s">
        <v>3285</v>
      </c>
      <c r="I625" s="268" t="s">
        <v>3201</v>
      </c>
      <c r="J625" s="271">
        <v>179112</v>
      </c>
      <c r="K625" s="271">
        <f t="shared" si="69"/>
        <v>14926</v>
      </c>
      <c r="L625" s="271">
        <f t="shared" si="70"/>
        <v>12141.24</v>
      </c>
      <c r="M625" s="267">
        <v>0</v>
      </c>
      <c r="N625" s="271">
        <f t="shared" si="75"/>
        <v>129.60000000000002</v>
      </c>
      <c r="O625" s="267">
        <v>0</v>
      </c>
      <c r="P625" s="276">
        <f t="shared" si="71"/>
        <v>3134.4600000000005</v>
      </c>
      <c r="Q625" s="271">
        <f t="shared" si="72"/>
        <v>60084</v>
      </c>
      <c r="R625" s="271">
        <f t="shared" si="73"/>
        <v>32365.538400000001</v>
      </c>
      <c r="S625" s="271">
        <f t="shared" si="74"/>
        <v>2125.44</v>
      </c>
      <c r="T625" s="280"/>
      <c r="U625" s="280"/>
    </row>
    <row r="626" spans="1:21" s="280" customFormat="1" x14ac:dyDescent="0.25">
      <c r="A626" s="271">
        <v>501443</v>
      </c>
      <c r="B626" s="271">
        <v>1443</v>
      </c>
      <c r="C626" s="271">
        <v>200303</v>
      </c>
      <c r="D626" s="268" t="s">
        <v>894</v>
      </c>
      <c r="E626" s="268" t="s">
        <v>1278</v>
      </c>
      <c r="F626" s="268" t="s">
        <v>2971</v>
      </c>
      <c r="G626" s="268">
        <v>16</v>
      </c>
      <c r="H626" s="268" t="s">
        <v>3286</v>
      </c>
      <c r="I626" s="268" t="s">
        <v>3201</v>
      </c>
      <c r="J626" s="271">
        <v>179112</v>
      </c>
      <c r="K626" s="270">
        <f t="shared" si="69"/>
        <v>14926</v>
      </c>
      <c r="L626" s="271">
        <f t="shared" si="70"/>
        <v>12141.24</v>
      </c>
      <c r="M626" s="267">
        <v>0</v>
      </c>
      <c r="N626" s="271">
        <f t="shared" si="75"/>
        <v>129.60000000000002</v>
      </c>
      <c r="O626" s="267">
        <v>0</v>
      </c>
      <c r="P626" s="276">
        <f t="shared" si="71"/>
        <v>3134.4600000000005</v>
      </c>
      <c r="Q626" s="271">
        <f t="shared" si="72"/>
        <v>60084</v>
      </c>
      <c r="R626" s="271">
        <f t="shared" si="73"/>
        <v>32365.538400000001</v>
      </c>
      <c r="S626" s="271">
        <f t="shared" si="74"/>
        <v>2125.44</v>
      </c>
      <c r="T626" s="270"/>
      <c r="U626" s="270"/>
    </row>
    <row r="627" spans="1:21" s="280" customFormat="1" x14ac:dyDescent="0.25">
      <c r="A627" s="271">
        <v>501443</v>
      </c>
      <c r="B627" s="271">
        <v>1443</v>
      </c>
      <c r="C627" s="271">
        <v>200306</v>
      </c>
      <c r="D627" s="268" t="s">
        <v>894</v>
      </c>
      <c r="E627" s="268" t="s">
        <v>1278</v>
      </c>
      <c r="F627" s="268" t="s">
        <v>2549</v>
      </c>
      <c r="G627" s="268">
        <v>16</v>
      </c>
      <c r="H627" s="268" t="s">
        <v>3112</v>
      </c>
      <c r="I627" s="268" t="s">
        <v>3201</v>
      </c>
      <c r="J627" s="271">
        <v>179112</v>
      </c>
      <c r="K627" s="271">
        <f t="shared" si="69"/>
        <v>14926</v>
      </c>
      <c r="L627" s="271">
        <f t="shared" si="70"/>
        <v>12141.24</v>
      </c>
      <c r="M627" s="267">
        <v>0</v>
      </c>
      <c r="N627" s="271">
        <f t="shared" si="75"/>
        <v>129.60000000000002</v>
      </c>
      <c r="O627" s="267">
        <v>0</v>
      </c>
      <c r="P627" s="276">
        <f t="shared" si="71"/>
        <v>3134.4600000000005</v>
      </c>
      <c r="Q627" s="271">
        <f t="shared" si="72"/>
        <v>60084</v>
      </c>
      <c r="R627" s="271">
        <f t="shared" si="73"/>
        <v>32365.538400000001</v>
      </c>
      <c r="S627" s="271">
        <f t="shared" si="74"/>
        <v>2125.44</v>
      </c>
      <c r="T627" s="270"/>
      <c r="U627" s="270"/>
    </row>
    <row r="628" spans="1:21" s="270" customFormat="1" x14ac:dyDescent="0.25">
      <c r="A628" s="271">
        <v>501443</v>
      </c>
      <c r="B628" s="271">
        <v>1443</v>
      </c>
      <c r="C628" s="271">
        <v>200309</v>
      </c>
      <c r="D628" s="268" t="s">
        <v>894</v>
      </c>
      <c r="E628" s="268" t="s">
        <v>1278</v>
      </c>
      <c r="F628" s="268" t="s">
        <v>2549</v>
      </c>
      <c r="G628" s="268">
        <v>16</v>
      </c>
      <c r="H628" s="268" t="s">
        <v>3287</v>
      </c>
      <c r="I628" s="268" t="s">
        <v>3201</v>
      </c>
      <c r="J628" s="271">
        <v>179112</v>
      </c>
      <c r="K628" s="271">
        <f t="shared" si="69"/>
        <v>14926</v>
      </c>
      <c r="L628" s="271">
        <f t="shared" si="70"/>
        <v>12141.24</v>
      </c>
      <c r="M628" s="267">
        <v>0</v>
      </c>
      <c r="N628" s="271">
        <f t="shared" si="75"/>
        <v>129.60000000000002</v>
      </c>
      <c r="O628" s="267">
        <v>0</v>
      </c>
      <c r="P628" s="276">
        <f t="shared" si="71"/>
        <v>3134.4600000000005</v>
      </c>
      <c r="Q628" s="271">
        <f t="shared" si="72"/>
        <v>60084</v>
      </c>
      <c r="R628" s="271">
        <f t="shared" si="73"/>
        <v>32365.538400000001</v>
      </c>
      <c r="S628" s="271">
        <f t="shared" si="74"/>
        <v>2125.44</v>
      </c>
    </row>
    <row r="629" spans="1:21" s="280" customFormat="1" x14ac:dyDescent="0.25">
      <c r="A629" s="271">
        <v>501444</v>
      </c>
      <c r="B629" s="271">
        <v>1444</v>
      </c>
      <c r="C629" s="271">
        <v>200312</v>
      </c>
      <c r="D629" s="268" t="s">
        <v>894</v>
      </c>
      <c r="E629" s="268" t="s">
        <v>1278</v>
      </c>
      <c r="F629" s="268" t="s">
        <v>2360</v>
      </c>
      <c r="G629" s="268">
        <v>16</v>
      </c>
      <c r="H629" s="268" t="s">
        <v>3288</v>
      </c>
      <c r="I629" s="268" t="s">
        <v>3201</v>
      </c>
      <c r="J629" s="271">
        <v>179112</v>
      </c>
      <c r="K629" s="271">
        <f t="shared" si="69"/>
        <v>14926</v>
      </c>
      <c r="L629" s="271">
        <f t="shared" si="70"/>
        <v>12141.24</v>
      </c>
      <c r="M629" s="267">
        <v>0</v>
      </c>
      <c r="N629" s="271">
        <f t="shared" si="75"/>
        <v>129.60000000000002</v>
      </c>
      <c r="O629" s="267">
        <v>0</v>
      </c>
      <c r="P629" s="276">
        <f t="shared" si="71"/>
        <v>3134.4600000000005</v>
      </c>
      <c r="Q629" s="271">
        <f t="shared" si="72"/>
        <v>60084</v>
      </c>
      <c r="R629" s="271">
        <f t="shared" si="73"/>
        <v>32365.538400000001</v>
      </c>
      <c r="S629" s="271">
        <f t="shared" si="74"/>
        <v>2125.44</v>
      </c>
    </row>
    <row r="630" spans="1:21" s="270" customFormat="1" x14ac:dyDescent="0.25">
      <c r="A630" s="271">
        <v>501443</v>
      </c>
      <c r="B630" s="271">
        <v>1443</v>
      </c>
      <c r="C630" s="271">
        <v>200315</v>
      </c>
      <c r="D630" s="268" t="s">
        <v>894</v>
      </c>
      <c r="E630" s="268" t="s">
        <v>1290</v>
      </c>
      <c r="F630" s="268" t="s">
        <v>3289</v>
      </c>
      <c r="G630" s="268">
        <v>16</v>
      </c>
      <c r="H630" s="268" t="s">
        <v>3290</v>
      </c>
      <c r="I630" s="268" t="s">
        <v>3201</v>
      </c>
      <c r="J630" s="271">
        <v>179112</v>
      </c>
      <c r="K630" s="271">
        <f t="shared" si="69"/>
        <v>14926</v>
      </c>
      <c r="L630" s="271">
        <f t="shared" si="70"/>
        <v>12141.24</v>
      </c>
      <c r="M630" s="267">
        <v>0</v>
      </c>
      <c r="N630" s="271">
        <f t="shared" si="75"/>
        <v>129.60000000000002</v>
      </c>
      <c r="O630" s="267">
        <v>0</v>
      </c>
      <c r="P630" s="276">
        <f t="shared" si="71"/>
        <v>3134.4600000000005</v>
      </c>
      <c r="Q630" s="271">
        <f t="shared" si="72"/>
        <v>60084</v>
      </c>
      <c r="R630" s="271">
        <f t="shared" si="73"/>
        <v>32365.538400000001</v>
      </c>
      <c r="S630" s="271">
        <f t="shared" si="74"/>
        <v>2125.44</v>
      </c>
    </row>
    <row r="631" spans="1:21" s="270" customFormat="1" x14ac:dyDescent="0.25">
      <c r="A631" s="271">
        <v>501445</v>
      </c>
      <c r="B631" s="271">
        <v>1445</v>
      </c>
      <c r="C631" s="271">
        <v>200318</v>
      </c>
      <c r="D631" s="268" t="s">
        <v>894</v>
      </c>
      <c r="E631" s="268" t="s">
        <v>1278</v>
      </c>
      <c r="F631" s="268" t="s">
        <v>2251</v>
      </c>
      <c r="G631" s="268">
        <v>16</v>
      </c>
      <c r="H631" s="268" t="s">
        <v>3291</v>
      </c>
      <c r="I631" s="268" t="s">
        <v>3201</v>
      </c>
      <c r="J631" s="271">
        <v>179112</v>
      </c>
      <c r="K631" s="271">
        <f t="shared" si="69"/>
        <v>14926</v>
      </c>
      <c r="L631" s="271">
        <f t="shared" si="70"/>
        <v>12141.24</v>
      </c>
      <c r="M631" s="267">
        <v>0</v>
      </c>
      <c r="N631" s="271">
        <f t="shared" si="75"/>
        <v>129.60000000000002</v>
      </c>
      <c r="O631" s="267">
        <v>0</v>
      </c>
      <c r="P631" s="276">
        <f t="shared" si="71"/>
        <v>3134.4600000000005</v>
      </c>
      <c r="Q631" s="271">
        <f t="shared" si="72"/>
        <v>60084</v>
      </c>
      <c r="R631" s="271">
        <f t="shared" si="73"/>
        <v>32365.538400000001</v>
      </c>
      <c r="S631" s="271">
        <f t="shared" si="74"/>
        <v>2125.44</v>
      </c>
    </row>
    <row r="632" spans="1:21" s="270" customFormat="1" x14ac:dyDescent="0.25">
      <c r="A632" s="271">
        <v>501443</v>
      </c>
      <c r="B632" s="271">
        <v>1443</v>
      </c>
      <c r="C632" s="271">
        <v>200342</v>
      </c>
      <c r="D632" s="268" t="s">
        <v>894</v>
      </c>
      <c r="E632" s="268" t="s">
        <v>1278</v>
      </c>
      <c r="F632" s="268" t="s">
        <v>3292</v>
      </c>
      <c r="G632" s="268">
        <v>16</v>
      </c>
      <c r="H632" s="268" t="s">
        <v>3293</v>
      </c>
      <c r="I632" s="268" t="s">
        <v>3201</v>
      </c>
      <c r="J632" s="271">
        <v>179112</v>
      </c>
      <c r="K632" s="271">
        <f t="shared" si="69"/>
        <v>14926</v>
      </c>
      <c r="L632" s="271">
        <f t="shared" si="70"/>
        <v>12141.24</v>
      </c>
      <c r="M632" s="267">
        <v>0</v>
      </c>
      <c r="N632" s="271">
        <f t="shared" si="75"/>
        <v>129.60000000000002</v>
      </c>
      <c r="O632" s="267">
        <v>0</v>
      </c>
      <c r="P632" s="276">
        <f t="shared" si="71"/>
        <v>3134.4600000000005</v>
      </c>
      <c r="Q632" s="271">
        <f t="shared" si="72"/>
        <v>60084</v>
      </c>
      <c r="R632" s="271">
        <f t="shared" si="73"/>
        <v>32365.538400000001</v>
      </c>
      <c r="S632" s="271">
        <f t="shared" si="74"/>
        <v>2125.44</v>
      </c>
      <c r="T632" s="280"/>
      <c r="U632" s="280"/>
    </row>
    <row r="633" spans="1:21" s="270" customFormat="1" x14ac:dyDescent="0.25">
      <c r="A633" s="271">
        <v>501444</v>
      </c>
      <c r="B633" s="271">
        <v>1444</v>
      </c>
      <c r="C633" s="271">
        <v>200345</v>
      </c>
      <c r="D633" s="268" t="s">
        <v>894</v>
      </c>
      <c r="E633" s="268" t="s">
        <v>1278</v>
      </c>
      <c r="F633" s="268" t="s">
        <v>2203</v>
      </c>
      <c r="G633" s="268">
        <v>16</v>
      </c>
      <c r="H633" s="268" t="s">
        <v>3294</v>
      </c>
      <c r="I633" s="268" t="s">
        <v>3201</v>
      </c>
      <c r="J633" s="271">
        <v>179112</v>
      </c>
      <c r="K633" s="271">
        <f t="shared" si="69"/>
        <v>14926</v>
      </c>
      <c r="L633" s="271">
        <f t="shared" si="70"/>
        <v>12141.24</v>
      </c>
      <c r="M633" s="267">
        <v>0</v>
      </c>
      <c r="N633" s="271">
        <f t="shared" si="75"/>
        <v>129.60000000000002</v>
      </c>
      <c r="O633" s="267">
        <v>0</v>
      </c>
      <c r="P633" s="276">
        <f t="shared" si="71"/>
        <v>3134.4600000000005</v>
      </c>
      <c r="Q633" s="271">
        <f t="shared" si="72"/>
        <v>60084</v>
      </c>
      <c r="R633" s="271">
        <f t="shared" si="73"/>
        <v>32365.538400000001</v>
      </c>
      <c r="S633" s="271">
        <f t="shared" si="74"/>
        <v>2125.44</v>
      </c>
      <c r="T633" s="280"/>
      <c r="U633" s="280"/>
    </row>
    <row r="634" spans="1:21" s="270" customFormat="1" x14ac:dyDescent="0.25">
      <c r="A634" s="271">
        <v>501445</v>
      </c>
      <c r="B634" s="271">
        <v>1445</v>
      </c>
      <c r="C634" s="271">
        <v>200347</v>
      </c>
      <c r="D634" s="268" t="s">
        <v>894</v>
      </c>
      <c r="E634" s="268" t="s">
        <v>1290</v>
      </c>
      <c r="F634" s="268" t="s">
        <v>2547</v>
      </c>
      <c r="G634" s="268">
        <v>16</v>
      </c>
      <c r="H634" s="268" t="s">
        <v>3295</v>
      </c>
      <c r="I634" s="268" t="s">
        <v>3201</v>
      </c>
      <c r="J634" s="271">
        <v>179112</v>
      </c>
      <c r="K634" s="271">
        <f t="shared" si="69"/>
        <v>14926</v>
      </c>
      <c r="L634" s="271">
        <f t="shared" si="70"/>
        <v>12141.24</v>
      </c>
      <c r="M634" s="267">
        <v>0</v>
      </c>
      <c r="N634" s="271">
        <f t="shared" si="75"/>
        <v>129.60000000000002</v>
      </c>
      <c r="O634" s="267">
        <v>0</v>
      </c>
      <c r="P634" s="276">
        <f t="shared" si="71"/>
        <v>3134.4600000000005</v>
      </c>
      <c r="Q634" s="271">
        <f t="shared" si="72"/>
        <v>60084</v>
      </c>
      <c r="R634" s="271">
        <f t="shared" si="73"/>
        <v>32365.538400000001</v>
      </c>
      <c r="S634" s="271">
        <f t="shared" si="74"/>
        <v>2125.44</v>
      </c>
    </row>
    <row r="635" spans="1:21" s="270" customFormat="1" x14ac:dyDescent="0.25">
      <c r="A635" s="271">
        <v>501445</v>
      </c>
      <c r="B635" s="271">
        <v>1445</v>
      </c>
      <c r="C635" s="271">
        <v>200418</v>
      </c>
      <c r="D635" s="268" t="s">
        <v>894</v>
      </c>
      <c r="E635" s="268" t="s">
        <v>1290</v>
      </c>
      <c r="F635" s="268" t="s">
        <v>2725</v>
      </c>
      <c r="G635" s="268">
        <v>16</v>
      </c>
      <c r="H635" s="268" t="s">
        <v>3296</v>
      </c>
      <c r="I635" s="268" t="s">
        <v>3201</v>
      </c>
      <c r="J635" s="271">
        <v>179112</v>
      </c>
      <c r="K635" s="271">
        <f t="shared" si="69"/>
        <v>14926</v>
      </c>
      <c r="L635" s="271">
        <f t="shared" si="70"/>
        <v>12141.24</v>
      </c>
      <c r="M635" s="267">
        <v>0</v>
      </c>
      <c r="N635" s="271">
        <f t="shared" si="75"/>
        <v>129.60000000000002</v>
      </c>
      <c r="O635" s="267">
        <v>0</v>
      </c>
      <c r="P635" s="276">
        <f t="shared" si="71"/>
        <v>3134.4600000000005</v>
      </c>
      <c r="Q635" s="271">
        <f t="shared" si="72"/>
        <v>60084</v>
      </c>
      <c r="R635" s="271">
        <f t="shared" si="73"/>
        <v>32365.538400000001</v>
      </c>
      <c r="S635" s="271">
        <f t="shared" si="74"/>
        <v>2125.44</v>
      </c>
      <c r="T635" s="280"/>
      <c r="U635" s="280"/>
    </row>
    <row r="636" spans="1:21" s="270" customFormat="1" x14ac:dyDescent="0.25">
      <c r="A636" s="271">
        <v>501445</v>
      </c>
      <c r="B636" s="271">
        <v>1445</v>
      </c>
      <c r="C636" s="271">
        <v>200423</v>
      </c>
      <c r="D636" s="268" t="s">
        <v>894</v>
      </c>
      <c r="E636" s="268" t="s">
        <v>1290</v>
      </c>
      <c r="F636" s="268" t="s">
        <v>3297</v>
      </c>
      <c r="G636" s="268">
        <v>16</v>
      </c>
      <c r="H636" s="268" t="s">
        <v>3298</v>
      </c>
      <c r="I636" s="268" t="s">
        <v>3201</v>
      </c>
      <c r="J636" s="271">
        <v>179112</v>
      </c>
      <c r="K636" s="271">
        <f t="shared" si="69"/>
        <v>14926</v>
      </c>
      <c r="L636" s="271">
        <f t="shared" si="70"/>
        <v>12141.24</v>
      </c>
      <c r="M636" s="267">
        <v>0</v>
      </c>
      <c r="N636" s="271">
        <f t="shared" si="75"/>
        <v>129.60000000000002</v>
      </c>
      <c r="O636" s="267">
        <v>0</v>
      </c>
      <c r="P636" s="276">
        <f t="shared" si="71"/>
        <v>3134.4600000000005</v>
      </c>
      <c r="Q636" s="271">
        <f t="shared" si="72"/>
        <v>60084</v>
      </c>
      <c r="R636" s="271">
        <f t="shared" si="73"/>
        <v>32365.538400000001</v>
      </c>
      <c r="S636" s="271">
        <f t="shared" si="74"/>
        <v>2125.44</v>
      </c>
      <c r="T636" s="280"/>
      <c r="U636" s="280"/>
    </row>
    <row r="637" spans="1:21" s="270" customFormat="1" x14ac:dyDescent="0.25">
      <c r="A637" s="271">
        <v>501445</v>
      </c>
      <c r="B637" s="271">
        <v>1445</v>
      </c>
      <c r="C637" s="271">
        <v>200424</v>
      </c>
      <c r="D637" s="268" t="s">
        <v>894</v>
      </c>
      <c r="E637" s="268" t="s">
        <v>1290</v>
      </c>
      <c r="F637" s="268" t="s">
        <v>2725</v>
      </c>
      <c r="G637" s="268">
        <v>16</v>
      </c>
      <c r="H637" s="268" t="s">
        <v>3299</v>
      </c>
      <c r="I637" s="268" t="s">
        <v>3201</v>
      </c>
      <c r="J637" s="271">
        <v>179112</v>
      </c>
      <c r="K637" s="271">
        <f t="shared" si="69"/>
        <v>14926</v>
      </c>
      <c r="L637" s="271">
        <f t="shared" si="70"/>
        <v>12141.24</v>
      </c>
      <c r="M637" s="267">
        <v>0</v>
      </c>
      <c r="N637" s="271">
        <f t="shared" si="75"/>
        <v>129.60000000000002</v>
      </c>
      <c r="O637" s="267">
        <v>0</v>
      </c>
      <c r="P637" s="276">
        <f t="shared" si="71"/>
        <v>3134.4600000000005</v>
      </c>
      <c r="Q637" s="271">
        <f t="shared" si="72"/>
        <v>60084</v>
      </c>
      <c r="R637" s="271">
        <f t="shared" si="73"/>
        <v>32365.538400000001</v>
      </c>
      <c r="S637" s="271">
        <f t="shared" si="74"/>
        <v>2125.44</v>
      </c>
      <c r="T637" s="280"/>
      <c r="U637" s="280"/>
    </row>
    <row r="638" spans="1:21" s="270" customFormat="1" x14ac:dyDescent="0.25">
      <c r="A638" s="271">
        <v>501445</v>
      </c>
      <c r="B638" s="271">
        <v>1445</v>
      </c>
      <c r="C638" s="271">
        <v>200427</v>
      </c>
      <c r="D638" s="268" t="s">
        <v>894</v>
      </c>
      <c r="E638" s="268" t="s">
        <v>1290</v>
      </c>
      <c r="F638" s="268" t="s">
        <v>3300</v>
      </c>
      <c r="G638" s="268">
        <v>16</v>
      </c>
      <c r="H638" s="268" t="s">
        <v>3301</v>
      </c>
      <c r="I638" s="268" t="s">
        <v>3201</v>
      </c>
      <c r="J638" s="271">
        <v>179112</v>
      </c>
      <c r="K638" s="271">
        <f t="shared" si="69"/>
        <v>14926</v>
      </c>
      <c r="L638" s="271">
        <f t="shared" si="70"/>
        <v>12141.24</v>
      </c>
      <c r="M638" s="267">
        <v>0</v>
      </c>
      <c r="N638" s="271">
        <f t="shared" si="75"/>
        <v>129.60000000000002</v>
      </c>
      <c r="O638" s="267">
        <v>0</v>
      </c>
      <c r="P638" s="276">
        <f t="shared" si="71"/>
        <v>3134.4600000000005</v>
      </c>
      <c r="Q638" s="271">
        <f t="shared" si="72"/>
        <v>60084</v>
      </c>
      <c r="R638" s="271">
        <f t="shared" si="73"/>
        <v>32365.538400000001</v>
      </c>
      <c r="S638" s="271">
        <f t="shared" si="74"/>
        <v>2125.44</v>
      </c>
    </row>
    <row r="639" spans="1:21" s="270" customFormat="1" x14ac:dyDescent="0.25">
      <c r="A639" s="271">
        <v>501445</v>
      </c>
      <c r="B639" s="271">
        <v>1445</v>
      </c>
      <c r="C639" s="271">
        <v>200429</v>
      </c>
      <c r="D639" s="268" t="s">
        <v>894</v>
      </c>
      <c r="E639" s="268" t="s">
        <v>1278</v>
      </c>
      <c r="F639" s="268" t="s">
        <v>3302</v>
      </c>
      <c r="G639" s="268">
        <v>16</v>
      </c>
      <c r="H639" s="268" t="s">
        <v>3303</v>
      </c>
      <c r="I639" s="268" t="s">
        <v>3201</v>
      </c>
      <c r="J639" s="271">
        <v>179112</v>
      </c>
      <c r="K639" s="271">
        <f t="shared" si="69"/>
        <v>14926</v>
      </c>
      <c r="L639" s="271">
        <f t="shared" si="70"/>
        <v>12141.24</v>
      </c>
      <c r="M639" s="267">
        <v>0</v>
      </c>
      <c r="N639" s="271">
        <f t="shared" si="75"/>
        <v>129.60000000000002</v>
      </c>
      <c r="O639" s="267">
        <v>0</v>
      </c>
      <c r="P639" s="276">
        <f t="shared" si="71"/>
        <v>3134.4600000000005</v>
      </c>
      <c r="Q639" s="271">
        <f t="shared" si="72"/>
        <v>60084</v>
      </c>
      <c r="R639" s="271">
        <f t="shared" si="73"/>
        <v>32365.538400000001</v>
      </c>
      <c r="S639" s="271">
        <f t="shared" si="74"/>
        <v>2125.44</v>
      </c>
    </row>
    <row r="640" spans="1:21" s="270" customFormat="1" x14ac:dyDescent="0.25">
      <c r="A640" s="271">
        <v>501445</v>
      </c>
      <c r="B640" s="271">
        <v>1445</v>
      </c>
      <c r="C640" s="271">
        <v>200433</v>
      </c>
      <c r="D640" s="268" t="s">
        <v>894</v>
      </c>
      <c r="E640" s="268" t="s">
        <v>1290</v>
      </c>
      <c r="F640" s="268" t="s">
        <v>2411</v>
      </c>
      <c r="G640" s="268">
        <v>16</v>
      </c>
      <c r="H640" s="268" t="s">
        <v>3304</v>
      </c>
      <c r="I640" s="268" t="s">
        <v>3201</v>
      </c>
      <c r="J640" s="271">
        <v>179112</v>
      </c>
      <c r="K640" s="271">
        <f t="shared" ref="K640:K694" si="76">J640/12</f>
        <v>14926</v>
      </c>
      <c r="L640" s="271">
        <f t="shared" ref="L640:L694" si="77">1011.77*12</f>
        <v>12141.24</v>
      </c>
      <c r="M640" s="267">
        <v>0</v>
      </c>
      <c r="N640" s="271">
        <f t="shared" si="75"/>
        <v>129.60000000000002</v>
      </c>
      <c r="O640" s="267">
        <v>0</v>
      </c>
      <c r="P640" s="276">
        <f t="shared" ref="P640:P694" si="78">J640*1.75%</f>
        <v>3134.4600000000005</v>
      </c>
      <c r="Q640" s="271">
        <f t="shared" ref="Q640:Q692" si="79">5007*12</f>
        <v>60084</v>
      </c>
      <c r="R640" s="271">
        <f t="shared" ref="R640:R691" si="80">18.07%*J640</f>
        <v>32365.538400000001</v>
      </c>
      <c r="S640" s="271">
        <f t="shared" si="74"/>
        <v>2125.44</v>
      </c>
    </row>
    <row r="641" spans="1:21" s="270" customFormat="1" x14ac:dyDescent="0.25">
      <c r="A641" s="271">
        <v>501445</v>
      </c>
      <c r="B641" s="271">
        <v>1445</v>
      </c>
      <c r="C641" s="271">
        <v>200435</v>
      </c>
      <c r="D641" s="268" t="s">
        <v>894</v>
      </c>
      <c r="E641" s="268" t="s">
        <v>1290</v>
      </c>
      <c r="F641" s="268" t="s">
        <v>2838</v>
      </c>
      <c r="G641" s="268">
        <v>16</v>
      </c>
      <c r="H641" s="268" t="s">
        <v>3305</v>
      </c>
      <c r="I641" s="268" t="s">
        <v>3201</v>
      </c>
      <c r="J641" s="271">
        <v>179112</v>
      </c>
      <c r="K641" s="271">
        <f t="shared" si="76"/>
        <v>14926</v>
      </c>
      <c r="L641" s="271">
        <f t="shared" si="77"/>
        <v>12141.24</v>
      </c>
      <c r="M641" s="267">
        <v>0</v>
      </c>
      <c r="N641" s="271">
        <f t="shared" si="75"/>
        <v>129.60000000000002</v>
      </c>
      <c r="O641" s="267">
        <v>0</v>
      </c>
      <c r="P641" s="276">
        <f t="shared" si="78"/>
        <v>3134.4600000000005</v>
      </c>
      <c r="Q641" s="271">
        <f t="shared" si="79"/>
        <v>60084</v>
      </c>
      <c r="R641" s="271">
        <f t="shared" si="80"/>
        <v>32365.538400000001</v>
      </c>
      <c r="S641" s="271">
        <f t="shared" ref="S641:S694" si="81">177.12*12</f>
        <v>2125.44</v>
      </c>
    </row>
    <row r="642" spans="1:21" s="270" customFormat="1" x14ac:dyDescent="0.25">
      <c r="A642" s="271">
        <v>501445</v>
      </c>
      <c r="B642" s="271">
        <v>1445</v>
      </c>
      <c r="C642" s="271">
        <v>200439</v>
      </c>
      <c r="D642" s="268" t="s">
        <v>894</v>
      </c>
      <c r="E642" s="268" t="s">
        <v>1290</v>
      </c>
      <c r="F642" s="268" t="s">
        <v>3306</v>
      </c>
      <c r="G642" s="268">
        <v>16</v>
      </c>
      <c r="H642" s="268" t="s">
        <v>3307</v>
      </c>
      <c r="I642" s="268" t="s">
        <v>3201</v>
      </c>
      <c r="J642" s="271">
        <v>179112</v>
      </c>
      <c r="K642" s="271">
        <f t="shared" si="76"/>
        <v>14926</v>
      </c>
      <c r="L642" s="271">
        <f t="shared" si="77"/>
        <v>12141.24</v>
      </c>
      <c r="M642" s="267">
        <v>0</v>
      </c>
      <c r="N642" s="271">
        <f t="shared" si="75"/>
        <v>129.60000000000002</v>
      </c>
      <c r="O642" s="267">
        <v>0</v>
      </c>
      <c r="P642" s="276">
        <f t="shared" si="78"/>
        <v>3134.4600000000005</v>
      </c>
      <c r="Q642" s="271">
        <f t="shared" si="79"/>
        <v>60084</v>
      </c>
      <c r="R642" s="271">
        <f t="shared" si="80"/>
        <v>32365.538400000001</v>
      </c>
      <c r="S642" s="271">
        <f t="shared" si="81"/>
        <v>2125.44</v>
      </c>
    </row>
    <row r="643" spans="1:21" s="270" customFormat="1" x14ac:dyDescent="0.25">
      <c r="A643" s="271">
        <v>501444</v>
      </c>
      <c r="B643" s="271">
        <v>1444</v>
      </c>
      <c r="C643" s="271">
        <v>200470</v>
      </c>
      <c r="D643" s="268" t="s">
        <v>894</v>
      </c>
      <c r="E643" s="268" t="s">
        <v>1290</v>
      </c>
      <c r="F643" s="268" t="s">
        <v>2306</v>
      </c>
      <c r="G643" s="268">
        <v>16</v>
      </c>
      <c r="H643" s="268" t="s">
        <v>3308</v>
      </c>
      <c r="I643" s="268" t="s">
        <v>3201</v>
      </c>
      <c r="J643" s="271">
        <v>179112</v>
      </c>
      <c r="K643" s="271">
        <f t="shared" si="76"/>
        <v>14926</v>
      </c>
      <c r="L643" s="271">
        <f t="shared" si="77"/>
        <v>12141.24</v>
      </c>
      <c r="M643" s="267">
        <v>0</v>
      </c>
      <c r="N643" s="271">
        <f t="shared" si="75"/>
        <v>129.60000000000002</v>
      </c>
      <c r="O643" s="267">
        <v>0</v>
      </c>
      <c r="P643" s="276">
        <f t="shared" si="78"/>
        <v>3134.4600000000005</v>
      </c>
      <c r="Q643" s="271">
        <f t="shared" si="79"/>
        <v>60084</v>
      </c>
      <c r="R643" s="271">
        <f t="shared" si="80"/>
        <v>32365.538400000001</v>
      </c>
      <c r="S643" s="271">
        <f t="shared" si="81"/>
        <v>2125.44</v>
      </c>
    </row>
    <row r="644" spans="1:21" s="270" customFormat="1" x14ac:dyDescent="0.25">
      <c r="A644" s="271">
        <v>501506</v>
      </c>
      <c r="B644" s="271">
        <v>1506</v>
      </c>
      <c r="C644" s="271">
        <v>200476</v>
      </c>
      <c r="D644" s="268" t="s">
        <v>894</v>
      </c>
      <c r="E644" s="268" t="s">
        <v>1278</v>
      </c>
      <c r="F644" s="268" t="s">
        <v>2694</v>
      </c>
      <c r="G644" s="268">
        <v>16</v>
      </c>
      <c r="H644" s="268" t="s">
        <v>3293</v>
      </c>
      <c r="I644" s="268" t="s">
        <v>3201</v>
      </c>
      <c r="J644" s="271">
        <v>179112</v>
      </c>
      <c r="K644" s="271">
        <f t="shared" si="76"/>
        <v>14926</v>
      </c>
      <c r="L644" s="271">
        <f t="shared" si="77"/>
        <v>12141.24</v>
      </c>
      <c r="M644" s="267">
        <v>0</v>
      </c>
      <c r="N644" s="271">
        <f t="shared" si="75"/>
        <v>129.60000000000002</v>
      </c>
      <c r="O644" s="267">
        <v>0</v>
      </c>
      <c r="P644" s="276">
        <f t="shared" si="78"/>
        <v>3134.4600000000005</v>
      </c>
      <c r="Q644" s="271">
        <f t="shared" si="79"/>
        <v>60084</v>
      </c>
      <c r="R644" s="271">
        <f t="shared" si="80"/>
        <v>32365.538400000001</v>
      </c>
      <c r="S644" s="271">
        <f t="shared" si="81"/>
        <v>2125.44</v>
      </c>
    </row>
    <row r="645" spans="1:21" s="280" customFormat="1" x14ac:dyDescent="0.25">
      <c r="A645" s="271">
        <v>501506</v>
      </c>
      <c r="B645" s="271">
        <v>1506</v>
      </c>
      <c r="C645" s="271">
        <v>200487</v>
      </c>
      <c r="D645" s="268" t="s">
        <v>894</v>
      </c>
      <c r="E645" s="268" t="s">
        <v>1278</v>
      </c>
      <c r="F645" s="268" t="s">
        <v>3309</v>
      </c>
      <c r="G645" s="268">
        <v>16</v>
      </c>
      <c r="H645" s="268" t="s">
        <v>3310</v>
      </c>
      <c r="I645" s="268" t="s">
        <v>3201</v>
      </c>
      <c r="J645" s="271">
        <v>179112</v>
      </c>
      <c r="K645" s="271">
        <f t="shared" si="76"/>
        <v>14926</v>
      </c>
      <c r="L645" s="271">
        <f t="shared" si="77"/>
        <v>12141.24</v>
      </c>
      <c r="M645" s="267">
        <v>0</v>
      </c>
      <c r="N645" s="271">
        <f t="shared" ref="N645:N694" si="82">10.8*12</f>
        <v>129.60000000000002</v>
      </c>
      <c r="O645" s="267">
        <v>0</v>
      </c>
      <c r="P645" s="276">
        <f t="shared" si="78"/>
        <v>3134.4600000000005</v>
      </c>
      <c r="Q645" s="271">
        <f t="shared" si="79"/>
        <v>60084</v>
      </c>
      <c r="R645" s="271">
        <f t="shared" si="80"/>
        <v>32365.538400000001</v>
      </c>
      <c r="S645" s="271">
        <f t="shared" si="81"/>
        <v>2125.44</v>
      </c>
      <c r="T645" s="270"/>
      <c r="U645" s="270"/>
    </row>
    <row r="646" spans="1:21" s="270" customFormat="1" x14ac:dyDescent="0.25">
      <c r="A646" s="271">
        <v>501506</v>
      </c>
      <c r="B646" s="271">
        <v>1506</v>
      </c>
      <c r="C646" s="271">
        <v>200489</v>
      </c>
      <c r="D646" s="268" t="s">
        <v>894</v>
      </c>
      <c r="E646" s="268" t="s">
        <v>1290</v>
      </c>
      <c r="F646" s="268" t="s">
        <v>2820</v>
      </c>
      <c r="G646" s="268">
        <v>16</v>
      </c>
      <c r="H646" s="268" t="s">
        <v>3311</v>
      </c>
      <c r="I646" s="268" t="s">
        <v>3201</v>
      </c>
      <c r="J646" s="271">
        <v>179112</v>
      </c>
      <c r="K646" s="271">
        <f t="shared" si="76"/>
        <v>14926</v>
      </c>
      <c r="L646" s="271">
        <f t="shared" si="77"/>
        <v>12141.24</v>
      </c>
      <c r="M646" s="267">
        <v>0</v>
      </c>
      <c r="N646" s="271">
        <f t="shared" si="82"/>
        <v>129.60000000000002</v>
      </c>
      <c r="O646" s="267">
        <v>0</v>
      </c>
      <c r="P646" s="276">
        <f t="shared" si="78"/>
        <v>3134.4600000000005</v>
      </c>
      <c r="Q646" s="271">
        <f t="shared" si="79"/>
        <v>60084</v>
      </c>
      <c r="R646" s="271">
        <f t="shared" si="80"/>
        <v>32365.538400000001</v>
      </c>
      <c r="S646" s="271">
        <f t="shared" si="81"/>
        <v>2125.44</v>
      </c>
    </row>
    <row r="647" spans="1:21" s="270" customFormat="1" x14ac:dyDescent="0.25">
      <c r="A647" s="271">
        <v>501444</v>
      </c>
      <c r="B647" s="271">
        <v>1444</v>
      </c>
      <c r="C647" s="271">
        <v>200496</v>
      </c>
      <c r="D647" s="268" t="s">
        <v>894</v>
      </c>
      <c r="E647" s="268" t="s">
        <v>1290</v>
      </c>
      <c r="F647" s="268" t="s">
        <v>3312</v>
      </c>
      <c r="G647" s="268">
        <v>16</v>
      </c>
      <c r="H647" s="268" t="s">
        <v>3313</v>
      </c>
      <c r="I647" s="268" t="s">
        <v>3201</v>
      </c>
      <c r="J647" s="271">
        <v>179112</v>
      </c>
      <c r="K647" s="271">
        <f t="shared" si="76"/>
        <v>14926</v>
      </c>
      <c r="L647" s="271">
        <f t="shared" si="77"/>
        <v>12141.24</v>
      </c>
      <c r="M647" s="267">
        <v>0</v>
      </c>
      <c r="N647" s="271">
        <f t="shared" si="82"/>
        <v>129.60000000000002</v>
      </c>
      <c r="O647" s="267">
        <v>0</v>
      </c>
      <c r="P647" s="276">
        <f t="shared" si="78"/>
        <v>3134.4600000000005</v>
      </c>
      <c r="Q647" s="271">
        <f t="shared" si="79"/>
        <v>60084</v>
      </c>
      <c r="R647" s="271">
        <f t="shared" si="80"/>
        <v>32365.538400000001</v>
      </c>
      <c r="S647" s="271">
        <f t="shared" si="81"/>
        <v>2125.44</v>
      </c>
    </row>
    <row r="648" spans="1:21" s="270" customFormat="1" x14ac:dyDescent="0.25">
      <c r="A648" s="271">
        <v>501444</v>
      </c>
      <c r="B648" s="271">
        <v>1444</v>
      </c>
      <c r="C648" s="271">
        <v>200503</v>
      </c>
      <c r="D648" s="268" t="s">
        <v>894</v>
      </c>
      <c r="E648" s="268" t="s">
        <v>1290</v>
      </c>
      <c r="F648" s="268" t="s">
        <v>3314</v>
      </c>
      <c r="G648" s="268">
        <v>16</v>
      </c>
      <c r="H648" s="268" t="s">
        <v>2676</v>
      </c>
      <c r="I648" s="268" t="s">
        <v>3201</v>
      </c>
      <c r="J648" s="271">
        <v>179112</v>
      </c>
      <c r="K648" s="271">
        <f t="shared" si="76"/>
        <v>14926</v>
      </c>
      <c r="L648" s="271">
        <f t="shared" si="77"/>
        <v>12141.24</v>
      </c>
      <c r="M648" s="267">
        <v>0</v>
      </c>
      <c r="N648" s="271">
        <f t="shared" si="82"/>
        <v>129.60000000000002</v>
      </c>
      <c r="O648" s="267">
        <v>0</v>
      </c>
      <c r="P648" s="276">
        <f t="shared" si="78"/>
        <v>3134.4600000000005</v>
      </c>
      <c r="Q648" s="271">
        <f t="shared" si="79"/>
        <v>60084</v>
      </c>
      <c r="R648" s="271">
        <f t="shared" si="80"/>
        <v>32365.538400000001</v>
      </c>
      <c r="S648" s="271">
        <f t="shared" si="81"/>
        <v>2125.44</v>
      </c>
    </row>
    <row r="649" spans="1:21" s="280" customFormat="1" x14ac:dyDescent="0.25">
      <c r="A649" s="271">
        <v>501457</v>
      </c>
      <c r="B649" s="271">
        <v>1457</v>
      </c>
      <c r="C649" s="271">
        <v>200514</v>
      </c>
      <c r="D649" s="268" t="s">
        <v>894</v>
      </c>
      <c r="E649" s="268" t="s">
        <v>1290</v>
      </c>
      <c r="F649" s="268" t="s">
        <v>3312</v>
      </c>
      <c r="G649" s="268">
        <v>16</v>
      </c>
      <c r="H649" s="268" t="s">
        <v>3315</v>
      </c>
      <c r="I649" s="268" t="s">
        <v>3201</v>
      </c>
      <c r="J649" s="271">
        <v>179112</v>
      </c>
      <c r="K649" s="271">
        <f t="shared" si="76"/>
        <v>14926</v>
      </c>
      <c r="L649" s="271">
        <f t="shared" si="77"/>
        <v>12141.24</v>
      </c>
      <c r="M649" s="267">
        <v>0</v>
      </c>
      <c r="N649" s="271">
        <f t="shared" si="82"/>
        <v>129.60000000000002</v>
      </c>
      <c r="O649" s="267">
        <v>0</v>
      </c>
      <c r="P649" s="276">
        <f t="shared" si="78"/>
        <v>3134.4600000000005</v>
      </c>
      <c r="Q649" s="271">
        <f t="shared" si="79"/>
        <v>60084</v>
      </c>
      <c r="R649" s="271">
        <f t="shared" si="80"/>
        <v>32365.538400000001</v>
      </c>
      <c r="S649" s="271">
        <f t="shared" si="81"/>
        <v>2125.44</v>
      </c>
      <c r="T649" s="270"/>
      <c r="U649" s="270"/>
    </row>
    <row r="650" spans="1:21" s="270" customFormat="1" x14ac:dyDescent="0.25">
      <c r="A650" s="271">
        <v>501443</v>
      </c>
      <c r="B650" s="271">
        <v>1443</v>
      </c>
      <c r="C650" s="271">
        <v>200515</v>
      </c>
      <c r="D650" s="268" t="s">
        <v>894</v>
      </c>
      <c r="E650" s="268" t="s">
        <v>1290</v>
      </c>
      <c r="F650" s="268" t="s">
        <v>3316</v>
      </c>
      <c r="G650" s="268">
        <v>16</v>
      </c>
      <c r="H650" s="268" t="s">
        <v>2262</v>
      </c>
      <c r="I650" s="268" t="s">
        <v>3201</v>
      </c>
      <c r="J650" s="271">
        <v>179112</v>
      </c>
      <c r="K650" s="271">
        <f t="shared" si="76"/>
        <v>14926</v>
      </c>
      <c r="L650" s="271">
        <f t="shared" si="77"/>
        <v>12141.24</v>
      </c>
      <c r="M650" s="267">
        <v>0</v>
      </c>
      <c r="N650" s="271">
        <f t="shared" si="82"/>
        <v>129.60000000000002</v>
      </c>
      <c r="O650" s="267">
        <v>0</v>
      </c>
      <c r="P650" s="276">
        <f t="shared" si="78"/>
        <v>3134.4600000000005</v>
      </c>
      <c r="Q650" s="271">
        <f t="shared" si="79"/>
        <v>60084</v>
      </c>
      <c r="R650" s="271">
        <f t="shared" si="80"/>
        <v>32365.538400000001</v>
      </c>
      <c r="S650" s="271">
        <f t="shared" si="81"/>
        <v>2125.44</v>
      </c>
    </row>
    <row r="651" spans="1:21" s="270" customFormat="1" x14ac:dyDescent="0.25">
      <c r="A651" s="271">
        <v>501506</v>
      </c>
      <c r="B651" s="271">
        <v>1506</v>
      </c>
      <c r="C651" s="271">
        <v>200518</v>
      </c>
      <c r="D651" s="268" t="s">
        <v>894</v>
      </c>
      <c r="E651" s="268" t="s">
        <v>1278</v>
      </c>
      <c r="F651" s="268" t="s">
        <v>3268</v>
      </c>
      <c r="G651" s="268">
        <v>16</v>
      </c>
      <c r="H651" s="268" t="s">
        <v>3317</v>
      </c>
      <c r="I651" s="268" t="s">
        <v>3201</v>
      </c>
      <c r="J651" s="271">
        <v>179112</v>
      </c>
      <c r="K651" s="271">
        <f t="shared" si="76"/>
        <v>14926</v>
      </c>
      <c r="L651" s="271">
        <f t="shared" si="77"/>
        <v>12141.24</v>
      </c>
      <c r="M651" s="267">
        <v>0</v>
      </c>
      <c r="N651" s="271">
        <f t="shared" si="82"/>
        <v>129.60000000000002</v>
      </c>
      <c r="O651" s="267">
        <v>0</v>
      </c>
      <c r="P651" s="276">
        <f t="shared" si="78"/>
        <v>3134.4600000000005</v>
      </c>
      <c r="Q651" s="271">
        <f t="shared" si="79"/>
        <v>60084</v>
      </c>
      <c r="R651" s="271">
        <f t="shared" si="80"/>
        <v>32365.538400000001</v>
      </c>
      <c r="S651" s="271">
        <f t="shared" si="81"/>
        <v>2125.44</v>
      </c>
    </row>
    <row r="652" spans="1:21" s="270" customFormat="1" x14ac:dyDescent="0.25">
      <c r="A652" s="271">
        <v>501457</v>
      </c>
      <c r="B652" s="271">
        <v>1457</v>
      </c>
      <c r="C652" s="271">
        <v>200527</v>
      </c>
      <c r="D652" s="268" t="s">
        <v>894</v>
      </c>
      <c r="E652" s="268" t="s">
        <v>1290</v>
      </c>
      <c r="F652" s="268" t="s">
        <v>3268</v>
      </c>
      <c r="G652" s="268">
        <v>16</v>
      </c>
      <c r="H652" s="268" t="s">
        <v>3318</v>
      </c>
      <c r="I652" s="268" t="s">
        <v>3319</v>
      </c>
      <c r="J652" s="271">
        <v>179112</v>
      </c>
      <c r="K652" s="271">
        <f t="shared" si="76"/>
        <v>14926</v>
      </c>
      <c r="L652" s="271">
        <f t="shared" si="77"/>
        <v>12141.24</v>
      </c>
      <c r="M652" s="267">
        <v>0</v>
      </c>
      <c r="N652" s="271">
        <f t="shared" si="82"/>
        <v>129.60000000000002</v>
      </c>
      <c r="O652" s="267">
        <v>0</v>
      </c>
      <c r="P652" s="276">
        <f t="shared" si="78"/>
        <v>3134.4600000000005</v>
      </c>
      <c r="Q652" s="271">
        <f t="shared" si="79"/>
        <v>60084</v>
      </c>
      <c r="R652" s="271">
        <f t="shared" si="80"/>
        <v>32365.538400000001</v>
      </c>
      <c r="S652" s="271">
        <f t="shared" si="81"/>
        <v>2125.44</v>
      </c>
    </row>
    <row r="653" spans="1:21" s="270" customFormat="1" x14ac:dyDescent="0.25">
      <c r="A653" s="271">
        <v>501506</v>
      </c>
      <c r="B653" s="271">
        <v>1506</v>
      </c>
      <c r="C653" s="271">
        <v>200530</v>
      </c>
      <c r="D653" s="268" t="s">
        <v>894</v>
      </c>
      <c r="E653" s="268" t="s">
        <v>1290</v>
      </c>
      <c r="F653" s="268" t="s">
        <v>2490</v>
      </c>
      <c r="G653" s="268">
        <v>16</v>
      </c>
      <c r="H653" s="268" t="s">
        <v>3320</v>
      </c>
      <c r="I653" s="268" t="s">
        <v>3201</v>
      </c>
      <c r="J653" s="271">
        <v>179112</v>
      </c>
      <c r="K653" s="271">
        <f t="shared" si="76"/>
        <v>14926</v>
      </c>
      <c r="L653" s="271">
        <f t="shared" si="77"/>
        <v>12141.24</v>
      </c>
      <c r="M653" s="267">
        <v>0</v>
      </c>
      <c r="N653" s="271">
        <f t="shared" si="82"/>
        <v>129.60000000000002</v>
      </c>
      <c r="O653" s="267">
        <v>0</v>
      </c>
      <c r="P653" s="276">
        <f t="shared" si="78"/>
        <v>3134.4600000000005</v>
      </c>
      <c r="Q653" s="271">
        <f t="shared" si="79"/>
        <v>60084</v>
      </c>
      <c r="R653" s="271">
        <f t="shared" si="80"/>
        <v>32365.538400000001</v>
      </c>
      <c r="S653" s="271">
        <f t="shared" si="81"/>
        <v>2125.44</v>
      </c>
    </row>
    <row r="654" spans="1:21" s="270" customFormat="1" x14ac:dyDescent="0.25">
      <c r="A654" s="271">
        <v>501506</v>
      </c>
      <c r="B654" s="271">
        <v>1506</v>
      </c>
      <c r="C654" s="271">
        <v>200532</v>
      </c>
      <c r="D654" s="268" t="s">
        <v>894</v>
      </c>
      <c r="E654" s="268" t="s">
        <v>1278</v>
      </c>
      <c r="F654" s="268" t="s">
        <v>2547</v>
      </c>
      <c r="G654" s="268">
        <v>16</v>
      </c>
      <c r="H654" s="268" t="s">
        <v>3321</v>
      </c>
      <c r="I654" s="268" t="s">
        <v>3201</v>
      </c>
      <c r="J654" s="271">
        <v>179112</v>
      </c>
      <c r="K654" s="271">
        <f t="shared" si="76"/>
        <v>14926</v>
      </c>
      <c r="L654" s="271">
        <f t="shared" si="77"/>
        <v>12141.24</v>
      </c>
      <c r="M654" s="267">
        <v>0</v>
      </c>
      <c r="N654" s="271">
        <f t="shared" si="82"/>
        <v>129.60000000000002</v>
      </c>
      <c r="O654" s="267">
        <v>0</v>
      </c>
      <c r="P654" s="276">
        <f t="shared" si="78"/>
        <v>3134.4600000000005</v>
      </c>
      <c r="Q654" s="271">
        <f t="shared" si="79"/>
        <v>60084</v>
      </c>
      <c r="R654" s="271">
        <f t="shared" si="80"/>
        <v>32365.538400000001</v>
      </c>
      <c r="S654" s="271">
        <f t="shared" si="81"/>
        <v>2125.44</v>
      </c>
      <c r="T654" s="280"/>
      <c r="U654" s="280"/>
    </row>
    <row r="655" spans="1:21" s="270" customFormat="1" x14ac:dyDescent="0.25">
      <c r="A655" s="271">
        <v>501444</v>
      </c>
      <c r="B655" s="271">
        <v>1444</v>
      </c>
      <c r="C655" s="271">
        <v>200538</v>
      </c>
      <c r="D655" s="268" t="s">
        <v>894</v>
      </c>
      <c r="E655" s="268" t="s">
        <v>1278</v>
      </c>
      <c r="F655" s="268" t="s">
        <v>3322</v>
      </c>
      <c r="G655" s="268">
        <v>16</v>
      </c>
      <c r="H655" s="268" t="s">
        <v>3323</v>
      </c>
      <c r="I655" s="268" t="s">
        <v>3201</v>
      </c>
      <c r="J655" s="271">
        <v>179112</v>
      </c>
      <c r="K655" s="271">
        <f t="shared" si="76"/>
        <v>14926</v>
      </c>
      <c r="L655" s="271">
        <f t="shared" si="77"/>
        <v>12141.24</v>
      </c>
      <c r="M655" s="267">
        <v>0</v>
      </c>
      <c r="N655" s="271">
        <f t="shared" si="82"/>
        <v>129.60000000000002</v>
      </c>
      <c r="O655" s="267">
        <v>0</v>
      </c>
      <c r="P655" s="276">
        <f t="shared" si="78"/>
        <v>3134.4600000000005</v>
      </c>
      <c r="Q655" s="271">
        <f t="shared" si="79"/>
        <v>60084</v>
      </c>
      <c r="R655" s="271">
        <f t="shared" si="80"/>
        <v>32365.538400000001</v>
      </c>
      <c r="S655" s="271">
        <f t="shared" si="81"/>
        <v>2125.44</v>
      </c>
    </row>
    <row r="656" spans="1:21" s="270" customFormat="1" x14ac:dyDescent="0.25">
      <c r="A656" s="271">
        <v>501444</v>
      </c>
      <c r="B656" s="271">
        <v>1444</v>
      </c>
      <c r="C656" s="271">
        <v>200539</v>
      </c>
      <c r="D656" s="268" t="s">
        <v>894</v>
      </c>
      <c r="E656" s="268" t="s">
        <v>1278</v>
      </c>
      <c r="F656" s="268" t="s">
        <v>2364</v>
      </c>
      <c r="G656" s="268">
        <v>16</v>
      </c>
      <c r="H656" s="268" t="s">
        <v>3324</v>
      </c>
      <c r="I656" s="268" t="s">
        <v>3201</v>
      </c>
      <c r="J656" s="271">
        <v>179112</v>
      </c>
      <c r="K656" s="271">
        <f t="shared" si="76"/>
        <v>14926</v>
      </c>
      <c r="L656" s="271">
        <f t="shared" si="77"/>
        <v>12141.24</v>
      </c>
      <c r="M656" s="267">
        <v>0</v>
      </c>
      <c r="N656" s="271">
        <f t="shared" si="82"/>
        <v>129.60000000000002</v>
      </c>
      <c r="O656" s="267">
        <v>0</v>
      </c>
      <c r="P656" s="276">
        <f t="shared" si="78"/>
        <v>3134.4600000000005</v>
      </c>
      <c r="Q656" s="271">
        <f t="shared" si="79"/>
        <v>60084</v>
      </c>
      <c r="R656" s="271">
        <f t="shared" si="80"/>
        <v>32365.538400000001</v>
      </c>
      <c r="S656" s="271">
        <f t="shared" si="81"/>
        <v>2125.44</v>
      </c>
    </row>
    <row r="657" spans="1:21" s="270" customFormat="1" x14ac:dyDescent="0.25">
      <c r="A657" s="271">
        <v>501444</v>
      </c>
      <c r="B657" s="271">
        <v>1444</v>
      </c>
      <c r="C657" s="271">
        <v>200541</v>
      </c>
      <c r="D657" s="268" t="s">
        <v>894</v>
      </c>
      <c r="E657" s="268" t="s">
        <v>1278</v>
      </c>
      <c r="F657" s="268" t="s">
        <v>2827</v>
      </c>
      <c r="G657" s="268">
        <v>16</v>
      </c>
      <c r="H657" s="268" t="s">
        <v>3325</v>
      </c>
      <c r="I657" s="268" t="s">
        <v>3201</v>
      </c>
      <c r="J657" s="271">
        <v>179112</v>
      </c>
      <c r="K657" s="271">
        <f t="shared" si="76"/>
        <v>14926</v>
      </c>
      <c r="L657" s="271">
        <f t="shared" si="77"/>
        <v>12141.24</v>
      </c>
      <c r="M657" s="267">
        <v>0</v>
      </c>
      <c r="N657" s="271">
        <f t="shared" si="82"/>
        <v>129.60000000000002</v>
      </c>
      <c r="O657" s="267">
        <v>0</v>
      </c>
      <c r="P657" s="276">
        <f t="shared" si="78"/>
        <v>3134.4600000000005</v>
      </c>
      <c r="Q657" s="271">
        <f t="shared" si="79"/>
        <v>60084</v>
      </c>
      <c r="R657" s="271">
        <f t="shared" si="80"/>
        <v>32365.538400000001</v>
      </c>
      <c r="S657" s="271">
        <f t="shared" si="81"/>
        <v>2125.44</v>
      </c>
      <c r="T657" s="280"/>
      <c r="U657" s="280"/>
    </row>
    <row r="658" spans="1:21" s="270" customFormat="1" x14ac:dyDescent="0.25">
      <c r="A658" s="271">
        <v>501444</v>
      </c>
      <c r="B658" s="271">
        <v>1444</v>
      </c>
      <c r="C658" s="271">
        <v>200544</v>
      </c>
      <c r="D658" s="268" t="s">
        <v>894</v>
      </c>
      <c r="E658" s="268" t="s">
        <v>1290</v>
      </c>
      <c r="F658" s="268" t="s">
        <v>2517</v>
      </c>
      <c r="G658" s="268">
        <v>16</v>
      </c>
      <c r="H658" s="268" t="s">
        <v>3326</v>
      </c>
      <c r="I658" s="268" t="s">
        <v>3201</v>
      </c>
      <c r="J658" s="271">
        <v>179112</v>
      </c>
      <c r="K658" s="271">
        <f t="shared" si="76"/>
        <v>14926</v>
      </c>
      <c r="L658" s="271">
        <f t="shared" si="77"/>
        <v>12141.24</v>
      </c>
      <c r="M658" s="267">
        <v>0</v>
      </c>
      <c r="N658" s="271">
        <f t="shared" si="82"/>
        <v>129.60000000000002</v>
      </c>
      <c r="O658" s="267">
        <v>0</v>
      </c>
      <c r="P658" s="276">
        <f t="shared" si="78"/>
        <v>3134.4600000000005</v>
      </c>
      <c r="Q658" s="271">
        <f t="shared" si="79"/>
        <v>60084</v>
      </c>
      <c r="R658" s="271">
        <f t="shared" si="80"/>
        <v>32365.538400000001</v>
      </c>
      <c r="S658" s="271">
        <f t="shared" si="81"/>
        <v>2125.44</v>
      </c>
    </row>
    <row r="659" spans="1:21" s="270" customFormat="1" x14ac:dyDescent="0.25">
      <c r="A659" s="271">
        <v>501444</v>
      </c>
      <c r="B659" s="271">
        <v>1444</v>
      </c>
      <c r="C659" s="271">
        <v>200547</v>
      </c>
      <c r="D659" s="268" t="s">
        <v>894</v>
      </c>
      <c r="E659" s="268" t="s">
        <v>1278</v>
      </c>
      <c r="F659" s="268" t="s">
        <v>2822</v>
      </c>
      <c r="G659" s="268">
        <v>16</v>
      </c>
      <c r="H659" s="268" t="s">
        <v>3327</v>
      </c>
      <c r="I659" s="268" t="s">
        <v>3201</v>
      </c>
      <c r="J659" s="271">
        <v>179112</v>
      </c>
      <c r="K659" s="271">
        <f t="shared" si="76"/>
        <v>14926</v>
      </c>
      <c r="L659" s="271">
        <f t="shared" si="77"/>
        <v>12141.24</v>
      </c>
      <c r="M659" s="267">
        <v>0</v>
      </c>
      <c r="N659" s="271">
        <f t="shared" si="82"/>
        <v>129.60000000000002</v>
      </c>
      <c r="O659" s="267">
        <v>0</v>
      </c>
      <c r="P659" s="276">
        <f t="shared" si="78"/>
        <v>3134.4600000000005</v>
      </c>
      <c r="Q659" s="271">
        <f t="shared" si="79"/>
        <v>60084</v>
      </c>
      <c r="R659" s="271">
        <f t="shared" si="80"/>
        <v>32365.538400000001</v>
      </c>
      <c r="S659" s="271">
        <f t="shared" si="81"/>
        <v>2125.44</v>
      </c>
    </row>
    <row r="660" spans="1:21" s="280" customFormat="1" x14ac:dyDescent="0.25">
      <c r="A660" s="271">
        <v>501506</v>
      </c>
      <c r="B660" s="271">
        <v>1506</v>
      </c>
      <c r="C660" s="271">
        <v>200548</v>
      </c>
      <c r="D660" s="268" t="s">
        <v>894</v>
      </c>
      <c r="E660" s="268" t="s">
        <v>1278</v>
      </c>
      <c r="F660" s="268" t="s">
        <v>3322</v>
      </c>
      <c r="G660" s="268">
        <v>16</v>
      </c>
      <c r="H660" s="268" t="s">
        <v>3328</v>
      </c>
      <c r="I660" s="268" t="s">
        <v>3201</v>
      </c>
      <c r="J660" s="271">
        <v>179112</v>
      </c>
      <c r="K660" s="271">
        <f t="shared" si="76"/>
        <v>14926</v>
      </c>
      <c r="L660" s="271">
        <f t="shared" si="77"/>
        <v>12141.24</v>
      </c>
      <c r="M660" s="267">
        <v>0</v>
      </c>
      <c r="N660" s="271">
        <f t="shared" si="82"/>
        <v>129.60000000000002</v>
      </c>
      <c r="O660" s="267">
        <v>0</v>
      </c>
      <c r="P660" s="276">
        <f t="shared" si="78"/>
        <v>3134.4600000000005</v>
      </c>
      <c r="Q660" s="271">
        <f t="shared" si="79"/>
        <v>60084</v>
      </c>
      <c r="R660" s="271">
        <f t="shared" si="80"/>
        <v>32365.538400000001</v>
      </c>
      <c r="S660" s="271">
        <f t="shared" si="81"/>
        <v>2125.44</v>
      </c>
      <c r="T660" s="270"/>
      <c r="U660" s="270"/>
    </row>
    <row r="661" spans="1:21" s="270" customFormat="1" x14ac:dyDescent="0.25">
      <c r="A661" s="271">
        <v>501406</v>
      </c>
      <c r="B661" s="271">
        <v>1406</v>
      </c>
      <c r="C661" s="271">
        <v>200549</v>
      </c>
      <c r="D661" s="268" t="s">
        <v>894</v>
      </c>
      <c r="E661" s="268" t="s">
        <v>1278</v>
      </c>
      <c r="F661" s="268" t="s">
        <v>3329</v>
      </c>
      <c r="G661" s="268">
        <v>16</v>
      </c>
      <c r="H661" s="268" t="s">
        <v>3330</v>
      </c>
      <c r="I661" s="268" t="s">
        <v>3331</v>
      </c>
      <c r="J661" s="271">
        <v>179112</v>
      </c>
      <c r="K661" s="271">
        <f t="shared" si="76"/>
        <v>14926</v>
      </c>
      <c r="L661" s="271">
        <f t="shared" si="77"/>
        <v>12141.24</v>
      </c>
      <c r="M661" s="267">
        <v>0</v>
      </c>
      <c r="N661" s="271">
        <f t="shared" si="82"/>
        <v>129.60000000000002</v>
      </c>
      <c r="O661" s="267">
        <v>0</v>
      </c>
      <c r="P661" s="276">
        <f t="shared" si="78"/>
        <v>3134.4600000000005</v>
      </c>
      <c r="Q661" s="271">
        <f t="shared" si="79"/>
        <v>60084</v>
      </c>
      <c r="R661" s="271">
        <f t="shared" si="80"/>
        <v>32365.538400000001</v>
      </c>
      <c r="S661" s="271">
        <f t="shared" si="81"/>
        <v>2125.44</v>
      </c>
    </row>
    <row r="662" spans="1:21" s="270" customFormat="1" x14ac:dyDescent="0.25">
      <c r="A662" s="271">
        <v>501444</v>
      </c>
      <c r="B662" s="271">
        <v>1444</v>
      </c>
      <c r="C662" s="271">
        <v>200550</v>
      </c>
      <c r="D662" s="268" t="s">
        <v>894</v>
      </c>
      <c r="E662" s="268" t="s">
        <v>1290</v>
      </c>
      <c r="F662" s="268" t="s">
        <v>2273</v>
      </c>
      <c r="G662" s="268">
        <v>16</v>
      </c>
      <c r="H662" s="268" t="s">
        <v>3332</v>
      </c>
      <c r="I662" s="268" t="s">
        <v>3201</v>
      </c>
      <c r="J662" s="271">
        <v>179112</v>
      </c>
      <c r="K662" s="271">
        <f t="shared" si="76"/>
        <v>14926</v>
      </c>
      <c r="L662" s="271">
        <f t="shared" si="77"/>
        <v>12141.24</v>
      </c>
      <c r="M662" s="267">
        <v>0</v>
      </c>
      <c r="N662" s="271">
        <f t="shared" si="82"/>
        <v>129.60000000000002</v>
      </c>
      <c r="O662" s="267">
        <v>0</v>
      </c>
      <c r="P662" s="276">
        <f t="shared" si="78"/>
        <v>3134.4600000000005</v>
      </c>
      <c r="Q662" s="271">
        <f t="shared" si="79"/>
        <v>60084</v>
      </c>
      <c r="R662" s="271">
        <f t="shared" si="80"/>
        <v>32365.538400000001</v>
      </c>
      <c r="S662" s="271">
        <f t="shared" si="81"/>
        <v>2125.44</v>
      </c>
    </row>
    <row r="663" spans="1:21" s="270" customFormat="1" x14ac:dyDescent="0.25">
      <c r="A663" s="271">
        <v>501443</v>
      </c>
      <c r="B663" s="271">
        <v>1443</v>
      </c>
      <c r="C663" s="271">
        <v>200554</v>
      </c>
      <c r="D663" s="268" t="s">
        <v>894</v>
      </c>
      <c r="E663" s="268" t="s">
        <v>1290</v>
      </c>
      <c r="F663" s="268" t="s">
        <v>2753</v>
      </c>
      <c r="G663" s="268">
        <v>16</v>
      </c>
      <c r="H663" s="268" t="s">
        <v>3333</v>
      </c>
      <c r="I663" s="268" t="s">
        <v>3201</v>
      </c>
      <c r="J663" s="271">
        <v>179112</v>
      </c>
      <c r="K663" s="271">
        <f t="shared" si="76"/>
        <v>14926</v>
      </c>
      <c r="L663" s="271">
        <f t="shared" si="77"/>
        <v>12141.24</v>
      </c>
      <c r="M663" s="267">
        <v>0</v>
      </c>
      <c r="N663" s="271">
        <f t="shared" si="82"/>
        <v>129.60000000000002</v>
      </c>
      <c r="O663" s="267">
        <v>0</v>
      </c>
      <c r="P663" s="276">
        <f t="shared" si="78"/>
        <v>3134.4600000000005</v>
      </c>
      <c r="Q663" s="271">
        <f t="shared" si="79"/>
        <v>60084</v>
      </c>
      <c r="R663" s="271">
        <f t="shared" si="80"/>
        <v>32365.538400000001</v>
      </c>
      <c r="S663" s="271">
        <f t="shared" si="81"/>
        <v>2125.44</v>
      </c>
    </row>
    <row r="664" spans="1:21" s="270" customFormat="1" x14ac:dyDescent="0.25">
      <c r="A664" s="271">
        <v>501506</v>
      </c>
      <c r="B664" s="271">
        <v>1506</v>
      </c>
      <c r="C664" s="271">
        <v>200555</v>
      </c>
      <c r="D664" s="268" t="s">
        <v>894</v>
      </c>
      <c r="E664" s="268" t="s">
        <v>1278</v>
      </c>
      <c r="F664" s="268" t="s">
        <v>1278</v>
      </c>
      <c r="G664" s="268">
        <v>16</v>
      </c>
      <c r="H664" s="268" t="s">
        <v>3334</v>
      </c>
      <c r="I664" s="268" t="s">
        <v>3201</v>
      </c>
      <c r="J664" s="271">
        <v>179112</v>
      </c>
      <c r="K664" s="271">
        <f t="shared" si="76"/>
        <v>14926</v>
      </c>
      <c r="L664" s="271">
        <f t="shared" si="77"/>
        <v>12141.24</v>
      </c>
      <c r="M664" s="267">
        <v>0</v>
      </c>
      <c r="N664" s="271">
        <f t="shared" si="82"/>
        <v>129.60000000000002</v>
      </c>
      <c r="O664" s="267">
        <v>0</v>
      </c>
      <c r="P664" s="276">
        <f t="shared" si="78"/>
        <v>3134.4600000000005</v>
      </c>
      <c r="Q664" s="271">
        <f t="shared" si="79"/>
        <v>60084</v>
      </c>
      <c r="R664" s="271">
        <f t="shared" si="80"/>
        <v>32365.538400000001</v>
      </c>
      <c r="S664" s="271">
        <f t="shared" si="81"/>
        <v>2125.44</v>
      </c>
      <c r="T664" s="280"/>
      <c r="U664" s="280"/>
    </row>
    <row r="665" spans="1:21" s="270" customFormat="1" x14ac:dyDescent="0.25">
      <c r="A665" s="271">
        <v>501406</v>
      </c>
      <c r="B665" s="271">
        <v>1406</v>
      </c>
      <c r="C665" s="271">
        <v>200556</v>
      </c>
      <c r="D665" s="268" t="s">
        <v>894</v>
      </c>
      <c r="E665" s="268" t="s">
        <v>1290</v>
      </c>
      <c r="F665" s="268" t="s">
        <v>2237</v>
      </c>
      <c r="G665" s="268">
        <v>16</v>
      </c>
      <c r="H665" s="268" t="s">
        <v>3335</v>
      </c>
      <c r="I665" s="268" t="s">
        <v>3201</v>
      </c>
      <c r="J665" s="271">
        <v>179112</v>
      </c>
      <c r="K665" s="271">
        <f t="shared" si="76"/>
        <v>14926</v>
      </c>
      <c r="L665" s="271">
        <f t="shared" si="77"/>
        <v>12141.24</v>
      </c>
      <c r="M665" s="267">
        <v>0</v>
      </c>
      <c r="N665" s="271">
        <f t="shared" si="82"/>
        <v>129.60000000000002</v>
      </c>
      <c r="O665" s="267">
        <v>0</v>
      </c>
      <c r="P665" s="276">
        <f t="shared" si="78"/>
        <v>3134.4600000000005</v>
      </c>
      <c r="Q665" s="271">
        <f t="shared" si="79"/>
        <v>60084</v>
      </c>
      <c r="R665" s="271">
        <f t="shared" si="80"/>
        <v>32365.538400000001</v>
      </c>
      <c r="S665" s="271">
        <f t="shared" si="81"/>
        <v>2125.44</v>
      </c>
    </row>
    <row r="666" spans="1:21" s="270" customFormat="1" x14ac:dyDescent="0.25">
      <c r="A666" s="271">
        <v>501443</v>
      </c>
      <c r="B666" s="271">
        <v>1443</v>
      </c>
      <c r="C666" s="271">
        <v>200557</v>
      </c>
      <c r="D666" s="268" t="s">
        <v>894</v>
      </c>
      <c r="E666" s="268" t="s">
        <v>1290</v>
      </c>
      <c r="F666" s="268" t="s">
        <v>3336</v>
      </c>
      <c r="G666" s="268">
        <v>16</v>
      </c>
      <c r="H666" s="268" t="s">
        <v>2389</v>
      </c>
      <c r="I666" s="268" t="s">
        <v>3201</v>
      </c>
      <c r="J666" s="271">
        <v>179112</v>
      </c>
      <c r="K666" s="271">
        <f t="shared" si="76"/>
        <v>14926</v>
      </c>
      <c r="L666" s="271">
        <f t="shared" si="77"/>
        <v>12141.24</v>
      </c>
      <c r="M666" s="267">
        <v>0</v>
      </c>
      <c r="N666" s="271">
        <f t="shared" si="82"/>
        <v>129.60000000000002</v>
      </c>
      <c r="O666" s="267">
        <v>0</v>
      </c>
      <c r="P666" s="276">
        <f t="shared" si="78"/>
        <v>3134.4600000000005</v>
      </c>
      <c r="Q666" s="271">
        <f t="shared" si="79"/>
        <v>60084</v>
      </c>
      <c r="R666" s="271">
        <f t="shared" si="80"/>
        <v>32365.538400000001</v>
      </c>
      <c r="S666" s="271">
        <f t="shared" si="81"/>
        <v>2125.44</v>
      </c>
    </row>
    <row r="667" spans="1:21" s="280" customFormat="1" x14ac:dyDescent="0.25">
      <c r="A667" s="271">
        <v>501506</v>
      </c>
      <c r="B667" s="271">
        <v>1506</v>
      </c>
      <c r="C667" s="271">
        <v>200559</v>
      </c>
      <c r="D667" s="268" t="s">
        <v>894</v>
      </c>
      <c r="E667" s="268" t="s">
        <v>1278</v>
      </c>
      <c r="F667" s="268" t="s">
        <v>2886</v>
      </c>
      <c r="G667" s="268">
        <v>16</v>
      </c>
      <c r="H667" s="268" t="s">
        <v>3259</v>
      </c>
      <c r="I667" s="268" t="s">
        <v>3201</v>
      </c>
      <c r="J667" s="271">
        <v>179112</v>
      </c>
      <c r="K667" s="271">
        <f t="shared" si="76"/>
        <v>14926</v>
      </c>
      <c r="L667" s="271">
        <f t="shared" si="77"/>
        <v>12141.24</v>
      </c>
      <c r="M667" s="267">
        <v>0</v>
      </c>
      <c r="N667" s="271">
        <f t="shared" si="82"/>
        <v>129.60000000000002</v>
      </c>
      <c r="O667" s="267">
        <v>0</v>
      </c>
      <c r="P667" s="276">
        <f t="shared" si="78"/>
        <v>3134.4600000000005</v>
      </c>
      <c r="Q667" s="271">
        <f t="shared" si="79"/>
        <v>60084</v>
      </c>
      <c r="R667" s="271">
        <f t="shared" si="80"/>
        <v>32365.538400000001</v>
      </c>
      <c r="S667" s="271">
        <f t="shared" si="81"/>
        <v>2125.44</v>
      </c>
      <c r="T667" s="270"/>
      <c r="U667" s="270"/>
    </row>
    <row r="668" spans="1:21" s="270" customFormat="1" x14ac:dyDescent="0.25">
      <c r="A668" s="271">
        <v>501457</v>
      </c>
      <c r="B668" s="271">
        <v>1457</v>
      </c>
      <c r="C668" s="271">
        <v>200560</v>
      </c>
      <c r="D668" s="268" t="s">
        <v>894</v>
      </c>
      <c r="E668" s="268" t="s">
        <v>1290</v>
      </c>
      <c r="F668" s="268" t="s">
        <v>2508</v>
      </c>
      <c r="G668" s="268">
        <v>16</v>
      </c>
      <c r="H668" s="268" t="s">
        <v>3337</v>
      </c>
      <c r="I668" s="268" t="s">
        <v>3201</v>
      </c>
      <c r="J668" s="271">
        <v>179112</v>
      </c>
      <c r="K668" s="271">
        <f t="shared" si="76"/>
        <v>14926</v>
      </c>
      <c r="L668" s="271">
        <f t="shared" si="77"/>
        <v>12141.24</v>
      </c>
      <c r="M668" s="267">
        <v>0</v>
      </c>
      <c r="N668" s="271">
        <f t="shared" si="82"/>
        <v>129.60000000000002</v>
      </c>
      <c r="O668" s="267">
        <v>0</v>
      </c>
      <c r="P668" s="276">
        <f t="shared" si="78"/>
        <v>3134.4600000000005</v>
      </c>
      <c r="Q668" s="271">
        <f t="shared" si="79"/>
        <v>60084</v>
      </c>
      <c r="R668" s="271">
        <f t="shared" si="80"/>
        <v>32365.538400000001</v>
      </c>
      <c r="S668" s="271">
        <f t="shared" si="81"/>
        <v>2125.44</v>
      </c>
    </row>
    <row r="669" spans="1:21" s="270" customFormat="1" x14ac:dyDescent="0.25">
      <c r="A669" s="271">
        <v>501443</v>
      </c>
      <c r="B669" s="271">
        <v>1443</v>
      </c>
      <c r="C669" s="271">
        <v>200561</v>
      </c>
      <c r="D669" s="268" t="s">
        <v>894</v>
      </c>
      <c r="E669" s="268" t="s">
        <v>1290</v>
      </c>
      <c r="F669" s="268" t="s">
        <v>2845</v>
      </c>
      <c r="G669" s="268">
        <v>16</v>
      </c>
      <c r="H669" s="268" t="s">
        <v>3338</v>
      </c>
      <c r="I669" s="268" t="s">
        <v>3201</v>
      </c>
      <c r="J669" s="271">
        <v>179112</v>
      </c>
      <c r="K669" s="271">
        <f t="shared" si="76"/>
        <v>14926</v>
      </c>
      <c r="L669" s="271">
        <f t="shared" si="77"/>
        <v>12141.24</v>
      </c>
      <c r="M669" s="267">
        <v>0</v>
      </c>
      <c r="N669" s="271">
        <f t="shared" si="82"/>
        <v>129.60000000000002</v>
      </c>
      <c r="O669" s="267">
        <v>0</v>
      </c>
      <c r="P669" s="276">
        <f t="shared" si="78"/>
        <v>3134.4600000000005</v>
      </c>
      <c r="Q669" s="271">
        <f t="shared" si="79"/>
        <v>60084</v>
      </c>
      <c r="R669" s="271">
        <f t="shared" si="80"/>
        <v>32365.538400000001</v>
      </c>
      <c r="S669" s="271">
        <f t="shared" si="81"/>
        <v>2125.44</v>
      </c>
    </row>
    <row r="670" spans="1:21" s="270" customFormat="1" x14ac:dyDescent="0.25">
      <c r="A670" s="271">
        <v>501406</v>
      </c>
      <c r="B670" s="271">
        <v>1406</v>
      </c>
      <c r="C670" s="271">
        <v>200562</v>
      </c>
      <c r="D670" s="268" t="s">
        <v>894</v>
      </c>
      <c r="E670" s="268" t="s">
        <v>1290</v>
      </c>
      <c r="F670" s="268" t="s">
        <v>2408</v>
      </c>
      <c r="G670" s="268">
        <v>16</v>
      </c>
      <c r="H670" s="268" t="s">
        <v>3339</v>
      </c>
      <c r="I670" s="268" t="s">
        <v>3201</v>
      </c>
      <c r="J670" s="271">
        <v>179112</v>
      </c>
      <c r="K670" s="271">
        <f t="shared" si="76"/>
        <v>14926</v>
      </c>
      <c r="L670" s="271">
        <f t="shared" si="77"/>
        <v>12141.24</v>
      </c>
      <c r="M670" s="267">
        <v>0</v>
      </c>
      <c r="N670" s="271">
        <f t="shared" si="82"/>
        <v>129.60000000000002</v>
      </c>
      <c r="O670" s="267">
        <v>0</v>
      </c>
      <c r="P670" s="276">
        <f t="shared" si="78"/>
        <v>3134.4600000000005</v>
      </c>
      <c r="Q670" s="271">
        <f t="shared" si="79"/>
        <v>60084</v>
      </c>
      <c r="R670" s="271">
        <f t="shared" si="80"/>
        <v>32365.538400000001</v>
      </c>
      <c r="S670" s="271">
        <f t="shared" si="81"/>
        <v>2125.44</v>
      </c>
    </row>
    <row r="671" spans="1:21" s="270" customFormat="1" x14ac:dyDescent="0.25">
      <c r="A671" s="271">
        <v>501506</v>
      </c>
      <c r="B671" s="271">
        <v>1506</v>
      </c>
      <c r="C671" s="271">
        <v>200563</v>
      </c>
      <c r="D671" s="268" t="s">
        <v>894</v>
      </c>
      <c r="E671" s="268" t="s">
        <v>1278</v>
      </c>
      <c r="F671" s="268" t="s">
        <v>1290</v>
      </c>
      <c r="G671" s="268">
        <v>16</v>
      </c>
      <c r="H671" s="268" t="s">
        <v>3340</v>
      </c>
      <c r="I671" s="268" t="s">
        <v>3201</v>
      </c>
      <c r="J671" s="271">
        <v>179112</v>
      </c>
      <c r="K671" s="271">
        <f t="shared" si="76"/>
        <v>14926</v>
      </c>
      <c r="L671" s="271">
        <f t="shared" si="77"/>
        <v>12141.24</v>
      </c>
      <c r="M671" s="267">
        <v>0</v>
      </c>
      <c r="N671" s="271">
        <f t="shared" si="82"/>
        <v>129.60000000000002</v>
      </c>
      <c r="O671" s="267">
        <v>0</v>
      </c>
      <c r="P671" s="276">
        <f t="shared" si="78"/>
        <v>3134.4600000000005</v>
      </c>
      <c r="Q671" s="271">
        <f t="shared" si="79"/>
        <v>60084</v>
      </c>
      <c r="R671" s="271">
        <f t="shared" si="80"/>
        <v>32365.538400000001</v>
      </c>
      <c r="S671" s="271">
        <f t="shared" si="81"/>
        <v>2125.44</v>
      </c>
    </row>
    <row r="672" spans="1:21" s="270" customFormat="1" x14ac:dyDescent="0.25">
      <c r="A672" s="271">
        <v>501506</v>
      </c>
      <c r="B672" s="271">
        <v>1506</v>
      </c>
      <c r="C672" s="271">
        <v>200565</v>
      </c>
      <c r="D672" s="268" t="s">
        <v>894</v>
      </c>
      <c r="E672" s="268" t="s">
        <v>1278</v>
      </c>
      <c r="F672" s="268" t="s">
        <v>2812</v>
      </c>
      <c r="G672" s="268">
        <v>16</v>
      </c>
      <c r="H672" s="268" t="s">
        <v>3341</v>
      </c>
      <c r="I672" s="268" t="s">
        <v>3201</v>
      </c>
      <c r="J672" s="271">
        <v>179112</v>
      </c>
      <c r="K672" s="271">
        <f t="shared" si="76"/>
        <v>14926</v>
      </c>
      <c r="L672" s="271">
        <f t="shared" si="77"/>
        <v>12141.24</v>
      </c>
      <c r="M672" s="267">
        <v>0</v>
      </c>
      <c r="N672" s="271">
        <f t="shared" si="82"/>
        <v>129.60000000000002</v>
      </c>
      <c r="O672" s="267">
        <v>0</v>
      </c>
      <c r="P672" s="276">
        <f t="shared" si="78"/>
        <v>3134.4600000000005</v>
      </c>
      <c r="Q672" s="271">
        <f t="shared" si="79"/>
        <v>60084</v>
      </c>
      <c r="R672" s="271">
        <f t="shared" si="80"/>
        <v>32365.538400000001</v>
      </c>
      <c r="S672" s="271">
        <f t="shared" si="81"/>
        <v>2125.44</v>
      </c>
    </row>
    <row r="673" spans="1:21" s="270" customFormat="1" x14ac:dyDescent="0.25">
      <c r="A673" s="271">
        <v>501406</v>
      </c>
      <c r="B673" s="271">
        <v>1406</v>
      </c>
      <c r="C673" s="271">
        <v>200566</v>
      </c>
      <c r="D673" s="268" t="s">
        <v>894</v>
      </c>
      <c r="E673" s="268" t="s">
        <v>1278</v>
      </c>
      <c r="F673" s="268" t="s">
        <v>3199</v>
      </c>
      <c r="G673" s="268">
        <v>16</v>
      </c>
      <c r="H673" s="268" t="s">
        <v>3342</v>
      </c>
      <c r="I673" s="268" t="s">
        <v>3201</v>
      </c>
      <c r="J673" s="271">
        <v>179112</v>
      </c>
      <c r="K673" s="271">
        <f t="shared" si="76"/>
        <v>14926</v>
      </c>
      <c r="L673" s="271">
        <f t="shared" si="77"/>
        <v>12141.24</v>
      </c>
      <c r="M673" s="267">
        <v>0</v>
      </c>
      <c r="N673" s="271">
        <f t="shared" si="82"/>
        <v>129.60000000000002</v>
      </c>
      <c r="O673" s="267">
        <v>0</v>
      </c>
      <c r="P673" s="276">
        <f t="shared" si="78"/>
        <v>3134.4600000000005</v>
      </c>
      <c r="Q673" s="271">
        <f t="shared" si="79"/>
        <v>60084</v>
      </c>
      <c r="R673" s="271">
        <f t="shared" si="80"/>
        <v>32365.538400000001</v>
      </c>
      <c r="S673" s="271">
        <f t="shared" si="81"/>
        <v>2125.44</v>
      </c>
    </row>
    <row r="674" spans="1:21" s="270" customFormat="1" x14ac:dyDescent="0.25">
      <c r="A674" s="271">
        <v>501443</v>
      </c>
      <c r="B674" s="271">
        <v>1443</v>
      </c>
      <c r="C674" s="271">
        <v>200567</v>
      </c>
      <c r="D674" s="268" t="s">
        <v>894</v>
      </c>
      <c r="E674" s="268" t="s">
        <v>1290</v>
      </c>
      <c r="F674" s="268" t="s">
        <v>894</v>
      </c>
      <c r="G674" s="268">
        <v>16</v>
      </c>
      <c r="H674" s="268" t="s">
        <v>3343</v>
      </c>
      <c r="I674" s="268" t="s">
        <v>3201</v>
      </c>
      <c r="J674" s="271">
        <v>179112</v>
      </c>
      <c r="K674" s="271">
        <f t="shared" si="76"/>
        <v>14926</v>
      </c>
      <c r="L674" s="271">
        <f t="shared" si="77"/>
        <v>12141.24</v>
      </c>
      <c r="M674" s="267">
        <v>0</v>
      </c>
      <c r="N674" s="271">
        <f t="shared" si="82"/>
        <v>129.60000000000002</v>
      </c>
      <c r="O674" s="267">
        <v>0</v>
      </c>
      <c r="P674" s="276">
        <f t="shared" si="78"/>
        <v>3134.4600000000005</v>
      </c>
      <c r="Q674" s="271">
        <f t="shared" si="79"/>
        <v>60084</v>
      </c>
      <c r="R674" s="271">
        <f t="shared" si="80"/>
        <v>32365.538400000001</v>
      </c>
      <c r="S674" s="271">
        <f t="shared" si="81"/>
        <v>2125.44</v>
      </c>
      <c r="T674" s="280"/>
      <c r="U674" s="280"/>
    </row>
    <row r="675" spans="1:21" s="270" customFormat="1" x14ac:dyDescent="0.25">
      <c r="A675" s="271">
        <v>501506</v>
      </c>
      <c r="B675" s="271">
        <v>1506</v>
      </c>
      <c r="C675" s="271">
        <v>200568</v>
      </c>
      <c r="D675" s="268" t="s">
        <v>894</v>
      </c>
      <c r="E675" s="268" t="s">
        <v>1278</v>
      </c>
      <c r="F675" s="268" t="s">
        <v>3206</v>
      </c>
      <c r="G675" s="268">
        <v>16</v>
      </c>
      <c r="H675" s="268" t="s">
        <v>3344</v>
      </c>
      <c r="I675" s="268" t="s">
        <v>3201</v>
      </c>
      <c r="J675" s="271">
        <v>179112</v>
      </c>
      <c r="K675" s="271">
        <f t="shared" si="76"/>
        <v>14926</v>
      </c>
      <c r="L675" s="271">
        <f t="shared" si="77"/>
        <v>12141.24</v>
      </c>
      <c r="M675" s="267">
        <v>0</v>
      </c>
      <c r="N675" s="271">
        <f t="shared" si="82"/>
        <v>129.60000000000002</v>
      </c>
      <c r="O675" s="267">
        <v>0</v>
      </c>
      <c r="P675" s="276">
        <f t="shared" si="78"/>
        <v>3134.4600000000005</v>
      </c>
      <c r="Q675" s="271">
        <f t="shared" si="79"/>
        <v>60084</v>
      </c>
      <c r="R675" s="271">
        <f t="shared" si="80"/>
        <v>32365.538400000001</v>
      </c>
      <c r="S675" s="271">
        <f t="shared" si="81"/>
        <v>2125.44</v>
      </c>
    </row>
    <row r="676" spans="1:21" s="270" customFormat="1" x14ac:dyDescent="0.25">
      <c r="A676" s="271">
        <v>501444</v>
      </c>
      <c r="B676" s="271">
        <v>1444</v>
      </c>
      <c r="C676" s="271">
        <v>200569</v>
      </c>
      <c r="D676" s="268" t="s">
        <v>894</v>
      </c>
      <c r="E676" s="268" t="s">
        <v>1278</v>
      </c>
      <c r="F676" s="268" t="s">
        <v>2895</v>
      </c>
      <c r="G676" s="268">
        <v>16</v>
      </c>
      <c r="H676" s="268" t="s">
        <v>3345</v>
      </c>
      <c r="I676" s="268" t="s">
        <v>3201</v>
      </c>
      <c r="J676" s="271">
        <v>179112</v>
      </c>
      <c r="K676" s="271">
        <f t="shared" si="76"/>
        <v>14926</v>
      </c>
      <c r="L676" s="271">
        <f t="shared" si="77"/>
        <v>12141.24</v>
      </c>
      <c r="M676" s="267">
        <v>0</v>
      </c>
      <c r="N676" s="271">
        <f t="shared" si="82"/>
        <v>129.60000000000002</v>
      </c>
      <c r="O676" s="267">
        <v>0</v>
      </c>
      <c r="P676" s="276">
        <f t="shared" si="78"/>
        <v>3134.4600000000005</v>
      </c>
      <c r="Q676" s="271">
        <f t="shared" si="79"/>
        <v>60084</v>
      </c>
      <c r="R676" s="271">
        <f t="shared" si="80"/>
        <v>32365.538400000001</v>
      </c>
      <c r="S676" s="271">
        <f t="shared" si="81"/>
        <v>2125.44</v>
      </c>
      <c r="T676" s="280"/>
      <c r="U676" s="280"/>
    </row>
    <row r="677" spans="1:21" s="270" customFormat="1" x14ac:dyDescent="0.25">
      <c r="A677" s="271">
        <v>501443</v>
      </c>
      <c r="B677" s="271">
        <v>1443</v>
      </c>
      <c r="C677" s="271">
        <v>200571</v>
      </c>
      <c r="D677" s="268" t="s">
        <v>894</v>
      </c>
      <c r="E677" s="268" t="s">
        <v>1290</v>
      </c>
      <c r="F677" s="268" t="s">
        <v>2627</v>
      </c>
      <c r="G677" s="268">
        <v>16</v>
      </c>
      <c r="H677" s="268" t="s">
        <v>3346</v>
      </c>
      <c r="I677" s="268" t="s">
        <v>3201</v>
      </c>
      <c r="J677" s="271">
        <v>179112</v>
      </c>
      <c r="K677" s="271">
        <f t="shared" si="76"/>
        <v>14926</v>
      </c>
      <c r="L677" s="271">
        <f t="shared" si="77"/>
        <v>12141.24</v>
      </c>
      <c r="M677" s="267">
        <v>0</v>
      </c>
      <c r="N677" s="271">
        <f t="shared" si="82"/>
        <v>129.60000000000002</v>
      </c>
      <c r="O677" s="267">
        <v>0</v>
      </c>
      <c r="P677" s="276">
        <f t="shared" si="78"/>
        <v>3134.4600000000005</v>
      </c>
      <c r="Q677" s="271">
        <f t="shared" si="79"/>
        <v>60084</v>
      </c>
      <c r="R677" s="271">
        <f t="shared" si="80"/>
        <v>32365.538400000001</v>
      </c>
      <c r="S677" s="271">
        <f t="shared" si="81"/>
        <v>2125.44</v>
      </c>
      <c r="T677" s="280"/>
      <c r="U677" s="280"/>
    </row>
    <row r="678" spans="1:21" s="270" customFormat="1" x14ac:dyDescent="0.25">
      <c r="A678" s="271">
        <v>501444</v>
      </c>
      <c r="B678" s="271">
        <v>1444</v>
      </c>
      <c r="C678" s="271">
        <v>200572</v>
      </c>
      <c r="D678" s="268" t="s">
        <v>894</v>
      </c>
      <c r="E678" s="268" t="s">
        <v>1278</v>
      </c>
      <c r="F678" s="268" t="s">
        <v>3134</v>
      </c>
      <c r="G678" s="268">
        <v>16</v>
      </c>
      <c r="H678" s="268" t="s">
        <v>3347</v>
      </c>
      <c r="I678" s="268" t="s">
        <v>3201</v>
      </c>
      <c r="J678" s="271">
        <v>179112</v>
      </c>
      <c r="K678" s="271">
        <f t="shared" si="76"/>
        <v>14926</v>
      </c>
      <c r="L678" s="271">
        <f t="shared" si="77"/>
        <v>12141.24</v>
      </c>
      <c r="M678" s="267">
        <v>0</v>
      </c>
      <c r="N678" s="271">
        <f t="shared" si="82"/>
        <v>129.60000000000002</v>
      </c>
      <c r="O678" s="267">
        <v>0</v>
      </c>
      <c r="P678" s="276">
        <f t="shared" si="78"/>
        <v>3134.4600000000005</v>
      </c>
      <c r="Q678" s="271">
        <f t="shared" si="79"/>
        <v>60084</v>
      </c>
      <c r="R678" s="271">
        <f t="shared" si="80"/>
        <v>32365.538400000001</v>
      </c>
      <c r="S678" s="271">
        <f t="shared" si="81"/>
        <v>2125.44</v>
      </c>
      <c r="T678" s="280"/>
      <c r="U678" s="280"/>
    </row>
    <row r="679" spans="1:21" s="270" customFormat="1" x14ac:dyDescent="0.25">
      <c r="A679" s="271">
        <v>501506</v>
      </c>
      <c r="B679" s="271">
        <v>1506</v>
      </c>
      <c r="C679" s="271">
        <v>200573</v>
      </c>
      <c r="D679" s="268" t="s">
        <v>894</v>
      </c>
      <c r="E679" s="268" t="s">
        <v>1278</v>
      </c>
      <c r="F679" s="268" t="s">
        <v>3348</v>
      </c>
      <c r="G679" s="268">
        <v>16</v>
      </c>
      <c r="H679" s="268" t="s">
        <v>3349</v>
      </c>
      <c r="I679" s="268" t="s">
        <v>3201</v>
      </c>
      <c r="J679" s="271">
        <v>179112</v>
      </c>
      <c r="K679" s="271">
        <f t="shared" si="76"/>
        <v>14926</v>
      </c>
      <c r="L679" s="271">
        <f t="shared" si="77"/>
        <v>12141.24</v>
      </c>
      <c r="M679" s="267">
        <v>0</v>
      </c>
      <c r="N679" s="271">
        <f t="shared" si="82"/>
        <v>129.60000000000002</v>
      </c>
      <c r="O679" s="267">
        <v>0</v>
      </c>
      <c r="P679" s="276">
        <f t="shared" si="78"/>
        <v>3134.4600000000005</v>
      </c>
      <c r="Q679" s="271">
        <f t="shared" si="79"/>
        <v>60084</v>
      </c>
      <c r="R679" s="271">
        <f t="shared" si="80"/>
        <v>32365.538400000001</v>
      </c>
      <c r="S679" s="271">
        <f t="shared" si="81"/>
        <v>2125.44</v>
      </c>
      <c r="T679" s="280"/>
      <c r="U679" s="280"/>
    </row>
    <row r="680" spans="1:21" s="270" customFormat="1" x14ac:dyDescent="0.25">
      <c r="A680" s="271">
        <v>501444</v>
      </c>
      <c r="B680" s="271">
        <v>1444</v>
      </c>
      <c r="C680" s="271">
        <v>200575</v>
      </c>
      <c r="D680" s="268" t="s">
        <v>894</v>
      </c>
      <c r="E680" s="268" t="s">
        <v>1278</v>
      </c>
      <c r="F680" s="268" t="s">
        <v>3350</v>
      </c>
      <c r="G680" s="268">
        <v>16</v>
      </c>
      <c r="H680" s="268" t="s">
        <v>3351</v>
      </c>
      <c r="I680" s="268" t="s">
        <v>3201</v>
      </c>
      <c r="J680" s="271">
        <v>179112</v>
      </c>
      <c r="K680" s="271">
        <f t="shared" si="76"/>
        <v>14926</v>
      </c>
      <c r="L680" s="271">
        <f t="shared" si="77"/>
        <v>12141.24</v>
      </c>
      <c r="M680" s="267">
        <v>0</v>
      </c>
      <c r="N680" s="271">
        <f t="shared" si="82"/>
        <v>129.60000000000002</v>
      </c>
      <c r="O680" s="267">
        <v>0</v>
      </c>
      <c r="P680" s="276">
        <f t="shared" si="78"/>
        <v>3134.4600000000005</v>
      </c>
      <c r="Q680" s="271">
        <f t="shared" si="79"/>
        <v>60084</v>
      </c>
      <c r="R680" s="271">
        <f t="shared" si="80"/>
        <v>32365.538400000001</v>
      </c>
      <c r="S680" s="271">
        <f t="shared" si="81"/>
        <v>2125.44</v>
      </c>
      <c r="T680" s="280"/>
      <c r="U680" s="280"/>
    </row>
    <row r="681" spans="1:21" s="270" customFormat="1" x14ac:dyDescent="0.25">
      <c r="A681" s="271">
        <v>501444</v>
      </c>
      <c r="B681" s="271">
        <v>1444</v>
      </c>
      <c r="C681" s="271">
        <v>200577</v>
      </c>
      <c r="D681" s="268" t="s">
        <v>894</v>
      </c>
      <c r="E681" s="268" t="s">
        <v>1278</v>
      </c>
      <c r="F681" s="268" t="s">
        <v>3352</v>
      </c>
      <c r="G681" s="268">
        <v>16</v>
      </c>
      <c r="H681" s="268" t="s">
        <v>3353</v>
      </c>
      <c r="I681" s="268" t="s">
        <v>3201</v>
      </c>
      <c r="J681" s="271">
        <v>179112</v>
      </c>
      <c r="K681" s="271">
        <f t="shared" si="76"/>
        <v>14926</v>
      </c>
      <c r="L681" s="271">
        <f t="shared" si="77"/>
        <v>12141.24</v>
      </c>
      <c r="M681" s="267">
        <v>0</v>
      </c>
      <c r="N681" s="271">
        <f t="shared" si="82"/>
        <v>129.60000000000002</v>
      </c>
      <c r="O681" s="267">
        <v>0</v>
      </c>
      <c r="P681" s="276">
        <f t="shared" si="78"/>
        <v>3134.4600000000005</v>
      </c>
      <c r="Q681" s="271">
        <f t="shared" si="79"/>
        <v>60084</v>
      </c>
      <c r="R681" s="271">
        <f t="shared" si="80"/>
        <v>32365.538400000001</v>
      </c>
      <c r="S681" s="271">
        <f t="shared" si="81"/>
        <v>2125.44</v>
      </c>
      <c r="T681" s="280"/>
      <c r="U681" s="280"/>
    </row>
    <row r="682" spans="1:21" s="270" customFormat="1" x14ac:dyDescent="0.25">
      <c r="A682" s="271">
        <v>501406</v>
      </c>
      <c r="B682" s="271">
        <v>1406</v>
      </c>
      <c r="C682" s="271">
        <v>200578</v>
      </c>
      <c r="D682" s="268" t="s">
        <v>894</v>
      </c>
      <c r="E682" s="268" t="s">
        <v>1290</v>
      </c>
      <c r="F682" s="268" t="s">
        <v>1306</v>
      </c>
      <c r="G682" s="268">
        <v>16</v>
      </c>
      <c r="H682" s="268" t="s">
        <v>3354</v>
      </c>
      <c r="I682" s="268" t="s">
        <v>3201</v>
      </c>
      <c r="J682" s="271">
        <v>179112</v>
      </c>
      <c r="K682" s="271">
        <f t="shared" si="76"/>
        <v>14926</v>
      </c>
      <c r="L682" s="271">
        <f t="shared" si="77"/>
        <v>12141.24</v>
      </c>
      <c r="M682" s="267">
        <v>0</v>
      </c>
      <c r="N682" s="271">
        <f t="shared" si="82"/>
        <v>129.60000000000002</v>
      </c>
      <c r="O682" s="267">
        <v>0</v>
      </c>
      <c r="P682" s="276">
        <f t="shared" si="78"/>
        <v>3134.4600000000005</v>
      </c>
      <c r="Q682" s="271">
        <f t="shared" si="79"/>
        <v>60084</v>
      </c>
      <c r="R682" s="271">
        <f t="shared" si="80"/>
        <v>32365.538400000001</v>
      </c>
      <c r="S682" s="271">
        <f t="shared" si="81"/>
        <v>2125.44</v>
      </c>
      <c r="T682" s="280"/>
      <c r="U682" s="280"/>
    </row>
    <row r="683" spans="1:21" s="270" customFormat="1" x14ac:dyDescent="0.25">
      <c r="A683" s="271">
        <v>501444</v>
      </c>
      <c r="B683" s="271">
        <v>1444</v>
      </c>
      <c r="C683" s="271">
        <v>200579</v>
      </c>
      <c r="D683" s="268" t="s">
        <v>894</v>
      </c>
      <c r="E683" s="268" t="s">
        <v>1278</v>
      </c>
      <c r="F683" s="268" t="s">
        <v>2547</v>
      </c>
      <c r="G683" s="268">
        <v>16</v>
      </c>
      <c r="H683" s="268" t="s">
        <v>3355</v>
      </c>
      <c r="I683" s="268" t="s">
        <v>3201</v>
      </c>
      <c r="J683" s="271">
        <v>179112</v>
      </c>
      <c r="K683" s="271">
        <f t="shared" si="76"/>
        <v>14926</v>
      </c>
      <c r="L683" s="271">
        <f t="shared" si="77"/>
        <v>12141.24</v>
      </c>
      <c r="M683" s="267">
        <v>0</v>
      </c>
      <c r="N683" s="271">
        <f t="shared" si="82"/>
        <v>129.60000000000002</v>
      </c>
      <c r="O683" s="267">
        <v>0</v>
      </c>
      <c r="P683" s="276">
        <f t="shared" si="78"/>
        <v>3134.4600000000005</v>
      </c>
      <c r="Q683" s="271">
        <f t="shared" si="79"/>
        <v>60084</v>
      </c>
      <c r="R683" s="271">
        <f t="shared" si="80"/>
        <v>32365.538400000001</v>
      </c>
      <c r="S683" s="271">
        <f t="shared" si="81"/>
        <v>2125.44</v>
      </c>
      <c r="T683" s="280"/>
      <c r="U683" s="280"/>
    </row>
    <row r="684" spans="1:21" s="270" customFormat="1" x14ac:dyDescent="0.25">
      <c r="A684" s="271">
        <v>501406</v>
      </c>
      <c r="B684" s="271">
        <v>1406</v>
      </c>
      <c r="C684" s="271">
        <v>200580</v>
      </c>
      <c r="D684" s="268" t="s">
        <v>894</v>
      </c>
      <c r="E684" s="268" t="s">
        <v>1278</v>
      </c>
      <c r="F684" s="268" t="s">
        <v>2649</v>
      </c>
      <c r="G684" s="268">
        <v>16</v>
      </c>
      <c r="H684" s="268" t="s">
        <v>2451</v>
      </c>
      <c r="I684" s="268" t="s">
        <v>3201</v>
      </c>
      <c r="J684" s="271">
        <v>179112</v>
      </c>
      <c r="K684" s="271">
        <f t="shared" si="76"/>
        <v>14926</v>
      </c>
      <c r="L684" s="271">
        <f t="shared" si="77"/>
        <v>12141.24</v>
      </c>
      <c r="M684" s="267">
        <v>0</v>
      </c>
      <c r="N684" s="271">
        <f t="shared" si="82"/>
        <v>129.60000000000002</v>
      </c>
      <c r="O684" s="267">
        <v>0</v>
      </c>
      <c r="P684" s="276">
        <f t="shared" si="78"/>
        <v>3134.4600000000005</v>
      </c>
      <c r="Q684" s="271">
        <f t="shared" si="79"/>
        <v>60084</v>
      </c>
      <c r="R684" s="271">
        <f t="shared" si="80"/>
        <v>32365.538400000001</v>
      </c>
      <c r="S684" s="271">
        <f t="shared" si="81"/>
        <v>2125.44</v>
      </c>
      <c r="T684" s="280"/>
      <c r="U684" s="280"/>
    </row>
    <row r="685" spans="1:21" s="270" customFormat="1" x14ac:dyDescent="0.25">
      <c r="A685" s="271">
        <v>501457</v>
      </c>
      <c r="B685" s="271">
        <v>1457</v>
      </c>
      <c r="C685" s="271">
        <v>200581</v>
      </c>
      <c r="D685" s="268" t="s">
        <v>894</v>
      </c>
      <c r="E685" s="268" t="s">
        <v>1290</v>
      </c>
      <c r="F685" s="268" t="s">
        <v>3356</v>
      </c>
      <c r="G685" s="268">
        <v>16</v>
      </c>
      <c r="H685" s="268" t="s">
        <v>3357</v>
      </c>
      <c r="I685" s="268" t="s">
        <v>3201</v>
      </c>
      <c r="J685" s="271">
        <v>179112</v>
      </c>
      <c r="K685" s="271">
        <f t="shared" si="76"/>
        <v>14926</v>
      </c>
      <c r="L685" s="271">
        <f t="shared" si="77"/>
        <v>12141.24</v>
      </c>
      <c r="M685" s="267">
        <v>0</v>
      </c>
      <c r="N685" s="271">
        <f t="shared" si="82"/>
        <v>129.60000000000002</v>
      </c>
      <c r="O685" s="267">
        <v>0</v>
      </c>
      <c r="P685" s="276">
        <f t="shared" si="78"/>
        <v>3134.4600000000005</v>
      </c>
      <c r="Q685" s="271">
        <f t="shared" si="79"/>
        <v>60084</v>
      </c>
      <c r="R685" s="271">
        <f t="shared" si="80"/>
        <v>32365.538400000001</v>
      </c>
      <c r="S685" s="271">
        <f t="shared" si="81"/>
        <v>2125.44</v>
      </c>
      <c r="T685" s="280"/>
      <c r="U685" s="280"/>
    </row>
    <row r="686" spans="1:21" s="270" customFormat="1" x14ac:dyDescent="0.25">
      <c r="A686" s="271">
        <v>501457</v>
      </c>
      <c r="B686" s="271">
        <v>1457</v>
      </c>
      <c r="C686" s="271">
        <v>200583</v>
      </c>
      <c r="D686" s="268" t="s">
        <v>894</v>
      </c>
      <c r="E686" s="268" t="s">
        <v>1290</v>
      </c>
      <c r="F686" s="268" t="s">
        <v>2508</v>
      </c>
      <c r="G686" s="268">
        <v>16</v>
      </c>
      <c r="H686" s="268" t="s">
        <v>3358</v>
      </c>
      <c r="I686" s="268" t="s">
        <v>3359</v>
      </c>
      <c r="J686" s="271">
        <v>179112</v>
      </c>
      <c r="K686" s="271">
        <f t="shared" si="76"/>
        <v>14926</v>
      </c>
      <c r="L686" s="271">
        <f t="shared" si="77"/>
        <v>12141.24</v>
      </c>
      <c r="M686" s="267">
        <v>0</v>
      </c>
      <c r="N686" s="271">
        <f t="shared" si="82"/>
        <v>129.60000000000002</v>
      </c>
      <c r="O686" s="267">
        <v>0</v>
      </c>
      <c r="P686" s="276">
        <f t="shared" si="78"/>
        <v>3134.4600000000005</v>
      </c>
      <c r="Q686" s="271">
        <f t="shared" si="79"/>
        <v>60084</v>
      </c>
      <c r="R686" s="271">
        <f t="shared" si="80"/>
        <v>32365.538400000001</v>
      </c>
      <c r="S686" s="271">
        <f t="shared" si="81"/>
        <v>2125.44</v>
      </c>
      <c r="T686" s="280"/>
      <c r="U686" s="280"/>
    </row>
    <row r="687" spans="1:21" s="270" customFormat="1" x14ac:dyDescent="0.25">
      <c r="A687" s="271">
        <v>501444</v>
      </c>
      <c r="B687" s="271">
        <v>1444</v>
      </c>
      <c r="C687" s="271">
        <v>200584</v>
      </c>
      <c r="D687" s="268" t="s">
        <v>894</v>
      </c>
      <c r="E687" s="268" t="s">
        <v>1290</v>
      </c>
      <c r="F687" s="268" t="s">
        <v>2971</v>
      </c>
      <c r="G687" s="268">
        <v>16</v>
      </c>
      <c r="H687" s="268" t="s">
        <v>3360</v>
      </c>
      <c r="I687" s="268" t="s">
        <v>3201</v>
      </c>
      <c r="J687" s="271">
        <v>179112</v>
      </c>
      <c r="K687" s="271">
        <f t="shared" si="76"/>
        <v>14926</v>
      </c>
      <c r="L687" s="271">
        <f t="shared" si="77"/>
        <v>12141.24</v>
      </c>
      <c r="M687" s="267">
        <v>0</v>
      </c>
      <c r="N687" s="271">
        <f t="shared" si="82"/>
        <v>129.60000000000002</v>
      </c>
      <c r="O687" s="267">
        <v>0</v>
      </c>
      <c r="P687" s="276">
        <f t="shared" si="78"/>
        <v>3134.4600000000005</v>
      </c>
      <c r="Q687" s="271">
        <f t="shared" si="79"/>
        <v>60084</v>
      </c>
      <c r="R687" s="271">
        <f t="shared" si="80"/>
        <v>32365.538400000001</v>
      </c>
      <c r="S687" s="271">
        <f t="shared" si="81"/>
        <v>2125.44</v>
      </c>
      <c r="T687" s="280"/>
      <c r="U687" s="280"/>
    </row>
    <row r="688" spans="1:21" s="270" customFormat="1" x14ac:dyDescent="0.25">
      <c r="A688" s="271">
        <v>501506</v>
      </c>
      <c r="B688" s="271">
        <v>1506</v>
      </c>
      <c r="C688" s="271">
        <v>200585</v>
      </c>
      <c r="D688" s="268" t="s">
        <v>894</v>
      </c>
      <c r="E688" s="268" t="s">
        <v>1278</v>
      </c>
      <c r="F688" s="268" t="s">
        <v>3361</v>
      </c>
      <c r="G688" s="268">
        <v>16</v>
      </c>
      <c r="H688" s="268" t="s">
        <v>3362</v>
      </c>
      <c r="I688" s="268" t="s">
        <v>3201</v>
      </c>
      <c r="J688" s="271">
        <v>179112</v>
      </c>
      <c r="K688" s="271">
        <f t="shared" si="76"/>
        <v>14926</v>
      </c>
      <c r="L688" s="271">
        <f t="shared" si="77"/>
        <v>12141.24</v>
      </c>
      <c r="M688" s="267">
        <v>0</v>
      </c>
      <c r="N688" s="271">
        <f t="shared" si="82"/>
        <v>129.60000000000002</v>
      </c>
      <c r="O688" s="267">
        <v>0</v>
      </c>
      <c r="P688" s="276">
        <f t="shared" si="78"/>
        <v>3134.4600000000005</v>
      </c>
      <c r="Q688" s="271">
        <f t="shared" si="79"/>
        <v>60084</v>
      </c>
      <c r="R688" s="271">
        <f t="shared" si="80"/>
        <v>32365.538400000001</v>
      </c>
      <c r="S688" s="271">
        <f t="shared" si="81"/>
        <v>2125.44</v>
      </c>
      <c r="T688" s="280"/>
      <c r="U688" s="280"/>
    </row>
    <row r="689" spans="1:21" s="270" customFormat="1" x14ac:dyDescent="0.25">
      <c r="A689" s="271">
        <v>501506</v>
      </c>
      <c r="B689" s="271">
        <v>1506</v>
      </c>
      <c r="C689" s="271">
        <v>200586</v>
      </c>
      <c r="D689" s="268" t="s">
        <v>894</v>
      </c>
      <c r="E689" s="268" t="s">
        <v>1278</v>
      </c>
      <c r="F689" s="268" t="s">
        <v>3363</v>
      </c>
      <c r="G689" s="268">
        <v>16</v>
      </c>
      <c r="H689" s="268" t="s">
        <v>3364</v>
      </c>
      <c r="I689" s="268" t="s">
        <v>3201</v>
      </c>
      <c r="J689" s="271">
        <v>179112</v>
      </c>
      <c r="K689" s="271">
        <f t="shared" si="76"/>
        <v>14926</v>
      </c>
      <c r="L689" s="271">
        <f t="shared" si="77"/>
        <v>12141.24</v>
      </c>
      <c r="M689" s="267">
        <v>0</v>
      </c>
      <c r="N689" s="271">
        <f t="shared" si="82"/>
        <v>129.60000000000002</v>
      </c>
      <c r="O689" s="267">
        <v>0</v>
      </c>
      <c r="P689" s="276">
        <f t="shared" si="78"/>
        <v>3134.4600000000005</v>
      </c>
      <c r="Q689" s="271">
        <f t="shared" si="79"/>
        <v>60084</v>
      </c>
      <c r="R689" s="271">
        <f t="shared" si="80"/>
        <v>32365.538400000001</v>
      </c>
      <c r="S689" s="271">
        <f t="shared" si="81"/>
        <v>2125.44</v>
      </c>
      <c r="T689" s="280"/>
      <c r="U689" s="280"/>
    </row>
    <row r="690" spans="1:21" s="270" customFormat="1" x14ac:dyDescent="0.25">
      <c r="A690" s="271">
        <v>501444</v>
      </c>
      <c r="B690" s="271">
        <v>1444</v>
      </c>
      <c r="C690" s="271">
        <v>200587</v>
      </c>
      <c r="D690" s="268" t="s">
        <v>894</v>
      </c>
      <c r="E690" s="268" t="s">
        <v>1290</v>
      </c>
      <c r="F690" s="268" t="s">
        <v>3365</v>
      </c>
      <c r="G690" s="268">
        <v>16</v>
      </c>
      <c r="H690" s="268" t="s">
        <v>3366</v>
      </c>
      <c r="I690" s="268" t="s">
        <v>3201</v>
      </c>
      <c r="J690" s="271">
        <v>179112</v>
      </c>
      <c r="K690" s="271">
        <f t="shared" si="76"/>
        <v>14926</v>
      </c>
      <c r="L690" s="271">
        <f t="shared" si="77"/>
        <v>12141.24</v>
      </c>
      <c r="M690" s="267">
        <v>0</v>
      </c>
      <c r="N690" s="271">
        <f t="shared" si="82"/>
        <v>129.60000000000002</v>
      </c>
      <c r="O690" s="267">
        <v>0</v>
      </c>
      <c r="P690" s="276">
        <f t="shared" si="78"/>
        <v>3134.4600000000005</v>
      </c>
      <c r="Q690" s="271">
        <f t="shared" si="79"/>
        <v>60084</v>
      </c>
      <c r="R690" s="271">
        <f t="shared" si="80"/>
        <v>32365.538400000001</v>
      </c>
      <c r="S690" s="271">
        <f t="shared" si="81"/>
        <v>2125.44</v>
      </c>
      <c r="T690" s="280"/>
      <c r="U690" s="280"/>
    </row>
    <row r="691" spans="1:21" s="270" customFormat="1" x14ac:dyDescent="0.25">
      <c r="A691" s="271">
        <v>501506</v>
      </c>
      <c r="B691" s="271">
        <v>1506</v>
      </c>
      <c r="C691" s="271">
        <v>200589</v>
      </c>
      <c r="D691" s="268" t="s">
        <v>894</v>
      </c>
      <c r="E691" s="268" t="s">
        <v>1278</v>
      </c>
      <c r="F691" s="268" t="s">
        <v>3272</v>
      </c>
      <c r="G691" s="268">
        <v>16</v>
      </c>
      <c r="H691" s="268" t="s">
        <v>3367</v>
      </c>
      <c r="I691" s="268" t="s">
        <v>3201</v>
      </c>
      <c r="J691" s="271">
        <v>179112</v>
      </c>
      <c r="K691" s="271">
        <f t="shared" si="76"/>
        <v>14926</v>
      </c>
      <c r="L691" s="271">
        <f t="shared" si="77"/>
        <v>12141.24</v>
      </c>
      <c r="M691" s="267">
        <v>0</v>
      </c>
      <c r="N691" s="271">
        <f t="shared" si="82"/>
        <v>129.60000000000002</v>
      </c>
      <c r="O691" s="267">
        <v>0</v>
      </c>
      <c r="P691" s="276">
        <f t="shared" si="78"/>
        <v>3134.4600000000005</v>
      </c>
      <c r="Q691" s="271">
        <f t="shared" si="79"/>
        <v>60084</v>
      </c>
      <c r="R691" s="271">
        <f t="shared" si="80"/>
        <v>32365.538400000001</v>
      </c>
      <c r="S691" s="271">
        <f t="shared" si="81"/>
        <v>2125.44</v>
      </c>
      <c r="T691" s="280"/>
      <c r="U691" s="280"/>
    </row>
    <row r="692" spans="1:21" s="280" customFormat="1" x14ac:dyDescent="0.25">
      <c r="A692" s="271">
        <v>501506</v>
      </c>
      <c r="B692" s="271">
        <v>1506</v>
      </c>
      <c r="C692" s="271">
        <v>200593</v>
      </c>
      <c r="D692" s="268" t="s">
        <v>894</v>
      </c>
      <c r="E692" s="268" t="s">
        <v>1278</v>
      </c>
      <c r="F692" s="268" t="s">
        <v>3368</v>
      </c>
      <c r="G692" s="268">
        <v>16</v>
      </c>
      <c r="H692" s="268" t="s">
        <v>3369</v>
      </c>
      <c r="I692" s="268" t="s">
        <v>3201</v>
      </c>
      <c r="J692" s="271">
        <v>179112</v>
      </c>
      <c r="K692" s="271">
        <f t="shared" si="76"/>
        <v>14926</v>
      </c>
      <c r="L692" s="271">
        <f t="shared" si="77"/>
        <v>12141.24</v>
      </c>
      <c r="M692" s="267">
        <v>0</v>
      </c>
      <c r="N692" s="271">
        <f t="shared" si="82"/>
        <v>129.60000000000002</v>
      </c>
      <c r="O692" s="267">
        <v>0</v>
      </c>
      <c r="P692" s="276">
        <f t="shared" si="78"/>
        <v>3134.4600000000005</v>
      </c>
      <c r="Q692" s="271">
        <f t="shared" si="79"/>
        <v>60084</v>
      </c>
      <c r="S692" s="271">
        <f t="shared" si="81"/>
        <v>2125.44</v>
      </c>
    </row>
    <row r="693" spans="1:21" s="270" customFormat="1" x14ac:dyDescent="0.25">
      <c r="A693" s="270">
        <v>501442</v>
      </c>
      <c r="B693" s="271">
        <v>1442</v>
      </c>
      <c r="C693" s="271">
        <v>200106</v>
      </c>
      <c r="D693" s="268" t="s">
        <v>894</v>
      </c>
      <c r="E693" s="268" t="s">
        <v>1290</v>
      </c>
      <c r="F693" s="268" t="s">
        <v>3370</v>
      </c>
      <c r="G693" s="268">
        <v>8</v>
      </c>
      <c r="H693" s="268" t="s">
        <v>2196</v>
      </c>
      <c r="I693" s="268" t="s">
        <v>2777</v>
      </c>
      <c r="J693" s="271">
        <v>373416</v>
      </c>
      <c r="K693" s="271">
        <f t="shared" si="76"/>
        <v>31118</v>
      </c>
      <c r="L693" s="267">
        <f t="shared" si="77"/>
        <v>12141.24</v>
      </c>
      <c r="M693" s="267">
        <v>0</v>
      </c>
      <c r="N693" s="271">
        <f t="shared" si="82"/>
        <v>129.60000000000002</v>
      </c>
      <c r="O693" s="267">
        <v>0</v>
      </c>
      <c r="P693" s="267">
        <f t="shared" si="78"/>
        <v>6534.7800000000007</v>
      </c>
      <c r="Q693" s="271">
        <f>5007*12</f>
        <v>60084</v>
      </c>
      <c r="R693" s="271">
        <f>J693*18%</f>
        <v>67214.880000000005</v>
      </c>
      <c r="S693" s="271">
        <f t="shared" si="81"/>
        <v>2125.44</v>
      </c>
    </row>
    <row r="694" spans="1:21" s="270" customFormat="1" x14ac:dyDescent="0.25">
      <c r="A694" s="270">
        <v>501105</v>
      </c>
      <c r="B694" s="271">
        <v>1105</v>
      </c>
      <c r="C694" s="271">
        <v>200594</v>
      </c>
      <c r="D694" s="268" t="s">
        <v>894</v>
      </c>
      <c r="E694" s="268" t="s">
        <v>1290</v>
      </c>
      <c r="F694" s="268" t="s">
        <v>3371</v>
      </c>
      <c r="G694" s="268"/>
      <c r="H694" s="268" t="s">
        <v>3372</v>
      </c>
      <c r="I694" s="268" t="s">
        <v>3373</v>
      </c>
      <c r="J694" s="271">
        <v>373410</v>
      </c>
      <c r="K694" s="271">
        <f t="shared" si="76"/>
        <v>31117.5</v>
      </c>
      <c r="L694" s="267">
        <f t="shared" si="77"/>
        <v>12141.24</v>
      </c>
      <c r="M694" s="267">
        <v>0</v>
      </c>
      <c r="N694" s="271">
        <f t="shared" si="82"/>
        <v>129.60000000000002</v>
      </c>
      <c r="O694" s="267">
        <v>0</v>
      </c>
      <c r="P694" s="267">
        <f t="shared" si="78"/>
        <v>6534.6750000000002</v>
      </c>
      <c r="Q694" s="267">
        <f>5007*12</f>
        <v>60084</v>
      </c>
      <c r="R694" s="271">
        <f>J694*18%</f>
        <v>67213.8</v>
      </c>
      <c r="S694" s="271">
        <f t="shared" si="81"/>
        <v>2125.44</v>
      </c>
    </row>
    <row r="695" spans="1:21" s="270" customFormat="1" ht="12.6" thickBot="1" x14ac:dyDescent="0.3">
      <c r="D695" s="275"/>
      <c r="E695" s="275"/>
      <c r="F695" s="275"/>
      <c r="G695" s="275"/>
      <c r="H695" s="275"/>
      <c r="I695" s="275"/>
      <c r="J695" s="354">
        <f>SUM(J2:J694)</f>
        <v>246506304</v>
      </c>
      <c r="K695" s="354">
        <f t="shared" ref="K695:S695" si="83">SUM(K2:K694)</f>
        <v>19189769.25</v>
      </c>
      <c r="L695" s="354">
        <f t="shared" si="83"/>
        <v>8268184.4400001122</v>
      </c>
      <c r="M695" s="354">
        <f t="shared" si="83"/>
        <v>699518.4</v>
      </c>
      <c r="N695" s="354">
        <f t="shared" si="83"/>
        <v>88257.600000000501</v>
      </c>
      <c r="O695" s="354">
        <f t="shared" si="83"/>
        <v>18026148</v>
      </c>
      <c r="P695" s="354">
        <f t="shared" si="83"/>
        <v>4029851.5424999991</v>
      </c>
      <c r="Q695" s="354">
        <f t="shared" si="83"/>
        <v>40917204</v>
      </c>
      <c r="R695" s="354">
        <f t="shared" si="83"/>
        <v>41577631.757100254</v>
      </c>
      <c r="S695" s="354">
        <f t="shared" si="83"/>
        <v>1447424.6399999764</v>
      </c>
    </row>
    <row r="696" spans="1:21" s="270" customFormat="1" ht="12.6" thickTop="1" x14ac:dyDescent="0.25">
      <c r="D696" s="275"/>
      <c r="E696" s="275"/>
      <c r="F696" s="275"/>
      <c r="G696" s="275"/>
      <c r="H696" s="275"/>
      <c r="I696" s="275"/>
      <c r="L696" s="322"/>
      <c r="M696" s="322"/>
      <c r="O696" s="322"/>
      <c r="P696" s="322"/>
      <c r="Q696" s="322"/>
    </row>
    <row r="697" spans="1:21" s="270" customFormat="1" x14ac:dyDescent="0.25">
      <c r="D697" s="275"/>
      <c r="E697" s="275"/>
      <c r="F697" s="275"/>
      <c r="G697" s="275"/>
      <c r="H697" s="275"/>
      <c r="I697" s="282"/>
      <c r="J697" s="349"/>
      <c r="K697" s="349"/>
      <c r="L697" s="350"/>
      <c r="M697" s="350"/>
      <c r="N697" s="349"/>
      <c r="O697" s="350"/>
      <c r="P697" s="350"/>
      <c r="Q697" s="350"/>
      <c r="R697" s="349"/>
      <c r="S697" s="349"/>
      <c r="T697" s="349" t="s">
        <v>3496</v>
      </c>
    </row>
    <row r="698" spans="1:21" x14ac:dyDescent="0.25">
      <c r="I698" s="360" t="s">
        <v>3374</v>
      </c>
      <c r="J698" s="286">
        <f t="shared" ref="J698:S698" si="84">SUM(J2:J694)</f>
        <v>246506304</v>
      </c>
      <c r="K698" s="286">
        <f t="shared" si="84"/>
        <v>19189769.25</v>
      </c>
      <c r="L698" s="286">
        <f t="shared" si="84"/>
        <v>8268184.4400001122</v>
      </c>
      <c r="M698" s="286">
        <f t="shared" si="84"/>
        <v>699518.4</v>
      </c>
      <c r="N698" s="286">
        <f t="shared" si="84"/>
        <v>88257.600000000501</v>
      </c>
      <c r="O698" s="286">
        <f t="shared" si="84"/>
        <v>18026148</v>
      </c>
      <c r="P698" s="286">
        <f t="shared" si="84"/>
        <v>4029851.5424999991</v>
      </c>
      <c r="Q698" s="286">
        <f t="shared" si="84"/>
        <v>40917204</v>
      </c>
      <c r="R698" s="286">
        <f t="shared" si="84"/>
        <v>41577631.757100254</v>
      </c>
      <c r="S698" s="286">
        <f t="shared" si="84"/>
        <v>1447424.6399999764</v>
      </c>
      <c r="T698" s="286">
        <f>SUM(J698:S698)</f>
        <v>380750293.62960041</v>
      </c>
    </row>
    <row r="699" spans="1:21" x14ac:dyDescent="0.25">
      <c r="I699" s="360" t="s">
        <v>3375</v>
      </c>
      <c r="J699" s="286">
        <f>J698*4.7%+J698</f>
        <v>258092100.28799999</v>
      </c>
      <c r="K699" s="286">
        <f t="shared" ref="K699:S699" si="85">K698*4.7%+K698</f>
        <v>20091688.404750001</v>
      </c>
      <c r="L699" s="286">
        <f t="shared" si="85"/>
        <v>8656789.1086801179</v>
      </c>
      <c r="M699" s="286">
        <f t="shared" si="85"/>
        <v>732395.7648</v>
      </c>
      <c r="N699" s="286">
        <f t="shared" si="85"/>
        <v>92405.707200000528</v>
      </c>
      <c r="O699" s="286">
        <f t="shared" si="85"/>
        <v>18873376.956</v>
      </c>
      <c r="P699" s="286">
        <f t="shared" si="85"/>
        <v>4219254.5649974989</v>
      </c>
      <c r="Q699" s="286">
        <f t="shared" si="85"/>
        <v>42840312.588</v>
      </c>
      <c r="R699" s="286">
        <f t="shared" si="85"/>
        <v>43531780.449683964</v>
      </c>
      <c r="S699" s="286">
        <f t="shared" si="85"/>
        <v>1515453.5980799752</v>
      </c>
      <c r="T699" s="286">
        <f>SUM(J699:S699)</f>
        <v>398645557.43019152</v>
      </c>
    </row>
    <row r="700" spans="1:21" x14ac:dyDescent="0.25">
      <c r="I700" s="360" t="s">
        <v>3376</v>
      </c>
      <c r="J700" s="286">
        <f>J699*4.6%+J699</f>
        <v>269964336.90124798</v>
      </c>
      <c r="K700" s="286">
        <f t="shared" ref="K700:S701" si="86">K699*4.6%+K699</f>
        <v>21015906.071368501</v>
      </c>
      <c r="L700" s="286">
        <f t="shared" si="86"/>
        <v>9055001.4076794032</v>
      </c>
      <c r="M700" s="286">
        <f t="shared" si="86"/>
        <v>766085.96998080006</v>
      </c>
      <c r="N700" s="286">
        <f t="shared" si="86"/>
        <v>96656.369731200553</v>
      </c>
      <c r="O700" s="286">
        <f t="shared" si="86"/>
        <v>19741552.295976002</v>
      </c>
      <c r="P700" s="286">
        <f t="shared" si="86"/>
        <v>4413340.2749873837</v>
      </c>
      <c r="Q700" s="286">
        <f t="shared" si="86"/>
        <v>44810966.967047997</v>
      </c>
      <c r="R700" s="286">
        <f t="shared" si="86"/>
        <v>45534242.350369424</v>
      </c>
      <c r="S700" s="286">
        <f t="shared" si="86"/>
        <v>1585164.4635916541</v>
      </c>
      <c r="T700" s="286">
        <f>SUM(J700:S700)</f>
        <v>416983253.0719803</v>
      </c>
    </row>
    <row r="701" spans="1:21" x14ac:dyDescent="0.25">
      <c r="I701" s="360" t="s">
        <v>3495</v>
      </c>
      <c r="J701" s="286">
        <f>J700*4.6%+J700</f>
        <v>282382696.39870536</v>
      </c>
      <c r="K701" s="286">
        <f t="shared" si="86"/>
        <v>21982637.750651453</v>
      </c>
      <c r="L701" s="286">
        <f t="shared" si="86"/>
        <v>9471531.4724326562</v>
      </c>
      <c r="M701" s="286">
        <f t="shared" si="86"/>
        <v>801325.92459991691</v>
      </c>
      <c r="N701" s="286">
        <f t="shared" si="86"/>
        <v>101102.56273883578</v>
      </c>
      <c r="O701" s="286">
        <f t="shared" si="86"/>
        <v>20649663.701590899</v>
      </c>
      <c r="P701" s="286">
        <f t="shared" si="86"/>
        <v>4616353.9276368031</v>
      </c>
      <c r="Q701" s="286">
        <f t="shared" si="86"/>
        <v>46872271.447532207</v>
      </c>
      <c r="R701" s="286">
        <f t="shared" si="86"/>
        <v>47628817.498486415</v>
      </c>
      <c r="S701" s="286">
        <f t="shared" si="86"/>
        <v>1658082.0289168702</v>
      </c>
      <c r="T701" s="286">
        <f>SUM(J701:S701)</f>
        <v>436164482.71329147</v>
      </c>
    </row>
    <row r="703" spans="1:21" x14ac:dyDescent="0.25">
      <c r="I703" s="290" t="s">
        <v>3377</v>
      </c>
      <c r="J703" s="302" t="s">
        <v>3378</v>
      </c>
      <c r="K703" s="428" t="s">
        <v>3379</v>
      </c>
      <c r="L703" s="428"/>
      <c r="M703" s="303" t="s">
        <v>3374</v>
      </c>
      <c r="N703" s="351" t="s">
        <v>3375</v>
      </c>
      <c r="O703" s="303" t="s">
        <v>3376</v>
      </c>
      <c r="P703" s="303" t="s">
        <v>3495</v>
      </c>
    </row>
    <row r="704" spans="1:21" x14ac:dyDescent="0.25">
      <c r="J704" s="304">
        <v>102</v>
      </c>
      <c r="K704" s="304" t="s">
        <v>3380</v>
      </c>
      <c r="L704" s="304"/>
      <c r="M704" s="294">
        <f>J698+K698</f>
        <v>265696073.25</v>
      </c>
      <c r="N704" s="294">
        <f>J699+K699</f>
        <v>278183788.69274998</v>
      </c>
      <c r="O704" s="294">
        <f>J700+K700</f>
        <v>290980242.97261649</v>
      </c>
      <c r="P704" s="294">
        <f>J701+K701</f>
        <v>304365334.14935684</v>
      </c>
    </row>
    <row r="705" spans="10:16" x14ac:dyDescent="0.25">
      <c r="J705" s="304">
        <v>104</v>
      </c>
      <c r="K705" s="304" t="s">
        <v>3381</v>
      </c>
      <c r="L705" s="304"/>
      <c r="M705" s="294">
        <f>SUM(L698:S698)</f>
        <v>115054220.37960033</v>
      </c>
      <c r="N705" s="295">
        <f>SUM(L699:S699)</f>
        <v>120461768.73744155</v>
      </c>
      <c r="O705" s="294">
        <f>SUM(L700:S700)</f>
        <v>126003010.09936386</v>
      </c>
      <c r="P705" s="294">
        <f>SUM(L701:S701)</f>
        <v>131799148.56393461</v>
      </c>
    </row>
    <row r="706" spans="10:16" x14ac:dyDescent="0.25">
      <c r="J706" s="429" t="s">
        <v>3382</v>
      </c>
      <c r="K706" s="430"/>
      <c r="L706" s="431"/>
      <c r="M706" s="294">
        <f>SUM(M704:M705)</f>
        <v>380750293.62960035</v>
      </c>
      <c r="N706" s="295">
        <f>SUM(N704:N705)</f>
        <v>398645557.43019152</v>
      </c>
      <c r="O706" s="294">
        <f>SUM(O704:O705)</f>
        <v>416983253.07198036</v>
      </c>
      <c r="P706" s="294">
        <f>SUM(P704:P705)</f>
        <v>436164482.71329147</v>
      </c>
    </row>
    <row r="707" spans="10:16" x14ac:dyDescent="0.25">
      <c r="M707" s="281">
        <f>M706-T698</f>
        <v>0</v>
      </c>
      <c r="N707" s="293">
        <f>N706-T699</f>
        <v>0</v>
      </c>
      <c r="O707" s="281">
        <f>O706-T700</f>
        <v>0</v>
      </c>
      <c r="P707" s="293">
        <f>P706-T701</f>
        <v>0</v>
      </c>
    </row>
    <row r="710" spans="10:16" x14ac:dyDescent="0.25">
      <c r="J710" s="374"/>
      <c r="K710" s="374"/>
      <c r="L710" s="374"/>
      <c r="M710" s="374"/>
      <c r="N710" s="374"/>
      <c r="O710" s="374"/>
      <c r="P710" s="374"/>
    </row>
    <row r="711" spans="10:16" ht="14.4" thickBot="1" x14ac:dyDescent="0.35">
      <c r="J711" s="375"/>
      <c r="K711" s="375"/>
      <c r="L711" s="377" t="s">
        <v>3497</v>
      </c>
      <c r="M711" s="378" t="s">
        <v>3489</v>
      </c>
      <c r="N711" s="377" t="s">
        <v>3490</v>
      </c>
      <c r="O711" s="379" t="s">
        <v>3491</v>
      </c>
      <c r="P711" s="379" t="s">
        <v>3507</v>
      </c>
    </row>
    <row r="712" spans="10:16" ht="15" thickBot="1" x14ac:dyDescent="0.35">
      <c r="J712" s="380" t="s">
        <v>3498</v>
      </c>
      <c r="K712" s="381"/>
      <c r="L712" s="382">
        <v>46839212</v>
      </c>
      <c r="M712" s="383"/>
      <c r="N712" s="384">
        <f>SUM(N713:N717)</f>
        <v>39208378.508999996</v>
      </c>
      <c r="O712" s="384">
        <f>SUM(O713:O717)</f>
        <v>41011963.920414008</v>
      </c>
      <c r="P712" s="384">
        <f>SUM(P713:P717)</f>
        <v>42898514.26075305</v>
      </c>
    </row>
    <row r="713" spans="10:16" ht="14.4" x14ac:dyDescent="0.3">
      <c r="J713" s="385" t="s">
        <v>3499</v>
      </c>
      <c r="K713" s="386"/>
      <c r="L713" s="387">
        <v>7995337</v>
      </c>
      <c r="M713" s="388"/>
      <c r="N713" s="389">
        <f>L713*104.7%</f>
        <v>8371117.8389999997</v>
      </c>
      <c r="O713" s="390">
        <f>N713*104.6%</f>
        <v>8756189.2595940009</v>
      </c>
      <c r="P713" s="387">
        <f>O713*104.6%</f>
        <v>9158973.9655353259</v>
      </c>
    </row>
    <row r="714" spans="10:16" ht="14.4" x14ac:dyDescent="0.3">
      <c r="J714" s="385" t="s">
        <v>59</v>
      </c>
      <c r="K714" s="386"/>
      <c r="L714" s="387">
        <v>5025827</v>
      </c>
      <c r="M714" s="388"/>
      <c r="N714" s="389">
        <f t="shared" ref="N714:N716" si="87">L714*104.7%</f>
        <v>5262040.8689999999</v>
      </c>
      <c r="O714" s="390">
        <f t="shared" ref="O714:P714" si="88">N714*104.6%</f>
        <v>5504094.7489740001</v>
      </c>
      <c r="P714" s="387">
        <f t="shared" si="88"/>
        <v>5757283.1074268045</v>
      </c>
    </row>
    <row r="715" spans="10:16" ht="14.4" x14ac:dyDescent="0.3">
      <c r="J715" s="385" t="s">
        <v>57</v>
      </c>
      <c r="K715" s="386"/>
      <c r="L715" s="387">
        <v>26365974</v>
      </c>
      <c r="M715" s="388"/>
      <c r="N715" s="389">
        <f>L715*90%</f>
        <v>23729376.600000001</v>
      </c>
      <c r="O715" s="390">
        <f t="shared" ref="O715:P715" si="89">N715*104.6%</f>
        <v>24820927.923600003</v>
      </c>
      <c r="P715" s="387">
        <f t="shared" si="89"/>
        <v>25962690.608085603</v>
      </c>
    </row>
    <row r="716" spans="10:16" ht="14.4" x14ac:dyDescent="0.3">
      <c r="J716" s="385" t="s">
        <v>60</v>
      </c>
      <c r="K716" s="386"/>
      <c r="L716" s="387">
        <v>1762983</v>
      </c>
      <c r="M716" s="388"/>
      <c r="N716" s="389">
        <f t="shared" si="87"/>
        <v>1845843.2009999999</v>
      </c>
      <c r="O716" s="390">
        <f t="shared" ref="O716:P716" si="90">N716*104.6%</f>
        <v>1930751.9882459999</v>
      </c>
      <c r="P716" s="387">
        <f t="shared" si="90"/>
        <v>2019566.5797053159</v>
      </c>
    </row>
    <row r="717" spans="10:16" ht="15" thickBot="1" x14ac:dyDescent="0.35">
      <c r="J717" s="391" t="s">
        <v>58</v>
      </c>
      <c r="K717" s="392"/>
      <c r="L717" s="393">
        <v>0</v>
      </c>
      <c r="M717" s="394"/>
      <c r="N717" s="395">
        <v>0</v>
      </c>
      <c r="O717" s="396">
        <v>0</v>
      </c>
      <c r="P717" s="397">
        <v>0</v>
      </c>
    </row>
    <row r="718" spans="10:16" ht="14.4" x14ac:dyDescent="0.3">
      <c r="J718" s="398"/>
      <c r="K718" s="386"/>
      <c r="L718" s="386"/>
      <c r="M718" s="369"/>
      <c r="N718" s="370"/>
      <c r="O718" s="370"/>
      <c r="P718" s="372"/>
    </row>
    <row r="719" spans="10:16" ht="14.4" thickBot="1" x14ac:dyDescent="0.35">
      <c r="J719" s="375"/>
      <c r="K719" s="375"/>
      <c r="L719" s="375"/>
      <c r="M719" s="377" t="s">
        <v>3489</v>
      </c>
      <c r="N719" s="378" t="s">
        <v>3490</v>
      </c>
      <c r="O719" s="377" t="s">
        <v>3491</v>
      </c>
      <c r="P719" s="379" t="s">
        <v>3507</v>
      </c>
    </row>
    <row r="720" spans="10:16" ht="14.4" thickBot="1" x14ac:dyDescent="0.35">
      <c r="J720" s="384" t="s">
        <v>3500</v>
      </c>
      <c r="K720" s="381"/>
      <c r="L720" s="399"/>
      <c r="M720" s="384">
        <f>SUM(M721:M722)</f>
        <v>380750293.62960035</v>
      </c>
      <c r="N720" s="384">
        <f t="shared" ref="N720:P720" si="91">SUM(N721:N722)</f>
        <v>398645557.43019152</v>
      </c>
      <c r="O720" s="382">
        <f t="shared" si="91"/>
        <v>416983253.07198036</v>
      </c>
      <c r="P720" s="382">
        <f t="shared" si="91"/>
        <v>436164482.71329147</v>
      </c>
    </row>
    <row r="721" spans="10:16" ht="14.4" x14ac:dyDescent="0.3">
      <c r="J721" s="400" t="s">
        <v>3380</v>
      </c>
      <c r="K721" s="401"/>
      <c r="L721" s="402"/>
      <c r="M721" s="408">
        <f>M704</f>
        <v>265696073.25</v>
      </c>
      <c r="N721" s="408">
        <f t="shared" ref="N721:P721" si="92">N704</f>
        <v>278183788.69274998</v>
      </c>
      <c r="O721" s="408">
        <f t="shared" si="92"/>
        <v>290980242.97261649</v>
      </c>
      <c r="P721" s="408">
        <f t="shared" si="92"/>
        <v>304365334.14935684</v>
      </c>
    </row>
    <row r="722" spans="10:16" ht="15" thickBot="1" x14ac:dyDescent="0.35">
      <c r="J722" s="391" t="s">
        <v>3381</v>
      </c>
      <c r="K722" s="403"/>
      <c r="L722" s="404"/>
      <c r="M722" s="362">
        <f>M705</f>
        <v>115054220.37960033</v>
      </c>
      <c r="N722" s="362">
        <f t="shared" ref="N722:P722" si="93">N705</f>
        <v>120461768.73744155</v>
      </c>
      <c r="O722" s="362">
        <f t="shared" si="93"/>
        <v>126003010.09936386</v>
      </c>
      <c r="P722" s="362">
        <f t="shared" si="93"/>
        <v>131799148.56393461</v>
      </c>
    </row>
    <row r="723" spans="10:16" ht="14.4" x14ac:dyDescent="0.3">
      <c r="J723" s="375"/>
      <c r="K723" s="375"/>
      <c r="L723" s="375"/>
      <c r="M723" s="375"/>
      <c r="N723"/>
      <c r="O723"/>
      <c r="P723" s="375"/>
    </row>
    <row r="724" spans="10:16" ht="14.4" x14ac:dyDescent="0.3">
      <c r="J724" s="375"/>
      <c r="K724" s="375"/>
      <c r="L724" s="375"/>
      <c r="M724" s="375"/>
      <c r="N724"/>
      <c r="O724"/>
      <c r="P724" s="375"/>
    </row>
    <row r="725" spans="10:16" ht="14.4" thickBot="1" x14ac:dyDescent="0.35">
      <c r="J725" s="405" t="s">
        <v>3501</v>
      </c>
      <c r="K725" s="375"/>
      <c r="L725" s="375"/>
      <c r="M725" s="375"/>
      <c r="N725" s="368">
        <f>N720+N712</f>
        <v>437853935.93919152</v>
      </c>
      <c r="O725" s="368">
        <f>O720+O712</f>
        <v>457995216.99239439</v>
      </c>
      <c r="P725" s="368">
        <f>P720+P712</f>
        <v>479062996.9740445</v>
      </c>
    </row>
    <row r="726" spans="10:16" ht="15" thickTop="1" x14ac:dyDescent="0.3">
      <c r="J726" s="375"/>
      <c r="K726" s="375"/>
      <c r="L726" s="375"/>
      <c r="M726" s="375"/>
      <c r="N726"/>
      <c r="O726"/>
      <c r="P726" s="375"/>
    </row>
    <row r="727" spans="10:16" ht="14.4" x14ac:dyDescent="0.3">
      <c r="J727" s="405" t="s">
        <v>3502</v>
      </c>
      <c r="K727" s="405" t="s">
        <v>3503</v>
      </c>
      <c r="L727" s="405" t="s">
        <v>3504</v>
      </c>
      <c r="M727" s="405" t="s">
        <v>3505</v>
      </c>
      <c r="N727" s="405" t="s">
        <v>3508</v>
      </c>
      <c r="O727" s="406" t="s">
        <v>3506</v>
      </c>
      <c r="P727"/>
    </row>
    <row r="728" spans="10:16" ht="14.4" x14ac:dyDescent="0.3">
      <c r="J728" s="40" t="s">
        <v>50</v>
      </c>
      <c r="K728" s="407">
        <f ca="1">'MTREF BUDGET 2023-24  Summary'!G52</f>
        <v>249590050.29243028</v>
      </c>
      <c r="L728" s="375">
        <f>J699</f>
        <v>258092100.28799999</v>
      </c>
      <c r="M728" s="375">
        <f ca="1">SUMIF(DETAILED!R:AL,J728,DETAILED!AL:AL)</f>
        <v>249590050.29243028</v>
      </c>
      <c r="N728" s="375">
        <f>'Vacancies ED'!J42</f>
        <v>11121006.779999999</v>
      </c>
      <c r="O728" s="376">
        <f ca="1">L728+N728-M728</f>
        <v>19623056.775569677</v>
      </c>
      <c r="P728" s="376"/>
    </row>
    <row r="729" spans="10:16" ht="14.4" x14ac:dyDescent="0.3">
      <c r="J729" s="16" t="s">
        <v>52</v>
      </c>
      <c r="K729" s="407">
        <f ca="1">'MTREF BUDGET 2023-24  Summary'!G54</f>
        <v>718201.93336416362</v>
      </c>
      <c r="L729" s="375">
        <f>M699</f>
        <v>732395.7648</v>
      </c>
      <c r="M729" s="375">
        <f ca="1">SUMIF(DETAILED!R:AL,J729,DETAILED!AL:AL)</f>
        <v>718201.93336416362</v>
      </c>
      <c r="N729" s="375">
        <f>'Vacancies ED'!M42</f>
        <v>42330.6</v>
      </c>
      <c r="O729" s="376">
        <f t="shared" ref="O729:O737" ca="1" si="94">L729+N729-M729</f>
        <v>56524.431435836363</v>
      </c>
      <c r="P729" s="376"/>
    </row>
    <row r="730" spans="10:16" ht="14.4" x14ac:dyDescent="0.3">
      <c r="J730" s="16" t="s">
        <v>54</v>
      </c>
      <c r="K730" s="373">
        <f ca="1">'MTREF BUDGET 2023-24  Summary'!G56</f>
        <v>8357750.5205262406</v>
      </c>
      <c r="L730" s="373">
        <f>L699</f>
        <v>8656789.1086801179</v>
      </c>
      <c r="M730" s="375">
        <f ca="1">SUMIF(DETAILED!R:AL,J730,DETAILED!AL:AL)</f>
        <v>8357750.5205262406</v>
      </c>
      <c r="N730" s="375">
        <f>'Vacancies ED'!L42</f>
        <v>357971.81471999985</v>
      </c>
      <c r="O730" s="376">
        <f t="shared" ca="1" si="94"/>
        <v>657010.4028738765</v>
      </c>
      <c r="P730" s="376"/>
    </row>
    <row r="731" spans="10:16" ht="14.4" x14ac:dyDescent="0.3">
      <c r="J731" s="16" t="s">
        <v>56</v>
      </c>
      <c r="K731" s="373">
        <f ca="1">'MTREF BUDGET 2023-24  Summary'!G58</f>
        <v>18133610.81675813</v>
      </c>
      <c r="L731" s="373">
        <f>O699</f>
        <v>18873376.956</v>
      </c>
      <c r="M731" s="375">
        <f ca="1">SUMIF(DETAILED!R:AL,J731,DETAILED!AL:AL)</f>
        <v>18133610.81675813</v>
      </c>
      <c r="N731" s="375">
        <f>'Vacancies ED'!O42</f>
        <v>685212.37199999997</v>
      </c>
      <c r="O731" s="376">
        <f t="shared" ca="1" si="94"/>
        <v>1424978.5112418719</v>
      </c>
      <c r="P731" s="376"/>
    </row>
    <row r="732" spans="10:16" ht="14.4" x14ac:dyDescent="0.3">
      <c r="J732" s="16" t="s">
        <v>62</v>
      </c>
      <c r="K732" s="373">
        <f ca="1">'MTREF BUDGET 2023-24  Summary'!G64</f>
        <v>18631589.232013401</v>
      </c>
      <c r="L732" s="373">
        <f>K699</f>
        <v>20091688.404750001</v>
      </c>
      <c r="M732" s="375">
        <f ca="1">SUMIF(DETAILED!R:AL,J732,DETAILED!AL:AL)</f>
        <v>18631589.232013401</v>
      </c>
      <c r="N732" s="375">
        <v>0</v>
      </c>
      <c r="O732" s="376">
        <f t="shared" ca="1" si="94"/>
        <v>1460099.1727366</v>
      </c>
      <c r="P732" s="376"/>
    </row>
    <row r="733" spans="10:16" ht="14.4" x14ac:dyDescent="0.3">
      <c r="J733" s="16" t="s">
        <v>73</v>
      </c>
      <c r="K733" s="407">
        <f ca="1">'MTREF BUDGET 2023-24  Summary'!G74</f>
        <v>1463104.1192566212</v>
      </c>
      <c r="L733" s="375">
        <f>S699</f>
        <v>1515453.5980799752</v>
      </c>
      <c r="M733" s="375">
        <f ca="1">SUMIF(DETAILED!R:AL,J733,DETAILED!AL:AL)</f>
        <v>1463104.1192566212</v>
      </c>
      <c r="N733" s="375">
        <f>'Vacancies ED'!S42</f>
        <v>62666.472960000021</v>
      </c>
      <c r="O733" s="376">
        <f t="shared" ca="1" si="94"/>
        <v>115015.95178335393</v>
      </c>
      <c r="P733" s="376"/>
    </row>
    <row r="734" spans="10:16" ht="14.4" x14ac:dyDescent="0.3">
      <c r="J734" s="16" t="s">
        <v>69</v>
      </c>
      <c r="K734" s="373">
        <f ca="1">'MTREF BUDGET 2023-24  Summary'!G70</f>
        <v>89214.830903480222</v>
      </c>
      <c r="L734" s="373">
        <f>N699</f>
        <v>92405.707200000528</v>
      </c>
      <c r="M734" s="375">
        <f ca="1">SUMIF(DETAILED!R:AL,J734,DETAILED!AL:AL)</f>
        <v>89214.830903480222</v>
      </c>
      <c r="N734" s="375">
        <f>'Vacancies ED'!N42</f>
        <v>3822.3899999999985</v>
      </c>
      <c r="O734" s="376">
        <f t="shared" ca="1" si="94"/>
        <v>7013.2662965203053</v>
      </c>
      <c r="P734" s="376"/>
    </row>
    <row r="735" spans="10:16" ht="14.4" x14ac:dyDescent="0.3">
      <c r="J735" s="16" t="s">
        <v>70</v>
      </c>
      <c r="K735" s="373">
        <f ca="1">'MTREF BUDGET 2023-24  Summary'!G71</f>
        <v>18906060.359453052</v>
      </c>
      <c r="L735" s="373">
        <f>P699</f>
        <v>4219254.5649974989</v>
      </c>
      <c r="M735" s="375">
        <f ca="1">SUMIF(DETAILED!R:AL,J735,DETAILED!AL:AL)</f>
        <v>18906060.359453052</v>
      </c>
      <c r="N735" s="375">
        <f>'Vacancies ED'!P42</f>
        <v>16261070.077980001</v>
      </c>
      <c r="O735" s="376">
        <f t="shared" ca="1" si="94"/>
        <v>1574264.2835244462</v>
      </c>
      <c r="P735" s="376"/>
    </row>
    <row r="736" spans="10:16" ht="14.4" x14ac:dyDescent="0.3">
      <c r="J736" s="16" t="s">
        <v>71</v>
      </c>
      <c r="K736" s="373">
        <f ca="1">'MTREF BUDGET 2023-24  Summary'!G72</f>
        <v>41360446.731695443</v>
      </c>
      <c r="L736" s="373">
        <f>Q699</f>
        <v>42840312.588</v>
      </c>
      <c r="M736" s="375">
        <f ca="1">SUMIF(DETAILED!R:AL,J736,DETAILED!AL:AL)</f>
        <v>41360446.731695443</v>
      </c>
      <c r="N736" s="375">
        <f>'Vacancies ED'!Q42</f>
        <v>1771516.656</v>
      </c>
      <c r="O736" s="376">
        <f t="shared" ca="1" si="94"/>
        <v>3251382.5123045594</v>
      </c>
      <c r="P736" s="376"/>
    </row>
    <row r="737" spans="10:16" ht="14.4" x14ac:dyDescent="0.3">
      <c r="J737" s="16" t="s">
        <v>72</v>
      </c>
      <c r="K737" s="373">
        <f ca="1">'MTREF BUDGET 2023-24  Summary'!G73</f>
        <v>42121641.751760252</v>
      </c>
      <c r="L737" s="373">
        <f>R699</f>
        <v>43531780.449683964</v>
      </c>
      <c r="M737" s="375">
        <f ca="1">SUMIF(DETAILED!R:AL,J737,DETAILED!AL:AL)</f>
        <v>42121641.751760252</v>
      </c>
      <c r="N737" s="375">
        <f>'Vacancies ED'!R42</f>
        <v>1901637.7095923997</v>
      </c>
      <c r="O737" s="376">
        <f t="shared" ca="1" si="94"/>
        <v>3311776.4075161144</v>
      </c>
      <c r="P737" s="376"/>
    </row>
    <row r="738" spans="10:16" ht="15" thickBot="1" x14ac:dyDescent="0.35">
      <c r="K738" s="371">
        <f ca="1">SUM(K728:K737)</f>
        <v>399371670.58816099</v>
      </c>
      <c r="L738" s="371">
        <f>SUM(L728:L737)</f>
        <v>398645557.43019158</v>
      </c>
      <c r="M738" s="371">
        <f ca="1">SUM(M728:M737)</f>
        <v>399371670.58816099</v>
      </c>
      <c r="N738" s="371">
        <f>SUM(N728:N737)</f>
        <v>32207234.873252399</v>
      </c>
      <c r="O738" s="371">
        <f ca="1">SUM(O728:O737)</f>
        <v>31481121.715282857</v>
      </c>
      <c r="P738"/>
    </row>
    <row r="739" spans="10:16" ht="15" thickTop="1" x14ac:dyDescent="0.3">
      <c r="L739"/>
      <c r="M739"/>
      <c r="N739"/>
      <c r="O739"/>
      <c r="P739"/>
    </row>
    <row r="740" spans="10:16" x14ac:dyDescent="0.25">
      <c r="L740" s="277">
        <f>L738-N706</f>
        <v>0</v>
      </c>
    </row>
  </sheetData>
  <mergeCells count="2">
    <mergeCell ref="K703:L703"/>
    <mergeCell ref="J706:L70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1F079-5A04-470B-9C5E-4346613B3DD5}">
  <sheetPr>
    <tabColor rgb="FF00B0F0"/>
  </sheetPr>
  <dimension ref="A1:U18"/>
  <sheetViews>
    <sheetView topLeftCell="G1" workbookViewId="0">
      <selection activeCell="Q48" sqref="Q48"/>
    </sheetView>
  </sheetViews>
  <sheetFormatPr defaultColWidth="9.109375" defaultRowHeight="12" x14ac:dyDescent="0.25"/>
  <cols>
    <col min="1" max="1" width="6.88671875" style="290" bestFit="1" customWidth="1"/>
    <col min="2" max="2" width="4.6640625" style="290" bestFit="1" customWidth="1"/>
    <col min="3" max="3" width="6.5546875" style="290" bestFit="1" customWidth="1"/>
    <col min="4" max="4" width="5.109375" style="290" bestFit="1" customWidth="1"/>
    <col min="5" max="5" width="7.5546875" style="290" bestFit="1" customWidth="1"/>
    <col min="6" max="6" width="7.33203125" style="290" bestFit="1" customWidth="1"/>
    <col min="7" max="7" width="13.109375" style="290" customWidth="1"/>
    <col min="8" max="8" width="0" style="290" hidden="1" customWidth="1"/>
    <col min="9" max="9" width="25.33203125" style="290" bestFit="1" customWidth="1"/>
    <col min="10" max="10" width="12.6640625" style="290" customWidth="1"/>
    <col min="11" max="11" width="16.88671875" style="290" customWidth="1"/>
    <col min="12" max="12" width="10.6640625" style="290" customWidth="1"/>
    <col min="13" max="13" width="12.44140625" style="290" bestFit="1" customWidth="1"/>
    <col min="14" max="14" width="14" style="290" customWidth="1"/>
    <col min="15" max="15" width="10.88671875" style="290" customWidth="1"/>
    <col min="16" max="16" width="10" style="290" bestFit="1" customWidth="1"/>
    <col min="17" max="17" width="9.88671875" style="290" bestFit="1" customWidth="1"/>
    <col min="18" max="18" width="12" style="290" bestFit="1" customWidth="1"/>
    <col min="19" max="21" width="9.88671875" style="290" bestFit="1" customWidth="1"/>
    <col min="22" max="16384" width="9.109375" style="290"/>
  </cols>
  <sheetData>
    <row r="1" spans="1:21" s="296" customFormat="1" ht="25.5" customHeight="1" x14ac:dyDescent="0.3">
      <c r="A1" s="296" t="s">
        <v>2170</v>
      </c>
      <c r="B1" s="296" t="s">
        <v>2171</v>
      </c>
      <c r="C1" s="296" t="s">
        <v>2172</v>
      </c>
      <c r="D1" s="297" t="s">
        <v>2173</v>
      </c>
      <c r="E1" s="297" t="s">
        <v>2174</v>
      </c>
      <c r="F1" s="297" t="s">
        <v>2175</v>
      </c>
      <c r="G1" s="297" t="s">
        <v>2177</v>
      </c>
      <c r="H1" s="297" t="s">
        <v>2176</v>
      </c>
      <c r="I1" s="297" t="s">
        <v>2178</v>
      </c>
      <c r="J1" s="297" t="s">
        <v>2179</v>
      </c>
      <c r="K1" s="347" t="s">
        <v>3383</v>
      </c>
      <c r="L1" s="264" t="s">
        <v>2180</v>
      </c>
      <c r="M1" s="264" t="s">
        <v>2181</v>
      </c>
      <c r="N1" s="264" t="s">
        <v>2182</v>
      </c>
      <c r="O1" s="264" t="s">
        <v>2183</v>
      </c>
      <c r="P1" s="264" t="s">
        <v>2184</v>
      </c>
      <c r="Q1" s="264" t="s">
        <v>2185</v>
      </c>
      <c r="R1" s="264" t="s">
        <v>2186</v>
      </c>
      <c r="S1" s="264" t="s">
        <v>2187</v>
      </c>
      <c r="T1" s="264" t="s">
        <v>3384</v>
      </c>
    </row>
    <row r="2" spans="1:21" s="275" customFormat="1" x14ac:dyDescent="0.25">
      <c r="A2" s="268">
        <v>501101</v>
      </c>
      <c r="B2" s="268">
        <v>1101</v>
      </c>
      <c r="C2" s="268">
        <v>27067</v>
      </c>
      <c r="D2" s="268" t="s">
        <v>894</v>
      </c>
      <c r="E2" s="268" t="s">
        <v>1290</v>
      </c>
      <c r="F2" s="268" t="s">
        <v>2243</v>
      </c>
      <c r="G2" s="268" t="s">
        <v>3385</v>
      </c>
      <c r="H2" s="268" t="s">
        <v>3386</v>
      </c>
      <c r="I2" s="268" t="s">
        <v>3387</v>
      </c>
      <c r="J2" s="348">
        <v>2345220</v>
      </c>
      <c r="K2" s="271">
        <f t="shared" ref="K2:K7" si="0">J2*4.6%+J2</f>
        <v>2453100.12</v>
      </c>
      <c r="L2" s="268">
        <v>0</v>
      </c>
      <c r="M2" s="268">
        <v>0</v>
      </c>
      <c r="N2" s="268">
        <f>2000*12</f>
        <v>24000</v>
      </c>
      <c r="O2" s="268">
        <f t="shared" ref="O2:O3" si="1">10.8*12</f>
        <v>129.60000000000002</v>
      </c>
      <c r="P2" s="268">
        <f>10000*12</f>
        <v>120000</v>
      </c>
      <c r="Q2" s="268">
        <v>0</v>
      </c>
      <c r="R2" s="268">
        <v>0</v>
      </c>
      <c r="S2" s="268">
        <v>0</v>
      </c>
      <c r="T2" s="268">
        <f t="shared" ref="T2:T3" si="2">177.12*12</f>
        <v>2125.44</v>
      </c>
    </row>
    <row r="3" spans="1:21" s="275" customFormat="1" x14ac:dyDescent="0.25">
      <c r="A3" s="268"/>
      <c r="B3" s="268">
        <v>1441</v>
      </c>
      <c r="C3" s="268">
        <v>200482</v>
      </c>
      <c r="D3" s="268" t="s">
        <v>894</v>
      </c>
      <c r="E3" s="268" t="s">
        <v>1290</v>
      </c>
      <c r="F3" s="268" t="s">
        <v>2976</v>
      </c>
      <c r="G3" s="268" t="s">
        <v>3388</v>
      </c>
      <c r="H3" s="268" t="s">
        <v>3386</v>
      </c>
      <c r="I3" s="268" t="s">
        <v>3389</v>
      </c>
      <c r="J3" s="268">
        <v>1596747</v>
      </c>
      <c r="K3" s="271">
        <f t="shared" si="0"/>
        <v>1670197.362</v>
      </c>
      <c r="L3" s="268">
        <v>0</v>
      </c>
      <c r="M3" s="268">
        <v>0</v>
      </c>
      <c r="N3" s="298">
        <f>1200*12</f>
        <v>14400</v>
      </c>
      <c r="O3" s="298">
        <f t="shared" si="1"/>
        <v>129.60000000000002</v>
      </c>
      <c r="P3" s="298">
        <f>12000*12</f>
        <v>144000</v>
      </c>
      <c r="Q3" s="298">
        <v>0</v>
      </c>
      <c r="R3" s="298">
        <v>0</v>
      </c>
      <c r="S3" s="298">
        <v>0</v>
      </c>
      <c r="T3" s="298">
        <f t="shared" si="2"/>
        <v>2125.44</v>
      </c>
    </row>
    <row r="4" spans="1:21" s="275" customFormat="1" ht="14.4" x14ac:dyDescent="0.3">
      <c r="A4" s="268">
        <v>501302</v>
      </c>
      <c r="B4" s="268">
        <v>1302</v>
      </c>
      <c r="C4" s="268">
        <v>200500</v>
      </c>
      <c r="D4" s="268" t="s">
        <v>894</v>
      </c>
      <c r="E4" s="268" t="s">
        <v>1278</v>
      </c>
      <c r="F4" s="268" t="s">
        <v>3390</v>
      </c>
      <c r="G4" s="268" t="s">
        <v>3391</v>
      </c>
      <c r="H4" s="268" t="s">
        <v>3386</v>
      </c>
      <c r="I4" s="268" t="s">
        <v>3392</v>
      </c>
      <c r="J4" s="268">
        <v>1596747</v>
      </c>
      <c r="K4" s="271">
        <f t="shared" si="0"/>
        <v>1670197.362</v>
      </c>
      <c r="L4" s="268">
        <v>0</v>
      </c>
      <c r="M4" s="268">
        <v>0</v>
      </c>
      <c r="N4" s="268">
        <f>1200*12</f>
        <v>14400</v>
      </c>
      <c r="O4" s="268">
        <f>10.8*12</f>
        <v>129.60000000000002</v>
      </c>
      <c r="P4" s="268">
        <f>12000*12</f>
        <v>144000</v>
      </c>
      <c r="Q4" s="268">
        <v>0</v>
      </c>
      <c r="R4" s="268">
        <v>0</v>
      </c>
      <c r="S4" s="268">
        <v>0</v>
      </c>
      <c r="T4" s="268">
        <f>177.12*12</f>
        <v>2125.44</v>
      </c>
      <c r="U4"/>
    </row>
    <row r="5" spans="1:21" s="275" customFormat="1" x14ac:dyDescent="0.25">
      <c r="A5" s="268">
        <v>501002</v>
      </c>
      <c r="B5" s="268">
        <v>1002</v>
      </c>
      <c r="C5" s="268">
        <v>200438</v>
      </c>
      <c r="D5" s="268" t="s">
        <v>894</v>
      </c>
      <c r="E5" s="268" t="s">
        <v>1290</v>
      </c>
      <c r="F5" s="268" t="s">
        <v>2273</v>
      </c>
      <c r="G5" s="268" t="s">
        <v>3393</v>
      </c>
      <c r="H5" s="268" t="s">
        <v>3386</v>
      </c>
      <c r="I5" s="268" t="s">
        <v>3394</v>
      </c>
      <c r="J5" s="268">
        <v>1479002</v>
      </c>
      <c r="K5" s="271">
        <f t="shared" si="0"/>
        <v>1547036.0919999999</v>
      </c>
      <c r="L5" s="268">
        <v>0</v>
      </c>
      <c r="M5" s="268">
        <v>0</v>
      </c>
      <c r="N5" s="268">
        <f>1200*12</f>
        <v>14400</v>
      </c>
      <c r="O5" s="268">
        <f t="shared" ref="O5:O7" si="3">10.8*12</f>
        <v>129.60000000000002</v>
      </c>
      <c r="P5" s="268">
        <f>11500*12</f>
        <v>138000</v>
      </c>
      <c r="Q5" s="268">
        <v>0</v>
      </c>
      <c r="R5" s="268">
        <v>0</v>
      </c>
      <c r="S5" s="268">
        <v>0</v>
      </c>
      <c r="T5" s="268">
        <f t="shared" ref="T5:T7" si="4">177.12*12</f>
        <v>2125.44</v>
      </c>
    </row>
    <row r="6" spans="1:21" s="275" customFormat="1" x14ac:dyDescent="0.25">
      <c r="A6" s="268">
        <v>501405</v>
      </c>
      <c r="B6" s="268">
        <v>1405</v>
      </c>
      <c r="C6" s="268">
        <v>200405</v>
      </c>
      <c r="D6" s="268" t="s">
        <v>894</v>
      </c>
      <c r="E6" s="268" t="s">
        <v>1290</v>
      </c>
      <c r="F6" s="268" t="s">
        <v>2984</v>
      </c>
      <c r="G6" s="268" t="s">
        <v>2821</v>
      </c>
      <c r="H6" s="268" t="s">
        <v>3386</v>
      </c>
      <c r="I6" s="268" t="s">
        <v>3395</v>
      </c>
      <c r="J6" s="268">
        <v>1223327</v>
      </c>
      <c r="K6" s="271">
        <f t="shared" si="0"/>
        <v>1279600.0419999999</v>
      </c>
      <c r="L6" s="268">
        <v>0</v>
      </c>
      <c r="M6" s="268">
        <v>0</v>
      </c>
      <c r="N6" s="268">
        <f>1200*12</f>
        <v>14400</v>
      </c>
      <c r="O6" s="298">
        <f t="shared" si="3"/>
        <v>129.60000000000002</v>
      </c>
      <c r="P6" s="268">
        <f>26400*12</f>
        <v>316800</v>
      </c>
      <c r="Q6" s="298">
        <v>0</v>
      </c>
      <c r="R6" s="298">
        <v>0</v>
      </c>
      <c r="S6" s="298">
        <v>0</v>
      </c>
      <c r="T6" s="298">
        <f t="shared" si="4"/>
        <v>2125.44</v>
      </c>
    </row>
    <row r="7" spans="1:21" s="275" customFormat="1" x14ac:dyDescent="0.25">
      <c r="A7" s="268">
        <v>501501</v>
      </c>
      <c r="B7" s="268">
        <v>1501</v>
      </c>
      <c r="C7" s="268">
        <v>200404</v>
      </c>
      <c r="D7" s="268" t="s">
        <v>894</v>
      </c>
      <c r="E7" s="268" t="s">
        <v>1278</v>
      </c>
      <c r="F7" s="268" t="s">
        <v>2336</v>
      </c>
      <c r="G7" s="268" t="s">
        <v>3396</v>
      </c>
      <c r="H7" s="268" t="s">
        <v>3386</v>
      </c>
      <c r="I7" s="268" t="s">
        <v>3397</v>
      </c>
      <c r="J7" s="268">
        <v>1223327</v>
      </c>
      <c r="K7" s="271">
        <f t="shared" si="0"/>
        <v>1279600.0419999999</v>
      </c>
      <c r="L7" s="268">
        <v>0</v>
      </c>
      <c r="M7" s="268">
        <v>0</v>
      </c>
      <c r="N7" s="268">
        <f>1200*12</f>
        <v>14400</v>
      </c>
      <c r="O7" s="268">
        <f t="shared" si="3"/>
        <v>129.60000000000002</v>
      </c>
      <c r="P7" s="268">
        <f>20000*12</f>
        <v>240000</v>
      </c>
      <c r="Q7" s="268">
        <v>0</v>
      </c>
      <c r="R7" s="268">
        <v>0</v>
      </c>
      <c r="S7" s="268">
        <v>0</v>
      </c>
      <c r="T7" s="268">
        <f t="shared" si="4"/>
        <v>2125.44</v>
      </c>
    </row>
    <row r="8" spans="1:21" s="275" customFormat="1" x14ac:dyDescent="0.25"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</row>
    <row r="9" spans="1:21" s="275" customFormat="1" x14ac:dyDescent="0.25">
      <c r="G9" s="285" t="s">
        <v>3374</v>
      </c>
      <c r="H9" s="285"/>
      <c r="I9" s="285"/>
      <c r="J9" s="300">
        <f t="shared" ref="J9:S9" si="5">SUM(J2:J7)</f>
        <v>9464370</v>
      </c>
      <c r="K9" s="300">
        <f t="shared" si="5"/>
        <v>9899731.0199999996</v>
      </c>
      <c r="L9" s="301">
        <f t="shared" si="5"/>
        <v>0</v>
      </c>
      <c r="M9" s="301">
        <f t="shared" si="5"/>
        <v>0</v>
      </c>
      <c r="N9" s="301">
        <f t="shared" si="5"/>
        <v>96000</v>
      </c>
      <c r="O9" s="301">
        <f t="shared" si="5"/>
        <v>777.60000000000014</v>
      </c>
      <c r="P9" s="301">
        <f t="shared" si="5"/>
        <v>1102800</v>
      </c>
      <c r="Q9" s="301">
        <f t="shared" si="5"/>
        <v>0</v>
      </c>
      <c r="R9" s="301">
        <f t="shared" si="5"/>
        <v>0</v>
      </c>
      <c r="S9" s="301">
        <f t="shared" si="5"/>
        <v>0</v>
      </c>
      <c r="T9" s="301">
        <f>SUM(T2:T8)</f>
        <v>12752.640000000001</v>
      </c>
    </row>
    <row r="10" spans="1:21" s="275" customFormat="1" x14ac:dyDescent="0.25">
      <c r="G10" s="285" t="s">
        <v>3375</v>
      </c>
      <c r="H10" s="285"/>
      <c r="I10" s="285"/>
      <c r="J10" s="300">
        <f>J9*4.9%+J9</f>
        <v>9928124.1300000008</v>
      </c>
      <c r="K10" s="300">
        <f>K9*4.9%+K9</f>
        <v>10384817.839979999</v>
      </c>
      <c r="L10" s="300">
        <f t="shared" ref="L10:S11" si="6">L9*3.8%+L9</f>
        <v>0</v>
      </c>
      <c r="M10" s="300">
        <f t="shared" si="6"/>
        <v>0</v>
      </c>
      <c r="N10" s="300">
        <f t="shared" ref="N10:S11" si="7">N9*4.9%+N9</f>
        <v>100704</v>
      </c>
      <c r="O10" s="300">
        <f t="shared" si="7"/>
        <v>815.70240000000013</v>
      </c>
      <c r="P10" s="300">
        <f t="shared" si="7"/>
        <v>1156837.2</v>
      </c>
      <c r="Q10" s="300">
        <f t="shared" si="7"/>
        <v>0</v>
      </c>
      <c r="R10" s="300">
        <f t="shared" si="7"/>
        <v>0</v>
      </c>
      <c r="S10" s="300">
        <f t="shared" si="7"/>
        <v>0</v>
      </c>
      <c r="T10" s="300">
        <f>T9*4.9%+T9</f>
        <v>13377.519360000002</v>
      </c>
    </row>
    <row r="11" spans="1:21" s="275" customFormat="1" x14ac:dyDescent="0.25">
      <c r="G11" s="285" t="s">
        <v>3376</v>
      </c>
      <c r="H11" s="285"/>
      <c r="I11" s="285"/>
      <c r="J11" s="300">
        <f>J10*4.9%+J10</f>
        <v>10414602.212370001</v>
      </c>
      <c r="K11" s="300">
        <f>K10*4.9%+K10</f>
        <v>10893673.914139019</v>
      </c>
      <c r="L11" s="300">
        <f t="shared" si="6"/>
        <v>0</v>
      </c>
      <c r="M11" s="300">
        <f t="shared" si="6"/>
        <v>0</v>
      </c>
      <c r="N11" s="300">
        <f t="shared" si="7"/>
        <v>105638.496</v>
      </c>
      <c r="O11" s="300">
        <f t="shared" si="7"/>
        <v>855.67181760000017</v>
      </c>
      <c r="P11" s="300">
        <f t="shared" si="7"/>
        <v>1213522.2227999999</v>
      </c>
      <c r="Q11" s="300">
        <f t="shared" si="6"/>
        <v>0</v>
      </c>
      <c r="R11" s="300">
        <f t="shared" si="6"/>
        <v>0</v>
      </c>
      <c r="S11" s="300">
        <f t="shared" si="6"/>
        <v>0</v>
      </c>
      <c r="T11" s="300">
        <f>T10*4.9%+T10</f>
        <v>14033.017808640003</v>
      </c>
    </row>
    <row r="12" spans="1:21" s="275" customFormat="1" x14ac:dyDescent="0.25">
      <c r="G12" s="290" t="s">
        <v>3377</v>
      </c>
      <c r="J12" s="302" t="s">
        <v>3378</v>
      </c>
      <c r="K12" s="432" t="s">
        <v>3379</v>
      </c>
      <c r="L12" s="432"/>
      <c r="M12" s="303" t="s">
        <v>3374</v>
      </c>
      <c r="N12" s="303" t="s">
        <v>3375</v>
      </c>
      <c r="O12" s="303" t="s">
        <v>3376</v>
      </c>
    </row>
    <row r="13" spans="1:21" s="275" customFormat="1" x14ac:dyDescent="0.25">
      <c r="G13" s="290"/>
      <c r="J13" s="304">
        <v>102</v>
      </c>
      <c r="K13" s="304" t="s">
        <v>3380</v>
      </c>
      <c r="L13" s="304"/>
      <c r="M13" s="305">
        <f>J9</f>
        <v>9464370</v>
      </c>
      <c r="N13" s="305">
        <f>J10</f>
        <v>9928124.1300000008</v>
      </c>
      <c r="O13" s="305">
        <f>J11</f>
        <v>10414602.212370001</v>
      </c>
    </row>
    <row r="14" spans="1:21" s="275" customFormat="1" x14ac:dyDescent="0.25">
      <c r="G14" s="290"/>
      <c r="J14" s="304">
        <v>104</v>
      </c>
      <c r="K14" s="304" t="s">
        <v>3381</v>
      </c>
      <c r="L14" s="304"/>
      <c r="M14" s="305">
        <f>SUM(L9:T9)</f>
        <v>1212330.24</v>
      </c>
      <c r="N14" s="305">
        <f>SUM(L10:T10)</f>
        <v>1271734.4217600001</v>
      </c>
      <c r="O14" s="305">
        <f>SUM(L11:T11)</f>
        <v>1334049.4084262399</v>
      </c>
    </row>
    <row r="15" spans="1:21" s="275" customFormat="1" x14ac:dyDescent="0.25">
      <c r="J15" s="433" t="s">
        <v>3382</v>
      </c>
      <c r="K15" s="434"/>
      <c r="L15" s="435"/>
      <c r="M15" s="305">
        <f>SUM(M13:M14)</f>
        <v>10676700.24</v>
      </c>
      <c r="N15" s="306">
        <f>SUM(N13:N14)</f>
        <v>11199858.551760001</v>
      </c>
      <c r="O15" s="305">
        <f>SUM(O13:O14)</f>
        <v>11748651.620796241</v>
      </c>
    </row>
    <row r="18" spans="14:16" x14ac:dyDescent="0.25">
      <c r="N18" s="353">
        <v>4.7E-2</v>
      </c>
      <c r="O18" s="353">
        <v>4.5999999999999999E-2</v>
      </c>
      <c r="P18" s="353">
        <v>4.5999999999999999E-2</v>
      </c>
    </row>
  </sheetData>
  <mergeCells count="2">
    <mergeCell ref="K12:L12"/>
    <mergeCell ref="J15:L1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028BF-4C69-40AF-A196-4FB51ED3D22C}">
  <sheetPr>
    <tabColor rgb="FF00B0F0"/>
  </sheetPr>
  <dimension ref="A1:U47"/>
  <sheetViews>
    <sheetView topLeftCell="B1" workbookViewId="0">
      <selection activeCell="Q48" sqref="Q48"/>
    </sheetView>
  </sheetViews>
  <sheetFormatPr defaultColWidth="9.109375" defaultRowHeight="12" x14ac:dyDescent="0.25"/>
  <cols>
    <col min="1" max="4" width="9.109375" style="275"/>
    <col min="5" max="5" width="7" style="275" customWidth="1"/>
    <col min="6" max="6" width="8.5546875" style="275" bestFit="1" customWidth="1"/>
    <col min="7" max="7" width="15.6640625" style="275" customWidth="1"/>
    <col min="8" max="8" width="24.44140625" style="275" customWidth="1"/>
    <col min="9" max="9" width="16.109375" style="275" customWidth="1"/>
    <col min="10" max="10" width="13.109375" style="275" customWidth="1"/>
    <col min="11" max="11" width="13.44140625" style="275" customWidth="1"/>
    <col min="12" max="12" width="12.88671875" style="275" customWidth="1"/>
    <col min="13" max="15" width="12" style="275" bestFit="1" customWidth="1"/>
    <col min="16" max="16" width="10" style="275" bestFit="1" customWidth="1"/>
    <col min="17" max="17" width="10.88671875" style="275" customWidth="1"/>
    <col min="18" max="16384" width="9.109375" style="275"/>
  </cols>
  <sheetData>
    <row r="1" spans="1:19" x14ac:dyDescent="0.25">
      <c r="K1" s="270"/>
      <c r="L1" s="410"/>
    </row>
    <row r="2" spans="1:19" s="308" customFormat="1" ht="25.5" customHeight="1" x14ac:dyDescent="0.3">
      <c r="A2" s="264" t="s">
        <v>2170</v>
      </c>
      <c r="B2" s="264" t="s">
        <v>2171</v>
      </c>
      <c r="C2" s="264" t="s">
        <v>2172</v>
      </c>
      <c r="D2" s="264" t="s">
        <v>3398</v>
      </c>
      <c r="E2" s="264" t="s">
        <v>2174</v>
      </c>
      <c r="F2" s="264" t="s">
        <v>2173</v>
      </c>
      <c r="G2" s="264" t="s">
        <v>3399</v>
      </c>
      <c r="H2" s="264" t="s">
        <v>2178</v>
      </c>
      <c r="I2" s="264" t="s">
        <v>3400</v>
      </c>
      <c r="J2" s="264" t="s">
        <v>3401</v>
      </c>
      <c r="K2" s="264" t="s">
        <v>2181</v>
      </c>
      <c r="L2" s="264" t="s">
        <v>2182</v>
      </c>
      <c r="M2" s="264" t="s">
        <v>2183</v>
      </c>
      <c r="N2" s="264" t="s">
        <v>2184</v>
      </c>
      <c r="O2" s="264" t="s">
        <v>2185</v>
      </c>
      <c r="P2" s="264" t="s">
        <v>2186</v>
      </c>
      <c r="Q2" s="264" t="s">
        <v>2187</v>
      </c>
      <c r="R2" s="264" t="s">
        <v>2188</v>
      </c>
    </row>
    <row r="3" spans="1:19" x14ac:dyDescent="0.25">
      <c r="A3" s="268">
        <v>501102</v>
      </c>
      <c r="B3" s="268"/>
      <c r="C3" s="268"/>
      <c r="D3" s="268"/>
      <c r="E3" s="268"/>
      <c r="F3" s="268"/>
      <c r="G3" s="298" t="s">
        <v>3402</v>
      </c>
      <c r="H3" s="298" t="s">
        <v>3403</v>
      </c>
      <c r="I3" s="309" t="s">
        <v>3404</v>
      </c>
      <c r="J3" s="298">
        <v>1596747</v>
      </c>
      <c r="K3" s="310">
        <f>J3*4.6%+J3</f>
        <v>1670197.362</v>
      </c>
      <c r="L3" s="298">
        <v>0</v>
      </c>
      <c r="M3" s="310">
        <f t="shared" ref="M3:M25" si="0">10.8*12</f>
        <v>129.60000000000002</v>
      </c>
      <c r="N3" s="298">
        <f>1200*12</f>
        <v>14400</v>
      </c>
      <c r="O3" s="298">
        <v>0</v>
      </c>
      <c r="P3" s="298">
        <v>0</v>
      </c>
      <c r="Q3" s="298">
        <v>0</v>
      </c>
      <c r="R3" s="298">
        <v>0</v>
      </c>
      <c r="S3" s="311"/>
    </row>
    <row r="4" spans="1:19" x14ac:dyDescent="0.25">
      <c r="A4" s="268">
        <v>501406</v>
      </c>
      <c r="B4" s="268">
        <v>1406</v>
      </c>
      <c r="C4" s="268">
        <v>34568</v>
      </c>
      <c r="D4" s="268">
        <v>8</v>
      </c>
      <c r="E4" s="268" t="s">
        <v>894</v>
      </c>
      <c r="F4" s="268" t="s">
        <v>1290</v>
      </c>
      <c r="G4" s="312" t="s">
        <v>3405</v>
      </c>
      <c r="H4" s="268" t="s">
        <v>2712</v>
      </c>
      <c r="I4" s="309" t="s">
        <v>3404</v>
      </c>
      <c r="J4" s="313">
        <v>378144</v>
      </c>
      <c r="K4" s="310">
        <f t="shared" ref="K4:K25" si="1">1011.77*12</f>
        <v>12141.24</v>
      </c>
      <c r="L4" s="298">
        <v>0</v>
      </c>
      <c r="M4" s="310">
        <f t="shared" si="0"/>
        <v>129.60000000000002</v>
      </c>
      <c r="N4" s="310">
        <v>0</v>
      </c>
      <c r="O4" s="298">
        <f>J4*1.75</f>
        <v>661752</v>
      </c>
      <c r="P4" s="314">
        <f t="shared" ref="P4:P29" si="2">5007*12</f>
        <v>60084</v>
      </c>
      <c r="Q4" s="310">
        <f>18.07%*J4</f>
        <v>68330.620800000004</v>
      </c>
      <c r="R4" s="310">
        <f>177.12*12</f>
        <v>2125.44</v>
      </c>
      <c r="S4" s="311"/>
    </row>
    <row r="5" spans="1:19" x14ac:dyDescent="0.25">
      <c r="A5" s="268">
        <v>501105</v>
      </c>
      <c r="B5" s="268">
        <v>1105</v>
      </c>
      <c r="C5" s="268">
        <v>35664</v>
      </c>
      <c r="D5" s="268">
        <v>8</v>
      </c>
      <c r="E5" s="268" t="s">
        <v>894</v>
      </c>
      <c r="F5" s="268" t="s">
        <v>1290</v>
      </c>
      <c r="G5" s="312" t="s">
        <v>3406</v>
      </c>
      <c r="H5" s="268" t="s">
        <v>3373</v>
      </c>
      <c r="I5" s="309" t="s">
        <v>3404</v>
      </c>
      <c r="J5" s="313">
        <v>378144</v>
      </c>
      <c r="K5" s="310">
        <f t="shared" si="1"/>
        <v>12141.24</v>
      </c>
      <c r="L5" s="298">
        <v>0</v>
      </c>
      <c r="M5" s="310">
        <f t="shared" si="0"/>
        <v>129.60000000000002</v>
      </c>
      <c r="N5" s="310">
        <v>0</v>
      </c>
      <c r="O5" s="298">
        <f t="shared" ref="O5:O29" si="3">J5*1.75</f>
        <v>661752</v>
      </c>
      <c r="P5" s="314">
        <f t="shared" si="2"/>
        <v>60084</v>
      </c>
      <c r="Q5" s="310">
        <f t="shared" ref="Q5:Q28" si="4">18.07%*J5</f>
        <v>68330.620800000004</v>
      </c>
      <c r="R5" s="310">
        <f t="shared" ref="R5:R25" si="5">177.12*12</f>
        <v>2125.44</v>
      </c>
      <c r="S5" s="311"/>
    </row>
    <row r="6" spans="1:19" x14ac:dyDescent="0.25">
      <c r="A6" s="268">
        <v>501444</v>
      </c>
      <c r="B6" s="268">
        <v>1444</v>
      </c>
      <c r="C6" s="268">
        <v>40086</v>
      </c>
      <c r="D6" s="268">
        <v>8</v>
      </c>
      <c r="E6" s="268" t="s">
        <v>894</v>
      </c>
      <c r="F6" s="268" t="s">
        <v>1290</v>
      </c>
      <c r="G6" s="312" t="s">
        <v>3407</v>
      </c>
      <c r="H6" s="268" t="s">
        <v>2717</v>
      </c>
      <c r="I6" s="309" t="s">
        <v>3404</v>
      </c>
      <c r="J6" s="315">
        <v>361056</v>
      </c>
      <c r="K6" s="271">
        <f t="shared" si="1"/>
        <v>12141.24</v>
      </c>
      <c r="L6" s="268">
        <v>0</v>
      </c>
      <c r="M6" s="271">
        <f t="shared" si="0"/>
        <v>129.60000000000002</v>
      </c>
      <c r="N6" s="310">
        <v>0</v>
      </c>
      <c r="O6" s="268">
        <f t="shared" si="3"/>
        <v>631848</v>
      </c>
      <c r="P6" s="274">
        <f t="shared" si="2"/>
        <v>60084</v>
      </c>
      <c r="Q6" s="271">
        <f t="shared" si="4"/>
        <v>65242.819199999998</v>
      </c>
      <c r="R6" s="271">
        <f t="shared" si="5"/>
        <v>2125.44</v>
      </c>
    </row>
    <row r="7" spans="1:19" x14ac:dyDescent="0.25">
      <c r="A7" s="268">
        <v>501444</v>
      </c>
      <c r="B7" s="268">
        <v>1444</v>
      </c>
      <c r="C7" s="268">
        <v>42628</v>
      </c>
      <c r="D7" s="268">
        <v>13</v>
      </c>
      <c r="E7" s="268" t="s">
        <v>894</v>
      </c>
      <c r="F7" s="268" t="s">
        <v>1290</v>
      </c>
      <c r="G7" s="312" t="s">
        <v>3408</v>
      </c>
      <c r="H7" s="268" t="s">
        <v>2978</v>
      </c>
      <c r="I7" s="309" t="s">
        <v>3404</v>
      </c>
      <c r="J7" s="315">
        <v>194520</v>
      </c>
      <c r="K7" s="271">
        <f t="shared" si="1"/>
        <v>12141.24</v>
      </c>
      <c r="L7" s="268">
        <v>0</v>
      </c>
      <c r="M7" s="271">
        <f t="shared" si="0"/>
        <v>129.60000000000002</v>
      </c>
      <c r="N7" s="310">
        <v>0</v>
      </c>
      <c r="O7" s="268">
        <f t="shared" si="3"/>
        <v>340410</v>
      </c>
      <c r="P7" s="274">
        <f t="shared" si="2"/>
        <v>60084</v>
      </c>
      <c r="Q7" s="271">
        <f t="shared" si="4"/>
        <v>35149.764000000003</v>
      </c>
      <c r="R7" s="271">
        <f t="shared" si="5"/>
        <v>2125.44</v>
      </c>
    </row>
    <row r="8" spans="1:19" x14ac:dyDescent="0.25">
      <c r="A8" s="268">
        <v>501406</v>
      </c>
      <c r="B8" s="268">
        <v>1406</v>
      </c>
      <c r="C8" s="268">
        <v>42657</v>
      </c>
      <c r="D8" s="268">
        <v>8</v>
      </c>
      <c r="E8" s="268" t="s">
        <v>894</v>
      </c>
      <c r="F8" s="268" t="s">
        <v>1290</v>
      </c>
      <c r="G8" s="312" t="s">
        <v>3409</v>
      </c>
      <c r="H8" s="268" t="s">
        <v>2689</v>
      </c>
      <c r="I8" s="309" t="s">
        <v>3404</v>
      </c>
      <c r="J8" s="315">
        <v>361056</v>
      </c>
      <c r="K8" s="271">
        <f t="shared" si="1"/>
        <v>12141.24</v>
      </c>
      <c r="L8" s="268">
        <f>750*12</f>
        <v>9000</v>
      </c>
      <c r="M8" s="271">
        <f t="shared" si="0"/>
        <v>129.60000000000002</v>
      </c>
      <c r="N8" s="310">
        <v>0</v>
      </c>
      <c r="O8" s="268">
        <f t="shared" si="3"/>
        <v>631848</v>
      </c>
      <c r="P8" s="274">
        <f t="shared" si="2"/>
        <v>60084</v>
      </c>
      <c r="Q8" s="271">
        <f t="shared" si="4"/>
        <v>65242.819199999998</v>
      </c>
      <c r="R8" s="271">
        <f t="shared" si="5"/>
        <v>2125.44</v>
      </c>
    </row>
    <row r="9" spans="1:19" x14ac:dyDescent="0.25">
      <c r="A9" s="268">
        <v>501105</v>
      </c>
      <c r="B9" s="268">
        <v>1105</v>
      </c>
      <c r="C9" s="268">
        <v>54124</v>
      </c>
      <c r="D9" s="268">
        <v>5</v>
      </c>
      <c r="E9" s="268" t="s">
        <v>894</v>
      </c>
      <c r="F9" s="268" t="s">
        <v>1278</v>
      </c>
      <c r="G9" s="312" t="s">
        <v>3410</v>
      </c>
      <c r="H9" s="268" t="s">
        <v>3411</v>
      </c>
      <c r="I9" s="309" t="s">
        <v>3404</v>
      </c>
      <c r="J9" s="315">
        <v>584616</v>
      </c>
      <c r="K9" s="271">
        <f t="shared" si="1"/>
        <v>12141.24</v>
      </c>
      <c r="L9" s="268">
        <f>750*12</f>
        <v>9000</v>
      </c>
      <c r="M9" s="271">
        <f t="shared" si="0"/>
        <v>129.60000000000002</v>
      </c>
      <c r="N9" s="310">
        <v>0</v>
      </c>
      <c r="O9" s="268">
        <f t="shared" si="3"/>
        <v>1023078</v>
      </c>
      <c r="P9" s="274">
        <f t="shared" si="2"/>
        <v>60084</v>
      </c>
      <c r="Q9" s="271">
        <f t="shared" si="4"/>
        <v>105640.1112</v>
      </c>
      <c r="R9" s="271">
        <f t="shared" si="5"/>
        <v>2125.44</v>
      </c>
    </row>
    <row r="10" spans="1:19" x14ac:dyDescent="0.25">
      <c r="A10" s="268">
        <v>501444</v>
      </c>
      <c r="B10" s="268">
        <v>1444</v>
      </c>
      <c r="C10" s="268">
        <v>57406</v>
      </c>
      <c r="D10" s="268">
        <v>15</v>
      </c>
      <c r="E10" s="268" t="s">
        <v>894</v>
      </c>
      <c r="F10" s="268" t="s">
        <v>1290</v>
      </c>
      <c r="G10" s="312" t="s">
        <v>3412</v>
      </c>
      <c r="H10" s="268" t="s">
        <v>3133</v>
      </c>
      <c r="I10" s="309" t="s">
        <v>3404</v>
      </c>
      <c r="J10" s="315">
        <v>172320</v>
      </c>
      <c r="K10" s="271">
        <f t="shared" si="1"/>
        <v>12141.24</v>
      </c>
      <c r="L10" s="268">
        <v>0</v>
      </c>
      <c r="M10" s="271">
        <f t="shared" si="0"/>
        <v>129.60000000000002</v>
      </c>
      <c r="N10" s="310">
        <v>0</v>
      </c>
      <c r="O10" s="268">
        <f t="shared" si="3"/>
        <v>301560</v>
      </c>
      <c r="P10" s="274">
        <f t="shared" si="2"/>
        <v>60084</v>
      </c>
      <c r="Q10" s="271">
        <f t="shared" si="4"/>
        <v>31138.223999999998</v>
      </c>
      <c r="R10" s="271">
        <f t="shared" si="5"/>
        <v>2125.44</v>
      </c>
    </row>
    <row r="11" spans="1:19" x14ac:dyDescent="0.25">
      <c r="A11" s="268">
        <v>501443</v>
      </c>
      <c r="B11" s="268">
        <v>1443</v>
      </c>
      <c r="C11" s="268">
        <v>87890</v>
      </c>
      <c r="D11" s="268">
        <v>8</v>
      </c>
      <c r="E11" s="268" t="s">
        <v>894</v>
      </c>
      <c r="F11" s="268" t="s">
        <v>1290</v>
      </c>
      <c r="G11" s="312" t="s">
        <v>3413</v>
      </c>
      <c r="H11" s="268" t="s">
        <v>2739</v>
      </c>
      <c r="I11" s="309" t="s">
        <v>3404</v>
      </c>
      <c r="J11" s="315">
        <v>343920</v>
      </c>
      <c r="K11" s="271">
        <f t="shared" si="1"/>
        <v>12141.24</v>
      </c>
      <c r="L11" s="268">
        <v>0</v>
      </c>
      <c r="M11" s="271">
        <f t="shared" si="0"/>
        <v>129.60000000000002</v>
      </c>
      <c r="N11" s="310">
        <v>0</v>
      </c>
      <c r="O11" s="268">
        <f t="shared" si="3"/>
        <v>601860</v>
      </c>
      <c r="P11" s="274">
        <f t="shared" si="2"/>
        <v>60084</v>
      </c>
      <c r="Q11" s="271">
        <f t="shared" si="4"/>
        <v>62146.343999999997</v>
      </c>
      <c r="R11" s="271">
        <f t="shared" si="5"/>
        <v>2125.44</v>
      </c>
    </row>
    <row r="12" spans="1:19" x14ac:dyDescent="0.25">
      <c r="A12" s="268">
        <v>501443</v>
      </c>
      <c r="B12" s="268">
        <v>1443</v>
      </c>
      <c r="C12" s="268">
        <v>90515</v>
      </c>
      <c r="D12" s="268">
        <v>6</v>
      </c>
      <c r="E12" s="268" t="s">
        <v>876</v>
      </c>
      <c r="F12" s="268" t="s">
        <v>1290</v>
      </c>
      <c r="G12" s="312" t="s">
        <v>3414</v>
      </c>
      <c r="H12" s="268" t="s">
        <v>2481</v>
      </c>
      <c r="I12" s="309" t="s">
        <v>3404</v>
      </c>
      <c r="J12" s="315">
        <v>519312</v>
      </c>
      <c r="K12" s="271">
        <f t="shared" si="1"/>
        <v>12141.24</v>
      </c>
      <c r="L12" s="268">
        <v>0</v>
      </c>
      <c r="M12" s="271">
        <f t="shared" si="0"/>
        <v>129.60000000000002</v>
      </c>
      <c r="N12" s="310">
        <v>0</v>
      </c>
      <c r="O12" s="268">
        <f t="shared" si="3"/>
        <v>908796</v>
      </c>
      <c r="P12" s="274">
        <f t="shared" si="2"/>
        <v>60084</v>
      </c>
      <c r="Q12" s="271">
        <f t="shared" si="4"/>
        <v>93839.678400000004</v>
      </c>
      <c r="R12" s="271">
        <f t="shared" si="5"/>
        <v>2125.44</v>
      </c>
    </row>
    <row r="13" spans="1:19" x14ac:dyDescent="0.25">
      <c r="A13" s="268">
        <v>501444</v>
      </c>
      <c r="B13" s="268">
        <v>1444</v>
      </c>
      <c r="C13" s="268">
        <v>120883</v>
      </c>
      <c r="D13" s="268">
        <v>15</v>
      </c>
      <c r="E13" s="268" t="s">
        <v>894</v>
      </c>
      <c r="F13" s="268" t="s">
        <v>1290</v>
      </c>
      <c r="G13" s="312" t="s">
        <v>3415</v>
      </c>
      <c r="H13" s="268" t="s">
        <v>3133</v>
      </c>
      <c r="I13" s="309" t="s">
        <v>3404</v>
      </c>
      <c r="J13" s="315">
        <v>172320</v>
      </c>
      <c r="K13" s="271">
        <f t="shared" si="1"/>
        <v>12141.24</v>
      </c>
      <c r="L13" s="268">
        <v>0</v>
      </c>
      <c r="M13" s="271">
        <f t="shared" si="0"/>
        <v>129.60000000000002</v>
      </c>
      <c r="N13" s="310">
        <v>0</v>
      </c>
      <c r="O13" s="268">
        <f t="shared" si="3"/>
        <v>301560</v>
      </c>
      <c r="P13" s="274">
        <f t="shared" si="2"/>
        <v>60084</v>
      </c>
      <c r="Q13" s="271">
        <f t="shared" si="4"/>
        <v>31138.223999999998</v>
      </c>
      <c r="R13" s="271">
        <f t="shared" si="5"/>
        <v>2125.44</v>
      </c>
    </row>
    <row r="14" spans="1:19" x14ac:dyDescent="0.25">
      <c r="A14" s="268">
        <v>501443</v>
      </c>
      <c r="B14" s="268">
        <v>1443</v>
      </c>
      <c r="C14" s="268">
        <v>200025</v>
      </c>
      <c r="D14" s="268">
        <v>6</v>
      </c>
      <c r="E14" s="268" t="s">
        <v>894</v>
      </c>
      <c r="F14" s="268" t="s">
        <v>1290</v>
      </c>
      <c r="G14" s="312" t="s">
        <v>3416</v>
      </c>
      <c r="H14" s="268" t="s">
        <v>2483</v>
      </c>
      <c r="I14" s="309" t="s">
        <v>3404</v>
      </c>
      <c r="J14" s="315">
        <v>464856</v>
      </c>
      <c r="K14" s="271">
        <f t="shared" si="1"/>
        <v>12141.24</v>
      </c>
      <c r="L14" s="268">
        <v>0</v>
      </c>
      <c r="M14" s="271">
        <f t="shared" si="0"/>
        <v>129.60000000000002</v>
      </c>
      <c r="N14" s="310">
        <v>0</v>
      </c>
      <c r="O14" s="268">
        <f t="shared" si="3"/>
        <v>813498</v>
      </c>
      <c r="P14" s="274">
        <f t="shared" si="2"/>
        <v>60084</v>
      </c>
      <c r="Q14" s="271">
        <f t="shared" si="4"/>
        <v>83999.479200000002</v>
      </c>
      <c r="R14" s="271">
        <f t="shared" si="5"/>
        <v>2125.44</v>
      </c>
    </row>
    <row r="15" spans="1:19" x14ac:dyDescent="0.25">
      <c r="A15" s="268">
        <v>501406</v>
      </c>
      <c r="B15" s="268">
        <v>1406</v>
      </c>
      <c r="C15" s="268">
        <v>200056</v>
      </c>
      <c r="D15" s="268">
        <v>1110</v>
      </c>
      <c r="E15" s="268" t="s">
        <v>894</v>
      </c>
      <c r="F15" s="268" t="s">
        <v>1290</v>
      </c>
      <c r="G15" s="312" t="s">
        <v>3417</v>
      </c>
      <c r="H15" s="268" t="s">
        <v>2879</v>
      </c>
      <c r="I15" s="309" t="s">
        <v>3404</v>
      </c>
      <c r="J15" s="315">
        <v>240852</v>
      </c>
      <c r="K15" s="271">
        <f t="shared" si="1"/>
        <v>12141.24</v>
      </c>
      <c r="L15" s="268">
        <v>0</v>
      </c>
      <c r="M15" s="271">
        <f t="shared" si="0"/>
        <v>129.60000000000002</v>
      </c>
      <c r="N15" s="310">
        <v>0</v>
      </c>
      <c r="O15" s="268">
        <f t="shared" si="3"/>
        <v>421491</v>
      </c>
      <c r="P15" s="274">
        <f t="shared" si="2"/>
        <v>60084</v>
      </c>
      <c r="Q15" s="271">
        <f t="shared" si="4"/>
        <v>43521.956400000003</v>
      </c>
      <c r="R15" s="271">
        <f t="shared" si="5"/>
        <v>2125.44</v>
      </c>
    </row>
    <row r="16" spans="1:19" x14ac:dyDescent="0.25">
      <c r="A16" s="268"/>
      <c r="B16" s="268">
        <v>1506</v>
      </c>
      <c r="C16" s="268">
        <v>200114</v>
      </c>
      <c r="D16" s="268">
        <v>1110</v>
      </c>
      <c r="E16" s="268" t="s">
        <v>894</v>
      </c>
      <c r="F16" s="268" t="s">
        <v>1278</v>
      </c>
      <c r="G16" s="312" t="s">
        <v>3418</v>
      </c>
      <c r="H16" s="268" t="s">
        <v>2929</v>
      </c>
      <c r="I16" s="309" t="s">
        <v>3404</v>
      </c>
      <c r="J16" s="315">
        <v>240852</v>
      </c>
      <c r="K16" s="271">
        <f t="shared" si="1"/>
        <v>12141.24</v>
      </c>
      <c r="L16" s="268">
        <v>0</v>
      </c>
      <c r="M16" s="271">
        <f t="shared" si="0"/>
        <v>129.60000000000002</v>
      </c>
      <c r="N16" s="310">
        <v>0</v>
      </c>
      <c r="O16" s="268">
        <f t="shared" si="3"/>
        <v>421491</v>
      </c>
      <c r="P16" s="274">
        <f t="shared" si="2"/>
        <v>60084</v>
      </c>
      <c r="Q16" s="271">
        <f t="shared" si="4"/>
        <v>43521.956400000003</v>
      </c>
      <c r="R16" s="271">
        <f t="shared" si="5"/>
        <v>2125.44</v>
      </c>
    </row>
    <row r="17" spans="1:21" x14ac:dyDescent="0.25">
      <c r="A17" s="268">
        <v>501443</v>
      </c>
      <c r="B17" s="268">
        <v>1443</v>
      </c>
      <c r="C17" s="268">
        <v>200164</v>
      </c>
      <c r="D17" s="268">
        <v>16</v>
      </c>
      <c r="E17" s="268" t="s">
        <v>894</v>
      </c>
      <c r="F17" s="268" t="s">
        <v>1278</v>
      </c>
      <c r="G17" s="312" t="s">
        <v>3419</v>
      </c>
      <c r="H17" s="268" t="s">
        <v>3201</v>
      </c>
      <c r="I17" s="309" t="s">
        <v>3404</v>
      </c>
      <c r="J17" s="271">
        <v>179112</v>
      </c>
      <c r="K17" s="271">
        <f t="shared" si="1"/>
        <v>12141.24</v>
      </c>
      <c r="L17" s="268">
        <v>0</v>
      </c>
      <c r="M17" s="271">
        <f t="shared" si="0"/>
        <v>129.60000000000002</v>
      </c>
      <c r="N17" s="310">
        <v>0</v>
      </c>
      <c r="O17" s="268">
        <f>J28*1.75</f>
        <v>312123</v>
      </c>
      <c r="P17" s="274">
        <f t="shared" si="2"/>
        <v>60084</v>
      </c>
      <c r="Q17" s="271">
        <f>18.07%*J28</f>
        <v>32228.929199999999</v>
      </c>
      <c r="R17" s="271">
        <f t="shared" si="5"/>
        <v>2125.44</v>
      </c>
    </row>
    <row r="18" spans="1:21" x14ac:dyDescent="0.25">
      <c r="A18" s="268">
        <v>501205</v>
      </c>
      <c r="B18" s="268">
        <v>1205</v>
      </c>
      <c r="C18" s="268">
        <v>200186</v>
      </c>
      <c r="D18" s="268">
        <v>5</v>
      </c>
      <c r="E18" s="268" t="s">
        <v>894</v>
      </c>
      <c r="F18" s="268" t="s">
        <v>1290</v>
      </c>
      <c r="G18" s="312" t="s">
        <v>3420</v>
      </c>
      <c r="H18" s="268" t="s">
        <v>3421</v>
      </c>
      <c r="I18" s="309" t="s">
        <v>3404</v>
      </c>
      <c r="J18" s="315">
        <v>584616</v>
      </c>
      <c r="K18" s="271">
        <f t="shared" si="1"/>
        <v>12141.24</v>
      </c>
      <c r="L18" s="268">
        <v>0</v>
      </c>
      <c r="M18" s="271">
        <f t="shared" si="0"/>
        <v>129.60000000000002</v>
      </c>
      <c r="N18" s="310">
        <v>0</v>
      </c>
      <c r="O18" s="268">
        <f t="shared" si="3"/>
        <v>1023078</v>
      </c>
      <c r="P18" s="274">
        <f t="shared" si="2"/>
        <v>60084</v>
      </c>
      <c r="Q18" s="271">
        <f t="shared" si="4"/>
        <v>105640.1112</v>
      </c>
      <c r="R18" s="271">
        <f t="shared" si="5"/>
        <v>2125.44</v>
      </c>
    </row>
    <row r="19" spans="1:21" x14ac:dyDescent="0.25">
      <c r="A19" s="268"/>
      <c r="B19" s="268">
        <v>1443</v>
      </c>
      <c r="C19" s="268">
        <v>200215</v>
      </c>
      <c r="D19" s="268"/>
      <c r="E19" s="268" t="s">
        <v>894</v>
      </c>
      <c r="F19" s="268" t="s">
        <v>1278</v>
      </c>
      <c r="G19" s="312" t="s">
        <v>3422</v>
      </c>
      <c r="H19" s="268" t="s">
        <v>3423</v>
      </c>
      <c r="I19" s="309" t="s">
        <v>3404</v>
      </c>
      <c r="J19" s="315">
        <v>296640</v>
      </c>
      <c r="K19" s="271">
        <f t="shared" si="1"/>
        <v>12141.24</v>
      </c>
      <c r="L19" s="268">
        <v>0</v>
      </c>
      <c r="M19" s="271">
        <f t="shared" si="0"/>
        <v>129.60000000000002</v>
      </c>
      <c r="N19" s="310">
        <v>0</v>
      </c>
      <c r="O19" s="268">
        <f t="shared" si="3"/>
        <v>519120</v>
      </c>
      <c r="P19" s="274">
        <f t="shared" si="2"/>
        <v>60084</v>
      </c>
      <c r="Q19" s="271">
        <f t="shared" si="4"/>
        <v>53602.847999999998</v>
      </c>
      <c r="R19" s="271">
        <f t="shared" si="5"/>
        <v>2125.44</v>
      </c>
    </row>
    <row r="20" spans="1:21" x14ac:dyDescent="0.25">
      <c r="A20" s="268"/>
      <c r="B20" s="268">
        <v>1406</v>
      </c>
      <c r="C20" s="268">
        <v>200228</v>
      </c>
      <c r="D20" s="268"/>
      <c r="E20" s="268" t="s">
        <v>894</v>
      </c>
      <c r="F20" s="268" t="s">
        <v>1278</v>
      </c>
      <c r="G20" s="312" t="s">
        <v>3424</v>
      </c>
      <c r="H20" s="268" t="s">
        <v>2801</v>
      </c>
      <c r="I20" s="309" t="s">
        <v>3404</v>
      </c>
      <c r="J20" s="315">
        <v>296640</v>
      </c>
      <c r="K20" s="271">
        <f t="shared" si="1"/>
        <v>12141.24</v>
      </c>
      <c r="L20" s="268">
        <v>0</v>
      </c>
      <c r="M20" s="271">
        <f t="shared" si="0"/>
        <v>129.60000000000002</v>
      </c>
      <c r="N20" s="310">
        <v>0</v>
      </c>
      <c r="O20" s="268">
        <f t="shared" si="3"/>
        <v>519120</v>
      </c>
      <c r="P20" s="274">
        <f t="shared" si="2"/>
        <v>60084</v>
      </c>
      <c r="Q20" s="271">
        <f t="shared" si="4"/>
        <v>53602.847999999998</v>
      </c>
      <c r="R20" s="271">
        <f t="shared" si="5"/>
        <v>2125.44</v>
      </c>
    </row>
    <row r="21" spans="1:21" x14ac:dyDescent="0.25">
      <c r="A21" s="268"/>
      <c r="B21" s="268">
        <v>1406</v>
      </c>
      <c r="C21" s="268">
        <v>200233</v>
      </c>
      <c r="D21" s="268"/>
      <c r="E21" s="268" t="s">
        <v>894</v>
      </c>
      <c r="F21" s="268" t="s">
        <v>1290</v>
      </c>
      <c r="G21" s="312" t="s">
        <v>3425</v>
      </c>
      <c r="H21" s="268" t="s">
        <v>2801</v>
      </c>
      <c r="I21" s="309" t="s">
        <v>3404</v>
      </c>
      <c r="J21" s="315">
        <v>296640</v>
      </c>
      <c r="K21" s="271">
        <f t="shared" si="1"/>
        <v>12141.24</v>
      </c>
      <c r="L21" s="268">
        <v>0</v>
      </c>
      <c r="M21" s="271">
        <f t="shared" si="0"/>
        <v>129.60000000000002</v>
      </c>
      <c r="N21" s="310">
        <v>0</v>
      </c>
      <c r="O21" s="268">
        <f t="shared" si="3"/>
        <v>519120</v>
      </c>
      <c r="P21" s="274">
        <f t="shared" si="2"/>
        <v>60084</v>
      </c>
      <c r="Q21" s="271">
        <f t="shared" si="4"/>
        <v>53602.847999999998</v>
      </c>
      <c r="R21" s="271">
        <f t="shared" si="5"/>
        <v>2125.44</v>
      </c>
    </row>
    <row r="22" spans="1:21" x14ac:dyDescent="0.25">
      <c r="A22" s="268"/>
      <c r="B22" s="268">
        <v>1206</v>
      </c>
      <c r="C22" s="268">
        <v>200244</v>
      </c>
      <c r="D22" s="268">
        <v>6</v>
      </c>
      <c r="E22" s="268" t="s">
        <v>1698</v>
      </c>
      <c r="F22" s="268" t="s">
        <v>1278</v>
      </c>
      <c r="G22" s="312" t="s">
        <v>3426</v>
      </c>
      <c r="H22" s="268" t="s">
        <v>3427</v>
      </c>
      <c r="I22" s="309" t="s">
        <v>3404</v>
      </c>
      <c r="J22" s="315">
        <v>439560</v>
      </c>
      <c r="K22" s="271">
        <f t="shared" si="1"/>
        <v>12141.24</v>
      </c>
      <c r="L22" s="268">
        <v>0</v>
      </c>
      <c r="M22" s="271">
        <f t="shared" si="0"/>
        <v>129.60000000000002</v>
      </c>
      <c r="N22" s="310">
        <v>0</v>
      </c>
      <c r="O22" s="268">
        <f t="shared" si="3"/>
        <v>769230</v>
      </c>
      <c r="P22" s="274">
        <f t="shared" si="2"/>
        <v>60084</v>
      </c>
      <c r="Q22" s="271">
        <f t="shared" si="4"/>
        <v>79428.491999999998</v>
      </c>
      <c r="R22" s="271">
        <f t="shared" si="5"/>
        <v>2125.44</v>
      </c>
    </row>
    <row r="23" spans="1:21" x14ac:dyDescent="0.25">
      <c r="A23" s="268">
        <v>501506</v>
      </c>
      <c r="B23" s="268">
        <v>1506</v>
      </c>
      <c r="C23" s="268">
        <v>200263</v>
      </c>
      <c r="D23" s="268">
        <v>16</v>
      </c>
      <c r="E23" s="268" t="s">
        <v>894</v>
      </c>
      <c r="F23" s="268" t="s">
        <v>1278</v>
      </c>
      <c r="G23" s="312" t="s">
        <v>3428</v>
      </c>
      <c r="H23" s="268" t="s">
        <v>3201</v>
      </c>
      <c r="I23" s="309" t="s">
        <v>3404</v>
      </c>
      <c r="J23" s="315">
        <v>164952</v>
      </c>
      <c r="K23" s="271">
        <f t="shared" si="1"/>
        <v>12141.24</v>
      </c>
      <c r="L23" s="268">
        <v>0</v>
      </c>
      <c r="M23" s="271">
        <f t="shared" si="0"/>
        <v>129.60000000000002</v>
      </c>
      <c r="N23" s="310">
        <v>0</v>
      </c>
      <c r="O23" s="268">
        <f t="shared" si="3"/>
        <v>288666</v>
      </c>
      <c r="P23" s="274">
        <f t="shared" si="2"/>
        <v>60084</v>
      </c>
      <c r="Q23" s="271">
        <f t="shared" si="4"/>
        <v>29806.826399999998</v>
      </c>
      <c r="R23" s="271">
        <f t="shared" si="5"/>
        <v>2125.44</v>
      </c>
    </row>
    <row r="24" spans="1:21" x14ac:dyDescent="0.25">
      <c r="A24" s="268">
        <v>501445</v>
      </c>
      <c r="B24" s="268">
        <v>1445</v>
      </c>
      <c r="C24" s="268">
        <v>200294</v>
      </c>
      <c r="D24" s="268">
        <v>16</v>
      </c>
      <c r="E24" s="268" t="s">
        <v>894</v>
      </c>
      <c r="F24" s="268" t="s">
        <v>1290</v>
      </c>
      <c r="G24" s="312" t="s">
        <v>3429</v>
      </c>
      <c r="H24" s="268" t="s">
        <v>3201</v>
      </c>
      <c r="I24" s="309" t="s">
        <v>3404</v>
      </c>
      <c r="J24" s="315">
        <v>164952</v>
      </c>
      <c r="K24" s="271">
        <f t="shared" si="1"/>
        <v>12141.24</v>
      </c>
      <c r="L24" s="268">
        <v>0</v>
      </c>
      <c r="M24" s="271">
        <f t="shared" si="0"/>
        <v>129.60000000000002</v>
      </c>
      <c r="N24" s="310">
        <v>0</v>
      </c>
      <c r="O24" s="268">
        <f t="shared" si="3"/>
        <v>288666</v>
      </c>
      <c r="P24" s="274">
        <f t="shared" si="2"/>
        <v>60084</v>
      </c>
      <c r="Q24" s="316">
        <f t="shared" si="4"/>
        <v>29806.826399999998</v>
      </c>
      <c r="R24" s="271">
        <f t="shared" si="5"/>
        <v>2125.44</v>
      </c>
    </row>
    <row r="25" spans="1:21" x14ac:dyDescent="0.25">
      <c r="A25" s="268">
        <v>501444</v>
      </c>
      <c r="B25" s="268">
        <v>1444</v>
      </c>
      <c r="C25" s="268">
        <v>200314</v>
      </c>
      <c r="D25" s="268">
        <v>8</v>
      </c>
      <c r="E25" s="268" t="s">
        <v>894</v>
      </c>
      <c r="F25" s="268" t="s">
        <v>1290</v>
      </c>
      <c r="G25" s="312" t="s">
        <v>3430</v>
      </c>
      <c r="H25" s="268" t="s">
        <v>2689</v>
      </c>
      <c r="I25" s="309" t="s">
        <v>3404</v>
      </c>
      <c r="J25" s="315">
        <v>343920</v>
      </c>
      <c r="K25" s="271">
        <f t="shared" si="1"/>
        <v>12141.24</v>
      </c>
      <c r="L25" s="268">
        <v>0</v>
      </c>
      <c r="M25" s="271">
        <f t="shared" si="0"/>
        <v>129.60000000000002</v>
      </c>
      <c r="N25" s="310">
        <v>0</v>
      </c>
      <c r="O25" s="268">
        <f t="shared" si="3"/>
        <v>601860</v>
      </c>
      <c r="P25" s="274">
        <f t="shared" si="2"/>
        <v>60084</v>
      </c>
      <c r="Q25" s="316">
        <f t="shared" si="4"/>
        <v>62146.343999999997</v>
      </c>
      <c r="R25" s="271">
        <f t="shared" si="5"/>
        <v>2125.44</v>
      </c>
    </row>
    <row r="26" spans="1:21" s="270" customFormat="1" x14ac:dyDescent="0.25">
      <c r="A26" s="267">
        <v>501101</v>
      </c>
      <c r="B26" s="267">
        <v>1101</v>
      </c>
      <c r="C26" s="267">
        <v>51680</v>
      </c>
      <c r="D26" s="268">
        <v>5</v>
      </c>
      <c r="E26" s="268" t="s">
        <v>894</v>
      </c>
      <c r="F26" s="268" t="s">
        <v>1290</v>
      </c>
      <c r="G26" s="268" t="s">
        <v>3431</v>
      </c>
      <c r="H26" s="268" t="s">
        <v>2301</v>
      </c>
      <c r="I26" s="309" t="s">
        <v>3404</v>
      </c>
      <c r="J26" s="267">
        <v>634740</v>
      </c>
      <c r="K26" s="271">
        <f>1011.77*12</f>
        <v>12141.24</v>
      </c>
      <c r="L26" s="267">
        <f>350*12</f>
        <v>4200</v>
      </c>
      <c r="M26" s="267">
        <f>10.8*12</f>
        <v>129.60000000000002</v>
      </c>
      <c r="N26" s="267">
        <f>15179*12</f>
        <v>182148</v>
      </c>
      <c r="O26" s="268">
        <f t="shared" si="3"/>
        <v>1110795</v>
      </c>
      <c r="P26" s="274">
        <f t="shared" si="2"/>
        <v>60084</v>
      </c>
      <c r="Q26" s="316">
        <f t="shared" si="4"/>
        <v>114697.518</v>
      </c>
      <c r="R26" s="267">
        <f>177.12*12</f>
        <v>2125.44</v>
      </c>
    </row>
    <row r="27" spans="1:21" s="270" customFormat="1" x14ac:dyDescent="0.25">
      <c r="A27" s="271">
        <v>501206</v>
      </c>
      <c r="B27" s="271">
        <v>1206</v>
      </c>
      <c r="C27" s="271">
        <v>200448</v>
      </c>
      <c r="D27" s="268">
        <v>3</v>
      </c>
      <c r="E27" s="268" t="s">
        <v>894</v>
      </c>
      <c r="F27" s="268" t="s">
        <v>1290</v>
      </c>
      <c r="G27" s="268" t="s">
        <v>3432</v>
      </c>
      <c r="H27" s="268" t="s">
        <v>3433</v>
      </c>
      <c r="I27" s="309" t="s">
        <v>3404</v>
      </c>
      <c r="J27" s="271">
        <v>822240</v>
      </c>
      <c r="K27" s="271">
        <f>1011.77*12</f>
        <v>12141.24</v>
      </c>
      <c r="L27" s="267">
        <f>750*12</f>
        <v>9000</v>
      </c>
      <c r="M27" s="271">
        <f>10.8*12</f>
        <v>129.60000000000002</v>
      </c>
      <c r="N27" s="271">
        <f>19524*12</f>
        <v>234288</v>
      </c>
      <c r="O27" s="268">
        <f t="shared" si="3"/>
        <v>1438920</v>
      </c>
      <c r="P27" s="274">
        <f t="shared" si="2"/>
        <v>60084</v>
      </c>
      <c r="Q27" s="271">
        <f t="shared" si="4"/>
        <v>148578.76800000001</v>
      </c>
      <c r="R27" s="267">
        <f>177.12*12</f>
        <v>2125.44</v>
      </c>
    </row>
    <row r="28" spans="1:21" s="270" customFormat="1" x14ac:dyDescent="0.25">
      <c r="B28" s="271"/>
      <c r="C28" s="271">
        <v>200062</v>
      </c>
      <c r="D28" s="268"/>
      <c r="E28" s="268" t="s">
        <v>894</v>
      </c>
      <c r="F28" s="268" t="s">
        <v>1290</v>
      </c>
      <c r="G28" s="268" t="s">
        <v>3434</v>
      </c>
      <c r="H28" s="268" t="s">
        <v>3435</v>
      </c>
      <c r="I28" s="317" t="s">
        <v>3404</v>
      </c>
      <c r="J28" s="315">
        <v>178356</v>
      </c>
      <c r="K28" s="271">
        <f>1011.77*12</f>
        <v>12141.24</v>
      </c>
      <c r="L28" s="267">
        <v>0</v>
      </c>
      <c r="M28" s="271">
        <f>10.8*12</f>
        <v>129.60000000000002</v>
      </c>
      <c r="N28" s="271">
        <v>0</v>
      </c>
      <c r="O28" s="268"/>
      <c r="P28" s="274">
        <f t="shared" si="2"/>
        <v>60084</v>
      </c>
      <c r="Q28" s="271">
        <f t="shared" si="4"/>
        <v>32228.929199999999</v>
      </c>
      <c r="R28" s="267">
        <f>177.12*12</f>
        <v>2125.44</v>
      </c>
    </row>
    <row r="29" spans="1:21" s="270" customFormat="1" x14ac:dyDescent="0.25">
      <c r="A29" s="271">
        <v>501445</v>
      </c>
      <c r="B29" s="271">
        <v>1445</v>
      </c>
      <c r="C29" s="271">
        <v>200294</v>
      </c>
      <c r="D29" s="268" t="s">
        <v>894</v>
      </c>
      <c r="E29" s="268" t="s">
        <v>894</v>
      </c>
      <c r="F29" s="268" t="s">
        <v>1290</v>
      </c>
      <c r="G29" s="268" t="s">
        <v>3436</v>
      </c>
      <c r="H29" s="268" t="s">
        <v>3201</v>
      </c>
      <c r="I29" s="309" t="s">
        <v>3404</v>
      </c>
      <c r="J29" s="271">
        <v>179112</v>
      </c>
      <c r="K29" s="271">
        <f>1011.77*12</f>
        <v>12141.24</v>
      </c>
      <c r="L29" s="271">
        <v>0</v>
      </c>
      <c r="M29" s="267">
        <v>130</v>
      </c>
      <c r="N29" s="271">
        <v>0</v>
      </c>
      <c r="O29" s="268">
        <f t="shared" si="3"/>
        <v>313446</v>
      </c>
      <c r="P29" s="274">
        <f t="shared" si="2"/>
        <v>60084</v>
      </c>
      <c r="Q29" s="271">
        <f>18.07%*J29</f>
        <v>32365.538400000001</v>
      </c>
      <c r="R29" s="267">
        <f t="shared" ref="R29" si="6">177.12*12</f>
        <v>2125.44</v>
      </c>
    </row>
    <row r="30" spans="1:21" s="270" customFormat="1" x14ac:dyDescent="0.25">
      <c r="A30" s="271">
        <v>110721</v>
      </c>
      <c r="B30" s="271">
        <v>1107</v>
      </c>
      <c r="C30" s="271">
        <v>200499</v>
      </c>
      <c r="D30" s="268" t="s">
        <v>894</v>
      </c>
      <c r="E30" s="268" t="s">
        <v>1278</v>
      </c>
      <c r="F30" s="268" t="s">
        <v>2674</v>
      </c>
      <c r="G30" s="268" t="s">
        <v>3437</v>
      </c>
      <c r="H30" s="268" t="s">
        <v>3438</v>
      </c>
      <c r="I30" s="309" t="s">
        <v>3404</v>
      </c>
      <c r="J30" s="271">
        <v>94410</v>
      </c>
      <c r="K30" s="271">
        <v>0</v>
      </c>
      <c r="L30" s="267">
        <v>0</v>
      </c>
      <c r="M30" s="267">
        <v>0</v>
      </c>
      <c r="N30" s="271">
        <v>0</v>
      </c>
      <c r="O30" s="267">
        <v>0</v>
      </c>
      <c r="P30" s="267">
        <v>0</v>
      </c>
      <c r="Q30" s="267">
        <v>0</v>
      </c>
      <c r="R30" s="271">
        <v>0</v>
      </c>
    </row>
    <row r="31" spans="1:21" s="270" customFormat="1" x14ac:dyDescent="0.25">
      <c r="A31" s="271">
        <v>110721</v>
      </c>
      <c r="B31" s="271">
        <v>1107</v>
      </c>
      <c r="C31" s="271">
        <v>200505</v>
      </c>
      <c r="D31" s="268" t="s">
        <v>894</v>
      </c>
      <c r="E31" s="268" t="s">
        <v>1278</v>
      </c>
      <c r="F31" s="268" t="s">
        <v>776</v>
      </c>
      <c r="G31" s="268" t="s">
        <v>3439</v>
      </c>
      <c r="H31" s="268" t="s">
        <v>3438</v>
      </c>
      <c r="I31" s="309" t="s">
        <v>3404</v>
      </c>
      <c r="J31" s="271">
        <v>94410</v>
      </c>
      <c r="K31" s="271">
        <v>0</v>
      </c>
      <c r="L31" s="267">
        <v>0</v>
      </c>
      <c r="M31" s="267">
        <v>0</v>
      </c>
      <c r="N31" s="271">
        <v>0</v>
      </c>
      <c r="O31" s="267">
        <v>0</v>
      </c>
      <c r="P31" s="267">
        <v>0</v>
      </c>
      <c r="Q31" s="267">
        <v>0</v>
      </c>
      <c r="R31" s="271">
        <v>0</v>
      </c>
    </row>
    <row r="32" spans="1:21" s="280" customFormat="1" x14ac:dyDescent="0.25">
      <c r="A32" s="271">
        <v>110721</v>
      </c>
      <c r="B32" s="271">
        <v>1107</v>
      </c>
      <c r="C32" s="271">
        <v>200511</v>
      </c>
      <c r="D32" s="268" t="s">
        <v>894</v>
      </c>
      <c r="E32" s="268" t="s">
        <v>1278</v>
      </c>
      <c r="F32" s="268" t="s">
        <v>3440</v>
      </c>
      <c r="G32" s="268" t="s">
        <v>3441</v>
      </c>
      <c r="H32" s="268" t="s">
        <v>3438</v>
      </c>
      <c r="I32" s="309" t="s">
        <v>3404</v>
      </c>
      <c r="J32" s="271">
        <v>94410</v>
      </c>
      <c r="K32" s="271">
        <v>0</v>
      </c>
      <c r="L32" s="267">
        <v>0</v>
      </c>
      <c r="M32" s="267">
        <v>0</v>
      </c>
      <c r="N32" s="271">
        <v>0</v>
      </c>
      <c r="O32" s="267">
        <v>0</v>
      </c>
      <c r="P32" s="267">
        <v>0</v>
      </c>
      <c r="Q32" s="267">
        <v>0</v>
      </c>
      <c r="R32" s="271">
        <v>0</v>
      </c>
      <c r="S32" s="270"/>
      <c r="T32" s="270"/>
      <c r="U32" s="270"/>
    </row>
    <row r="33" spans="1:18" s="270" customFormat="1" x14ac:dyDescent="0.25">
      <c r="A33" s="318">
        <v>110721</v>
      </c>
      <c r="B33" s="271">
        <v>1107</v>
      </c>
      <c r="C33" s="271">
        <v>200529</v>
      </c>
      <c r="D33" s="268" t="s">
        <v>894</v>
      </c>
      <c r="E33" s="268" t="s">
        <v>1290</v>
      </c>
      <c r="F33" s="268" t="s">
        <v>2854</v>
      </c>
      <c r="G33" s="268" t="s">
        <v>3273</v>
      </c>
      <c r="H33" s="268" t="s">
        <v>3438</v>
      </c>
      <c r="I33" s="309" t="s">
        <v>3404</v>
      </c>
      <c r="J33" s="271">
        <v>94410</v>
      </c>
      <c r="K33" s="271">
        <v>0</v>
      </c>
      <c r="L33" s="267">
        <v>0</v>
      </c>
      <c r="M33" s="267">
        <v>0</v>
      </c>
      <c r="N33" s="271">
        <v>0</v>
      </c>
      <c r="O33" s="267">
        <v>0</v>
      </c>
      <c r="P33" s="267">
        <v>0</v>
      </c>
      <c r="Q33" s="267">
        <v>0</v>
      </c>
      <c r="R33" s="271">
        <v>0</v>
      </c>
    </row>
    <row r="34" spans="1:18" s="270" customFormat="1" x14ac:dyDescent="0.25">
      <c r="A34" s="271">
        <v>110721</v>
      </c>
      <c r="B34" s="271">
        <v>1107</v>
      </c>
      <c r="C34" s="271">
        <v>200524</v>
      </c>
      <c r="D34" s="268" t="s">
        <v>894</v>
      </c>
      <c r="E34" s="268" t="s">
        <v>1290</v>
      </c>
      <c r="F34" s="268" t="s">
        <v>2747</v>
      </c>
      <c r="G34" s="268" t="s">
        <v>3442</v>
      </c>
      <c r="H34" s="268" t="s">
        <v>3438</v>
      </c>
      <c r="I34" s="309" t="s">
        <v>3404</v>
      </c>
      <c r="J34" s="271">
        <v>94410</v>
      </c>
      <c r="K34" s="271">
        <v>0</v>
      </c>
      <c r="L34" s="267">
        <v>0</v>
      </c>
      <c r="M34" s="267">
        <v>0</v>
      </c>
      <c r="N34" s="271">
        <v>0</v>
      </c>
      <c r="O34" s="267">
        <v>0</v>
      </c>
      <c r="P34" s="267">
        <v>0</v>
      </c>
      <c r="Q34" s="267">
        <v>0</v>
      </c>
      <c r="R34" s="271">
        <v>0</v>
      </c>
    </row>
    <row r="35" spans="1:18" s="270" customFormat="1" x14ac:dyDescent="0.25">
      <c r="A35" s="271">
        <v>110721</v>
      </c>
      <c r="B35" s="271">
        <v>1107</v>
      </c>
      <c r="C35" s="271">
        <v>200523</v>
      </c>
      <c r="D35" s="268" t="s">
        <v>894</v>
      </c>
      <c r="E35" s="268" t="s">
        <v>1278</v>
      </c>
      <c r="F35" s="268" t="s">
        <v>3443</v>
      </c>
      <c r="G35" s="268" t="s">
        <v>3444</v>
      </c>
      <c r="H35" s="268" t="s">
        <v>3438</v>
      </c>
      <c r="I35" s="309" t="s">
        <v>3404</v>
      </c>
      <c r="J35" s="271">
        <v>94410</v>
      </c>
      <c r="K35" s="271">
        <v>0</v>
      </c>
      <c r="L35" s="267">
        <v>0</v>
      </c>
      <c r="M35" s="267">
        <v>0</v>
      </c>
      <c r="N35" s="271">
        <v>0</v>
      </c>
      <c r="O35" s="267">
        <v>0</v>
      </c>
      <c r="P35" s="267">
        <v>0</v>
      </c>
      <c r="Q35" s="267">
        <v>0</v>
      </c>
      <c r="R35" s="271">
        <v>0</v>
      </c>
    </row>
    <row r="36" spans="1:18" s="270" customFormat="1" x14ac:dyDescent="0.25">
      <c r="A36" s="271">
        <v>501305</v>
      </c>
      <c r="B36" s="271">
        <v>1305</v>
      </c>
      <c r="C36" s="271">
        <v>8510</v>
      </c>
      <c r="D36" s="268" t="s">
        <v>1698</v>
      </c>
      <c r="E36" s="268" t="s">
        <v>1290</v>
      </c>
      <c r="F36" s="268" t="s">
        <v>3445</v>
      </c>
      <c r="G36" s="268" t="s">
        <v>3446</v>
      </c>
      <c r="H36" s="268" t="s">
        <v>3446</v>
      </c>
      <c r="I36" s="309" t="s">
        <v>3404</v>
      </c>
      <c r="J36" s="271">
        <v>822240</v>
      </c>
      <c r="K36" s="271">
        <v>12141</v>
      </c>
      <c r="L36" s="271">
        <v>9000</v>
      </c>
      <c r="M36" s="267">
        <v>130</v>
      </c>
      <c r="N36" s="271">
        <f>19524*12</f>
        <v>234288</v>
      </c>
      <c r="O36" s="271">
        <f>J36*1.75%</f>
        <v>14389.2</v>
      </c>
      <c r="P36" s="319">
        <f>5007*12</f>
        <v>60084</v>
      </c>
      <c r="Q36" s="271">
        <f>18.07%*J36</f>
        <v>148578.76800000001</v>
      </c>
      <c r="R36" s="271">
        <f>177.12*12</f>
        <v>2125.44</v>
      </c>
    </row>
    <row r="37" spans="1:18" s="270" customFormat="1" x14ac:dyDescent="0.25">
      <c r="A37" s="271">
        <v>501442</v>
      </c>
      <c r="B37" s="271">
        <v>1442</v>
      </c>
      <c r="C37" s="271">
        <v>200545</v>
      </c>
      <c r="D37" s="268" t="s">
        <v>894</v>
      </c>
      <c r="E37" s="268" t="s">
        <v>1278</v>
      </c>
      <c r="F37" s="268" t="s">
        <v>3447</v>
      </c>
      <c r="G37" s="268" t="s">
        <v>3315</v>
      </c>
      <c r="H37" s="268" t="s">
        <v>3448</v>
      </c>
      <c r="I37" s="309" t="s">
        <v>3404</v>
      </c>
      <c r="J37" s="271">
        <v>179112</v>
      </c>
      <c r="K37" s="271">
        <v>12141</v>
      </c>
      <c r="L37" s="267">
        <v>0</v>
      </c>
      <c r="M37" s="267">
        <v>130</v>
      </c>
      <c r="N37" s="271">
        <v>0</v>
      </c>
      <c r="O37" s="271">
        <f>J37*1.75%</f>
        <v>3134.4600000000005</v>
      </c>
      <c r="P37" s="320">
        <f>5007*12</f>
        <v>60084</v>
      </c>
      <c r="Q37" s="271">
        <f>18.07%*J37</f>
        <v>32365.538400000001</v>
      </c>
      <c r="R37" s="271">
        <f>177.12*12</f>
        <v>2125.44</v>
      </c>
    </row>
    <row r="38" spans="1:18" s="270" customFormat="1" x14ac:dyDescent="0.25">
      <c r="D38" s="275"/>
      <c r="E38" s="275"/>
      <c r="F38" s="275"/>
      <c r="G38" s="275"/>
      <c r="H38" s="275"/>
      <c r="I38" s="321"/>
      <c r="M38" s="322"/>
      <c r="O38" s="275"/>
      <c r="P38" s="323"/>
      <c r="R38" s="322"/>
    </row>
    <row r="39" spans="1:18" x14ac:dyDescent="0.25">
      <c r="I39" s="324"/>
      <c r="J39" s="324"/>
      <c r="K39" s="325"/>
      <c r="L39" s="325"/>
      <c r="M39" s="324"/>
      <c r="N39" s="325"/>
      <c r="O39" s="325"/>
      <c r="P39" s="324"/>
      <c r="Q39" s="325"/>
      <c r="R39" s="325"/>
    </row>
    <row r="40" spans="1:18" x14ac:dyDescent="0.25">
      <c r="I40" s="326" t="s">
        <v>3449</v>
      </c>
      <c r="J40" s="352">
        <f t="shared" ref="J40:R40" si="7">SUM(J4:J39)</f>
        <v>10561260</v>
      </c>
      <c r="K40" s="352">
        <f t="shared" si="7"/>
        <v>339954.23999999987</v>
      </c>
      <c r="L40" s="352">
        <f t="shared" si="7"/>
        <v>40200</v>
      </c>
      <c r="M40" s="352">
        <f t="shared" si="7"/>
        <v>3629.9999999999986</v>
      </c>
      <c r="N40" s="352">
        <f t="shared" si="7"/>
        <v>650724</v>
      </c>
      <c r="O40" s="352">
        <f t="shared" si="7"/>
        <v>15442611.66</v>
      </c>
      <c r="P40" s="352">
        <f t="shared" si="7"/>
        <v>1682352</v>
      </c>
      <c r="Q40" s="352">
        <f t="shared" si="7"/>
        <v>1805923.7507999996</v>
      </c>
      <c r="R40" s="352">
        <f t="shared" si="7"/>
        <v>59512.320000000022</v>
      </c>
    </row>
    <row r="41" spans="1:18" x14ac:dyDescent="0.25">
      <c r="I41" s="326" t="s">
        <v>3375</v>
      </c>
      <c r="J41" s="352">
        <f>J40*4.9%+J40</f>
        <v>11078761.74</v>
      </c>
      <c r="K41" s="352">
        <f>K40*4.9%+K40</f>
        <v>356611.99775999988</v>
      </c>
      <c r="L41" s="352">
        <f t="shared" ref="K41:R42" si="8">L40*4.9%+L40</f>
        <v>42169.8</v>
      </c>
      <c r="M41" s="352">
        <f t="shared" si="8"/>
        <v>3807.8699999999985</v>
      </c>
      <c r="N41" s="352">
        <f>N40*4.9%+N40</f>
        <v>682609.47600000002</v>
      </c>
      <c r="O41" s="352">
        <f t="shared" si="8"/>
        <v>16199299.631340001</v>
      </c>
      <c r="P41" s="352">
        <f t="shared" si="8"/>
        <v>1764787.2479999999</v>
      </c>
      <c r="Q41" s="352">
        <f t="shared" si="8"/>
        <v>1894414.0145891996</v>
      </c>
      <c r="R41" s="352">
        <f t="shared" si="8"/>
        <v>62428.423680000022</v>
      </c>
    </row>
    <row r="42" spans="1:18" x14ac:dyDescent="0.25">
      <c r="I42" s="326" t="s">
        <v>3376</v>
      </c>
      <c r="J42" s="352">
        <f>J41*4.9%+J41</f>
        <v>11621621.065260001</v>
      </c>
      <c r="K42" s="352">
        <f t="shared" si="8"/>
        <v>374085.98565023986</v>
      </c>
      <c r="L42" s="352">
        <f t="shared" si="8"/>
        <v>44236.120200000005</v>
      </c>
      <c r="M42" s="352">
        <f t="shared" si="8"/>
        <v>3994.4556299999986</v>
      </c>
      <c r="N42" s="352">
        <f t="shared" si="8"/>
        <v>716057.34032399999</v>
      </c>
      <c r="O42" s="352">
        <f t="shared" si="8"/>
        <v>16993065.313275661</v>
      </c>
      <c r="P42" s="352">
        <f t="shared" si="8"/>
        <v>1851261.8231519999</v>
      </c>
      <c r="Q42" s="352">
        <f t="shared" si="8"/>
        <v>1987240.3013040703</v>
      </c>
      <c r="R42" s="352">
        <f>R41*4.9%+R41</f>
        <v>65487.416440320027</v>
      </c>
    </row>
    <row r="43" spans="1:18" x14ac:dyDescent="0.25">
      <c r="H43" s="328"/>
      <c r="I43" s="328" t="s">
        <v>3377</v>
      </c>
      <c r="J43" s="302" t="s">
        <v>3378</v>
      </c>
      <c r="K43" s="436" t="s">
        <v>3379</v>
      </c>
      <c r="L43" s="436"/>
      <c r="M43" s="303" t="s">
        <v>3374</v>
      </c>
      <c r="N43" s="303" t="s">
        <v>3375</v>
      </c>
      <c r="O43" s="303" t="s">
        <v>3376</v>
      </c>
      <c r="P43" s="270"/>
      <c r="Q43" s="280"/>
    </row>
    <row r="44" spans="1:18" x14ac:dyDescent="0.25">
      <c r="J44" s="304">
        <v>102</v>
      </c>
      <c r="K44" s="304" t="s">
        <v>3380</v>
      </c>
      <c r="L44" s="304"/>
      <c r="M44" s="294">
        <f>J40</f>
        <v>10561260</v>
      </c>
      <c r="N44" s="294">
        <f>J41</f>
        <v>11078761.74</v>
      </c>
      <c r="O44" s="294">
        <f>J42</f>
        <v>11621621.065260001</v>
      </c>
      <c r="P44" s="270"/>
      <c r="Q44" s="280"/>
    </row>
    <row r="45" spans="1:18" x14ac:dyDescent="0.25">
      <c r="J45" s="304">
        <v>104</v>
      </c>
      <c r="K45" s="304" t="s">
        <v>3381</v>
      </c>
      <c r="L45" s="304"/>
      <c r="M45" s="294">
        <f>SUM(K40:R40)</f>
        <v>20024907.970799997</v>
      </c>
      <c r="N45" s="295">
        <f>SUM(K41:R41)</f>
        <v>21006128.461369198</v>
      </c>
      <c r="O45" s="294">
        <f>SUM(K42:R42)</f>
        <v>22035428.755976286</v>
      </c>
      <c r="P45" s="270"/>
      <c r="Q45" s="280"/>
    </row>
    <row r="46" spans="1:18" x14ac:dyDescent="0.25">
      <c r="J46" s="429" t="s">
        <v>3382</v>
      </c>
      <c r="K46" s="430"/>
      <c r="L46" s="431"/>
      <c r="M46" s="294">
        <f>SUM(M44:M45)</f>
        <v>30586167.970799997</v>
      </c>
      <c r="N46" s="295">
        <f>SUM(N44:N45)</f>
        <v>32084890.201369196</v>
      </c>
      <c r="O46" s="294">
        <f>SUM(O44:O45)</f>
        <v>33657049.821236283</v>
      </c>
      <c r="P46" s="270"/>
      <c r="Q46" s="280"/>
    </row>
    <row r="47" spans="1:18" x14ac:dyDescent="0.25">
      <c r="I47" s="280"/>
      <c r="J47" s="277"/>
      <c r="K47" s="277"/>
      <c r="L47" s="280"/>
      <c r="M47" s="332"/>
      <c r="N47" s="280"/>
      <c r="O47" s="277"/>
      <c r="P47" s="270"/>
      <c r="Q47" s="280"/>
    </row>
  </sheetData>
  <mergeCells count="2">
    <mergeCell ref="K43:L43"/>
    <mergeCell ref="J46:L4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MTREF BUDGET 2023-24  Summary</vt:lpstr>
      <vt:lpstr>DETAILED</vt:lpstr>
      <vt:lpstr>Total Emp Cost</vt:lpstr>
      <vt:lpstr>MS &amp; Vacancies combined</vt:lpstr>
      <vt:lpstr>SM &amp; Vacancies</vt:lpstr>
      <vt:lpstr>Vacancies ED</vt:lpstr>
      <vt:lpstr>MS (2)</vt:lpstr>
      <vt:lpstr>SM (2)</vt:lpstr>
      <vt:lpstr>Vacancies (2)</vt:lpstr>
      <vt:lpstr>SM</vt:lpstr>
      <vt:lpstr>MS</vt:lpstr>
      <vt:lpstr>Vacancies</vt:lpstr>
      <vt:lpstr>Sheet1</vt:lpstr>
      <vt:lpstr>MS!PREVIEWM520</vt:lpstr>
      <vt:lpstr>'MS &amp; Vacancies combined'!PREVIEWM520</vt:lpstr>
      <vt:lpstr>'MS (2)'!PREVIEWM520</vt:lpstr>
      <vt:lpstr>'MTREF BUDGET 2023-24 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Billy Monyaki</dc:creator>
  <cp:lastModifiedBy>Sibongile Nkane</cp:lastModifiedBy>
  <cp:lastPrinted>2023-05-29T08:23:13Z</cp:lastPrinted>
  <dcterms:created xsi:type="dcterms:W3CDTF">2023-02-20T08:02:06Z</dcterms:created>
  <dcterms:modified xsi:type="dcterms:W3CDTF">2023-05-29T12:23:15Z</dcterms:modified>
</cp:coreProperties>
</file>